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it\Desktop\"/>
    </mc:Choice>
  </mc:AlternateContent>
  <xr:revisionPtr revIDLastSave="0" documentId="13_ncr:1_{48816C6A-9FD9-4941-9E56-033BBB16B54D}" xr6:coauthVersionLast="45" xr6:coauthVersionMax="47" xr10:uidLastSave="{00000000-0000-0000-0000-000000000000}"/>
  <bookViews>
    <workbookView xWindow="-120" yWindow="-120" windowWidth="29040" windowHeight="15840" firstSheet="13" activeTab="22" xr2:uid="{00000000-000D-0000-FFFF-FFFF00000000}"/>
  </bookViews>
  <sheets>
    <sheet name="DATABASE" sheetId="112" state="hidden" r:id="rId1"/>
    <sheet name="BudgetDB" sheetId="208" state="hidden" r:id="rId2"/>
    <sheet name="روکش" sheetId="73" r:id="rId3"/>
    <sheet name="First" sheetId="113" state="veryHidden" r:id="rId4"/>
    <sheet name="در یک نگاه" sheetId="242" r:id="rId5"/>
    <sheet name="الف-ب-ج" sheetId="78" state="veryHidden" r:id="rId6"/>
    <sheet name="کلیات" sheetId="141" r:id="rId7"/>
    <sheet name="اقدامات تکالیف بودجه" sheetId="79" state="hidden" r:id="rId8"/>
    <sheet name="اقدامات تکالیف مجمع" sheetId="204" state="hidden" r:id="rId9"/>
    <sheet name="میزان اجرای برنامه" sheetId="80" r:id="rId10"/>
    <sheet name="مصوبات هیات مدیره" sheetId="251" r:id="rId11"/>
    <sheet name="اهم اقدامات" sheetId="252" r:id="rId12"/>
    <sheet name="صورتخلاصه درآمد آزادراه" sheetId="147" state="veryHidden" r:id="rId13"/>
    <sheet name="صورتخلاصه درآمد" sheetId="135" r:id="rId14"/>
    <sheet name="فروش داخلی تولیدی" sheetId="2" state="veryHidden" r:id="rId15"/>
    <sheet name="فروش B2B" sheetId="246" state="veryHidden" r:id="rId16"/>
    <sheet name="فروش پخش" sheetId="247" state="veryHidden" r:id="rId17"/>
    <sheet name="فروش داخلی تجاری" sheetId="207" state="veryHidden" r:id="rId18"/>
    <sheet name="عوارض" sheetId="209" state="veryHidden" r:id="rId19"/>
    <sheet name="واردات" sheetId="175" r:id="rId20"/>
    <sheet name="صادرات" sheetId="210" r:id="rId21"/>
    <sheet name="درآمد خدمات آزادراهی" sheetId="211" state="veryHidden" r:id="rId22"/>
    <sheet name="جدول فروش خدمات" sheetId="177" r:id="rId23"/>
    <sheet name="درآمد خدمات" sheetId="212" r:id="rId24"/>
    <sheet name="درآمد صادرات" sheetId="5" state="veryHidden" r:id="rId25"/>
    <sheet name="گردش سهام" sheetId="99" state="veryHidden" r:id="rId26"/>
    <sheet name="سود سهام " sheetId="102" state="veryHidden" r:id="rId27"/>
    <sheet name="مقادیر تولید" sheetId="15" state="veryHidden" r:id="rId28"/>
    <sheet name="مستندات تولید" sheetId="144" state="veryHidden" r:id="rId29"/>
    <sheet name="گردش محصول تولیدی" sheetId="137" state="veryHidden" r:id="rId30"/>
    <sheet name="خرید مواد اولیه تولید" sheetId="139" state="veryHidden" r:id="rId31"/>
    <sheet name="هزینه پرسنلی مستقیم تولید" sheetId="83" state="veryHidden" r:id="rId32"/>
    <sheet name="هزینه پرسنلی غیرمستقیم تولید" sheetId="214" state="veryHidden" r:id="rId33"/>
    <sheet name="هزینه سربار تولید" sheetId="109" state="veryHidden" r:id="rId34"/>
    <sheet name="بهای تمام شده تولید" sheetId="25" state="veryHidden" r:id="rId35"/>
    <sheet name="مقادیر مصرف مواد" sheetId="170" state="veryHidden" r:id="rId36"/>
    <sheet name="مقادیر خدمات آزادراهی" sheetId="213" state="veryHidden" r:id="rId37"/>
    <sheet name="خرید اقلام خدمات آزادراهی" sheetId="216" state="veryHidden" r:id="rId38"/>
    <sheet name="هزینه پرسنلی مستقیم خدمات 2" sheetId="220" state="veryHidden" r:id="rId39"/>
    <sheet name="هزینه پرسنلی غیرمستقیم خدمات 2" sheetId="221" state="veryHidden" r:id="rId40"/>
    <sheet name="هزینه سربار خدمات آزادراهی" sheetId="222" state="veryHidden" r:id="rId41"/>
    <sheet name="بهای خدمات آزادراهی" sheetId="223" state="veryHidden" r:id="rId42"/>
    <sheet name="مقادیر خدمات" sheetId="100" r:id="rId43"/>
    <sheet name="خرید اقلام خدمات" sheetId="215" state="hidden" r:id="rId44"/>
    <sheet name="تعداد پرسنل" sheetId="35" r:id="rId45"/>
    <sheet name="هزینه پرسنلی مستقیم خدمات" sheetId="217" r:id="rId46"/>
    <sheet name="هزینه پرسنلی غیرمستقیم خدمات" sheetId="218" state="hidden" r:id="rId47"/>
    <sheet name="هزینه سربار خدمات" sheetId="219" r:id="rId48"/>
    <sheet name="بهای خدمات" sheetId="129" r:id="rId49"/>
    <sheet name="نگهداری آزادراه" sheetId="226" state="veryHidden" r:id="rId50"/>
    <sheet name="بهره برداری آزادراه" sheetId="227" state="veryHidden" r:id="rId51"/>
    <sheet name="بهسازی آزادراه" sheetId="228" state="veryHidden" r:id="rId52"/>
    <sheet name="خرید کالای تجاری" sheetId="6" state="veryHidden" r:id="rId53"/>
    <sheet name="بهای کالای تجاری" sheetId="31" state="veryHidden" r:id="rId54"/>
    <sheet name="تعداد پرسنل آزادراه (2)" sheetId="256" state="veryHidden" r:id="rId55"/>
    <sheet name="تعداد پرسنل آزادراه" sheetId="229" state="veryHidden" r:id="rId56"/>
    <sheet name="صورت وضعیت مالی آزادراه" sheetId="230" state="veryHidden" r:id="rId57"/>
    <sheet name="هزینه اداری عمومی" sheetId="131" r:id="rId58"/>
    <sheet name="سایر عملیاتی" sheetId="57" r:id="rId59"/>
    <sheet name="سایر غیرعملیاتی" sheetId="234" r:id="rId60"/>
    <sheet name="صورت سود و زیان" sheetId="45" r:id="rId61"/>
    <sheet name="صورت سود و زیان - شرکت اصلی" sheetId="249" r:id="rId62"/>
    <sheet name="صورت وضعیت مالی " sheetId="43" r:id="rId63"/>
    <sheet name="صورت وضعیت مالی - شرکت اصلی" sheetId="248" r:id="rId64"/>
    <sheet name="اقلام عمده حسابها آزادراه" sheetId="231" state="veryHidden" r:id="rId65"/>
    <sheet name="اقلام عمده حسابها " sheetId="44" r:id="rId66"/>
    <sheet name="درآمد هزینه آزادراه" sheetId="146" state="veryHidden" r:id="rId67"/>
    <sheet name="صورت جریان وجوه نقد آزادراه" sheetId="236" state="veryHidden" r:id="rId68"/>
    <sheet name="صورت جریان وجوه نقد " sheetId="49" r:id="rId69"/>
    <sheet name="صورت جریان وجوه نقد - شرکت اصلی" sheetId="253" r:id="rId70"/>
    <sheet name="دریافت پرداخت نقد آزادراه" sheetId="151" state="veryHidden" r:id="rId71"/>
    <sheet name="دریافت پرداخت" sheetId="92" r:id="rId72"/>
    <sheet name="سود ناویژه محصول تولیدی" sheetId="47" state="veryHidden" r:id="rId73"/>
    <sheet name=" سود ناویژه کالای تجاری" sheetId="133" state="veryHidden" r:id="rId74"/>
    <sheet name="سود ناویژه صادراتی" sheetId="245" state="veryHidden" r:id="rId75"/>
    <sheet name="سود ناویژه خدمات آزادراهی" sheetId="163" state="veryHidden" r:id="rId76"/>
    <sheet name="هزینه اداری عمومی آزادراه" sheetId="232" state="veryHidden" r:id="rId77"/>
    <sheet name="دارایی آزادراه" sheetId="237" state="veryHidden" r:id="rId78"/>
    <sheet name="دارایی" sheetId="55" r:id="rId79"/>
    <sheet name="موجودی مواد و کالا" sheetId="254" r:id="rId80"/>
    <sheet name="موجودی مواد و کالا آزادراهی" sheetId="255" state="veryHidden" r:id="rId81"/>
    <sheet name="سایر عملیاتی آزادراهی" sheetId="233" state="veryHidden" r:id="rId82"/>
    <sheet name="سایر غیرعملیاتی آزادراهی" sheetId="235" state="veryHidden" r:id="rId83"/>
    <sheet name="سود ناویژه خدمات" sheetId="134" state="hidden" r:id="rId84"/>
    <sheet name="تسهیلات" sheetId="60" r:id="rId85"/>
    <sheet name="حقوقی" sheetId="71" r:id="rId86"/>
    <sheet name="مزایده-مناقصه" sheetId="172" state="hidden" r:id="rId87"/>
    <sheet name="استهلاک سرمایه گذاری" sheetId="168" state="veryHidden" r:id="rId88"/>
    <sheet name="روابط عمومی" sheetId="197" r:id="rId89"/>
    <sheet name="پروژه ها" sheetId="143" r:id="rId90"/>
    <sheet name="ریزشعب انبار" sheetId="140" state="hidden" r:id="rId91"/>
    <sheet name="ماشین آلات " sheetId="181" r:id="rId92"/>
    <sheet name="ظرفیت انبارها" sheetId="182" r:id="rId93"/>
    <sheet name="جدول درآمد-هزینه-سود شرکتها" sheetId="184" r:id="rId94"/>
    <sheet name="خلاصه وضعیت پروازی ناوگان" sheetId="189" state="veryHidden" r:id="rId95"/>
    <sheet name="درآمد فروش بليط داخلی" sheetId="190" state="veryHidden" r:id="rId96"/>
    <sheet name="درآمد فروش بليط خارجی" sheetId="238" state="veryHidden" r:id="rId97"/>
    <sheet name="سوخت" sheetId="192" state="veryHidden" r:id="rId98"/>
    <sheet name="کترینگ" sheetId="239" state="veryHidden" r:id="rId99"/>
    <sheet name="هندلینگ" sheetId="240" state="veryHidden" r:id="rId100"/>
    <sheet name="خدمات فرودگاهی" sheetId="241" state="veryHidden" r:id="rId101"/>
    <sheet name="اطلاعات واحدها" sheetId="185" state="veryHidden" r:id="rId102"/>
    <sheet name="ریز فروشگاه ها" sheetId="194" state="veryHidden" r:id="rId103"/>
    <sheet name="پایان" sheetId="186" r:id="rId104"/>
    <sheet name="اصلاحات" sheetId="187" r:id="rId105"/>
    <sheet name="تغییر در فرمول بودجه و اصلی" sheetId="243" state="hidden" r:id="rId106"/>
    <sheet name="ابهامات" sheetId="257" state="hidden" r:id="rId107"/>
  </sheets>
  <externalReferences>
    <externalReference r:id="rId108"/>
    <externalReference r:id="rId109"/>
    <externalReference r:id="rId110"/>
    <externalReference r:id="rId111"/>
    <externalReference r:id="rId112"/>
    <externalReference r:id="rId113"/>
    <externalReference r:id="rId114"/>
    <externalReference r:id="rId115"/>
    <externalReference r:id="rId116"/>
  </externalReferences>
  <definedNames>
    <definedName name="_xlnm._FilterDatabase" localSheetId="1" hidden="1">BudgetDB!$A$1:$JQ$4500</definedName>
    <definedName name="_xlnm._FilterDatabase" localSheetId="89" hidden="1">'پروژه ها'!$V$1:$V$47</definedName>
    <definedName name="_xlnm._FilterDatabase" localSheetId="4" hidden="1">'در یک نگاه'!$Q$41:$Q$112</definedName>
    <definedName name="AA" localSheetId="106">#REF!</definedName>
    <definedName name="AA" localSheetId="8">#REF!</definedName>
    <definedName name="AA" localSheetId="64">#REF!</definedName>
    <definedName name="AA" localSheetId="50">#REF!</definedName>
    <definedName name="AA" localSheetId="51">#REF!</definedName>
    <definedName name="AA" localSheetId="55">#REF!</definedName>
    <definedName name="AA" localSheetId="54">#REF!</definedName>
    <definedName name="AA" localSheetId="100">#REF!</definedName>
    <definedName name="AA" localSheetId="43">#REF!</definedName>
    <definedName name="AA" localSheetId="37">#REF!</definedName>
    <definedName name="AA" localSheetId="77">#REF!</definedName>
    <definedName name="AA" localSheetId="4">#REF!</definedName>
    <definedName name="AA" localSheetId="23">#REF!</definedName>
    <definedName name="AA" localSheetId="21">#REF!</definedName>
    <definedName name="AA" localSheetId="96">#REF!</definedName>
    <definedName name="AA" localSheetId="95">#REF!</definedName>
    <definedName name="AA" localSheetId="102">#REF!</definedName>
    <definedName name="AA" localSheetId="81">#REF!</definedName>
    <definedName name="AA" localSheetId="59">#REF!</definedName>
    <definedName name="AA" localSheetId="82">#REF!</definedName>
    <definedName name="AA" localSheetId="74">#REF!</definedName>
    <definedName name="AA" localSheetId="20">#REF!</definedName>
    <definedName name="AA" localSheetId="69">#REF!</definedName>
    <definedName name="AA" localSheetId="67">#REF!</definedName>
    <definedName name="AA" localSheetId="61">#REF!</definedName>
    <definedName name="AA" localSheetId="63">#REF!</definedName>
    <definedName name="AA" localSheetId="56">#REF!</definedName>
    <definedName name="AA" localSheetId="18">#REF!</definedName>
    <definedName name="AA" localSheetId="15">#REF!</definedName>
    <definedName name="AA" localSheetId="16">#REF!</definedName>
    <definedName name="AA" localSheetId="17">#REF!</definedName>
    <definedName name="AA" localSheetId="98">#REF!</definedName>
    <definedName name="AA" localSheetId="36">#REF!</definedName>
    <definedName name="AA" localSheetId="80">#REF!</definedName>
    <definedName name="AA" localSheetId="49">#REF!</definedName>
    <definedName name="AA" localSheetId="76">#REF!</definedName>
    <definedName name="AA" localSheetId="32">#REF!</definedName>
    <definedName name="AA" localSheetId="46">#REF!</definedName>
    <definedName name="AA" localSheetId="39">#REF!</definedName>
    <definedName name="AA" localSheetId="45">#REF!</definedName>
    <definedName name="AA" localSheetId="38">#REF!</definedName>
    <definedName name="AA" localSheetId="47">#REF!</definedName>
    <definedName name="AA" localSheetId="40">#REF!</definedName>
    <definedName name="AA" localSheetId="99">#REF!</definedName>
    <definedName name="AA">#REF!</definedName>
    <definedName name="aaa">'[1]100022'!$A$1:$AV$90</definedName>
    <definedName name="aaaaa" localSheetId="106">'[2]عوامل در مراکز  '!$A$1:$AV$87</definedName>
    <definedName name="aaaaa">'[3]عوامل در مراکز  '!$A$1:$AV$87</definedName>
    <definedName name="acttype" localSheetId="106">#REF!</definedName>
    <definedName name="acttype" localSheetId="8">#REF!</definedName>
    <definedName name="acttype" localSheetId="64">#REF!</definedName>
    <definedName name="acttype" localSheetId="50">#REF!</definedName>
    <definedName name="acttype" localSheetId="51">#REF!</definedName>
    <definedName name="acttype" localSheetId="55">#REF!</definedName>
    <definedName name="acttype" localSheetId="54">#REF!</definedName>
    <definedName name="acttype" localSheetId="100">#REF!</definedName>
    <definedName name="acttype" localSheetId="43">#REF!</definedName>
    <definedName name="acttype" localSheetId="37">#REF!</definedName>
    <definedName name="acttype" localSheetId="77">#REF!</definedName>
    <definedName name="acttype" localSheetId="4">#REF!</definedName>
    <definedName name="acttype" localSheetId="23">#REF!</definedName>
    <definedName name="acttype" localSheetId="21">#REF!</definedName>
    <definedName name="acttype" localSheetId="96">#REF!</definedName>
    <definedName name="acttype" localSheetId="81">#REF!</definedName>
    <definedName name="acttype" localSheetId="59">#REF!</definedName>
    <definedName name="acttype" localSheetId="82">#REF!</definedName>
    <definedName name="acttype" localSheetId="74">#REF!</definedName>
    <definedName name="acttype" localSheetId="20">#REF!</definedName>
    <definedName name="acttype" localSheetId="69">#REF!</definedName>
    <definedName name="acttype" localSheetId="67">#REF!</definedName>
    <definedName name="acttype" localSheetId="61">#REF!</definedName>
    <definedName name="acttype" localSheetId="63">#REF!</definedName>
    <definedName name="acttype" localSheetId="56">#REF!</definedName>
    <definedName name="acttype" localSheetId="18">#REF!</definedName>
    <definedName name="acttype" localSheetId="15">#REF!</definedName>
    <definedName name="acttype" localSheetId="16">#REF!</definedName>
    <definedName name="acttype" localSheetId="17">#REF!</definedName>
    <definedName name="acttype" localSheetId="98">#REF!</definedName>
    <definedName name="acttype" localSheetId="36">#REF!</definedName>
    <definedName name="acttype" localSheetId="80">#REF!</definedName>
    <definedName name="acttype" localSheetId="49">#REF!</definedName>
    <definedName name="acttype" localSheetId="76">#REF!</definedName>
    <definedName name="acttype" localSheetId="32">#REF!</definedName>
    <definedName name="acttype" localSheetId="46">#REF!</definedName>
    <definedName name="acttype" localSheetId="39">#REF!</definedName>
    <definedName name="acttype" localSheetId="45">#REF!</definedName>
    <definedName name="acttype" localSheetId="38">#REF!</definedName>
    <definedName name="acttype" localSheetId="47">#REF!</definedName>
    <definedName name="acttype" localSheetId="40">#REF!</definedName>
    <definedName name="acttype" localSheetId="99">#REF!</definedName>
    <definedName name="acttype">#REF!</definedName>
    <definedName name="ali" localSheetId="106">#REF!</definedName>
    <definedName name="ali" localSheetId="8">#REF!</definedName>
    <definedName name="ali" localSheetId="64">#REF!</definedName>
    <definedName name="ali" localSheetId="50">#REF!</definedName>
    <definedName name="ali" localSheetId="51">#REF!</definedName>
    <definedName name="ali" localSheetId="55">#REF!</definedName>
    <definedName name="ali" localSheetId="54">#REF!</definedName>
    <definedName name="ali" localSheetId="100">#REF!</definedName>
    <definedName name="ali" localSheetId="43">#REF!</definedName>
    <definedName name="ali" localSheetId="37">#REF!</definedName>
    <definedName name="ali" localSheetId="77">#REF!</definedName>
    <definedName name="ali" localSheetId="4">#REF!</definedName>
    <definedName name="ali" localSheetId="23">#REF!</definedName>
    <definedName name="ali" localSheetId="21">#REF!</definedName>
    <definedName name="ali" localSheetId="96">#REF!</definedName>
    <definedName name="ali" localSheetId="95">#REF!</definedName>
    <definedName name="ali" localSheetId="102">#REF!</definedName>
    <definedName name="ali" localSheetId="81">#REF!</definedName>
    <definedName name="ali" localSheetId="59">#REF!</definedName>
    <definedName name="ali" localSheetId="82">#REF!</definedName>
    <definedName name="ali" localSheetId="74">#REF!</definedName>
    <definedName name="ali" localSheetId="20">#REF!</definedName>
    <definedName name="ali" localSheetId="69">#REF!</definedName>
    <definedName name="ali" localSheetId="67">#REF!</definedName>
    <definedName name="ali" localSheetId="61">#REF!</definedName>
    <definedName name="ali" localSheetId="63">#REF!</definedName>
    <definedName name="ali" localSheetId="56">#REF!</definedName>
    <definedName name="ali" localSheetId="18">#REF!</definedName>
    <definedName name="ali" localSheetId="15">#REF!</definedName>
    <definedName name="ali" localSheetId="16">#REF!</definedName>
    <definedName name="ali" localSheetId="17">#REF!</definedName>
    <definedName name="ali" localSheetId="98">#REF!</definedName>
    <definedName name="ali" localSheetId="36">#REF!</definedName>
    <definedName name="ali" localSheetId="80">#REF!</definedName>
    <definedName name="ali" localSheetId="49">#REF!</definedName>
    <definedName name="ali" localSheetId="76">#REF!</definedName>
    <definedName name="ali" localSheetId="32">#REF!</definedName>
    <definedName name="ali" localSheetId="46">#REF!</definedName>
    <definedName name="ali" localSheetId="39">#REF!</definedName>
    <definedName name="ali" localSheetId="45">#REF!</definedName>
    <definedName name="ali" localSheetId="38">#REF!</definedName>
    <definedName name="ali" localSheetId="47">#REF!</definedName>
    <definedName name="ali" localSheetId="40">#REF!</definedName>
    <definedName name="ali" localSheetId="99">#REF!</definedName>
    <definedName name="ali">#REF!</definedName>
    <definedName name="Ard">"آرد قراردادي"</definedName>
    <definedName name="BTitle" localSheetId="106">#REF!</definedName>
    <definedName name="BTitle" localSheetId="8">#REF!</definedName>
    <definedName name="BTitle" localSheetId="64">#REF!</definedName>
    <definedName name="BTitle" localSheetId="50">#REF!</definedName>
    <definedName name="BTitle" localSheetId="51">#REF!</definedName>
    <definedName name="BTitle" localSheetId="55">#REF!</definedName>
    <definedName name="BTitle" localSheetId="54">#REF!</definedName>
    <definedName name="BTitle" localSheetId="100">#REF!</definedName>
    <definedName name="BTitle" localSheetId="43">#REF!</definedName>
    <definedName name="BTitle" localSheetId="37">#REF!</definedName>
    <definedName name="BTitle" localSheetId="77">#REF!</definedName>
    <definedName name="BTitle" localSheetId="4">#REF!</definedName>
    <definedName name="BTitle" localSheetId="23">#REF!</definedName>
    <definedName name="BTitle" localSheetId="21">#REF!</definedName>
    <definedName name="BTitle" localSheetId="96">#REF!</definedName>
    <definedName name="BTitle" localSheetId="81">#REF!</definedName>
    <definedName name="BTitle" localSheetId="59">#REF!</definedName>
    <definedName name="BTitle" localSheetId="82">#REF!</definedName>
    <definedName name="BTitle" localSheetId="74">#REF!</definedName>
    <definedName name="BTitle" localSheetId="20">#REF!</definedName>
    <definedName name="BTitle" localSheetId="69">#REF!</definedName>
    <definedName name="BTitle" localSheetId="67">#REF!</definedName>
    <definedName name="BTitle" localSheetId="61">#REF!</definedName>
    <definedName name="BTitle" localSheetId="63">#REF!</definedName>
    <definedName name="BTitle" localSheetId="56">#REF!</definedName>
    <definedName name="BTitle" localSheetId="18">#REF!</definedName>
    <definedName name="BTitle" localSheetId="15">#REF!</definedName>
    <definedName name="BTitle" localSheetId="16">#REF!</definedName>
    <definedName name="BTitle" localSheetId="17">#REF!</definedName>
    <definedName name="BTitle" localSheetId="98">#REF!</definedName>
    <definedName name="BTitle" localSheetId="36">#REF!</definedName>
    <definedName name="BTitle" localSheetId="80">#REF!</definedName>
    <definedName name="BTitle" localSheetId="49">#REF!</definedName>
    <definedName name="BTitle" localSheetId="76">#REF!</definedName>
    <definedName name="BTitle" localSheetId="32">#REF!</definedName>
    <definedName name="BTitle" localSheetId="46">#REF!</definedName>
    <definedName name="BTitle" localSheetId="39">#REF!</definedName>
    <definedName name="BTitle" localSheetId="45">#REF!</definedName>
    <definedName name="BTitle" localSheetId="38">#REF!</definedName>
    <definedName name="BTitle" localSheetId="47">#REF!</definedName>
    <definedName name="BTitle" localSheetId="40">#REF!</definedName>
    <definedName name="BTitle" localSheetId="99">#REF!</definedName>
    <definedName name="BTitle">#REF!</definedName>
    <definedName name="bv">BudgetDB!$DC$1:$DD$1</definedName>
    <definedName name="Contracual_Driver" localSheetId="106">[4]Parametr!$C$3</definedName>
    <definedName name="Contracual_Driver">[5]Parametr!$C$3</definedName>
    <definedName name="cr_kim_sheet1" localSheetId="8">[6]SHEET1!#REF!</definedName>
    <definedName name="cr_kim_sheet1" localSheetId="64">[6]SHEET1!#REF!</definedName>
    <definedName name="cr_kim_sheet1" localSheetId="50">[6]SHEET1!#REF!</definedName>
    <definedName name="cr_kim_sheet1" localSheetId="51">[6]SHEET1!#REF!</definedName>
    <definedName name="cr_kim_sheet1" localSheetId="55">[6]SHEET1!#REF!</definedName>
    <definedName name="cr_kim_sheet1" localSheetId="54">[6]SHEET1!#REF!</definedName>
    <definedName name="cr_kim_sheet1" localSheetId="100">[6]SHEET1!#REF!</definedName>
    <definedName name="cr_kim_sheet1" localSheetId="43">[6]SHEET1!#REF!</definedName>
    <definedName name="cr_kim_sheet1" localSheetId="37">[6]SHEET1!#REF!</definedName>
    <definedName name="cr_kim_sheet1" localSheetId="77">[6]SHEET1!#REF!</definedName>
    <definedName name="cr_kim_sheet1" localSheetId="4">[6]SHEET1!#REF!</definedName>
    <definedName name="cr_kim_sheet1" localSheetId="23">[6]SHEET1!#REF!</definedName>
    <definedName name="cr_kim_sheet1" localSheetId="21">[6]SHEET1!#REF!</definedName>
    <definedName name="cr_kim_sheet1" localSheetId="96">[6]SHEET1!#REF!</definedName>
    <definedName name="cr_kim_sheet1" localSheetId="95">[6]SHEET1!#REF!</definedName>
    <definedName name="cr_kim_sheet1" localSheetId="102">[6]SHEET1!#REF!</definedName>
    <definedName name="cr_kim_sheet1" localSheetId="81">[6]SHEET1!#REF!</definedName>
    <definedName name="cr_kim_sheet1" localSheetId="59">[6]SHEET1!#REF!</definedName>
    <definedName name="cr_kim_sheet1" localSheetId="82">[6]SHEET1!#REF!</definedName>
    <definedName name="cr_kim_sheet1" localSheetId="74">[6]SHEET1!#REF!</definedName>
    <definedName name="cr_kim_sheet1" localSheetId="20">[6]SHEET1!#REF!</definedName>
    <definedName name="cr_kim_sheet1" localSheetId="69">[6]SHEET1!#REF!</definedName>
    <definedName name="cr_kim_sheet1" localSheetId="67">[6]SHEET1!#REF!</definedName>
    <definedName name="cr_kim_sheet1" localSheetId="61">[6]SHEET1!#REF!</definedName>
    <definedName name="cr_kim_sheet1" localSheetId="63">[6]SHEET1!#REF!</definedName>
    <definedName name="cr_kim_sheet1" localSheetId="56">[6]SHEET1!#REF!</definedName>
    <definedName name="cr_kim_sheet1" localSheetId="18">[6]SHEET1!#REF!</definedName>
    <definedName name="cr_kim_sheet1" localSheetId="15">[6]SHEET1!#REF!</definedName>
    <definedName name="cr_kim_sheet1" localSheetId="16">[6]SHEET1!#REF!</definedName>
    <definedName name="cr_kim_sheet1" localSheetId="17">[6]SHEET1!#REF!</definedName>
    <definedName name="cr_kim_sheet1" localSheetId="98">[6]SHEET1!#REF!</definedName>
    <definedName name="cr_kim_sheet1" localSheetId="36">[6]SHEET1!#REF!</definedName>
    <definedName name="cr_kim_sheet1" localSheetId="80">[6]SHEET1!#REF!</definedName>
    <definedName name="cr_kim_sheet1" localSheetId="49">[6]SHEET1!#REF!</definedName>
    <definedName name="cr_kim_sheet1" localSheetId="76">[6]SHEET1!#REF!</definedName>
    <definedName name="cr_kim_sheet1" localSheetId="32">[6]SHEET1!#REF!</definedName>
    <definedName name="cr_kim_sheet1" localSheetId="46">[6]SHEET1!#REF!</definedName>
    <definedName name="cr_kim_sheet1" localSheetId="39">[6]SHEET1!#REF!</definedName>
    <definedName name="cr_kim_sheet1" localSheetId="45">[6]SHEET1!#REF!</definedName>
    <definedName name="cr_kim_sheet1" localSheetId="38">[6]SHEET1!#REF!</definedName>
    <definedName name="cr_kim_sheet1" localSheetId="47">[6]SHEET1!#REF!</definedName>
    <definedName name="cr_kim_sheet1" localSheetId="40">[6]SHEET1!#REF!</definedName>
    <definedName name="cr_kim_sheet1" localSheetId="99">[6]SHEET1!#REF!</definedName>
    <definedName name="cr_kim_sheet1">[6]SHEET1!#REF!</definedName>
    <definedName name="Cا152" localSheetId="80">BudgetDB!#REF!</definedName>
    <definedName name="Cا152">BudgetDB!#REF!</definedName>
    <definedName name="Daramad_Serkati_GF">125%</definedName>
    <definedName name="Daramad_Tejari_GF">125%</definedName>
    <definedName name="fd" localSheetId="106">#REF!</definedName>
    <definedName name="fd" localSheetId="8">#REF!</definedName>
    <definedName name="fd" localSheetId="64">#REF!</definedName>
    <definedName name="fd" localSheetId="50">#REF!</definedName>
    <definedName name="fd" localSheetId="51">#REF!</definedName>
    <definedName name="fd" localSheetId="55">#REF!</definedName>
    <definedName name="fd" localSheetId="54">#REF!</definedName>
    <definedName name="fd" localSheetId="100">#REF!</definedName>
    <definedName name="fd" localSheetId="43">#REF!</definedName>
    <definedName name="fd" localSheetId="37">#REF!</definedName>
    <definedName name="fd" localSheetId="77">#REF!</definedName>
    <definedName name="fd" localSheetId="4">#REF!</definedName>
    <definedName name="fd" localSheetId="23">#REF!</definedName>
    <definedName name="fd" localSheetId="21">#REF!</definedName>
    <definedName name="fd" localSheetId="96">#REF!</definedName>
    <definedName name="fd" localSheetId="81">#REF!</definedName>
    <definedName name="fd" localSheetId="59">#REF!</definedName>
    <definedName name="fd" localSheetId="82">#REF!</definedName>
    <definedName name="fd" localSheetId="74">#REF!</definedName>
    <definedName name="fd" localSheetId="20">#REF!</definedName>
    <definedName name="fd" localSheetId="69">#REF!</definedName>
    <definedName name="fd" localSheetId="67">#REF!</definedName>
    <definedName name="fd" localSheetId="61">#REF!</definedName>
    <definedName name="fd" localSheetId="63">#REF!</definedName>
    <definedName name="fd" localSheetId="56">#REF!</definedName>
    <definedName name="fd" localSheetId="18">#REF!</definedName>
    <definedName name="fd" localSheetId="15">#REF!</definedName>
    <definedName name="fd" localSheetId="16">#REF!</definedName>
    <definedName name="fd" localSheetId="17">#REF!</definedName>
    <definedName name="fd" localSheetId="98">#REF!</definedName>
    <definedName name="fd" localSheetId="36">#REF!</definedName>
    <definedName name="fd" localSheetId="80">#REF!</definedName>
    <definedName name="fd" localSheetId="49">#REF!</definedName>
    <definedName name="fd" localSheetId="76">#REF!</definedName>
    <definedName name="fd" localSheetId="32">#REF!</definedName>
    <definedName name="fd" localSheetId="46">#REF!</definedName>
    <definedName name="fd" localSheetId="39">#REF!</definedName>
    <definedName name="fd" localSheetId="45">#REF!</definedName>
    <definedName name="fd" localSheetId="38">#REF!</definedName>
    <definedName name="fd" localSheetId="47">#REF!</definedName>
    <definedName name="fd" localSheetId="40">#REF!</definedName>
    <definedName name="fd" localSheetId="99">#REF!</definedName>
    <definedName name="fd">#REF!</definedName>
    <definedName name="fm" localSheetId="106">#REF!</definedName>
    <definedName name="fm" localSheetId="8">#REF!</definedName>
    <definedName name="fm" localSheetId="64">#REF!</definedName>
    <definedName name="fm" localSheetId="50">#REF!</definedName>
    <definedName name="fm" localSheetId="51">#REF!</definedName>
    <definedName name="fm" localSheetId="55">#REF!</definedName>
    <definedName name="fm" localSheetId="54">#REF!</definedName>
    <definedName name="fm" localSheetId="100">#REF!</definedName>
    <definedName name="fm" localSheetId="43">#REF!</definedName>
    <definedName name="fm" localSheetId="37">#REF!</definedName>
    <definedName name="fm" localSheetId="77">#REF!</definedName>
    <definedName name="fm" localSheetId="4">#REF!</definedName>
    <definedName name="fm" localSheetId="23">#REF!</definedName>
    <definedName name="fm" localSheetId="21">#REF!</definedName>
    <definedName name="fm" localSheetId="96">#REF!</definedName>
    <definedName name="fm" localSheetId="81">#REF!</definedName>
    <definedName name="fm" localSheetId="59">#REF!</definedName>
    <definedName name="fm" localSheetId="82">#REF!</definedName>
    <definedName name="fm" localSheetId="74">#REF!</definedName>
    <definedName name="fm" localSheetId="20">#REF!</definedName>
    <definedName name="fm" localSheetId="69">#REF!</definedName>
    <definedName name="fm" localSheetId="67">#REF!</definedName>
    <definedName name="fm" localSheetId="61">#REF!</definedName>
    <definedName name="fm" localSheetId="63">#REF!</definedName>
    <definedName name="fm" localSheetId="56">#REF!</definedName>
    <definedName name="fm" localSheetId="18">#REF!</definedName>
    <definedName name="fm" localSheetId="15">#REF!</definedName>
    <definedName name="fm" localSheetId="16">#REF!</definedName>
    <definedName name="fm" localSheetId="17">#REF!</definedName>
    <definedName name="fm" localSheetId="98">#REF!</definedName>
    <definedName name="fm" localSheetId="36">#REF!</definedName>
    <definedName name="fm" localSheetId="80">#REF!</definedName>
    <definedName name="fm" localSheetId="49">#REF!</definedName>
    <definedName name="fm" localSheetId="76">#REF!</definedName>
    <definedName name="fm" localSheetId="32">#REF!</definedName>
    <definedName name="fm" localSheetId="46">#REF!</definedName>
    <definedName name="fm" localSheetId="39">#REF!</definedName>
    <definedName name="fm" localSheetId="45">#REF!</definedName>
    <definedName name="fm" localSheetId="38">#REF!</definedName>
    <definedName name="fm" localSheetId="47">#REF!</definedName>
    <definedName name="fm" localSheetId="40">#REF!</definedName>
    <definedName name="fm" localSheetId="99">#REF!</definedName>
    <definedName name="fm">#REF!</definedName>
    <definedName name="fp">BudgetDB!$DZ$1693</definedName>
    <definedName name="fpath" localSheetId="106">#REF!</definedName>
    <definedName name="fpath" localSheetId="8">#REF!</definedName>
    <definedName name="fpath" localSheetId="64">#REF!</definedName>
    <definedName name="fpath" localSheetId="50">#REF!</definedName>
    <definedName name="fpath" localSheetId="51">#REF!</definedName>
    <definedName name="fpath" localSheetId="55">#REF!</definedName>
    <definedName name="fpath" localSheetId="54">#REF!</definedName>
    <definedName name="fpath" localSheetId="100">#REF!</definedName>
    <definedName name="fpath" localSheetId="43">#REF!</definedName>
    <definedName name="fpath" localSheetId="37">#REF!</definedName>
    <definedName name="fpath" localSheetId="77">#REF!</definedName>
    <definedName name="fpath" localSheetId="4">#REF!</definedName>
    <definedName name="fpath" localSheetId="23">#REF!</definedName>
    <definedName name="fpath" localSheetId="21">#REF!</definedName>
    <definedName name="fpath" localSheetId="96">#REF!</definedName>
    <definedName name="fpath" localSheetId="81">#REF!</definedName>
    <definedName name="fpath" localSheetId="59">#REF!</definedName>
    <definedName name="fpath" localSheetId="82">#REF!</definedName>
    <definedName name="fpath" localSheetId="74">#REF!</definedName>
    <definedName name="fpath" localSheetId="20">#REF!</definedName>
    <definedName name="fpath" localSheetId="69">#REF!</definedName>
    <definedName name="fpath" localSheetId="67">#REF!</definedName>
    <definedName name="fpath" localSheetId="61">#REF!</definedName>
    <definedName name="fpath" localSheetId="63">#REF!</definedName>
    <definedName name="fpath" localSheetId="56">#REF!</definedName>
    <definedName name="fpath" localSheetId="18">#REF!</definedName>
    <definedName name="fpath" localSheetId="15">#REF!</definedName>
    <definedName name="fpath" localSheetId="16">#REF!</definedName>
    <definedName name="fpath" localSheetId="17">#REF!</definedName>
    <definedName name="fpath" localSheetId="98">#REF!</definedName>
    <definedName name="fpath" localSheetId="36">#REF!</definedName>
    <definedName name="fpath" localSheetId="80">#REF!</definedName>
    <definedName name="fpath" localSheetId="49">#REF!</definedName>
    <definedName name="fpath" localSheetId="76">#REF!</definedName>
    <definedName name="fpath" localSheetId="32">#REF!</definedName>
    <definedName name="fpath" localSheetId="46">#REF!</definedName>
    <definedName name="fpath" localSheetId="39">#REF!</definedName>
    <definedName name="fpath" localSheetId="45">#REF!</definedName>
    <definedName name="fpath" localSheetId="38">#REF!</definedName>
    <definedName name="fpath" localSheetId="47">#REF!</definedName>
    <definedName name="fpath" localSheetId="40">#REF!</definedName>
    <definedName name="fpath" localSheetId="99">#REF!</definedName>
    <definedName name="fpath">#REF!</definedName>
    <definedName name="ftype" localSheetId="106">#REF!</definedName>
    <definedName name="ftype" localSheetId="8">#REF!</definedName>
    <definedName name="ftype" localSheetId="64">#REF!</definedName>
    <definedName name="ftype" localSheetId="50">#REF!</definedName>
    <definedName name="ftype" localSheetId="51">#REF!</definedName>
    <definedName name="ftype" localSheetId="55">#REF!</definedName>
    <definedName name="ftype" localSheetId="54">#REF!</definedName>
    <definedName name="ftype" localSheetId="100">#REF!</definedName>
    <definedName name="ftype" localSheetId="43">#REF!</definedName>
    <definedName name="ftype" localSheetId="37">#REF!</definedName>
    <definedName name="ftype" localSheetId="77">#REF!</definedName>
    <definedName name="ftype" localSheetId="4">#REF!</definedName>
    <definedName name="ftype" localSheetId="23">#REF!</definedName>
    <definedName name="ftype" localSheetId="21">#REF!</definedName>
    <definedName name="ftype" localSheetId="96">#REF!</definedName>
    <definedName name="ftype" localSheetId="81">#REF!</definedName>
    <definedName name="ftype" localSheetId="59">#REF!</definedName>
    <definedName name="ftype" localSheetId="82">#REF!</definedName>
    <definedName name="ftype" localSheetId="74">#REF!</definedName>
    <definedName name="ftype" localSheetId="20">#REF!</definedName>
    <definedName name="ftype" localSheetId="69">#REF!</definedName>
    <definedName name="ftype" localSheetId="67">#REF!</definedName>
    <definedName name="ftype" localSheetId="61">#REF!</definedName>
    <definedName name="ftype" localSheetId="63">#REF!</definedName>
    <definedName name="ftype" localSheetId="56">#REF!</definedName>
    <definedName name="ftype" localSheetId="18">#REF!</definedName>
    <definedName name="ftype" localSheetId="15">#REF!</definedName>
    <definedName name="ftype" localSheetId="16">#REF!</definedName>
    <definedName name="ftype" localSheetId="17">#REF!</definedName>
    <definedName name="ftype" localSheetId="98">#REF!</definedName>
    <definedName name="ftype" localSheetId="36">#REF!</definedName>
    <definedName name="ftype" localSheetId="80">#REF!</definedName>
    <definedName name="ftype" localSheetId="49">#REF!</definedName>
    <definedName name="ftype" localSheetId="76">#REF!</definedName>
    <definedName name="ftype" localSheetId="32">#REF!</definedName>
    <definedName name="ftype" localSheetId="46">#REF!</definedName>
    <definedName name="ftype" localSheetId="39">#REF!</definedName>
    <definedName name="ftype" localSheetId="45">#REF!</definedName>
    <definedName name="ftype" localSheetId="38">#REF!</definedName>
    <definedName name="ftype" localSheetId="47">#REF!</definedName>
    <definedName name="ftype" localSheetId="40">#REF!</definedName>
    <definedName name="ftype" localSheetId="99">#REF!</definedName>
    <definedName name="ftype">#REF!</definedName>
    <definedName name="fulltablist" localSheetId="106">#REF!</definedName>
    <definedName name="fulltablist" localSheetId="8">#REF!</definedName>
    <definedName name="fulltablist" localSheetId="64">#REF!</definedName>
    <definedName name="fulltablist" localSheetId="50">#REF!</definedName>
    <definedName name="fulltablist" localSheetId="51">#REF!</definedName>
    <definedName name="fulltablist" localSheetId="55">#REF!</definedName>
    <definedName name="fulltablist" localSheetId="54">#REF!</definedName>
    <definedName name="fulltablist" localSheetId="100">#REF!</definedName>
    <definedName name="fulltablist" localSheetId="43">#REF!</definedName>
    <definedName name="fulltablist" localSheetId="37">#REF!</definedName>
    <definedName name="fulltablist" localSheetId="77">#REF!</definedName>
    <definedName name="fulltablist" localSheetId="4">#REF!</definedName>
    <definedName name="fulltablist" localSheetId="23">#REF!</definedName>
    <definedName name="fulltablist" localSheetId="21">#REF!</definedName>
    <definedName name="fulltablist" localSheetId="96">#REF!</definedName>
    <definedName name="fulltablist" localSheetId="81">#REF!</definedName>
    <definedName name="fulltablist" localSheetId="59">#REF!</definedName>
    <definedName name="fulltablist" localSheetId="82">#REF!</definedName>
    <definedName name="fulltablist" localSheetId="74">#REF!</definedName>
    <definedName name="fulltablist" localSheetId="20">#REF!</definedName>
    <definedName name="fulltablist" localSheetId="69">#REF!</definedName>
    <definedName name="fulltablist" localSheetId="67">#REF!</definedName>
    <definedName name="fulltablist" localSheetId="61">#REF!</definedName>
    <definedName name="fulltablist" localSheetId="63">#REF!</definedName>
    <definedName name="fulltablist" localSheetId="56">#REF!</definedName>
    <definedName name="fulltablist" localSheetId="18">#REF!</definedName>
    <definedName name="fulltablist" localSheetId="15">#REF!</definedName>
    <definedName name="fulltablist" localSheetId="16">#REF!</definedName>
    <definedName name="fulltablist" localSheetId="17">#REF!</definedName>
    <definedName name="fulltablist" localSheetId="98">#REF!</definedName>
    <definedName name="fulltablist" localSheetId="36">#REF!</definedName>
    <definedName name="fulltablist" localSheetId="80">#REF!</definedName>
    <definedName name="fulltablist" localSheetId="49">#REF!</definedName>
    <definedName name="fulltablist" localSheetId="76">#REF!</definedName>
    <definedName name="fulltablist" localSheetId="32">#REF!</definedName>
    <definedName name="fulltablist" localSheetId="46">#REF!</definedName>
    <definedName name="fulltablist" localSheetId="39">#REF!</definedName>
    <definedName name="fulltablist" localSheetId="45">#REF!</definedName>
    <definedName name="fulltablist" localSheetId="38">#REF!</definedName>
    <definedName name="fulltablist" localSheetId="47">#REF!</definedName>
    <definedName name="fulltablist" localSheetId="40">#REF!</definedName>
    <definedName name="fulltablist" localSheetId="99">#REF!</definedName>
    <definedName name="fulltablist">#REF!</definedName>
    <definedName name="fy" localSheetId="106">#REF!</definedName>
    <definedName name="fy" localSheetId="8">#REF!</definedName>
    <definedName name="fy" localSheetId="64">#REF!</definedName>
    <definedName name="fy" localSheetId="50">#REF!</definedName>
    <definedName name="fy" localSheetId="51">#REF!</definedName>
    <definedName name="fy" localSheetId="55">#REF!</definedName>
    <definedName name="fy" localSheetId="54">#REF!</definedName>
    <definedName name="fy" localSheetId="100">#REF!</definedName>
    <definedName name="fy" localSheetId="43">#REF!</definedName>
    <definedName name="fy" localSheetId="37">#REF!</definedName>
    <definedName name="fy" localSheetId="77">#REF!</definedName>
    <definedName name="fy" localSheetId="4">#REF!</definedName>
    <definedName name="fy" localSheetId="23">#REF!</definedName>
    <definedName name="fy" localSheetId="21">#REF!</definedName>
    <definedName name="fy" localSheetId="96">#REF!</definedName>
    <definedName name="fy" localSheetId="81">#REF!</definedName>
    <definedName name="fy" localSheetId="59">#REF!</definedName>
    <definedName name="fy" localSheetId="82">#REF!</definedName>
    <definedName name="fy" localSheetId="74">#REF!</definedName>
    <definedName name="fy" localSheetId="20">#REF!</definedName>
    <definedName name="fy" localSheetId="69">#REF!</definedName>
    <definedName name="fy" localSheetId="67">#REF!</definedName>
    <definedName name="fy" localSheetId="61">#REF!</definedName>
    <definedName name="fy" localSheetId="63">#REF!</definedName>
    <definedName name="fy" localSheetId="56">#REF!</definedName>
    <definedName name="fy" localSheetId="18">#REF!</definedName>
    <definedName name="fy" localSheetId="15">#REF!</definedName>
    <definedName name="fy" localSheetId="16">#REF!</definedName>
    <definedName name="fy" localSheetId="17">#REF!</definedName>
    <definedName name="fy" localSheetId="98">#REF!</definedName>
    <definedName name="fy" localSheetId="36">#REF!</definedName>
    <definedName name="fy" localSheetId="80">#REF!</definedName>
    <definedName name="fy" localSheetId="49">#REF!</definedName>
    <definedName name="fy" localSheetId="76">#REF!</definedName>
    <definedName name="fy" localSheetId="32">#REF!</definedName>
    <definedName name="fy" localSheetId="46">#REF!</definedName>
    <definedName name="fy" localSheetId="39">#REF!</definedName>
    <definedName name="fy" localSheetId="45">#REF!</definedName>
    <definedName name="fy" localSheetId="38">#REF!</definedName>
    <definedName name="fy" localSheetId="47">#REF!</definedName>
    <definedName name="fy" localSheetId="40">#REF!</definedName>
    <definedName name="fy" localSheetId="99">#REF!</definedName>
    <definedName name="fy">#REF!</definedName>
    <definedName name="fymd" localSheetId="106">#REF!</definedName>
    <definedName name="fymd" localSheetId="8">#REF!</definedName>
    <definedName name="fymd" localSheetId="64">#REF!</definedName>
    <definedName name="fymd" localSheetId="50">#REF!</definedName>
    <definedName name="fymd" localSheetId="51">#REF!</definedName>
    <definedName name="fymd" localSheetId="55">#REF!</definedName>
    <definedName name="fymd" localSheetId="54">#REF!</definedName>
    <definedName name="fymd" localSheetId="100">#REF!</definedName>
    <definedName name="fymd" localSheetId="43">#REF!</definedName>
    <definedName name="fymd" localSheetId="37">#REF!</definedName>
    <definedName name="fymd" localSheetId="77">#REF!</definedName>
    <definedName name="fymd" localSheetId="4">#REF!</definedName>
    <definedName name="fymd" localSheetId="23">#REF!</definedName>
    <definedName name="fymd" localSheetId="21">#REF!</definedName>
    <definedName name="fymd" localSheetId="96">#REF!</definedName>
    <definedName name="fymd" localSheetId="81">#REF!</definedName>
    <definedName name="fymd" localSheetId="59">#REF!</definedName>
    <definedName name="fymd" localSheetId="82">#REF!</definedName>
    <definedName name="fymd" localSheetId="74">#REF!</definedName>
    <definedName name="fymd" localSheetId="20">#REF!</definedName>
    <definedName name="fymd" localSheetId="69">#REF!</definedName>
    <definedName name="fymd" localSheetId="67">#REF!</definedName>
    <definedName name="fymd" localSheetId="61">#REF!</definedName>
    <definedName name="fymd" localSheetId="63">#REF!</definedName>
    <definedName name="fymd" localSheetId="56">#REF!</definedName>
    <definedName name="fymd" localSheetId="18">#REF!</definedName>
    <definedName name="fymd" localSheetId="15">#REF!</definedName>
    <definedName name="fymd" localSheetId="16">#REF!</definedName>
    <definedName name="fymd" localSheetId="17">#REF!</definedName>
    <definedName name="fymd" localSheetId="98">#REF!</definedName>
    <definedName name="fymd" localSheetId="36">#REF!</definedName>
    <definedName name="fymd" localSheetId="80">#REF!</definedName>
    <definedName name="fymd" localSheetId="49">#REF!</definedName>
    <definedName name="fymd" localSheetId="76">#REF!</definedName>
    <definedName name="fymd" localSheetId="32">#REF!</definedName>
    <definedName name="fymd" localSheetId="46">#REF!</definedName>
    <definedName name="fymd" localSheetId="39">#REF!</definedName>
    <definedName name="fymd" localSheetId="45">#REF!</definedName>
    <definedName name="fymd" localSheetId="38">#REF!</definedName>
    <definedName name="fymd" localSheetId="47">#REF!</definedName>
    <definedName name="fymd" localSheetId="40">#REF!</definedName>
    <definedName name="fymd" localSheetId="99">#REF!</definedName>
    <definedName name="fymd">#REF!</definedName>
    <definedName name="Gandom">"گندم قراردادي"</definedName>
    <definedName name="Hazineh_Sherkati_GF">130%</definedName>
    <definedName name="Hazineh_Tejari_GF">130%</definedName>
    <definedName name="hd">BudgetDB!$KH$1</definedName>
    <definedName name="hk">BudgetDB!$KH$674</definedName>
    <definedName name="ic">BudgetDB!$HG$3:$JQ$4</definedName>
    <definedName name="LastCell" localSheetId="106">#REF!</definedName>
    <definedName name="LastCell" localSheetId="8">#REF!</definedName>
    <definedName name="LastCell" localSheetId="64">#REF!</definedName>
    <definedName name="LastCell" localSheetId="50">#REF!</definedName>
    <definedName name="LastCell" localSheetId="51">#REF!</definedName>
    <definedName name="LastCell" localSheetId="55">#REF!</definedName>
    <definedName name="LastCell" localSheetId="54">#REF!</definedName>
    <definedName name="LastCell" localSheetId="100">#REF!</definedName>
    <definedName name="LastCell" localSheetId="43">#REF!</definedName>
    <definedName name="LastCell" localSheetId="37">#REF!</definedName>
    <definedName name="LastCell" localSheetId="77">#REF!</definedName>
    <definedName name="LastCell" localSheetId="4">#REF!</definedName>
    <definedName name="LastCell" localSheetId="23">#REF!</definedName>
    <definedName name="LastCell" localSheetId="21">#REF!</definedName>
    <definedName name="LastCell" localSheetId="96">#REF!</definedName>
    <definedName name="LastCell" localSheetId="95">#REF!</definedName>
    <definedName name="LastCell" localSheetId="102">#REF!</definedName>
    <definedName name="LastCell" localSheetId="81">#REF!</definedName>
    <definedName name="LastCell" localSheetId="59">#REF!</definedName>
    <definedName name="LastCell" localSheetId="82">#REF!</definedName>
    <definedName name="LastCell" localSheetId="74">#REF!</definedName>
    <definedName name="LastCell" localSheetId="20">#REF!</definedName>
    <definedName name="LastCell" localSheetId="69">#REF!</definedName>
    <definedName name="LastCell" localSheetId="67">#REF!</definedName>
    <definedName name="LastCell" localSheetId="61">#REF!</definedName>
    <definedName name="LastCell" localSheetId="63">#REF!</definedName>
    <definedName name="LastCell" localSheetId="56">#REF!</definedName>
    <definedName name="LastCell" localSheetId="18">#REF!</definedName>
    <definedName name="LastCell" localSheetId="15">#REF!</definedName>
    <definedName name="LastCell" localSheetId="16">#REF!</definedName>
    <definedName name="LastCell" localSheetId="17">#REF!</definedName>
    <definedName name="LastCell" localSheetId="98">#REF!</definedName>
    <definedName name="LastCell" localSheetId="36">#REF!</definedName>
    <definedName name="LastCell" localSheetId="80">#REF!</definedName>
    <definedName name="LastCell" localSheetId="49">#REF!</definedName>
    <definedName name="LastCell" localSheetId="76">#REF!</definedName>
    <definedName name="LastCell" localSheetId="32">#REF!</definedName>
    <definedName name="LastCell" localSheetId="46">#REF!</definedName>
    <definedName name="LastCell" localSheetId="39">#REF!</definedName>
    <definedName name="LastCell" localSheetId="45">#REF!</definedName>
    <definedName name="LastCell" localSheetId="38">#REF!</definedName>
    <definedName name="LastCell" localSheetId="47">#REF!</definedName>
    <definedName name="LastCell" localSheetId="40">#REF!</definedName>
    <definedName name="LastCell" localSheetId="99">#REF!</definedName>
    <definedName name="LastCell">#REF!</definedName>
    <definedName name="Light_Ratio" localSheetId="106">[4]Parametr!$C$7</definedName>
    <definedName name="Light_Ratio">[5]Parametr!$C$7</definedName>
    <definedName name="mm">BudgetDB!$A$1</definedName>
    <definedName name="Ostani">"گندم قراردادي"</definedName>
    <definedName name="_xlnm.Print_Area" localSheetId="73">' سود ناویژه کالای تجاری'!$A$1:$H$29</definedName>
    <definedName name="_xlnm.Print_Area" localSheetId="87">'استهلاک سرمایه گذاری'!$B$1:$P$59</definedName>
    <definedName name="_xlnm.Print_Area" localSheetId="101">'اطلاعات واحدها'!$A$1:$K$23</definedName>
    <definedName name="_xlnm.Print_Area" localSheetId="7">'اقدامات تکالیف بودجه'!$A$1:$E$33</definedName>
    <definedName name="_xlnm.Print_Area" localSheetId="8">'اقدامات تکالیف مجمع'!$A$1:$E$41</definedName>
    <definedName name="_xlnm.Print_Area" localSheetId="65">'اقلام عمده حسابها '!$A$1:$C$107</definedName>
    <definedName name="_xlnm.Print_Area" localSheetId="64">'اقلام عمده حسابها آزادراه'!$A$1:$C$106</definedName>
    <definedName name="_xlnm.Print_Area" localSheetId="5">'الف-ب-ج'!$A$1:$F$67</definedName>
    <definedName name="_xlnm.Print_Area" localSheetId="11">'اهم اقدامات'!$A$1:$C$35</definedName>
    <definedName name="_xlnm.Print_Area" localSheetId="34">'بهای تمام شده تولید'!$A$1:$G$25</definedName>
    <definedName name="_xlnm.Print_Area" localSheetId="48">'بهای خدمات'!$A$1:$G$17</definedName>
    <definedName name="_xlnm.Print_Area" localSheetId="41">'بهای خدمات آزادراهی'!$A$1:$I$21</definedName>
    <definedName name="_xlnm.Print_Area" localSheetId="53">'بهای کالای تجاری'!$A$1:$G$11</definedName>
    <definedName name="_xlnm.Print_Area" localSheetId="50">'بهره برداری آزادراه'!$A$1:$G$44</definedName>
    <definedName name="_xlnm.Print_Area" localSheetId="51">'بهسازی آزادراه'!$A$1:$G$44</definedName>
    <definedName name="_xlnm.Print_Area" localSheetId="103">پایان!$A$1:$E$8</definedName>
    <definedName name="_xlnm.Print_Area" localSheetId="89">'پروژه ها'!$A$1:$X$36</definedName>
    <definedName name="_xlnm.Print_Area" localSheetId="84">تسهیلات!$A$1:$N$31</definedName>
    <definedName name="_xlnm.Print_Area" localSheetId="44">'تعداد پرسنل'!$A$1:$AD$11</definedName>
    <definedName name="_xlnm.Print_Area" localSheetId="55">'تعداد پرسنل آزادراه'!$A$1:$AD$9</definedName>
    <definedName name="_xlnm.Print_Area" localSheetId="54">'تعداد پرسنل آزادراه (2)'!$A$1:$X$15</definedName>
    <definedName name="_xlnm.Print_Area" localSheetId="93">'جدول درآمد-هزینه-سود شرکتها'!$A$1:$F$20</definedName>
    <definedName name="_xlnm.Print_Area" localSheetId="22">'جدول فروش خدمات'!$A$1:$O$25</definedName>
    <definedName name="_xlnm.Print_Area" localSheetId="85">حقوقی!$A$1:$N$13</definedName>
    <definedName name="_xlnm.Print_Area" localSheetId="100">'خدمات فرودگاهی'!$A$1:$M$15</definedName>
    <definedName name="_xlnm.Print_Area" localSheetId="43">'خرید اقلام خدمات'!$A$1:$T$30</definedName>
    <definedName name="_xlnm.Print_Area" localSheetId="37">'خرید اقلام خدمات آزادراهی'!$A$1:$R$25</definedName>
    <definedName name="_xlnm.Print_Area" localSheetId="52">'خرید کالای تجاری'!$A$1:$V$58</definedName>
    <definedName name="_xlnm.Print_Area" localSheetId="30">'خرید مواد اولیه تولید'!$A$1:$V$46</definedName>
    <definedName name="_xlnm.Print_Area" localSheetId="94">'خلاصه وضعیت پروازی ناوگان'!$A$1:$L$61</definedName>
    <definedName name="_xlnm.Print_Area" localSheetId="78">دارایی!$A$1:$O$35</definedName>
    <definedName name="_xlnm.Print_Area" localSheetId="4">'در یک نگاه'!$A$1:$N$33</definedName>
    <definedName name="_xlnm.Print_Area" localSheetId="23">'درآمد خدمات'!$A$1:$T$27</definedName>
    <definedName name="_xlnm.Print_Area" localSheetId="21">'درآمد خدمات آزادراهی'!$A$1:$R$15</definedName>
    <definedName name="_xlnm.Print_Area" localSheetId="24">'درآمد صادرات'!$A$1:$Y$19</definedName>
    <definedName name="_xlnm.Print_Area" localSheetId="96">'درآمد فروش بليط خارجی'!$A$1:$Q$26</definedName>
    <definedName name="_xlnm.Print_Area" localSheetId="95">'درآمد فروش بليط داخلی'!$A$1:$Q$26</definedName>
    <definedName name="_xlnm.Print_Area" localSheetId="66">'درآمد هزینه آزادراه'!$A$1:$G$16</definedName>
    <definedName name="_xlnm.Print_Area" localSheetId="71">'دریافت پرداخت'!$A$1:$I$185</definedName>
    <definedName name="_xlnm.Print_Area" localSheetId="70">'دریافت پرداخت نقد آزادراه'!$A$1:$I$184</definedName>
    <definedName name="_xlnm.Print_Area" localSheetId="88">'روابط عمومی'!$A$1:$F$24</definedName>
    <definedName name="_xlnm.Print_Area" localSheetId="2">روکش!$A$1:$H$30</definedName>
    <definedName name="_xlnm.Print_Area" localSheetId="102">'ریز فروشگاه ها'!$A$1:$K$294</definedName>
    <definedName name="_xlnm.Print_Area" localSheetId="90">'ریزشعب انبار'!$A$1:$J$25</definedName>
    <definedName name="_xlnm.Print_Area" localSheetId="58">'سایر عملیاتی'!$A$1:$G$40</definedName>
    <definedName name="_xlnm.Print_Area" localSheetId="81">'سایر عملیاتی آزادراهی'!$A$1:$G$40</definedName>
    <definedName name="_xlnm.Print_Area" localSheetId="59">'سایر غیرعملیاتی'!$A$1:$G$40</definedName>
    <definedName name="_xlnm.Print_Area" localSheetId="82">'سایر غیرعملیاتی آزادراهی'!$A$1:$G$40</definedName>
    <definedName name="_xlnm.Print_Area" localSheetId="97">سوخت!$A$1:$Q$15</definedName>
    <definedName name="_xlnm.Print_Area" localSheetId="26">'سود سهام '!$A$1:$AA$48</definedName>
    <definedName name="_xlnm.Print_Area" localSheetId="83">'سود ناویژه خدمات'!$A$1:$H$26</definedName>
    <definedName name="_xlnm.Print_Area" localSheetId="75">'سود ناویژه خدمات آزادراهی'!$A$1:$H$14</definedName>
    <definedName name="_xlnm.Print_Area" localSheetId="74">'سود ناویژه صادراتی'!$A$1:$H$18</definedName>
    <definedName name="_xlnm.Print_Area" localSheetId="72">'سود ناویژه محصول تولیدی'!$A$1:$H$26</definedName>
    <definedName name="_xlnm.Print_Area" localSheetId="20">صادرات!$A$1:$Y$91</definedName>
    <definedName name="_xlnm.Print_Area" localSheetId="68">'صورت جریان وجوه نقد '!$A$1:$C$60</definedName>
    <definedName name="_xlnm.Print_Area" localSheetId="69">'صورت جریان وجوه نقد - شرکت اصلی'!$A$1:$C$60</definedName>
    <definedName name="_xlnm.Print_Area" localSheetId="67">'صورت جریان وجوه نقد آزادراه'!$A$1:$C$60</definedName>
    <definedName name="_xlnm.Print_Area" localSheetId="60">'صورت سود و زیان'!$A$1:$G$23</definedName>
    <definedName name="_xlnm.Print_Area" localSheetId="61">'صورت سود و زیان - شرکت اصلی'!$A$1:$G$23</definedName>
    <definedName name="_xlnm.Print_Area" localSheetId="62">'صورت وضعیت مالی '!$A$1:$C$61</definedName>
    <definedName name="_xlnm.Print_Area" localSheetId="63">'صورت وضعیت مالی - شرکت اصلی'!$A$1:$C$60</definedName>
    <definedName name="_xlnm.Print_Area" localSheetId="56">'صورت وضعیت مالی آزادراه'!$A$1:$C$59</definedName>
    <definedName name="_xlnm.Print_Area" localSheetId="13">'صورتخلاصه درآمد'!$A$1:$G$11</definedName>
    <definedName name="_xlnm.Print_Area" localSheetId="12">'صورتخلاصه درآمد آزادراه'!$A$1:$F$8</definedName>
    <definedName name="_xlnm.Print_Area" localSheetId="92">'ظرفیت انبارها'!$A$1:$AC$35</definedName>
    <definedName name="_xlnm.Print_Area" localSheetId="18">عوارض!$A$1:$T$17</definedName>
    <definedName name="_xlnm.Print_Area" localSheetId="15">'فروش B2B'!$A$1:$R$30</definedName>
    <definedName name="_xlnm.Print_Area" localSheetId="16">'فروش پخش'!$A$1:$R$30</definedName>
    <definedName name="_xlnm.Print_Area" localSheetId="17">'فروش داخلی تجاری'!$A$1:$T$30</definedName>
    <definedName name="_xlnm.Print_Area" localSheetId="14">'فروش داخلی تولیدی'!$A$1:$T$27</definedName>
    <definedName name="_xlnm.Print_Area" localSheetId="98">کترینگ!$A$1:$Q$15</definedName>
    <definedName name="_xlnm.Print_Area" localSheetId="6">کلیات!$A$1:$I$52</definedName>
    <definedName name="_xlnm.Print_Area" localSheetId="25">'گردش سهام'!$A$1:$AC$50</definedName>
    <definedName name="_xlnm.Print_Area" localSheetId="29">'گردش محصول تولیدی'!$A$1:$G$24</definedName>
    <definedName name="_xlnm.Print_Area" localSheetId="91">'ماشین آلات '!$A$1:$BG$16</definedName>
    <definedName name="_xlnm.Print_Area" localSheetId="86">'مزایده-مناقصه'!$A$1:$E$12</definedName>
    <definedName name="_xlnm.Print_Area" localSheetId="28">'مستندات تولید'!$A$1:$I$52</definedName>
    <definedName name="_xlnm.Print_Area" localSheetId="10">'مصوبات هیات مدیره'!$A$1:$L$38</definedName>
    <definedName name="_xlnm.Print_Area" localSheetId="27">'مقادیر تولید'!$A$1:$O$26</definedName>
    <definedName name="_xlnm.Print_Area" localSheetId="42">'مقادیر خدمات'!$A$1:$K$26</definedName>
    <definedName name="_xlnm.Print_Area" localSheetId="36">'مقادیر خدمات آزادراهی'!$A$1:$J$14</definedName>
    <definedName name="_xlnm.Print_Area" localSheetId="35">'مقادیر مصرف مواد'!$A$1:$DL$22</definedName>
    <definedName name="_xlnm.Print_Area" localSheetId="80">'موجودی مواد و کالا آزادراهی'!$A$1:$C$12</definedName>
    <definedName name="_xlnm.Print_Area" localSheetId="9">'میزان اجرای برنامه'!$A$1:$N$9</definedName>
    <definedName name="_xlnm.Print_Area" localSheetId="49">'نگهداری آزادراه'!$A$1:$G$44</definedName>
    <definedName name="_xlnm.Print_Area" localSheetId="19">واردات!$A$1:$Y$91</definedName>
    <definedName name="_xlnm.Print_Area" localSheetId="57">'هزینه اداری عمومی'!$A$1:$G$58</definedName>
    <definedName name="_xlnm.Print_Area" localSheetId="76">'هزینه اداری عمومی آزادراه'!$A$1:$G$58</definedName>
    <definedName name="_xlnm.Print_Area" localSheetId="32">'هزینه پرسنلی غیرمستقیم تولید'!$A$1:$G$33</definedName>
    <definedName name="_xlnm.Print_Area" localSheetId="46">'هزینه پرسنلی غیرمستقیم خدمات'!$A$1:$G$33</definedName>
    <definedName name="_xlnm.Print_Area" localSheetId="39">'هزینه پرسنلی غیرمستقیم خدمات 2'!$A$1:$F$55</definedName>
    <definedName name="_xlnm.Print_Area" localSheetId="31">'هزینه پرسنلی مستقیم تولید'!$A$1:$G$33</definedName>
    <definedName name="_xlnm.Print_Area" localSheetId="45">'هزینه پرسنلی مستقیم خدمات'!$A$1:$G$33</definedName>
    <definedName name="_xlnm.Print_Area" localSheetId="38">'هزینه پرسنلی مستقیم خدمات 2'!$A$1:$F$55</definedName>
    <definedName name="_xlnm.Print_Area" localSheetId="33">'هزینه سربار تولید'!$A$1:$G$28</definedName>
    <definedName name="_xlnm.Print_Area" localSheetId="47">'هزینه سربار خدمات'!$A$1:$G$33</definedName>
    <definedName name="_xlnm.Print_Area" localSheetId="40">'هزینه سربار خدمات آزادراهی'!$A$1:$F$38</definedName>
    <definedName name="_xlnm.Print_Area" localSheetId="99">هندلینگ!$A$1:$M$15</definedName>
    <definedName name="_xlnm.Print_Titles" localSheetId="73">' سود ناویژه کالای تجاری'!$1:$3</definedName>
    <definedName name="_xlnm.Print_Titles" localSheetId="104">اصلاحات!$1:$2</definedName>
    <definedName name="_xlnm.Print_Titles" localSheetId="7">'اقدامات تکالیف بودجه'!$1:$3</definedName>
    <definedName name="_xlnm.Print_Titles" localSheetId="8">'اقدامات تکالیف مجمع'!$1:$3</definedName>
    <definedName name="_xlnm.Print_Titles" localSheetId="65">'اقلام عمده حسابها '!$1:$4</definedName>
    <definedName name="_xlnm.Print_Titles" localSheetId="64">'اقلام عمده حسابها آزادراه'!$1:$4</definedName>
    <definedName name="_xlnm.Print_Titles" localSheetId="5">'الف-ب-ج'!$1:$3</definedName>
    <definedName name="_xlnm.Print_Titles" localSheetId="11">'اهم اقدامات'!$1:$3</definedName>
    <definedName name="_xlnm.Print_Titles" localSheetId="50">'بهره برداری آزادراه'!$1:$5</definedName>
    <definedName name="_xlnm.Print_Titles" localSheetId="51">'بهسازی آزادراه'!$1:$5</definedName>
    <definedName name="_xlnm.Print_Titles" localSheetId="89">'پروژه ها'!$1:$5</definedName>
    <definedName name="_xlnm.Print_Titles" localSheetId="105">'تغییر در فرمول بودجه و اصلی'!$1:$1</definedName>
    <definedName name="_xlnm.Print_Titles" localSheetId="100">'خدمات فرودگاهی'!$1:$3</definedName>
    <definedName name="_xlnm.Print_Titles" localSheetId="43">'خرید اقلام خدمات'!$1:$3</definedName>
    <definedName name="_xlnm.Print_Titles" localSheetId="37">'خرید اقلام خدمات آزادراهی'!$1:$4</definedName>
    <definedName name="_xlnm.Print_Titles" localSheetId="52">'خرید کالای تجاری'!$1:$3</definedName>
    <definedName name="_xlnm.Print_Titles" localSheetId="30">'خرید مواد اولیه تولید'!$1:$3</definedName>
    <definedName name="_xlnm.Print_Titles" localSheetId="94">'خلاصه وضعیت پروازی ناوگان'!$1:$5</definedName>
    <definedName name="_xlnm.Print_Titles" localSheetId="78">دارایی!$1:$7</definedName>
    <definedName name="_xlnm.Print_Titles" localSheetId="77">'دارایی آزادراه'!$1:$3</definedName>
    <definedName name="_xlnm.Print_Titles" localSheetId="23">'درآمد خدمات'!$1:$6</definedName>
    <definedName name="_xlnm.Print_Titles" localSheetId="21">'درآمد خدمات آزادراهی'!$1:$5</definedName>
    <definedName name="_xlnm.Print_Titles" localSheetId="24">'درآمد صادرات'!$1:$6</definedName>
    <definedName name="_xlnm.Print_Titles" localSheetId="96">'درآمد فروش بليط خارجی'!$1:$2</definedName>
    <definedName name="_xlnm.Print_Titles" localSheetId="95">'درآمد فروش بليط داخلی'!$1:$2</definedName>
    <definedName name="_xlnm.Print_Titles" localSheetId="71">'دریافت پرداخت'!$1:$5</definedName>
    <definedName name="_xlnm.Print_Titles" localSheetId="70">'دریافت پرداخت نقد آزادراه'!$1:$5</definedName>
    <definedName name="_xlnm.Print_Titles" localSheetId="58">'سایر عملیاتی'!$1:$5</definedName>
    <definedName name="_xlnm.Print_Titles" localSheetId="81">'سایر عملیاتی آزادراهی'!$1:$5</definedName>
    <definedName name="_xlnm.Print_Titles" localSheetId="59">'سایر غیرعملیاتی'!$1:$5</definedName>
    <definedName name="_xlnm.Print_Titles" localSheetId="82">'سایر غیرعملیاتی آزادراهی'!$1:$5</definedName>
    <definedName name="_xlnm.Print_Titles" localSheetId="97">سوخت!$1:$3</definedName>
    <definedName name="_xlnm.Print_Titles" localSheetId="26">'سود سهام '!$1:$8</definedName>
    <definedName name="_xlnm.Print_Titles" localSheetId="83">'سود ناویژه خدمات'!$1:$3</definedName>
    <definedName name="_xlnm.Print_Titles" localSheetId="75">'سود ناویژه خدمات آزادراهی'!$1:$6</definedName>
    <definedName name="_xlnm.Print_Titles" localSheetId="74">'سود ناویژه صادراتی'!$1:$3</definedName>
    <definedName name="_xlnm.Print_Titles" localSheetId="72">'سود ناویژه محصول تولیدی'!$1:$3</definedName>
    <definedName name="_xlnm.Print_Titles" localSheetId="67">'صورت جریان وجوه نقد آزادراه'!$1:$4</definedName>
    <definedName name="_xlnm.Print_Titles" localSheetId="62">'صورت وضعیت مالی '!$1:$4</definedName>
    <definedName name="_xlnm.Print_Titles" localSheetId="63">'صورت وضعیت مالی - شرکت اصلی'!$1:$4</definedName>
    <definedName name="_xlnm.Print_Titles" localSheetId="56">'صورت وضعیت مالی آزادراه'!$1:$4</definedName>
    <definedName name="_xlnm.Print_Titles" localSheetId="92">'ظرفیت انبارها'!$1:$4</definedName>
    <definedName name="_xlnm.Print_Titles" localSheetId="18">عوارض!$1:$6</definedName>
    <definedName name="_xlnm.Print_Titles" localSheetId="15">'فروش B2B'!$1:$5</definedName>
    <definedName name="_xlnm.Print_Titles" localSheetId="16">'فروش پخش'!$1:$5</definedName>
    <definedName name="_xlnm.Print_Titles" localSheetId="17">'فروش داخلی تجاری'!$1:$6</definedName>
    <definedName name="_xlnm.Print_Titles" localSheetId="14">'فروش داخلی تولیدی'!$1:$6</definedName>
    <definedName name="_xlnm.Print_Titles" localSheetId="98">کترینگ!$1:$3</definedName>
    <definedName name="_xlnm.Print_Titles" localSheetId="6">کلیات!$1:$2</definedName>
    <definedName name="_xlnm.Print_Titles" localSheetId="25">'گردش سهام'!$1:$10</definedName>
    <definedName name="_xlnm.Print_Titles" localSheetId="29">'گردش محصول تولیدی'!$1:$4</definedName>
    <definedName name="_xlnm.Print_Titles" localSheetId="28">'مستندات تولید'!$1:$2</definedName>
    <definedName name="_xlnm.Print_Titles" localSheetId="10">'مصوبات هیات مدیره'!$1:$3</definedName>
    <definedName name="_xlnm.Print_Titles" localSheetId="27">'مقادیر تولید'!$1:$5</definedName>
    <definedName name="_xlnm.Print_Titles" localSheetId="42">'مقادیر خدمات'!$1:$6</definedName>
    <definedName name="_xlnm.Print_Titles" localSheetId="36">'مقادیر خدمات آزادراهی'!$1:$9</definedName>
    <definedName name="_xlnm.Print_Titles" localSheetId="9">'میزان اجرای برنامه'!$1:$4</definedName>
    <definedName name="_xlnm.Print_Titles" localSheetId="49">'نگهداری آزادراه'!$1:$5</definedName>
    <definedName name="_xlnm.Print_Titles" localSheetId="57">'هزینه اداری عمومی'!$1:$5</definedName>
    <definedName name="_xlnm.Print_Titles" localSheetId="76">'هزینه اداری عمومی آزادراه'!$1:$5</definedName>
    <definedName name="_xlnm.Print_Titles" localSheetId="32">'هزینه پرسنلی غیرمستقیم تولید'!$1:$5</definedName>
    <definedName name="_xlnm.Print_Titles" localSheetId="46">'هزینه پرسنلی غیرمستقیم خدمات'!$1:$5</definedName>
    <definedName name="_xlnm.Print_Titles" localSheetId="39">'هزینه پرسنلی غیرمستقیم خدمات 2'!$1:$6</definedName>
    <definedName name="_xlnm.Print_Titles" localSheetId="31">'هزینه پرسنلی مستقیم تولید'!$1:$5</definedName>
    <definedName name="_xlnm.Print_Titles" localSheetId="45">'هزینه پرسنلی مستقیم خدمات'!$1:$5</definedName>
    <definedName name="_xlnm.Print_Titles" localSheetId="38">'هزینه پرسنلی مستقیم خدمات 2'!$1:$6</definedName>
    <definedName name="_xlnm.Print_Titles" localSheetId="47">'هزینه سربار خدمات'!$1:$5</definedName>
    <definedName name="_xlnm.Print_Titles" localSheetId="99">هندلینگ!$1:$3</definedName>
    <definedName name="Sarasari">"سراسري"</definedName>
    <definedName name="Slicer_نام_شرکت">#N/A</definedName>
    <definedName name="StartCell" localSheetId="106">#REF!</definedName>
    <definedName name="StartCell" localSheetId="8">#REF!</definedName>
    <definedName name="StartCell" localSheetId="64">#REF!</definedName>
    <definedName name="StartCell" localSheetId="50">#REF!</definedName>
    <definedName name="StartCell" localSheetId="51">#REF!</definedName>
    <definedName name="StartCell" localSheetId="55">#REF!</definedName>
    <definedName name="StartCell" localSheetId="54">#REF!</definedName>
    <definedName name="StartCell" localSheetId="100">#REF!</definedName>
    <definedName name="StartCell" localSheetId="43">#REF!</definedName>
    <definedName name="StartCell" localSheetId="37">#REF!</definedName>
    <definedName name="StartCell" localSheetId="77">#REF!</definedName>
    <definedName name="StartCell" localSheetId="4">#REF!</definedName>
    <definedName name="StartCell" localSheetId="23">#REF!</definedName>
    <definedName name="StartCell" localSheetId="21">#REF!</definedName>
    <definedName name="StartCell" localSheetId="96">#REF!</definedName>
    <definedName name="StartCell" localSheetId="95">#REF!</definedName>
    <definedName name="StartCell" localSheetId="102">#REF!</definedName>
    <definedName name="StartCell" localSheetId="81">#REF!</definedName>
    <definedName name="StartCell" localSheetId="59">#REF!</definedName>
    <definedName name="StartCell" localSheetId="82">#REF!</definedName>
    <definedName name="StartCell" localSheetId="74">#REF!</definedName>
    <definedName name="StartCell" localSheetId="20">#REF!</definedName>
    <definedName name="StartCell" localSheetId="69">#REF!</definedName>
    <definedName name="StartCell" localSheetId="67">#REF!</definedName>
    <definedName name="StartCell" localSheetId="61">#REF!</definedName>
    <definedName name="StartCell" localSheetId="63">#REF!</definedName>
    <definedName name="StartCell" localSheetId="56">#REF!</definedName>
    <definedName name="StartCell" localSheetId="18">#REF!</definedName>
    <definedName name="StartCell" localSheetId="15">#REF!</definedName>
    <definedName name="StartCell" localSheetId="16">#REF!</definedName>
    <definedName name="StartCell" localSheetId="17">#REF!</definedName>
    <definedName name="StartCell" localSheetId="98">#REF!</definedName>
    <definedName name="StartCell" localSheetId="36">#REF!</definedName>
    <definedName name="StartCell" localSheetId="80">#REF!</definedName>
    <definedName name="StartCell" localSheetId="49">#REF!</definedName>
    <definedName name="StartCell" localSheetId="76">#REF!</definedName>
    <definedName name="StartCell" localSheetId="32">#REF!</definedName>
    <definedName name="StartCell" localSheetId="46">#REF!</definedName>
    <definedName name="StartCell" localSheetId="39">#REF!</definedName>
    <definedName name="StartCell" localSheetId="45">#REF!</definedName>
    <definedName name="StartCell" localSheetId="38">#REF!</definedName>
    <definedName name="StartCell" localSheetId="47">#REF!</definedName>
    <definedName name="StartCell" localSheetId="40">#REF!</definedName>
    <definedName name="StartCell" localSheetId="99">#REF!</definedName>
    <definedName name="StartCell">#REF!</definedName>
    <definedName name="tabfile" localSheetId="106">#REF!</definedName>
    <definedName name="tabfile" localSheetId="8">#REF!</definedName>
    <definedName name="tabfile" localSheetId="64">#REF!</definedName>
    <definedName name="tabfile" localSheetId="50">#REF!</definedName>
    <definedName name="tabfile" localSheetId="51">#REF!</definedName>
    <definedName name="tabfile" localSheetId="55">#REF!</definedName>
    <definedName name="tabfile" localSheetId="54">#REF!</definedName>
    <definedName name="tabfile" localSheetId="100">#REF!</definedName>
    <definedName name="tabfile" localSheetId="43">#REF!</definedName>
    <definedName name="tabfile" localSheetId="37">#REF!</definedName>
    <definedName name="tabfile" localSheetId="77">#REF!</definedName>
    <definedName name="tabfile" localSheetId="4">#REF!</definedName>
    <definedName name="tabfile" localSheetId="23">#REF!</definedName>
    <definedName name="tabfile" localSheetId="21">#REF!</definedName>
    <definedName name="tabfile" localSheetId="96">#REF!</definedName>
    <definedName name="tabfile" localSheetId="81">#REF!</definedName>
    <definedName name="tabfile" localSheetId="59">#REF!</definedName>
    <definedName name="tabfile" localSheetId="82">#REF!</definedName>
    <definedName name="tabfile" localSheetId="74">#REF!</definedName>
    <definedName name="tabfile" localSheetId="20">#REF!</definedName>
    <definedName name="tabfile" localSheetId="69">#REF!</definedName>
    <definedName name="tabfile" localSheetId="67">#REF!</definedName>
    <definedName name="tabfile" localSheetId="61">#REF!</definedName>
    <definedName name="tabfile" localSheetId="63">#REF!</definedName>
    <definedName name="tabfile" localSheetId="56">#REF!</definedName>
    <definedName name="tabfile" localSheetId="18">#REF!</definedName>
    <definedName name="tabfile" localSheetId="15">#REF!</definedName>
    <definedName name="tabfile" localSheetId="16">#REF!</definedName>
    <definedName name="tabfile" localSheetId="17">#REF!</definedName>
    <definedName name="tabfile" localSheetId="98">#REF!</definedName>
    <definedName name="tabfile" localSheetId="36">#REF!</definedName>
    <definedName name="tabfile" localSheetId="80">#REF!</definedName>
    <definedName name="tabfile" localSheetId="49">#REF!</definedName>
    <definedName name="tabfile" localSheetId="76">#REF!</definedName>
    <definedName name="tabfile" localSheetId="32">#REF!</definedName>
    <definedName name="tabfile" localSheetId="46">#REF!</definedName>
    <definedName name="tabfile" localSheetId="39">#REF!</definedName>
    <definedName name="tabfile" localSheetId="45">#REF!</definedName>
    <definedName name="tabfile" localSheetId="38">#REF!</definedName>
    <definedName name="tabfile" localSheetId="47">#REF!</definedName>
    <definedName name="tabfile" localSheetId="40">#REF!</definedName>
    <definedName name="tabfile" localSheetId="99">#REF!</definedName>
    <definedName name="tabfile">#REF!</definedName>
    <definedName name="tabref" localSheetId="106">#REF!</definedName>
    <definedName name="tabref" localSheetId="8">#REF!</definedName>
    <definedName name="tabref" localSheetId="64">#REF!</definedName>
    <definedName name="tabref" localSheetId="50">#REF!</definedName>
    <definedName name="tabref" localSheetId="51">#REF!</definedName>
    <definedName name="tabref" localSheetId="55">#REF!</definedName>
    <definedName name="tabref" localSheetId="54">#REF!</definedName>
    <definedName name="tabref" localSheetId="100">#REF!</definedName>
    <definedName name="tabref" localSheetId="43">#REF!</definedName>
    <definedName name="tabref" localSheetId="37">#REF!</definedName>
    <definedName name="tabref" localSheetId="77">#REF!</definedName>
    <definedName name="tabref" localSheetId="4">#REF!</definedName>
    <definedName name="tabref" localSheetId="23">#REF!</definedName>
    <definedName name="tabref" localSheetId="21">#REF!</definedName>
    <definedName name="tabref" localSheetId="96">#REF!</definedName>
    <definedName name="tabref" localSheetId="81">#REF!</definedName>
    <definedName name="tabref" localSheetId="59">#REF!</definedName>
    <definedName name="tabref" localSheetId="82">#REF!</definedName>
    <definedName name="tabref" localSheetId="74">#REF!</definedName>
    <definedName name="tabref" localSheetId="20">#REF!</definedName>
    <definedName name="tabref" localSheetId="69">#REF!</definedName>
    <definedName name="tabref" localSheetId="67">#REF!</definedName>
    <definedName name="tabref" localSheetId="61">#REF!</definedName>
    <definedName name="tabref" localSheetId="63">#REF!</definedName>
    <definedName name="tabref" localSheetId="56">#REF!</definedName>
    <definedName name="tabref" localSheetId="18">#REF!</definedName>
    <definedName name="tabref" localSheetId="15">#REF!</definedName>
    <definedName name="tabref" localSheetId="16">#REF!</definedName>
    <definedName name="tabref" localSheetId="17">#REF!</definedName>
    <definedName name="tabref" localSheetId="98">#REF!</definedName>
    <definedName name="tabref" localSheetId="36">#REF!</definedName>
    <definedName name="tabref" localSheetId="80">#REF!</definedName>
    <definedName name="tabref" localSheetId="49">#REF!</definedName>
    <definedName name="tabref" localSheetId="76">#REF!</definedName>
    <definedName name="tabref" localSheetId="32">#REF!</definedName>
    <definedName name="tabref" localSheetId="46">#REF!</definedName>
    <definedName name="tabref" localSheetId="39">#REF!</definedName>
    <definedName name="tabref" localSheetId="45">#REF!</definedName>
    <definedName name="tabref" localSheetId="38">#REF!</definedName>
    <definedName name="tabref" localSheetId="47">#REF!</definedName>
    <definedName name="tabref" localSheetId="40">#REF!</definedName>
    <definedName name="tabref" localSheetId="99">#REF!</definedName>
    <definedName name="tabref">#REF!</definedName>
    <definedName name="tabtitles" localSheetId="106">#REF!</definedName>
    <definedName name="tabtitles" localSheetId="8">#REF!</definedName>
    <definedName name="tabtitles" localSheetId="64">#REF!</definedName>
    <definedName name="tabtitles" localSheetId="50">#REF!</definedName>
    <definedName name="tabtitles" localSheetId="51">#REF!</definedName>
    <definedName name="tabtitles" localSheetId="55">#REF!</definedName>
    <definedName name="tabtitles" localSheetId="54">#REF!</definedName>
    <definedName name="tabtitles" localSheetId="100">#REF!</definedName>
    <definedName name="tabtitles" localSheetId="43">#REF!</definedName>
    <definedName name="tabtitles" localSheetId="37">#REF!</definedName>
    <definedName name="tabtitles" localSheetId="77">#REF!</definedName>
    <definedName name="tabtitles" localSheetId="4">#REF!</definedName>
    <definedName name="tabtitles" localSheetId="23">#REF!</definedName>
    <definedName name="tabtitles" localSheetId="21">#REF!</definedName>
    <definedName name="tabtitles" localSheetId="96">#REF!</definedName>
    <definedName name="tabtitles" localSheetId="81">#REF!</definedName>
    <definedName name="tabtitles" localSheetId="59">#REF!</definedName>
    <definedName name="tabtitles" localSheetId="82">#REF!</definedName>
    <definedName name="tabtitles" localSheetId="74">#REF!</definedName>
    <definedName name="tabtitles" localSheetId="20">#REF!</definedName>
    <definedName name="tabtitles" localSheetId="69">#REF!</definedName>
    <definedName name="tabtitles" localSheetId="67">#REF!</definedName>
    <definedName name="tabtitles" localSheetId="61">#REF!</definedName>
    <definedName name="tabtitles" localSheetId="63">#REF!</definedName>
    <definedName name="tabtitles" localSheetId="56">#REF!</definedName>
    <definedName name="tabtitles" localSheetId="18">#REF!</definedName>
    <definedName name="tabtitles" localSheetId="15">#REF!</definedName>
    <definedName name="tabtitles" localSheetId="16">#REF!</definedName>
    <definedName name="tabtitles" localSheetId="17">#REF!</definedName>
    <definedName name="tabtitles" localSheetId="98">#REF!</definedName>
    <definedName name="tabtitles" localSheetId="36">#REF!</definedName>
    <definedName name="tabtitles" localSheetId="80">#REF!</definedName>
    <definedName name="tabtitles" localSheetId="49">#REF!</definedName>
    <definedName name="tabtitles" localSheetId="76">#REF!</definedName>
    <definedName name="tabtitles" localSheetId="32">#REF!</definedName>
    <definedName name="tabtitles" localSheetId="46">#REF!</definedName>
    <definedName name="tabtitles" localSheetId="39">#REF!</definedName>
    <definedName name="tabtitles" localSheetId="45">#REF!</definedName>
    <definedName name="tabtitles" localSheetId="38">#REF!</definedName>
    <definedName name="tabtitles" localSheetId="47">#REF!</definedName>
    <definedName name="tabtitles" localSheetId="40">#REF!</definedName>
    <definedName name="tabtitles" localSheetId="99">#REF!</definedName>
    <definedName name="tabtitles">#REF!</definedName>
    <definedName name="Tashim_From_Cost_to_Official" localSheetId="106">#REF!</definedName>
    <definedName name="Tashim_From_Cost_to_Official" localSheetId="8">#REF!</definedName>
    <definedName name="Tashim_From_Cost_to_Official" localSheetId="64">#REF!</definedName>
    <definedName name="Tashim_From_Cost_to_Official" localSheetId="50">#REF!</definedName>
    <definedName name="Tashim_From_Cost_to_Official" localSheetId="51">#REF!</definedName>
    <definedName name="Tashim_From_Cost_to_Official" localSheetId="55">#REF!</definedName>
    <definedName name="Tashim_From_Cost_to_Official" localSheetId="54">#REF!</definedName>
    <definedName name="Tashim_From_Cost_to_Official" localSheetId="100">#REF!</definedName>
    <definedName name="Tashim_From_Cost_to_Official" localSheetId="43">#REF!</definedName>
    <definedName name="Tashim_From_Cost_to_Official" localSheetId="37">#REF!</definedName>
    <definedName name="Tashim_From_Cost_to_Official" localSheetId="77">#REF!</definedName>
    <definedName name="Tashim_From_Cost_to_Official" localSheetId="4">#REF!</definedName>
    <definedName name="Tashim_From_Cost_to_Official" localSheetId="23">#REF!</definedName>
    <definedName name="Tashim_From_Cost_to_Official" localSheetId="21">#REF!</definedName>
    <definedName name="Tashim_From_Cost_to_Official" localSheetId="96">#REF!</definedName>
    <definedName name="Tashim_From_Cost_to_Official" localSheetId="95">#REF!</definedName>
    <definedName name="Tashim_From_Cost_to_Official" localSheetId="102">#REF!</definedName>
    <definedName name="Tashim_From_Cost_to_Official" localSheetId="81">#REF!</definedName>
    <definedName name="Tashim_From_Cost_to_Official" localSheetId="59">#REF!</definedName>
    <definedName name="Tashim_From_Cost_to_Official" localSheetId="82">#REF!</definedName>
    <definedName name="Tashim_From_Cost_to_Official" localSheetId="74">#REF!</definedName>
    <definedName name="Tashim_From_Cost_to_Official" localSheetId="20">#REF!</definedName>
    <definedName name="Tashim_From_Cost_to_Official" localSheetId="69">#REF!</definedName>
    <definedName name="Tashim_From_Cost_to_Official" localSheetId="67">#REF!</definedName>
    <definedName name="Tashim_From_Cost_to_Official" localSheetId="61">#REF!</definedName>
    <definedName name="Tashim_From_Cost_to_Official" localSheetId="63">#REF!</definedName>
    <definedName name="Tashim_From_Cost_to_Official" localSheetId="56">#REF!</definedName>
    <definedName name="Tashim_From_Cost_to_Official" localSheetId="18">#REF!</definedName>
    <definedName name="Tashim_From_Cost_to_Official" localSheetId="15">#REF!</definedName>
    <definedName name="Tashim_From_Cost_to_Official" localSheetId="16">#REF!</definedName>
    <definedName name="Tashim_From_Cost_to_Official" localSheetId="17">#REF!</definedName>
    <definedName name="Tashim_From_Cost_to_Official" localSheetId="98">#REF!</definedName>
    <definedName name="Tashim_From_Cost_to_Official" localSheetId="36">#REF!</definedName>
    <definedName name="Tashim_From_Cost_to_Official" localSheetId="80">#REF!</definedName>
    <definedName name="Tashim_From_Cost_to_Official" localSheetId="49">#REF!</definedName>
    <definedName name="Tashim_From_Cost_to_Official" localSheetId="76">#REF!</definedName>
    <definedName name="Tashim_From_Cost_to_Official" localSheetId="32">#REF!</definedName>
    <definedName name="Tashim_From_Cost_to_Official" localSheetId="46">#REF!</definedName>
    <definedName name="Tashim_From_Cost_to_Official" localSheetId="39">#REF!</definedName>
    <definedName name="Tashim_From_Cost_to_Official" localSheetId="45">#REF!</definedName>
    <definedName name="Tashim_From_Cost_to_Official" localSheetId="38">#REF!</definedName>
    <definedName name="Tashim_From_Cost_to_Official" localSheetId="47">#REF!</definedName>
    <definedName name="Tashim_From_Cost_to_Official" localSheetId="40">#REF!</definedName>
    <definedName name="Tashim_From_Cost_to_Official" localSheetId="99">#REF!</definedName>
    <definedName name="Tashim_From_Cost_to_Official">#REF!</definedName>
    <definedName name="Tashim_From_Cost_to_Official_12_month_92_Forcast" localSheetId="106">#REF!</definedName>
    <definedName name="Tashim_From_Cost_to_Official_12_month_92_Forcast" localSheetId="8">#REF!</definedName>
    <definedName name="Tashim_From_Cost_to_Official_12_month_92_Forcast" localSheetId="64">#REF!</definedName>
    <definedName name="Tashim_From_Cost_to_Official_12_month_92_Forcast" localSheetId="50">#REF!</definedName>
    <definedName name="Tashim_From_Cost_to_Official_12_month_92_Forcast" localSheetId="51">#REF!</definedName>
    <definedName name="Tashim_From_Cost_to_Official_12_month_92_Forcast" localSheetId="55">#REF!</definedName>
    <definedName name="Tashim_From_Cost_to_Official_12_month_92_Forcast" localSheetId="54">#REF!</definedName>
    <definedName name="Tashim_From_Cost_to_Official_12_month_92_Forcast" localSheetId="100">#REF!</definedName>
    <definedName name="Tashim_From_Cost_to_Official_12_month_92_Forcast" localSheetId="43">#REF!</definedName>
    <definedName name="Tashim_From_Cost_to_Official_12_month_92_Forcast" localSheetId="37">#REF!</definedName>
    <definedName name="Tashim_From_Cost_to_Official_12_month_92_Forcast" localSheetId="77">#REF!</definedName>
    <definedName name="Tashim_From_Cost_to_Official_12_month_92_Forcast" localSheetId="4">#REF!</definedName>
    <definedName name="Tashim_From_Cost_to_Official_12_month_92_Forcast" localSheetId="23">#REF!</definedName>
    <definedName name="Tashim_From_Cost_to_Official_12_month_92_Forcast" localSheetId="21">#REF!</definedName>
    <definedName name="Tashim_From_Cost_to_Official_12_month_92_Forcast" localSheetId="96">#REF!</definedName>
    <definedName name="Tashim_From_Cost_to_Official_12_month_92_Forcast" localSheetId="95">#REF!</definedName>
    <definedName name="Tashim_From_Cost_to_Official_12_month_92_Forcast" localSheetId="102">#REF!</definedName>
    <definedName name="Tashim_From_Cost_to_Official_12_month_92_Forcast" localSheetId="81">#REF!</definedName>
    <definedName name="Tashim_From_Cost_to_Official_12_month_92_Forcast" localSheetId="59">#REF!</definedName>
    <definedName name="Tashim_From_Cost_to_Official_12_month_92_Forcast" localSheetId="82">#REF!</definedName>
    <definedName name="Tashim_From_Cost_to_Official_12_month_92_Forcast" localSheetId="74">#REF!</definedName>
    <definedName name="Tashim_From_Cost_to_Official_12_month_92_Forcast" localSheetId="20">#REF!</definedName>
    <definedName name="Tashim_From_Cost_to_Official_12_month_92_Forcast" localSheetId="69">#REF!</definedName>
    <definedName name="Tashim_From_Cost_to_Official_12_month_92_Forcast" localSheetId="67">#REF!</definedName>
    <definedName name="Tashim_From_Cost_to_Official_12_month_92_Forcast" localSheetId="61">#REF!</definedName>
    <definedName name="Tashim_From_Cost_to_Official_12_month_92_Forcast" localSheetId="63">#REF!</definedName>
    <definedName name="Tashim_From_Cost_to_Official_12_month_92_Forcast" localSheetId="56">#REF!</definedName>
    <definedName name="Tashim_From_Cost_to_Official_12_month_92_Forcast" localSheetId="18">#REF!</definedName>
    <definedName name="Tashim_From_Cost_to_Official_12_month_92_Forcast" localSheetId="15">#REF!</definedName>
    <definedName name="Tashim_From_Cost_to_Official_12_month_92_Forcast" localSheetId="16">#REF!</definedName>
    <definedName name="Tashim_From_Cost_to_Official_12_month_92_Forcast" localSheetId="17">#REF!</definedName>
    <definedName name="Tashim_From_Cost_to_Official_12_month_92_Forcast" localSheetId="98">#REF!</definedName>
    <definedName name="Tashim_From_Cost_to_Official_12_month_92_Forcast" localSheetId="36">#REF!</definedName>
    <definedName name="Tashim_From_Cost_to_Official_12_month_92_Forcast" localSheetId="80">#REF!</definedName>
    <definedName name="Tashim_From_Cost_to_Official_12_month_92_Forcast" localSheetId="49">#REF!</definedName>
    <definedName name="Tashim_From_Cost_to_Official_12_month_92_Forcast" localSheetId="76">#REF!</definedName>
    <definedName name="Tashim_From_Cost_to_Official_12_month_92_Forcast" localSheetId="32">#REF!</definedName>
    <definedName name="Tashim_From_Cost_to_Official_12_month_92_Forcast" localSheetId="46">#REF!</definedName>
    <definedName name="Tashim_From_Cost_to_Official_12_month_92_Forcast" localSheetId="39">#REF!</definedName>
    <definedName name="Tashim_From_Cost_to_Official_12_month_92_Forcast" localSheetId="45">#REF!</definedName>
    <definedName name="Tashim_From_Cost_to_Official_12_month_92_Forcast" localSheetId="38">#REF!</definedName>
    <definedName name="Tashim_From_Cost_to_Official_12_month_92_Forcast" localSheetId="47">#REF!</definedName>
    <definedName name="Tashim_From_Cost_to_Official_12_month_92_Forcast" localSheetId="40">#REF!</definedName>
    <definedName name="Tashim_From_Cost_to_Official_12_month_92_Forcast" localSheetId="99">#REF!</definedName>
    <definedName name="Tashim_From_Cost_to_Official_12_month_92_Forcast">#REF!</definedName>
    <definedName name="Tashim_From_Cost_to_Official_6_month_92" localSheetId="106">#REF!</definedName>
    <definedName name="Tashim_From_Cost_to_Official_6_month_92" localSheetId="8">#REF!</definedName>
    <definedName name="Tashim_From_Cost_to_Official_6_month_92" localSheetId="64">#REF!</definedName>
    <definedName name="Tashim_From_Cost_to_Official_6_month_92" localSheetId="50">#REF!</definedName>
    <definedName name="Tashim_From_Cost_to_Official_6_month_92" localSheetId="51">#REF!</definedName>
    <definedName name="Tashim_From_Cost_to_Official_6_month_92" localSheetId="55">#REF!</definedName>
    <definedName name="Tashim_From_Cost_to_Official_6_month_92" localSheetId="54">#REF!</definedName>
    <definedName name="Tashim_From_Cost_to_Official_6_month_92" localSheetId="100">#REF!</definedName>
    <definedName name="Tashim_From_Cost_to_Official_6_month_92" localSheetId="43">#REF!</definedName>
    <definedName name="Tashim_From_Cost_to_Official_6_month_92" localSheetId="37">#REF!</definedName>
    <definedName name="Tashim_From_Cost_to_Official_6_month_92" localSheetId="77">#REF!</definedName>
    <definedName name="Tashim_From_Cost_to_Official_6_month_92" localSheetId="4">#REF!</definedName>
    <definedName name="Tashim_From_Cost_to_Official_6_month_92" localSheetId="23">#REF!</definedName>
    <definedName name="Tashim_From_Cost_to_Official_6_month_92" localSheetId="21">#REF!</definedName>
    <definedName name="Tashim_From_Cost_to_Official_6_month_92" localSheetId="96">#REF!</definedName>
    <definedName name="Tashim_From_Cost_to_Official_6_month_92" localSheetId="95">#REF!</definedName>
    <definedName name="Tashim_From_Cost_to_Official_6_month_92" localSheetId="102">#REF!</definedName>
    <definedName name="Tashim_From_Cost_to_Official_6_month_92" localSheetId="81">#REF!</definedName>
    <definedName name="Tashim_From_Cost_to_Official_6_month_92" localSheetId="59">#REF!</definedName>
    <definedName name="Tashim_From_Cost_to_Official_6_month_92" localSheetId="82">#REF!</definedName>
    <definedName name="Tashim_From_Cost_to_Official_6_month_92" localSheetId="74">#REF!</definedName>
    <definedName name="Tashim_From_Cost_to_Official_6_month_92" localSheetId="20">#REF!</definedName>
    <definedName name="Tashim_From_Cost_to_Official_6_month_92" localSheetId="69">#REF!</definedName>
    <definedName name="Tashim_From_Cost_to_Official_6_month_92" localSheetId="67">#REF!</definedName>
    <definedName name="Tashim_From_Cost_to_Official_6_month_92" localSheetId="61">#REF!</definedName>
    <definedName name="Tashim_From_Cost_to_Official_6_month_92" localSheetId="63">#REF!</definedName>
    <definedName name="Tashim_From_Cost_to_Official_6_month_92" localSheetId="56">#REF!</definedName>
    <definedName name="Tashim_From_Cost_to_Official_6_month_92" localSheetId="18">#REF!</definedName>
    <definedName name="Tashim_From_Cost_to_Official_6_month_92" localSheetId="15">#REF!</definedName>
    <definedName name="Tashim_From_Cost_to_Official_6_month_92" localSheetId="16">#REF!</definedName>
    <definedName name="Tashim_From_Cost_to_Official_6_month_92" localSheetId="17">#REF!</definedName>
    <definedName name="Tashim_From_Cost_to_Official_6_month_92" localSheetId="98">#REF!</definedName>
    <definedName name="Tashim_From_Cost_to_Official_6_month_92" localSheetId="36">#REF!</definedName>
    <definedName name="Tashim_From_Cost_to_Official_6_month_92" localSheetId="80">#REF!</definedName>
    <definedName name="Tashim_From_Cost_to_Official_6_month_92" localSheetId="49">#REF!</definedName>
    <definedName name="Tashim_From_Cost_to_Official_6_month_92" localSheetId="76">#REF!</definedName>
    <definedName name="Tashim_From_Cost_to_Official_6_month_92" localSheetId="32">#REF!</definedName>
    <definedName name="Tashim_From_Cost_to_Official_6_month_92" localSheetId="46">#REF!</definedName>
    <definedName name="Tashim_From_Cost_to_Official_6_month_92" localSheetId="39">#REF!</definedName>
    <definedName name="Tashim_From_Cost_to_Official_6_month_92" localSheetId="45">#REF!</definedName>
    <definedName name="Tashim_From_Cost_to_Official_6_month_92" localSheetId="38">#REF!</definedName>
    <definedName name="Tashim_From_Cost_to_Official_6_month_92" localSheetId="47">#REF!</definedName>
    <definedName name="Tashim_From_Cost_to_Official_6_month_92" localSheetId="40">#REF!</definedName>
    <definedName name="Tashim_From_Cost_to_Official_6_month_92" localSheetId="99">#REF!</definedName>
    <definedName name="Tashim_From_Cost_to_Official_6_month_92">#REF!</definedName>
    <definedName name="Tashim_From_Cost_to_Opratinal_12_month_92_Forcast" localSheetId="106">#REF!</definedName>
    <definedName name="Tashim_From_Cost_to_Opratinal_12_month_92_Forcast" localSheetId="8">#REF!</definedName>
    <definedName name="Tashim_From_Cost_to_Opratinal_12_month_92_Forcast" localSheetId="64">#REF!</definedName>
    <definedName name="Tashim_From_Cost_to_Opratinal_12_month_92_Forcast" localSheetId="50">#REF!</definedName>
    <definedName name="Tashim_From_Cost_to_Opratinal_12_month_92_Forcast" localSheetId="51">#REF!</definedName>
    <definedName name="Tashim_From_Cost_to_Opratinal_12_month_92_Forcast" localSheetId="55">#REF!</definedName>
    <definedName name="Tashim_From_Cost_to_Opratinal_12_month_92_Forcast" localSheetId="54">#REF!</definedName>
    <definedName name="Tashim_From_Cost_to_Opratinal_12_month_92_Forcast" localSheetId="100">#REF!</definedName>
    <definedName name="Tashim_From_Cost_to_Opratinal_12_month_92_Forcast" localSheetId="43">#REF!</definedName>
    <definedName name="Tashim_From_Cost_to_Opratinal_12_month_92_Forcast" localSheetId="37">#REF!</definedName>
    <definedName name="Tashim_From_Cost_to_Opratinal_12_month_92_Forcast" localSheetId="77">#REF!</definedName>
    <definedName name="Tashim_From_Cost_to_Opratinal_12_month_92_Forcast" localSheetId="4">#REF!</definedName>
    <definedName name="Tashim_From_Cost_to_Opratinal_12_month_92_Forcast" localSheetId="23">#REF!</definedName>
    <definedName name="Tashim_From_Cost_to_Opratinal_12_month_92_Forcast" localSheetId="21">#REF!</definedName>
    <definedName name="Tashim_From_Cost_to_Opratinal_12_month_92_Forcast" localSheetId="96">#REF!</definedName>
    <definedName name="Tashim_From_Cost_to_Opratinal_12_month_92_Forcast" localSheetId="95">#REF!</definedName>
    <definedName name="Tashim_From_Cost_to_Opratinal_12_month_92_Forcast" localSheetId="102">#REF!</definedName>
    <definedName name="Tashim_From_Cost_to_Opratinal_12_month_92_Forcast" localSheetId="81">#REF!</definedName>
    <definedName name="Tashim_From_Cost_to_Opratinal_12_month_92_Forcast" localSheetId="59">#REF!</definedName>
    <definedName name="Tashim_From_Cost_to_Opratinal_12_month_92_Forcast" localSheetId="82">#REF!</definedName>
    <definedName name="Tashim_From_Cost_to_Opratinal_12_month_92_Forcast" localSheetId="74">#REF!</definedName>
    <definedName name="Tashim_From_Cost_to_Opratinal_12_month_92_Forcast" localSheetId="20">#REF!</definedName>
    <definedName name="Tashim_From_Cost_to_Opratinal_12_month_92_Forcast" localSheetId="69">#REF!</definedName>
    <definedName name="Tashim_From_Cost_to_Opratinal_12_month_92_Forcast" localSheetId="67">#REF!</definedName>
    <definedName name="Tashim_From_Cost_to_Opratinal_12_month_92_Forcast" localSheetId="61">#REF!</definedName>
    <definedName name="Tashim_From_Cost_to_Opratinal_12_month_92_Forcast" localSheetId="63">#REF!</definedName>
    <definedName name="Tashim_From_Cost_to_Opratinal_12_month_92_Forcast" localSheetId="56">#REF!</definedName>
    <definedName name="Tashim_From_Cost_to_Opratinal_12_month_92_Forcast" localSheetId="18">#REF!</definedName>
    <definedName name="Tashim_From_Cost_to_Opratinal_12_month_92_Forcast" localSheetId="15">#REF!</definedName>
    <definedName name="Tashim_From_Cost_to_Opratinal_12_month_92_Forcast" localSheetId="16">#REF!</definedName>
    <definedName name="Tashim_From_Cost_to_Opratinal_12_month_92_Forcast" localSheetId="17">#REF!</definedName>
    <definedName name="Tashim_From_Cost_to_Opratinal_12_month_92_Forcast" localSheetId="98">#REF!</definedName>
    <definedName name="Tashim_From_Cost_to_Opratinal_12_month_92_Forcast" localSheetId="36">#REF!</definedName>
    <definedName name="Tashim_From_Cost_to_Opratinal_12_month_92_Forcast" localSheetId="80">#REF!</definedName>
    <definedName name="Tashim_From_Cost_to_Opratinal_12_month_92_Forcast" localSheetId="49">#REF!</definedName>
    <definedName name="Tashim_From_Cost_to_Opratinal_12_month_92_Forcast" localSheetId="76">#REF!</definedName>
    <definedName name="Tashim_From_Cost_to_Opratinal_12_month_92_Forcast" localSheetId="32">#REF!</definedName>
    <definedName name="Tashim_From_Cost_to_Opratinal_12_month_92_Forcast" localSheetId="46">#REF!</definedName>
    <definedName name="Tashim_From_Cost_to_Opratinal_12_month_92_Forcast" localSheetId="39">#REF!</definedName>
    <definedName name="Tashim_From_Cost_to_Opratinal_12_month_92_Forcast" localSheetId="45">#REF!</definedName>
    <definedName name="Tashim_From_Cost_to_Opratinal_12_month_92_Forcast" localSheetId="38">#REF!</definedName>
    <definedName name="Tashim_From_Cost_to_Opratinal_12_month_92_Forcast" localSheetId="47">#REF!</definedName>
    <definedName name="Tashim_From_Cost_to_Opratinal_12_month_92_Forcast" localSheetId="40">#REF!</definedName>
    <definedName name="Tashim_From_Cost_to_Opratinal_12_month_92_Forcast" localSheetId="99">#REF!</definedName>
    <definedName name="Tashim_From_Cost_to_Opratinal_12_month_92_Forcast">#REF!</definedName>
    <definedName name="vco" localSheetId="106">#REF!</definedName>
    <definedName name="vco" localSheetId="8">#REF!</definedName>
    <definedName name="vco" localSheetId="64">#REF!</definedName>
    <definedName name="vco" localSheetId="50">#REF!</definedName>
    <definedName name="vco" localSheetId="51">#REF!</definedName>
    <definedName name="vco" localSheetId="55">#REF!</definedName>
    <definedName name="vco" localSheetId="54">#REF!</definedName>
    <definedName name="vco" localSheetId="100">#REF!</definedName>
    <definedName name="vco" localSheetId="43">#REF!</definedName>
    <definedName name="vco" localSheetId="37">#REF!</definedName>
    <definedName name="vco" localSheetId="77">#REF!</definedName>
    <definedName name="vco" localSheetId="4">#REF!</definedName>
    <definedName name="vco" localSheetId="23">#REF!</definedName>
    <definedName name="vco" localSheetId="21">#REF!</definedName>
    <definedName name="vco" localSheetId="96">#REF!</definedName>
    <definedName name="vco" localSheetId="81">#REF!</definedName>
    <definedName name="vco" localSheetId="59">#REF!</definedName>
    <definedName name="vco" localSheetId="82">#REF!</definedName>
    <definedName name="vco" localSheetId="74">#REF!</definedName>
    <definedName name="vco" localSheetId="20">#REF!</definedName>
    <definedName name="vco" localSheetId="69">#REF!</definedName>
    <definedName name="vco" localSheetId="67">#REF!</definedName>
    <definedName name="vco" localSheetId="61">#REF!</definedName>
    <definedName name="vco" localSheetId="63">#REF!</definedName>
    <definedName name="vco" localSheetId="56">#REF!</definedName>
    <definedName name="vco" localSheetId="18">#REF!</definedName>
    <definedName name="vco" localSheetId="15">#REF!</definedName>
    <definedName name="vco" localSheetId="16">#REF!</definedName>
    <definedName name="vco" localSheetId="17">#REF!</definedName>
    <definedName name="vco" localSheetId="98">#REF!</definedName>
    <definedName name="vco" localSheetId="36">#REF!</definedName>
    <definedName name="vco" localSheetId="80">#REF!</definedName>
    <definedName name="vco" localSheetId="49">#REF!</definedName>
    <definedName name="vco" localSheetId="76">#REF!</definedName>
    <definedName name="vco" localSheetId="32">#REF!</definedName>
    <definedName name="vco" localSheetId="46">#REF!</definedName>
    <definedName name="vco" localSheetId="39">#REF!</definedName>
    <definedName name="vco" localSheetId="45">#REF!</definedName>
    <definedName name="vco" localSheetId="38">#REF!</definedName>
    <definedName name="vco" localSheetId="47">#REF!</definedName>
    <definedName name="vco" localSheetId="40">#REF!</definedName>
    <definedName name="vco" localSheetId="99">#REF!</definedName>
    <definedName name="vco">#REF!</definedName>
    <definedName name="vconame" localSheetId="106">#REF!</definedName>
    <definedName name="vconame" localSheetId="8">#REF!</definedName>
    <definedName name="vconame" localSheetId="64">#REF!</definedName>
    <definedName name="vconame" localSheetId="50">#REF!</definedName>
    <definedName name="vconame" localSheetId="51">#REF!</definedName>
    <definedName name="vconame" localSheetId="55">#REF!</definedName>
    <definedName name="vconame" localSheetId="54">#REF!</definedName>
    <definedName name="vconame" localSheetId="100">#REF!</definedName>
    <definedName name="vconame" localSheetId="43">#REF!</definedName>
    <definedName name="vconame" localSheetId="37">#REF!</definedName>
    <definedName name="vconame" localSheetId="77">#REF!</definedName>
    <definedName name="vconame" localSheetId="4">#REF!</definedName>
    <definedName name="vconame" localSheetId="23">#REF!</definedName>
    <definedName name="vconame" localSheetId="21">#REF!</definedName>
    <definedName name="vconame" localSheetId="96">#REF!</definedName>
    <definedName name="vconame" localSheetId="81">#REF!</definedName>
    <definedName name="vconame" localSheetId="59">#REF!</definedName>
    <definedName name="vconame" localSheetId="82">#REF!</definedName>
    <definedName name="vconame" localSheetId="74">#REF!</definedName>
    <definedName name="vconame" localSheetId="20">#REF!</definedName>
    <definedName name="vconame" localSheetId="69">#REF!</definedName>
    <definedName name="vconame" localSheetId="67">#REF!</definedName>
    <definedName name="vconame" localSheetId="61">#REF!</definedName>
    <definedName name="vconame" localSheetId="63">#REF!</definedName>
    <definedName name="vconame" localSheetId="56">#REF!</definedName>
    <definedName name="vconame" localSheetId="18">#REF!</definedName>
    <definedName name="vconame" localSheetId="15">#REF!</definedName>
    <definedName name="vconame" localSheetId="16">#REF!</definedName>
    <definedName name="vconame" localSheetId="17">#REF!</definedName>
    <definedName name="vconame" localSheetId="98">#REF!</definedName>
    <definedName name="vconame" localSheetId="36">#REF!</definedName>
    <definedName name="vconame" localSheetId="80">#REF!</definedName>
    <definedName name="vconame" localSheetId="49">#REF!</definedName>
    <definedName name="vconame" localSheetId="76">#REF!</definedName>
    <definedName name="vconame" localSheetId="32">#REF!</definedName>
    <definedName name="vconame" localSheetId="46">#REF!</definedName>
    <definedName name="vconame" localSheetId="39">#REF!</definedName>
    <definedName name="vconame" localSheetId="45">#REF!</definedName>
    <definedName name="vconame" localSheetId="38">#REF!</definedName>
    <definedName name="vconame" localSheetId="47">#REF!</definedName>
    <definedName name="vconame" localSheetId="40">#REF!</definedName>
    <definedName name="vconame" localSheetId="99">#REF!</definedName>
    <definedName name="vconame">#REF!</definedName>
    <definedName name="ا" localSheetId="106">#REF!</definedName>
    <definedName name="ا" localSheetId="8">#REF!</definedName>
    <definedName name="ا" localSheetId="64">#REF!</definedName>
    <definedName name="ا" localSheetId="50">#REF!</definedName>
    <definedName name="ا" localSheetId="51">#REF!</definedName>
    <definedName name="ا" localSheetId="55">#REF!</definedName>
    <definedName name="ا" localSheetId="54">#REF!</definedName>
    <definedName name="ا" localSheetId="100">#REF!</definedName>
    <definedName name="ا" localSheetId="43">#REF!</definedName>
    <definedName name="ا" localSheetId="37">#REF!</definedName>
    <definedName name="ا" localSheetId="77">#REF!</definedName>
    <definedName name="ا" localSheetId="4">#REF!</definedName>
    <definedName name="ا" localSheetId="23">#REF!</definedName>
    <definedName name="ا" localSheetId="21">#REF!</definedName>
    <definedName name="ا" localSheetId="96">#REF!</definedName>
    <definedName name="ا" localSheetId="102">#REF!</definedName>
    <definedName name="ا" localSheetId="81">#REF!</definedName>
    <definedName name="ا" localSheetId="59">#REF!</definedName>
    <definedName name="ا" localSheetId="82">#REF!</definedName>
    <definedName name="ا" localSheetId="74">#REF!</definedName>
    <definedName name="ا" localSheetId="20">#REF!</definedName>
    <definedName name="ا" localSheetId="69">#REF!</definedName>
    <definedName name="ا" localSheetId="67">#REF!</definedName>
    <definedName name="ا" localSheetId="61">#REF!</definedName>
    <definedName name="ا" localSheetId="63">#REF!</definedName>
    <definedName name="ا" localSheetId="56">#REF!</definedName>
    <definedName name="ا" localSheetId="18">#REF!</definedName>
    <definedName name="ا" localSheetId="15">#REF!</definedName>
    <definedName name="ا" localSheetId="16">#REF!</definedName>
    <definedName name="ا" localSheetId="17">#REF!</definedName>
    <definedName name="ا" localSheetId="98">#REF!</definedName>
    <definedName name="ا" localSheetId="36">#REF!</definedName>
    <definedName name="ا" localSheetId="80">#REF!</definedName>
    <definedName name="ا" localSheetId="49">#REF!</definedName>
    <definedName name="ا" localSheetId="76">#REF!</definedName>
    <definedName name="ا" localSheetId="32">#REF!</definedName>
    <definedName name="ا" localSheetId="46">#REF!</definedName>
    <definedName name="ا" localSheetId="39">#REF!</definedName>
    <definedName name="ا" localSheetId="45">#REF!</definedName>
    <definedName name="ا" localSheetId="38">#REF!</definedName>
    <definedName name="ا" localSheetId="47">#REF!</definedName>
    <definedName name="ا" localSheetId="40">#REF!</definedName>
    <definedName name="ا" localSheetId="99">#REF!</definedName>
    <definedName name="ا">#REF!</definedName>
    <definedName name="تلاتال">'[7]عوامل در مراکز  '!$A$1:$AV$87</definedName>
    <definedName name="زب317" localSheetId="80">BudgetDB!#REF!</definedName>
    <definedName name="زب317">BudgetDB!#REF!</definedName>
    <definedName name="ط1">BudgetDB!$AZ$3293</definedName>
    <definedName name="له274">BudgetDB!$J$2304</definedName>
    <definedName name="مم" localSheetId="8">[6]SHEET1!#REF!</definedName>
    <definedName name="مم" localSheetId="64">[6]SHEET1!#REF!</definedName>
    <definedName name="مم" localSheetId="50">[6]SHEET1!#REF!</definedName>
    <definedName name="مم" localSheetId="51">[6]SHEET1!#REF!</definedName>
    <definedName name="مم" localSheetId="55">[6]SHEET1!#REF!</definedName>
    <definedName name="مم" localSheetId="54">[6]SHEET1!#REF!</definedName>
    <definedName name="مم" localSheetId="100">[6]SHEET1!#REF!</definedName>
    <definedName name="مم" localSheetId="43">[6]SHEET1!#REF!</definedName>
    <definedName name="مم" localSheetId="37">[6]SHEET1!#REF!</definedName>
    <definedName name="مم" localSheetId="77">[6]SHEET1!#REF!</definedName>
    <definedName name="مم" localSheetId="4">[6]SHEET1!#REF!</definedName>
    <definedName name="مم" localSheetId="23">[6]SHEET1!#REF!</definedName>
    <definedName name="مم" localSheetId="21">[6]SHEET1!#REF!</definedName>
    <definedName name="مم" localSheetId="96">[6]SHEET1!#REF!</definedName>
    <definedName name="مم" localSheetId="95">[6]SHEET1!#REF!</definedName>
    <definedName name="مم" localSheetId="102">[6]SHEET1!#REF!</definedName>
    <definedName name="مم" localSheetId="81">[6]SHEET1!#REF!</definedName>
    <definedName name="مم" localSheetId="59">[6]SHEET1!#REF!</definedName>
    <definedName name="مم" localSheetId="82">[6]SHEET1!#REF!</definedName>
    <definedName name="مم" localSheetId="74">[6]SHEET1!#REF!</definedName>
    <definedName name="مم" localSheetId="20">[6]SHEET1!#REF!</definedName>
    <definedName name="مم" localSheetId="69">[6]SHEET1!#REF!</definedName>
    <definedName name="مم" localSheetId="67">[6]SHEET1!#REF!</definedName>
    <definedName name="مم" localSheetId="61">[6]SHEET1!#REF!</definedName>
    <definedName name="مم" localSheetId="63">[6]SHEET1!#REF!</definedName>
    <definedName name="مم" localSheetId="56">[6]SHEET1!#REF!</definedName>
    <definedName name="مم" localSheetId="18">[6]SHEET1!#REF!</definedName>
    <definedName name="مم" localSheetId="15">[6]SHEET1!#REF!</definedName>
    <definedName name="مم" localSheetId="16">[6]SHEET1!#REF!</definedName>
    <definedName name="مم" localSheetId="17">[6]SHEET1!#REF!</definedName>
    <definedName name="مم" localSheetId="98">[6]SHEET1!#REF!</definedName>
    <definedName name="مم" localSheetId="36">[6]SHEET1!#REF!</definedName>
    <definedName name="مم" localSheetId="80">[6]SHEET1!#REF!</definedName>
    <definedName name="مم" localSheetId="49">[6]SHEET1!#REF!</definedName>
    <definedName name="مم" localSheetId="76">[6]SHEET1!#REF!</definedName>
    <definedName name="مم" localSheetId="32">[6]SHEET1!#REF!</definedName>
    <definedName name="مم" localSheetId="46">[6]SHEET1!#REF!</definedName>
    <definedName name="مم" localSheetId="39">[6]SHEET1!#REF!</definedName>
    <definedName name="مم" localSheetId="45">[6]SHEET1!#REF!</definedName>
    <definedName name="مم" localSheetId="38">[6]SHEET1!#REF!</definedName>
    <definedName name="مم" localSheetId="47">[6]SHEET1!#REF!</definedName>
    <definedName name="مم" localSheetId="40">[6]SHEET1!#REF!</definedName>
    <definedName name="مم" localSheetId="99">[6]SHEET1!#REF!</definedName>
    <definedName name="مم">[6]SHEET1!#REF!</definedName>
    <definedName name="مواد" localSheetId="106">#REF!</definedName>
    <definedName name="مواد" localSheetId="8">#REF!</definedName>
    <definedName name="مواد" localSheetId="64">#REF!</definedName>
    <definedName name="مواد" localSheetId="50">#REF!</definedName>
    <definedName name="مواد" localSheetId="51">#REF!</definedName>
    <definedName name="مواد" localSheetId="55">#REF!</definedName>
    <definedName name="مواد" localSheetId="54">#REF!</definedName>
    <definedName name="مواد" localSheetId="100">#REF!</definedName>
    <definedName name="مواد" localSheetId="43">#REF!</definedName>
    <definedName name="مواد" localSheetId="37">#REF!</definedName>
    <definedName name="مواد" localSheetId="77">#REF!</definedName>
    <definedName name="مواد" localSheetId="4">#REF!</definedName>
    <definedName name="مواد" localSheetId="23">#REF!</definedName>
    <definedName name="مواد" localSheetId="21">#REF!</definedName>
    <definedName name="مواد" localSheetId="96">#REF!</definedName>
    <definedName name="مواد" localSheetId="81">#REF!</definedName>
    <definedName name="مواد" localSheetId="59">#REF!</definedName>
    <definedName name="مواد" localSheetId="82">#REF!</definedName>
    <definedName name="مواد" localSheetId="74">#REF!</definedName>
    <definedName name="مواد" localSheetId="20">#REF!</definedName>
    <definedName name="مواد" localSheetId="69">#REF!</definedName>
    <definedName name="مواد" localSheetId="67">#REF!</definedName>
    <definedName name="مواد" localSheetId="61">#REF!</definedName>
    <definedName name="مواد" localSheetId="63">#REF!</definedName>
    <definedName name="مواد" localSheetId="56">#REF!</definedName>
    <definedName name="مواد" localSheetId="18">#REF!</definedName>
    <definedName name="مواد" localSheetId="15">#REF!</definedName>
    <definedName name="مواد" localSheetId="16">#REF!</definedName>
    <definedName name="مواد" localSheetId="17">#REF!</definedName>
    <definedName name="مواد" localSheetId="98">#REF!</definedName>
    <definedName name="مواد" localSheetId="36">#REF!</definedName>
    <definedName name="مواد" localSheetId="80">#REF!</definedName>
    <definedName name="مواد" localSheetId="49">#REF!</definedName>
    <definedName name="مواد" localSheetId="76">#REF!</definedName>
    <definedName name="مواد" localSheetId="32">#REF!</definedName>
    <definedName name="مواد" localSheetId="46">#REF!</definedName>
    <definedName name="مواد" localSheetId="39">#REF!</definedName>
    <definedName name="مواد" localSheetId="45">#REF!</definedName>
    <definedName name="مواد" localSheetId="38">#REF!</definedName>
    <definedName name="مواد" localSheetId="47">#REF!</definedName>
    <definedName name="مواد" localSheetId="40">#REF!</definedName>
    <definedName name="مواد" localSheetId="99">#REF!</definedName>
    <definedName name="مواد">#REF!</definedName>
    <definedName name="ناهغ" localSheetId="8">[6]SHEET1!#REF!</definedName>
    <definedName name="ناهغ" localSheetId="64">[6]SHEET1!#REF!</definedName>
    <definedName name="ناهغ" localSheetId="50">[6]SHEET1!#REF!</definedName>
    <definedName name="ناهغ" localSheetId="51">[6]SHEET1!#REF!</definedName>
    <definedName name="ناهغ" localSheetId="55">[6]SHEET1!#REF!</definedName>
    <definedName name="ناهغ" localSheetId="54">[6]SHEET1!#REF!</definedName>
    <definedName name="ناهغ" localSheetId="100">[6]SHEET1!#REF!</definedName>
    <definedName name="ناهغ" localSheetId="43">[6]SHEET1!#REF!</definedName>
    <definedName name="ناهغ" localSheetId="37">[6]SHEET1!#REF!</definedName>
    <definedName name="ناهغ" localSheetId="77">[6]SHEET1!#REF!</definedName>
    <definedName name="ناهغ" localSheetId="4">[6]SHEET1!#REF!</definedName>
    <definedName name="ناهغ" localSheetId="23">[6]SHEET1!#REF!</definedName>
    <definedName name="ناهغ" localSheetId="21">[6]SHEET1!#REF!</definedName>
    <definedName name="ناهغ" localSheetId="96">[6]SHEET1!#REF!</definedName>
    <definedName name="ناهغ" localSheetId="95">[6]SHEET1!#REF!</definedName>
    <definedName name="ناهغ" localSheetId="102">[6]SHEET1!#REF!</definedName>
    <definedName name="ناهغ" localSheetId="81">[6]SHEET1!#REF!</definedName>
    <definedName name="ناهغ" localSheetId="59">[6]SHEET1!#REF!</definedName>
    <definedName name="ناهغ" localSheetId="82">[6]SHEET1!#REF!</definedName>
    <definedName name="ناهغ" localSheetId="74">[6]SHEET1!#REF!</definedName>
    <definedName name="ناهغ" localSheetId="20">[6]SHEET1!#REF!</definedName>
    <definedName name="ناهغ" localSheetId="69">[6]SHEET1!#REF!</definedName>
    <definedName name="ناهغ" localSheetId="67">[6]SHEET1!#REF!</definedName>
    <definedName name="ناهغ" localSheetId="61">[6]SHEET1!#REF!</definedName>
    <definedName name="ناهغ" localSheetId="63">[6]SHEET1!#REF!</definedName>
    <definedName name="ناهغ" localSheetId="56">[6]SHEET1!#REF!</definedName>
    <definedName name="ناهغ" localSheetId="18">[6]SHEET1!#REF!</definedName>
    <definedName name="ناهغ" localSheetId="15">[6]SHEET1!#REF!</definedName>
    <definedName name="ناهغ" localSheetId="16">[6]SHEET1!#REF!</definedName>
    <definedName name="ناهغ" localSheetId="17">[6]SHEET1!#REF!</definedName>
    <definedName name="ناهغ" localSheetId="98">[6]SHEET1!#REF!</definedName>
    <definedName name="ناهغ" localSheetId="36">[6]SHEET1!#REF!</definedName>
    <definedName name="ناهغ" localSheetId="80">[6]SHEET1!#REF!</definedName>
    <definedName name="ناهغ" localSheetId="49">[6]SHEET1!#REF!</definedName>
    <definedName name="ناهغ" localSheetId="76">[6]SHEET1!#REF!</definedName>
    <definedName name="ناهغ" localSheetId="32">[6]SHEET1!#REF!</definedName>
    <definedName name="ناهغ" localSheetId="46">[6]SHEET1!#REF!</definedName>
    <definedName name="ناهغ" localSheetId="39">[6]SHEET1!#REF!</definedName>
    <definedName name="ناهغ" localSheetId="45">[6]SHEET1!#REF!</definedName>
    <definedName name="ناهغ" localSheetId="38">[6]SHEET1!#REF!</definedName>
    <definedName name="ناهغ" localSheetId="47">[6]SHEET1!#REF!</definedName>
    <definedName name="ناهغ" localSheetId="40">[6]SHEET1!#REF!</definedName>
    <definedName name="ناهغ" localSheetId="99">[6]SHEET1!#REF!</definedName>
    <definedName name="ناهغ">[6]SHEET1!#REF!</definedName>
    <definedName name="یذ204" localSheetId="80">BudgetDB!#REF!</definedName>
    <definedName name="یذ204">BudgetDB!#REF!</definedName>
    <definedName name="یییی" localSheetId="8">[8]SHEET1!#REF!</definedName>
    <definedName name="یییی" localSheetId="64">[8]SHEET1!#REF!</definedName>
    <definedName name="یییی" localSheetId="50">[8]SHEET1!#REF!</definedName>
    <definedName name="یییی" localSheetId="51">[8]SHEET1!#REF!</definedName>
    <definedName name="یییی" localSheetId="55">[8]SHEET1!#REF!</definedName>
    <definedName name="یییی" localSheetId="54">[8]SHEET1!#REF!</definedName>
    <definedName name="یییی" localSheetId="100">[8]SHEET1!#REF!</definedName>
    <definedName name="یییی" localSheetId="43">[8]SHEET1!#REF!</definedName>
    <definedName name="یییی" localSheetId="37">[8]SHEET1!#REF!</definedName>
    <definedName name="یییی" localSheetId="77">[8]SHEET1!#REF!</definedName>
    <definedName name="یییی" localSheetId="4">[8]SHEET1!#REF!</definedName>
    <definedName name="یییی" localSheetId="23">[8]SHEET1!#REF!</definedName>
    <definedName name="یییی" localSheetId="21">[8]SHEET1!#REF!</definedName>
    <definedName name="یییی" localSheetId="96">[8]SHEET1!#REF!</definedName>
    <definedName name="یییی" localSheetId="95">[8]SHEET1!#REF!</definedName>
    <definedName name="یییی" localSheetId="102">[8]SHEET1!#REF!</definedName>
    <definedName name="یییی" localSheetId="81">[8]SHEET1!#REF!</definedName>
    <definedName name="یییی" localSheetId="59">[8]SHEET1!#REF!</definedName>
    <definedName name="یییی" localSheetId="82">[8]SHEET1!#REF!</definedName>
    <definedName name="یییی" localSheetId="74">[8]SHEET1!#REF!</definedName>
    <definedName name="یییی" localSheetId="20">[8]SHEET1!#REF!</definedName>
    <definedName name="یییی" localSheetId="69">[8]SHEET1!#REF!</definedName>
    <definedName name="یییی" localSheetId="67">[8]SHEET1!#REF!</definedName>
    <definedName name="یییی" localSheetId="61">[8]SHEET1!#REF!</definedName>
    <definedName name="یییی" localSheetId="63">[8]SHEET1!#REF!</definedName>
    <definedName name="یییی" localSheetId="56">[8]SHEET1!#REF!</definedName>
    <definedName name="یییی" localSheetId="18">[8]SHEET1!#REF!</definedName>
    <definedName name="یییی" localSheetId="15">[8]SHEET1!#REF!</definedName>
    <definedName name="یییی" localSheetId="16">[8]SHEET1!#REF!</definedName>
    <definedName name="یییی" localSheetId="17">[8]SHEET1!#REF!</definedName>
    <definedName name="یییی" localSheetId="98">[8]SHEET1!#REF!</definedName>
    <definedName name="یییی" localSheetId="36">[8]SHEET1!#REF!</definedName>
    <definedName name="یییی" localSheetId="80">[8]SHEET1!#REF!</definedName>
    <definedName name="یییی" localSheetId="49">[8]SHEET1!#REF!</definedName>
    <definedName name="یییی" localSheetId="76">[8]SHEET1!#REF!</definedName>
    <definedName name="یییی" localSheetId="32">[8]SHEET1!#REF!</definedName>
    <definedName name="یییی" localSheetId="46">[8]SHEET1!#REF!</definedName>
    <definedName name="یییی" localSheetId="39">[8]SHEET1!#REF!</definedName>
    <definedName name="یییی" localSheetId="45">[8]SHEET1!#REF!</definedName>
    <definedName name="یییی" localSheetId="38">[8]SHEET1!#REF!</definedName>
    <definedName name="یییی" localSheetId="47">[8]SHEET1!#REF!</definedName>
    <definedName name="یییی" localSheetId="40">[8]SHEET1!#REF!</definedName>
    <definedName name="یییی" localSheetId="99">[8]SHEET1!#REF!</definedName>
    <definedName name="یییی">[8]SHEET1!#REF!</definedName>
    <definedName name="ئز4074">BudgetDB!$J$4307</definedName>
    <definedName name="ئم10" localSheetId="80">BudgetDB!#REF!</definedName>
    <definedName name="ئم10">BudgetDB!#REF!</definedName>
  </definedNames>
  <calcPr calcId="191029"/>
  <pivotCaches>
    <pivotCache cacheId="4" r:id="rId117"/>
  </pivotCaches>
  <extLst>
    <ext xmlns:x14="http://schemas.microsoft.com/office/spreadsheetml/2009/9/main" uri="{BBE1A952-AA13-448e-AADC-164F8A28A991}">
      <x14:slicerCaches>
        <x14:slicerCache r:id="rId1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C9" i="177" l="1"/>
  <c r="BH5" i="177" l="1"/>
  <c r="U5" i="177"/>
  <c r="L5" i="184" l="1"/>
  <c r="K16" i="212"/>
  <c r="K15" i="212"/>
  <c r="K11" i="212"/>
  <c r="K10" i="212"/>
  <c r="K9" i="212"/>
  <c r="K14" i="212"/>
  <c r="E15" i="212"/>
  <c r="E16" i="212"/>
  <c r="E14" i="212"/>
  <c r="E13" i="212"/>
  <c r="E12" i="212"/>
  <c r="E11" i="212"/>
  <c r="E10" i="212"/>
  <c r="E9" i="212"/>
  <c r="E8" i="212"/>
  <c r="E17" i="212"/>
  <c r="E19" i="212"/>
  <c r="E20" i="212"/>
  <c r="E21" i="212"/>
  <c r="E22" i="212"/>
  <c r="E23" i="212"/>
  <c r="E24" i="212"/>
  <c r="E25" i="212"/>
  <c r="E26" i="212"/>
  <c r="DM5" i="177" l="1"/>
  <c r="BV8" i="184" l="1"/>
  <c r="BO8" i="184"/>
  <c r="BM8" i="184"/>
  <c r="BH8" i="184"/>
  <c r="BF8" i="184"/>
  <c r="BA8" i="184"/>
  <c r="AY8" i="184"/>
  <c r="AT8" i="184"/>
  <c r="AR8" i="184"/>
  <c r="AM8" i="184"/>
  <c r="AK8" i="184"/>
  <c r="AF8" i="184"/>
  <c r="AD8" i="184"/>
  <c r="Y8" i="184"/>
  <c r="W8" i="184"/>
  <c r="R8" i="184"/>
  <c r="P8" i="184"/>
  <c r="CW5" i="177"/>
  <c r="CG5" i="177"/>
  <c r="BQ5" i="177"/>
  <c r="BA5" i="177"/>
  <c r="AK5" i="177"/>
  <c r="K8" i="184"/>
  <c r="I8" i="184"/>
  <c r="K16" i="184"/>
  <c r="B5" i="184"/>
  <c r="C29" i="217" a="1"/>
  <c r="C27" i="219" a="1"/>
  <c r="C30" i="219" a="1"/>
  <c r="C27" i="217" a="1"/>
  <c r="C26" i="219" a="1"/>
  <c r="C28" i="219" a="1"/>
  <c r="C30" i="217" a="1"/>
  <c r="C29" i="219" a="1"/>
  <c r="C28" i="217" a="1"/>
  <c r="C29" i="219" l="1"/>
  <c r="C28" i="219"/>
  <c r="C30" i="219"/>
  <c r="C26" i="219"/>
  <c r="C29" i="217"/>
  <c r="C27" i="217"/>
  <c r="C30" i="217"/>
  <c r="C27" i="219"/>
  <c r="C28" i="217"/>
  <c r="X45" i="175"/>
  <c r="Y45" i="175"/>
  <c r="M9" i="80" l="1"/>
  <c r="J9" i="80"/>
  <c r="M8" i="80"/>
  <c r="J8" i="80"/>
  <c r="M7" i="80"/>
  <c r="J7" i="80"/>
  <c r="M6" i="80"/>
  <c r="J6" i="80"/>
  <c r="M5" i="80"/>
  <c r="J5" i="80"/>
  <c r="V27" i="182" l="1"/>
  <c r="W27" i="182"/>
  <c r="X27" i="182"/>
  <c r="Y27" i="182"/>
  <c r="U27" i="182"/>
  <c r="M27" i="182"/>
  <c r="N27" i="182"/>
  <c r="O27" i="182"/>
  <c r="P27" i="182"/>
  <c r="L27" i="182"/>
  <c r="V25" i="182"/>
  <c r="W25" i="182"/>
  <c r="X25" i="182"/>
  <c r="Y25" i="182"/>
  <c r="U25" i="182"/>
  <c r="M25" i="182"/>
  <c r="N25" i="182"/>
  <c r="O25" i="182"/>
  <c r="P25" i="182"/>
  <c r="L25" i="182"/>
  <c r="D27" i="182"/>
  <c r="E27" i="182"/>
  <c r="F27" i="182"/>
  <c r="G27" i="182"/>
  <c r="C27" i="182"/>
  <c r="D25" i="182"/>
  <c r="E25" i="182"/>
  <c r="F25" i="182"/>
  <c r="G25" i="182"/>
  <c r="C25" i="182"/>
  <c r="O42" i="143" l="1"/>
  <c r="O41" i="143"/>
  <c r="O40" i="143"/>
  <c r="O39" i="143"/>
  <c r="O38" i="143"/>
  <c r="O37" i="143"/>
  <c r="O36" i="143"/>
  <c r="FN26" i="177" l="1"/>
  <c r="FK26" i="177"/>
  <c r="FI26" i="177"/>
  <c r="EX26" i="177"/>
  <c r="EU26" i="177"/>
  <c r="ES26" i="177"/>
  <c r="EH26" i="177"/>
  <c r="EE26" i="177"/>
  <c r="EC26" i="177"/>
  <c r="DR26" i="177"/>
  <c r="DO26" i="177"/>
  <c r="DM26" i="177"/>
  <c r="DB26" i="177"/>
  <c r="CY26" i="177"/>
  <c r="CW26" i="177"/>
  <c r="CL26" i="177"/>
  <c r="CI26" i="177"/>
  <c r="CG26" i="177"/>
  <c r="BV26" i="177"/>
  <c r="BS26" i="177"/>
  <c r="BQ26" i="177"/>
  <c r="BF26" i="177"/>
  <c r="BC26" i="177"/>
  <c r="BA26" i="177"/>
  <c r="AP26" i="177"/>
  <c r="AM26" i="177"/>
  <c r="AK26" i="177"/>
  <c r="D11" i="184"/>
  <c r="C11" i="184"/>
  <c r="B11" i="184"/>
  <c r="D9" i="184"/>
  <c r="C9" i="184"/>
  <c r="B9" i="184"/>
  <c r="D8" i="184"/>
  <c r="C8" i="184"/>
  <c r="B8" i="184"/>
  <c r="D7" i="184"/>
  <c r="C7" i="184"/>
  <c r="B7" i="184"/>
  <c r="D5" i="184"/>
  <c r="C5" i="184"/>
  <c r="BY2" i="184"/>
  <c r="BS2" i="184" s="1"/>
  <c r="BR2" i="184"/>
  <c r="BL2" i="184" s="1"/>
  <c r="BK2" i="184"/>
  <c r="BE2" i="184" s="1"/>
  <c r="BD2" i="184"/>
  <c r="AX2" i="184" s="1"/>
  <c r="AW2" i="184"/>
  <c r="AQ2" i="184" s="1"/>
  <c r="BV16" i="184"/>
  <c r="BU16" i="184"/>
  <c r="BT16" i="184"/>
  <c r="BO16" i="184"/>
  <c r="BN16" i="184"/>
  <c r="BM16" i="184"/>
  <c r="BH16" i="184"/>
  <c r="BG16" i="184"/>
  <c r="BF16" i="184"/>
  <c r="BA16" i="184"/>
  <c r="AZ16" i="184"/>
  <c r="AY16" i="184"/>
  <c r="AT16" i="184"/>
  <c r="AS16" i="184"/>
  <c r="AR16" i="184"/>
  <c r="BX11" i="184"/>
  <c r="BW11" i="184"/>
  <c r="BQ11" i="184"/>
  <c r="BP11" i="184"/>
  <c r="BJ11" i="184"/>
  <c r="BI11" i="184"/>
  <c r="BC11" i="184"/>
  <c r="BB11" i="184"/>
  <c r="AV11" i="184"/>
  <c r="AU11" i="184"/>
  <c r="BX9" i="184"/>
  <c r="BW9" i="184"/>
  <c r="BQ9" i="184"/>
  <c r="BP9" i="184"/>
  <c r="BJ9" i="184"/>
  <c r="BI9" i="184"/>
  <c r="BC9" i="184"/>
  <c r="BB9" i="184"/>
  <c r="AV9" i="184"/>
  <c r="AU9" i="184"/>
  <c r="BX8" i="184"/>
  <c r="BW8" i="184"/>
  <c r="BQ8" i="184"/>
  <c r="BP8" i="184"/>
  <c r="BJ8" i="184"/>
  <c r="BI8" i="184"/>
  <c r="BC8" i="184"/>
  <c r="BB8" i="184"/>
  <c r="AV8" i="184"/>
  <c r="AU8" i="184"/>
  <c r="BX7" i="184"/>
  <c r="BW7" i="184"/>
  <c r="BQ7" i="184"/>
  <c r="BP7" i="184"/>
  <c r="BJ7" i="184"/>
  <c r="BI7" i="184"/>
  <c r="BC7" i="184"/>
  <c r="BB7" i="184"/>
  <c r="AV7" i="184"/>
  <c r="AU7" i="184"/>
  <c r="BX5" i="184"/>
  <c r="BW5" i="184"/>
  <c r="BQ5" i="184"/>
  <c r="BP5" i="184"/>
  <c r="BJ5" i="184"/>
  <c r="BI5" i="184"/>
  <c r="BC5" i="184"/>
  <c r="BB5" i="184"/>
  <c r="AV5" i="184"/>
  <c r="AU5" i="184"/>
  <c r="BS1" i="184"/>
  <c r="BL1" i="184"/>
  <c r="BE1" i="184"/>
  <c r="AX1" i="184"/>
  <c r="AQ1" i="184"/>
  <c r="AP2" i="184"/>
  <c r="AJ2" i="184" s="1"/>
  <c r="AI2" i="184"/>
  <c r="AC2" i="184" s="1"/>
  <c r="AM16" i="184"/>
  <c r="AL16" i="184"/>
  <c r="AK16" i="184"/>
  <c r="AO11" i="184"/>
  <c r="AN11" i="184"/>
  <c r="AO9" i="184"/>
  <c r="AN9" i="184"/>
  <c r="AO8" i="184"/>
  <c r="AN8" i="184"/>
  <c r="AO7" i="184"/>
  <c r="AN7" i="184"/>
  <c r="AO5" i="184"/>
  <c r="AN5" i="184"/>
  <c r="AJ1" i="184"/>
  <c r="AF16" i="184"/>
  <c r="AE16" i="184"/>
  <c r="AD16" i="184"/>
  <c r="AH11" i="184"/>
  <c r="AG11" i="184"/>
  <c r="AH9" i="184"/>
  <c r="AG9" i="184"/>
  <c r="AH8" i="184"/>
  <c r="AG8" i="184"/>
  <c r="AH7" i="184"/>
  <c r="AG7" i="184"/>
  <c r="AH5" i="184"/>
  <c r="AG5" i="184"/>
  <c r="AC1" i="184"/>
  <c r="AB2" i="184"/>
  <c r="V2" i="184" s="1"/>
  <c r="Y16" i="184"/>
  <c r="X16" i="184"/>
  <c r="W16" i="184"/>
  <c r="AA11" i="184"/>
  <c r="Z11" i="184"/>
  <c r="AA9" i="184"/>
  <c r="Z9" i="184"/>
  <c r="AA8" i="184"/>
  <c r="Z8" i="184"/>
  <c r="AA7" i="184"/>
  <c r="Z7" i="184"/>
  <c r="AA5" i="184"/>
  <c r="Z5" i="184"/>
  <c r="V1" i="184"/>
  <c r="U2" i="184"/>
  <c r="R16" i="184"/>
  <c r="Q16" i="184"/>
  <c r="P16" i="184"/>
  <c r="T11" i="184"/>
  <c r="S11" i="184"/>
  <c r="T9" i="184"/>
  <c r="S9" i="184"/>
  <c r="T8" i="184"/>
  <c r="S8" i="184"/>
  <c r="T7" i="184"/>
  <c r="S7" i="184"/>
  <c r="T5" i="184"/>
  <c r="S5" i="184"/>
  <c r="O1" i="184"/>
  <c r="N2" i="184"/>
  <c r="H2" i="184" s="1"/>
  <c r="J16" i="184"/>
  <c r="I16" i="184"/>
  <c r="M11" i="184"/>
  <c r="L11" i="184"/>
  <c r="M9" i="184"/>
  <c r="L9" i="184"/>
  <c r="M8" i="184"/>
  <c r="L8" i="184"/>
  <c r="M7" i="184"/>
  <c r="L7" i="184"/>
  <c r="M5" i="184"/>
  <c r="H1" i="184"/>
  <c r="P9" i="35"/>
  <c r="O9" i="35"/>
  <c r="N9" i="35"/>
  <c r="P8" i="35"/>
  <c r="O8" i="35"/>
  <c r="N8" i="35"/>
  <c r="P7" i="35"/>
  <c r="O7" i="35"/>
  <c r="N7" i="35"/>
  <c r="J9" i="35"/>
  <c r="I9" i="35"/>
  <c r="H9" i="35"/>
  <c r="J8" i="35"/>
  <c r="I8" i="35"/>
  <c r="H8" i="35"/>
  <c r="J7" i="35"/>
  <c r="I7" i="35"/>
  <c r="H7" i="35"/>
  <c r="D9" i="35"/>
  <c r="C9" i="35"/>
  <c r="B9" i="35"/>
  <c r="D8" i="35"/>
  <c r="C8" i="35"/>
  <c r="B8" i="35"/>
  <c r="D7" i="35"/>
  <c r="C7" i="35"/>
  <c r="B7" i="35"/>
  <c r="AE181" i="35"/>
  <c r="AE163" i="35"/>
  <c r="AE145" i="35"/>
  <c r="AE127" i="35"/>
  <c r="A127" i="35" s="1"/>
  <c r="AE109" i="35"/>
  <c r="A109" i="35" s="1"/>
  <c r="AC190" i="35"/>
  <c r="AD190" i="35" s="1"/>
  <c r="AA190" i="35"/>
  <c r="AB190" i="35" s="1"/>
  <c r="X190" i="35"/>
  <c r="Y190" i="35" s="1"/>
  <c r="V190" i="35"/>
  <c r="W190" i="35" s="1"/>
  <c r="T190" i="35"/>
  <c r="U190" i="35" s="1"/>
  <c r="Q190" i="35"/>
  <c r="K190" i="35"/>
  <c r="E190" i="35"/>
  <c r="P189" i="35"/>
  <c r="O189" i="35"/>
  <c r="N189" i="35"/>
  <c r="J189" i="35"/>
  <c r="I189" i="35"/>
  <c r="H189" i="35"/>
  <c r="D189" i="35"/>
  <c r="C189" i="35"/>
  <c r="B189" i="35"/>
  <c r="X188" i="35"/>
  <c r="Y188" i="35" s="1"/>
  <c r="V188" i="35"/>
  <c r="W188" i="35" s="1"/>
  <c r="T188" i="35"/>
  <c r="U188" i="35" s="1"/>
  <c r="Q188" i="35"/>
  <c r="K188" i="35"/>
  <c r="E188" i="35"/>
  <c r="X187" i="35"/>
  <c r="Y187" i="35" s="1"/>
  <c r="V187" i="35"/>
  <c r="W187" i="35" s="1"/>
  <c r="T187" i="35"/>
  <c r="U187" i="35" s="1"/>
  <c r="Q187" i="35"/>
  <c r="K187" i="35"/>
  <c r="E187" i="35"/>
  <c r="X186" i="35"/>
  <c r="Y186" i="35" s="1"/>
  <c r="V186" i="35"/>
  <c r="W186" i="35" s="1"/>
  <c r="T186" i="35"/>
  <c r="U186" i="35" s="1"/>
  <c r="Q186" i="35"/>
  <c r="K186" i="35"/>
  <c r="E186" i="35"/>
  <c r="X185" i="35"/>
  <c r="Y185" i="35" s="1"/>
  <c r="V185" i="35"/>
  <c r="W185" i="35" s="1"/>
  <c r="T185" i="35"/>
  <c r="U185" i="35" s="1"/>
  <c r="Q185" i="35"/>
  <c r="K185" i="35"/>
  <c r="E185" i="35"/>
  <c r="X184" i="35"/>
  <c r="Y184" i="35" s="1"/>
  <c r="V184" i="35"/>
  <c r="W184" i="35" s="1"/>
  <c r="T184" i="35"/>
  <c r="U184" i="35" s="1"/>
  <c r="Q184" i="35"/>
  <c r="K184" i="35"/>
  <c r="E184" i="35"/>
  <c r="A181" i="35"/>
  <c r="AC172" i="35"/>
  <c r="AD172" i="35" s="1"/>
  <c r="AA172" i="35"/>
  <c r="AB172" i="35" s="1"/>
  <c r="X172" i="35"/>
  <c r="Y172" i="35" s="1"/>
  <c r="V172" i="35"/>
  <c r="W172" i="35" s="1"/>
  <c r="T172" i="35"/>
  <c r="U172" i="35" s="1"/>
  <c r="Q172" i="35"/>
  <c r="K172" i="35"/>
  <c r="E172" i="35"/>
  <c r="P171" i="35"/>
  <c r="O171" i="35"/>
  <c r="N171" i="35"/>
  <c r="J171" i="35"/>
  <c r="I171" i="35"/>
  <c r="H171" i="35"/>
  <c r="D171" i="35"/>
  <c r="C171" i="35"/>
  <c r="B171" i="35"/>
  <c r="X170" i="35"/>
  <c r="Y170" i="35" s="1"/>
  <c r="V170" i="35"/>
  <c r="W170" i="35" s="1"/>
  <c r="T170" i="35"/>
  <c r="U170" i="35" s="1"/>
  <c r="Q170" i="35"/>
  <c r="K170" i="35"/>
  <c r="E170" i="35"/>
  <c r="X169" i="35"/>
  <c r="Y169" i="35" s="1"/>
  <c r="V169" i="35"/>
  <c r="W169" i="35" s="1"/>
  <c r="T169" i="35"/>
  <c r="U169" i="35" s="1"/>
  <c r="Q169" i="35"/>
  <c r="K169" i="35"/>
  <c r="E169" i="35"/>
  <c r="X168" i="35"/>
  <c r="Y168" i="35" s="1"/>
  <c r="V168" i="35"/>
  <c r="W168" i="35" s="1"/>
  <c r="T168" i="35"/>
  <c r="U168" i="35" s="1"/>
  <c r="Q168" i="35"/>
  <c r="K168" i="35"/>
  <c r="E168" i="35"/>
  <c r="X167" i="35"/>
  <c r="Y167" i="35" s="1"/>
  <c r="V167" i="35"/>
  <c r="W167" i="35" s="1"/>
  <c r="T167" i="35"/>
  <c r="U167" i="35" s="1"/>
  <c r="Q167" i="35"/>
  <c r="K167" i="35"/>
  <c r="E167" i="35"/>
  <c r="X166" i="35"/>
  <c r="Y166" i="35" s="1"/>
  <c r="V166" i="35"/>
  <c r="W166" i="35" s="1"/>
  <c r="T166" i="35"/>
  <c r="U166" i="35" s="1"/>
  <c r="Q166" i="35"/>
  <c r="Z166" i="35" s="1"/>
  <c r="K166" i="35"/>
  <c r="E166" i="35"/>
  <c r="A163" i="35"/>
  <c r="AC154" i="35"/>
  <c r="AD154" i="35" s="1"/>
  <c r="AA154" i="35"/>
  <c r="AB154" i="35" s="1"/>
  <c r="X154" i="35"/>
  <c r="Y154" i="35" s="1"/>
  <c r="V154" i="35"/>
  <c r="W154" i="35" s="1"/>
  <c r="T154" i="35"/>
  <c r="U154" i="35" s="1"/>
  <c r="Q154" i="35"/>
  <c r="K154" i="35"/>
  <c r="E154" i="35"/>
  <c r="P153" i="35"/>
  <c r="O153" i="35"/>
  <c r="N153" i="35"/>
  <c r="J153" i="35"/>
  <c r="I153" i="35"/>
  <c r="H153" i="35"/>
  <c r="D153" i="35"/>
  <c r="C153" i="35"/>
  <c r="B153" i="35"/>
  <c r="X152" i="35"/>
  <c r="Y152" i="35" s="1"/>
  <c r="V152" i="35"/>
  <c r="W152" i="35" s="1"/>
  <c r="T152" i="35"/>
  <c r="U152" i="35" s="1"/>
  <c r="Q152" i="35"/>
  <c r="K152" i="35"/>
  <c r="E152" i="35"/>
  <c r="X151" i="35"/>
  <c r="Y151" i="35" s="1"/>
  <c r="V151" i="35"/>
  <c r="W151" i="35" s="1"/>
  <c r="T151" i="35"/>
  <c r="U151" i="35" s="1"/>
  <c r="Q151" i="35"/>
  <c r="K151" i="35"/>
  <c r="E151" i="35"/>
  <c r="X150" i="35"/>
  <c r="Y150" i="35" s="1"/>
  <c r="V150" i="35"/>
  <c r="W150" i="35" s="1"/>
  <c r="T150" i="35"/>
  <c r="U150" i="35" s="1"/>
  <c r="Q150" i="35"/>
  <c r="K150" i="35"/>
  <c r="E150" i="35"/>
  <c r="X149" i="35"/>
  <c r="Y149" i="35" s="1"/>
  <c r="V149" i="35"/>
  <c r="W149" i="35" s="1"/>
  <c r="T149" i="35"/>
  <c r="U149" i="35" s="1"/>
  <c r="Q149" i="35"/>
  <c r="K149" i="35"/>
  <c r="E149" i="35"/>
  <c r="X148" i="35"/>
  <c r="Y148" i="35" s="1"/>
  <c r="V148" i="35"/>
  <c r="W148" i="35" s="1"/>
  <c r="T148" i="35"/>
  <c r="U148" i="35" s="1"/>
  <c r="Q148" i="35"/>
  <c r="K148" i="35"/>
  <c r="E148" i="35"/>
  <c r="A145" i="35"/>
  <c r="AC136" i="35"/>
  <c r="AD136" i="35" s="1"/>
  <c r="AA136" i="35"/>
  <c r="AB136" i="35" s="1"/>
  <c r="X136" i="35"/>
  <c r="Y136" i="35" s="1"/>
  <c r="V136" i="35"/>
  <c r="W136" i="35" s="1"/>
  <c r="T136" i="35"/>
  <c r="U136" i="35" s="1"/>
  <c r="Q136" i="35"/>
  <c r="K136" i="35"/>
  <c r="E136" i="35"/>
  <c r="P135" i="35"/>
  <c r="O135" i="35"/>
  <c r="N135" i="35"/>
  <c r="J135" i="35"/>
  <c r="I135" i="35"/>
  <c r="H135" i="35"/>
  <c r="D135" i="35"/>
  <c r="C135" i="35"/>
  <c r="B135" i="35"/>
  <c r="X134" i="35"/>
  <c r="Y134" i="35" s="1"/>
  <c r="V134" i="35"/>
  <c r="W134" i="35" s="1"/>
  <c r="T134" i="35"/>
  <c r="U134" i="35" s="1"/>
  <c r="Q134" i="35"/>
  <c r="K134" i="35"/>
  <c r="E134" i="35"/>
  <c r="X133" i="35"/>
  <c r="Y133" i="35" s="1"/>
  <c r="V133" i="35"/>
  <c r="W133" i="35" s="1"/>
  <c r="T133" i="35"/>
  <c r="U133" i="35" s="1"/>
  <c r="Q133" i="35"/>
  <c r="Z133" i="35" s="1"/>
  <c r="K133" i="35"/>
  <c r="E133" i="35"/>
  <c r="X132" i="35"/>
  <c r="Y132" i="35" s="1"/>
  <c r="V132" i="35"/>
  <c r="W132" i="35" s="1"/>
  <c r="T132" i="35"/>
  <c r="U132" i="35" s="1"/>
  <c r="Q132" i="35"/>
  <c r="K132" i="35"/>
  <c r="E132" i="35"/>
  <c r="X131" i="35"/>
  <c r="Y131" i="35" s="1"/>
  <c r="V131" i="35"/>
  <c r="W131" i="35" s="1"/>
  <c r="T131" i="35"/>
  <c r="U131" i="35" s="1"/>
  <c r="Q131" i="35"/>
  <c r="K131" i="35"/>
  <c r="E131" i="35"/>
  <c r="X130" i="35"/>
  <c r="Y130" i="35" s="1"/>
  <c r="V130" i="35"/>
  <c r="W130" i="35" s="1"/>
  <c r="T130" i="35"/>
  <c r="U130" i="35" s="1"/>
  <c r="Q130" i="35"/>
  <c r="K130" i="35"/>
  <c r="E130" i="35"/>
  <c r="AC118" i="35"/>
  <c r="AD118" i="35" s="1"/>
  <c r="AA118" i="35"/>
  <c r="AB118" i="35" s="1"/>
  <c r="X118" i="35"/>
  <c r="Y118" i="35" s="1"/>
  <c r="V118" i="35"/>
  <c r="W118" i="35" s="1"/>
  <c r="T118" i="35"/>
  <c r="U118" i="35" s="1"/>
  <c r="Q118" i="35"/>
  <c r="K118" i="35"/>
  <c r="E118" i="35"/>
  <c r="P117" i="35"/>
  <c r="O117" i="35"/>
  <c r="N117" i="35"/>
  <c r="J117" i="35"/>
  <c r="I117" i="35"/>
  <c r="H117" i="35"/>
  <c r="D117" i="35"/>
  <c r="C117" i="35"/>
  <c r="B117" i="35"/>
  <c r="X116" i="35"/>
  <c r="Y116" i="35" s="1"/>
  <c r="V116" i="35"/>
  <c r="W116" i="35" s="1"/>
  <c r="T116" i="35"/>
  <c r="U116" i="35" s="1"/>
  <c r="Q116" i="35"/>
  <c r="K116" i="35"/>
  <c r="E116" i="35"/>
  <c r="X115" i="35"/>
  <c r="Y115" i="35" s="1"/>
  <c r="V115" i="35"/>
  <c r="W115" i="35" s="1"/>
  <c r="T115" i="35"/>
  <c r="U115" i="35" s="1"/>
  <c r="Q115" i="35"/>
  <c r="K115" i="35"/>
  <c r="E115" i="35"/>
  <c r="X114" i="35"/>
  <c r="Y114" i="35" s="1"/>
  <c r="V114" i="35"/>
  <c r="W114" i="35" s="1"/>
  <c r="T114" i="35"/>
  <c r="U114" i="35" s="1"/>
  <c r="Q114" i="35"/>
  <c r="K114" i="35"/>
  <c r="E114" i="35"/>
  <c r="X113" i="35"/>
  <c r="Y113" i="35" s="1"/>
  <c r="V113" i="35"/>
  <c r="W113" i="35" s="1"/>
  <c r="T113" i="35"/>
  <c r="U113" i="35" s="1"/>
  <c r="Q113" i="35"/>
  <c r="K113" i="35"/>
  <c r="E113" i="35"/>
  <c r="X112" i="35"/>
  <c r="Y112" i="35" s="1"/>
  <c r="V112" i="35"/>
  <c r="W112" i="35" s="1"/>
  <c r="T112" i="35"/>
  <c r="U112" i="35" s="1"/>
  <c r="Q112" i="35"/>
  <c r="K112" i="35"/>
  <c r="E112" i="35"/>
  <c r="AE91" i="35"/>
  <c r="A91" i="35" s="1"/>
  <c r="AC100" i="35"/>
  <c r="AD100" i="35" s="1"/>
  <c r="AA100" i="35"/>
  <c r="AB100" i="35" s="1"/>
  <c r="X100" i="35"/>
  <c r="Y100" i="35" s="1"/>
  <c r="V100" i="35"/>
  <c r="W100" i="35" s="1"/>
  <c r="T100" i="35"/>
  <c r="U100" i="35" s="1"/>
  <c r="Q100" i="35"/>
  <c r="K100" i="35"/>
  <c r="E100" i="35"/>
  <c r="P99" i="35"/>
  <c r="O99" i="35"/>
  <c r="N99" i="35"/>
  <c r="J99" i="35"/>
  <c r="I99" i="35"/>
  <c r="H99" i="35"/>
  <c r="D99" i="35"/>
  <c r="C99" i="35"/>
  <c r="B99" i="35"/>
  <c r="X98" i="35"/>
  <c r="Y98" i="35" s="1"/>
  <c r="V98" i="35"/>
  <c r="W98" i="35" s="1"/>
  <c r="T98" i="35"/>
  <c r="U98" i="35" s="1"/>
  <c r="Q98" i="35"/>
  <c r="K98" i="35"/>
  <c r="E98" i="35"/>
  <c r="X97" i="35"/>
  <c r="Y97" i="35" s="1"/>
  <c r="V97" i="35"/>
  <c r="W97" i="35" s="1"/>
  <c r="T97" i="35"/>
  <c r="U97" i="35" s="1"/>
  <c r="Q97" i="35"/>
  <c r="K97" i="35"/>
  <c r="E97" i="35"/>
  <c r="X96" i="35"/>
  <c r="Y96" i="35" s="1"/>
  <c r="V96" i="35"/>
  <c r="W96" i="35" s="1"/>
  <c r="T96" i="35"/>
  <c r="U96" i="35" s="1"/>
  <c r="Q96" i="35"/>
  <c r="K96" i="35"/>
  <c r="E96" i="35"/>
  <c r="X95" i="35"/>
  <c r="Y95" i="35" s="1"/>
  <c r="V95" i="35"/>
  <c r="W95" i="35" s="1"/>
  <c r="T95" i="35"/>
  <c r="U95" i="35" s="1"/>
  <c r="Q95" i="35"/>
  <c r="K95" i="35"/>
  <c r="E95" i="35"/>
  <c r="X94" i="35"/>
  <c r="Y94" i="35" s="1"/>
  <c r="V94" i="35"/>
  <c r="W94" i="35" s="1"/>
  <c r="T94" i="35"/>
  <c r="U94" i="35" s="1"/>
  <c r="Q94" i="35"/>
  <c r="K94" i="35"/>
  <c r="E94" i="35"/>
  <c r="AE73" i="35"/>
  <c r="A73" i="35" s="1"/>
  <c r="AC82" i="35"/>
  <c r="AD82" i="35" s="1"/>
  <c r="AA82" i="35"/>
  <c r="AB82" i="35" s="1"/>
  <c r="X82" i="35"/>
  <c r="Y82" i="35" s="1"/>
  <c r="V82" i="35"/>
  <c r="W82" i="35" s="1"/>
  <c r="T82" i="35"/>
  <c r="U82" i="35" s="1"/>
  <c r="Q82" i="35"/>
  <c r="K82" i="35"/>
  <c r="E82" i="35"/>
  <c r="P81" i="35"/>
  <c r="O81" i="35"/>
  <c r="N81" i="35"/>
  <c r="J81" i="35"/>
  <c r="I81" i="35"/>
  <c r="H81" i="35"/>
  <c r="D81" i="35"/>
  <c r="C81" i="35"/>
  <c r="B81" i="35"/>
  <c r="X80" i="35"/>
  <c r="Y80" i="35" s="1"/>
  <c r="V80" i="35"/>
  <c r="W80" i="35" s="1"/>
  <c r="T80" i="35"/>
  <c r="U80" i="35" s="1"/>
  <c r="Q80" i="35"/>
  <c r="K80" i="35"/>
  <c r="E80" i="35"/>
  <c r="X79" i="35"/>
  <c r="Y79" i="35" s="1"/>
  <c r="V79" i="35"/>
  <c r="W79" i="35" s="1"/>
  <c r="T79" i="35"/>
  <c r="U79" i="35" s="1"/>
  <c r="Q79" i="35"/>
  <c r="K79" i="35"/>
  <c r="E79" i="35"/>
  <c r="X78" i="35"/>
  <c r="Y78" i="35" s="1"/>
  <c r="V78" i="35"/>
  <c r="W78" i="35" s="1"/>
  <c r="T78" i="35"/>
  <c r="U78" i="35" s="1"/>
  <c r="Q78" i="35"/>
  <c r="K78" i="35"/>
  <c r="E78" i="35"/>
  <c r="X77" i="35"/>
  <c r="Y77" i="35" s="1"/>
  <c r="V77" i="35"/>
  <c r="W77" i="35" s="1"/>
  <c r="T77" i="35"/>
  <c r="U77" i="35" s="1"/>
  <c r="Q77" i="35"/>
  <c r="K77" i="35"/>
  <c r="E77" i="35"/>
  <c r="X76" i="35"/>
  <c r="Y76" i="35" s="1"/>
  <c r="V76" i="35"/>
  <c r="W76" i="35" s="1"/>
  <c r="T76" i="35"/>
  <c r="U76" i="35" s="1"/>
  <c r="Q76" i="35"/>
  <c r="K76" i="35"/>
  <c r="E76" i="35"/>
  <c r="AE55" i="35"/>
  <c r="A55" i="35" s="1"/>
  <c r="AC64" i="35"/>
  <c r="AD64" i="35" s="1"/>
  <c r="AA64" i="35"/>
  <c r="AB64" i="35" s="1"/>
  <c r="X64" i="35"/>
  <c r="Y64" i="35" s="1"/>
  <c r="V64" i="35"/>
  <c r="W64" i="35" s="1"/>
  <c r="T64" i="35"/>
  <c r="U64" i="35" s="1"/>
  <c r="Q64" i="35"/>
  <c r="K64" i="35"/>
  <c r="E64" i="35"/>
  <c r="P63" i="35"/>
  <c r="O63" i="35"/>
  <c r="N63" i="35"/>
  <c r="J63" i="35"/>
  <c r="I63" i="35"/>
  <c r="H63" i="35"/>
  <c r="D63" i="35"/>
  <c r="C63" i="35"/>
  <c r="B63" i="35"/>
  <c r="X62" i="35"/>
  <c r="Y62" i="35" s="1"/>
  <c r="V62" i="35"/>
  <c r="W62" i="35" s="1"/>
  <c r="T62" i="35"/>
  <c r="U62" i="35" s="1"/>
  <c r="Q62" i="35"/>
  <c r="K62" i="35"/>
  <c r="E62" i="35"/>
  <c r="X61" i="35"/>
  <c r="Y61" i="35" s="1"/>
  <c r="V61" i="35"/>
  <c r="W61" i="35" s="1"/>
  <c r="T61" i="35"/>
  <c r="U61" i="35" s="1"/>
  <c r="Q61" i="35"/>
  <c r="K61" i="35"/>
  <c r="E61" i="35"/>
  <c r="X60" i="35"/>
  <c r="Y60" i="35" s="1"/>
  <c r="V60" i="35"/>
  <c r="W60" i="35" s="1"/>
  <c r="T60" i="35"/>
  <c r="U60" i="35" s="1"/>
  <c r="Q60" i="35"/>
  <c r="K60" i="35"/>
  <c r="E60" i="35"/>
  <c r="X59" i="35"/>
  <c r="Y59" i="35" s="1"/>
  <c r="V59" i="35"/>
  <c r="W59" i="35" s="1"/>
  <c r="T59" i="35"/>
  <c r="U59" i="35" s="1"/>
  <c r="Q59" i="35"/>
  <c r="K59" i="35"/>
  <c r="E59" i="35"/>
  <c r="X58" i="35"/>
  <c r="Y58" i="35" s="1"/>
  <c r="V58" i="35"/>
  <c r="W58" i="35" s="1"/>
  <c r="T58" i="35"/>
  <c r="U58" i="35" s="1"/>
  <c r="Q58" i="35"/>
  <c r="K58" i="35"/>
  <c r="E58" i="35"/>
  <c r="AE37" i="35"/>
  <c r="A37" i="35" s="1"/>
  <c r="AE19" i="35"/>
  <c r="A19" i="35" s="1"/>
  <c r="AC46" i="35"/>
  <c r="AD46" i="35" s="1"/>
  <c r="AA46" i="35"/>
  <c r="AB46" i="35" s="1"/>
  <c r="X46" i="35"/>
  <c r="Y46" i="35" s="1"/>
  <c r="V46" i="35"/>
  <c r="W46" i="35" s="1"/>
  <c r="T46" i="35"/>
  <c r="U46" i="35" s="1"/>
  <c r="Q46" i="35"/>
  <c r="K46" i="35"/>
  <c r="E46" i="35"/>
  <c r="P45" i="35"/>
  <c r="O45" i="35"/>
  <c r="N45" i="35"/>
  <c r="J45" i="35"/>
  <c r="I45" i="35"/>
  <c r="H45" i="35"/>
  <c r="D45" i="35"/>
  <c r="C45" i="35"/>
  <c r="B45" i="35"/>
  <c r="X44" i="35"/>
  <c r="Y44" i="35" s="1"/>
  <c r="V44" i="35"/>
  <c r="W44" i="35" s="1"/>
  <c r="T44" i="35"/>
  <c r="U44" i="35" s="1"/>
  <c r="Q44" i="35"/>
  <c r="K44" i="35"/>
  <c r="E44" i="35"/>
  <c r="X43" i="35"/>
  <c r="Y43" i="35" s="1"/>
  <c r="V43" i="35"/>
  <c r="W43" i="35" s="1"/>
  <c r="T43" i="35"/>
  <c r="U43" i="35" s="1"/>
  <c r="Q43" i="35"/>
  <c r="K43" i="35"/>
  <c r="E43" i="35"/>
  <c r="X42" i="35"/>
  <c r="Y42" i="35" s="1"/>
  <c r="V42" i="35"/>
  <c r="W42" i="35" s="1"/>
  <c r="T42" i="35"/>
  <c r="U42" i="35" s="1"/>
  <c r="Q42" i="35"/>
  <c r="K42" i="35"/>
  <c r="E42" i="35"/>
  <c r="X41" i="35"/>
  <c r="Y41" i="35" s="1"/>
  <c r="V41" i="35"/>
  <c r="W41" i="35" s="1"/>
  <c r="T41" i="35"/>
  <c r="U41" i="35" s="1"/>
  <c r="Q41" i="35"/>
  <c r="K41" i="35"/>
  <c r="E41" i="35"/>
  <c r="X40" i="35"/>
  <c r="Y40" i="35" s="1"/>
  <c r="V40" i="35"/>
  <c r="W40" i="35" s="1"/>
  <c r="T40" i="35"/>
  <c r="U40" i="35" s="1"/>
  <c r="Q40" i="35"/>
  <c r="K40" i="35"/>
  <c r="E40" i="35"/>
  <c r="A2" i="35"/>
  <c r="J10" i="177"/>
  <c r="J20" i="177"/>
  <c r="J19" i="177"/>
  <c r="J18" i="177"/>
  <c r="J17" i="177"/>
  <c r="J16" i="177"/>
  <c r="M16" i="177" s="1"/>
  <c r="J13" i="177"/>
  <c r="J12" i="177"/>
  <c r="J11" i="177"/>
  <c r="J9" i="177"/>
  <c r="J8" i="177"/>
  <c r="J5" i="177"/>
  <c r="G20" i="177"/>
  <c r="G19" i="177"/>
  <c r="G16" i="100" s="1"/>
  <c r="G16" i="212" s="1"/>
  <c r="I16" i="212" s="1"/>
  <c r="G18" i="177"/>
  <c r="G17" i="177"/>
  <c r="G16" i="177"/>
  <c r="G13" i="177"/>
  <c r="G12" i="177"/>
  <c r="G11" i="177"/>
  <c r="G10" i="177"/>
  <c r="G9" i="177"/>
  <c r="G8" i="177"/>
  <c r="G5" i="177"/>
  <c r="E20" i="177"/>
  <c r="E19" i="177"/>
  <c r="F16" i="100" s="1"/>
  <c r="D16" i="212" s="1"/>
  <c r="E18" i="177"/>
  <c r="E17" i="177"/>
  <c r="E16" i="177"/>
  <c r="E13" i="177"/>
  <c r="E12" i="177"/>
  <c r="M12" i="177" s="1"/>
  <c r="E11" i="177"/>
  <c r="E10" i="177"/>
  <c r="E9" i="177"/>
  <c r="E8" i="177"/>
  <c r="E5" i="177"/>
  <c r="E7" i="212" s="1"/>
  <c r="FT2" i="177"/>
  <c r="FI1" i="177" s="1"/>
  <c r="FK1" i="177" s="1"/>
  <c r="FN1" i="177" s="1"/>
  <c r="FN25" i="177"/>
  <c r="FK25" i="177"/>
  <c r="FI25" i="177"/>
  <c r="FS24" i="177"/>
  <c r="FR24" i="177"/>
  <c r="FQ24" i="177"/>
  <c r="FP24" i="177"/>
  <c r="FO24" i="177"/>
  <c r="FM24" i="177"/>
  <c r="FS23" i="177"/>
  <c r="FR23" i="177"/>
  <c r="FQ23" i="177"/>
  <c r="FP23" i="177"/>
  <c r="FO23" i="177"/>
  <c r="FM23" i="177"/>
  <c r="FS22" i="177"/>
  <c r="FR22" i="177"/>
  <c r="FQ22" i="177"/>
  <c r="FP22" i="177"/>
  <c r="FO22" i="177"/>
  <c r="FM22" i="177"/>
  <c r="FS21" i="177"/>
  <c r="FR21" i="177"/>
  <c r="FQ21" i="177"/>
  <c r="FP21" i="177"/>
  <c r="FO21" i="177"/>
  <c r="FM21" i="177"/>
  <c r="FS20" i="177"/>
  <c r="FQ20" i="177"/>
  <c r="FO20" i="177"/>
  <c r="FG20" i="177"/>
  <c r="FF20" i="177"/>
  <c r="FS19" i="177"/>
  <c r="FQ19" i="177"/>
  <c r="FO19" i="177"/>
  <c r="FG19" i="177"/>
  <c r="FF19" i="177"/>
  <c r="FS18" i="177"/>
  <c r="FQ18" i="177"/>
  <c r="FO18" i="177"/>
  <c r="FG18" i="177"/>
  <c r="FF18" i="177"/>
  <c r="FS17" i="177"/>
  <c r="FQ17" i="177"/>
  <c r="FO17" i="177"/>
  <c r="FG17" i="177"/>
  <c r="FF17" i="177"/>
  <c r="FS16" i="177"/>
  <c r="FQ16" i="177"/>
  <c r="FO16" i="177"/>
  <c r="FG16" i="177"/>
  <c r="FF16" i="177"/>
  <c r="FS15" i="177"/>
  <c r="FQ15" i="177"/>
  <c r="FG15" i="177"/>
  <c r="FF15" i="177"/>
  <c r="FS14" i="177"/>
  <c r="FR14" i="177"/>
  <c r="FQ14" i="177"/>
  <c r="FP14" i="177"/>
  <c r="FM14" i="177"/>
  <c r="FG14" i="177"/>
  <c r="FF14" i="177"/>
  <c r="FS13" i="177"/>
  <c r="FQ13" i="177"/>
  <c r="FO13" i="177"/>
  <c r="FG13" i="177"/>
  <c r="FF13" i="177"/>
  <c r="FE13" i="177"/>
  <c r="FS12" i="177"/>
  <c r="FQ12" i="177"/>
  <c r="FO12" i="177"/>
  <c r="FG12" i="177"/>
  <c r="FF12" i="177"/>
  <c r="FS11" i="177"/>
  <c r="FQ11" i="177"/>
  <c r="FO11" i="177"/>
  <c r="FG11" i="177"/>
  <c r="FF11" i="177"/>
  <c r="FS10" i="177"/>
  <c r="FQ10" i="177"/>
  <c r="FO10" i="177"/>
  <c r="FG10" i="177"/>
  <c r="FF10" i="177"/>
  <c r="FS9" i="177"/>
  <c r="FQ9" i="177"/>
  <c r="FO9" i="177"/>
  <c r="FG9" i="177"/>
  <c r="FF9" i="177"/>
  <c r="FS8" i="177"/>
  <c r="FQ8" i="177"/>
  <c r="FO8" i="177"/>
  <c r="FG8" i="177"/>
  <c r="FF8" i="177"/>
  <c r="FS7" i="177"/>
  <c r="FG7" i="177"/>
  <c r="FF7" i="177"/>
  <c r="FS6" i="177"/>
  <c r="FR6" i="177"/>
  <c r="FP6" i="177"/>
  <c r="FM6" i="177"/>
  <c r="FG6" i="177"/>
  <c r="FF6" i="177"/>
  <c r="FS5" i="177"/>
  <c r="FQ5" i="177"/>
  <c r="FO5" i="177"/>
  <c r="FG5" i="177"/>
  <c r="FF5" i="177"/>
  <c r="FE5" i="177"/>
  <c r="FS4" i="177"/>
  <c r="FR4" i="177"/>
  <c r="FQ4" i="177"/>
  <c r="FP4" i="177"/>
  <c r="FO4" i="177"/>
  <c r="FN4" i="177"/>
  <c r="FM4" i="177"/>
  <c r="FL4" i="177"/>
  <c r="FK4" i="177"/>
  <c r="FJ4" i="177"/>
  <c r="FI4" i="177"/>
  <c r="FH4" i="177"/>
  <c r="FR3" i="177"/>
  <c r="FP3" i="177"/>
  <c r="FL3" i="177"/>
  <c r="FJ3" i="177"/>
  <c r="FH3" i="177"/>
  <c r="FG3" i="177"/>
  <c r="FF3" i="177"/>
  <c r="FE3" i="177"/>
  <c r="FD2" i="177"/>
  <c r="EV10" i="177" s="1"/>
  <c r="EX25" i="177"/>
  <c r="EU25" i="177"/>
  <c r="ES25" i="177"/>
  <c r="FC24" i="177"/>
  <c r="FB24" i="177"/>
  <c r="FA24" i="177"/>
  <c r="EZ24" i="177"/>
  <c r="EY24" i="177"/>
  <c r="EW24" i="177"/>
  <c r="FC23" i="177"/>
  <c r="FB23" i="177"/>
  <c r="FA23" i="177"/>
  <c r="EZ23" i="177"/>
  <c r="EY23" i="177"/>
  <c r="EW23" i="177"/>
  <c r="FC22" i="177"/>
  <c r="FB22" i="177"/>
  <c r="FA22" i="177"/>
  <c r="EZ22" i="177"/>
  <c r="EY22" i="177"/>
  <c r="EW22" i="177"/>
  <c r="FC21" i="177"/>
  <c r="FB21" i="177"/>
  <c r="FA21" i="177"/>
  <c r="EZ21" i="177"/>
  <c r="EY21" i="177"/>
  <c r="EW21" i="177"/>
  <c r="FC20" i="177"/>
  <c r="FA20" i="177"/>
  <c r="EY20" i="177"/>
  <c r="EQ20" i="177"/>
  <c r="EP20" i="177"/>
  <c r="FC19" i="177"/>
  <c r="FA19" i="177"/>
  <c r="EY19" i="177"/>
  <c r="EQ19" i="177"/>
  <c r="EP19" i="177"/>
  <c r="FC18" i="177"/>
  <c r="FA18" i="177"/>
  <c r="EY18" i="177"/>
  <c r="EQ18" i="177"/>
  <c r="EP18" i="177"/>
  <c r="FC17" i="177"/>
  <c r="FA17" i="177"/>
  <c r="EY17" i="177"/>
  <c r="EQ17" i="177"/>
  <c r="EP17" i="177"/>
  <c r="FC16" i="177"/>
  <c r="FA16" i="177"/>
  <c r="EY16" i="177"/>
  <c r="EQ16" i="177"/>
  <c r="EP16" i="177"/>
  <c r="FC15" i="177"/>
  <c r="FA15" i="177"/>
  <c r="EQ15" i="177"/>
  <c r="EP15" i="177"/>
  <c r="FC14" i="177"/>
  <c r="FB14" i="177"/>
  <c r="FA14" i="177"/>
  <c r="EZ14" i="177"/>
  <c r="EW14" i="177"/>
  <c r="EQ14" i="177"/>
  <c r="EP14" i="177"/>
  <c r="FC13" i="177"/>
  <c r="FA13" i="177"/>
  <c r="EY13" i="177"/>
  <c r="EQ13" i="177"/>
  <c r="EP13" i="177"/>
  <c r="EO13" i="177"/>
  <c r="FC12" i="177"/>
  <c r="FA12" i="177"/>
  <c r="EY12" i="177"/>
  <c r="EQ12" i="177"/>
  <c r="EP12" i="177"/>
  <c r="FC11" i="177"/>
  <c r="FA11" i="177"/>
  <c r="EY11" i="177"/>
  <c r="EQ11" i="177"/>
  <c r="EP11" i="177"/>
  <c r="FC10" i="177"/>
  <c r="FA10" i="177"/>
  <c r="EY10" i="177"/>
  <c r="EQ10" i="177"/>
  <c r="EP10" i="177"/>
  <c r="FC9" i="177"/>
  <c r="FA9" i="177"/>
  <c r="EY9" i="177"/>
  <c r="EQ9" i="177"/>
  <c r="EP9" i="177"/>
  <c r="FC8" i="177"/>
  <c r="FA8" i="177"/>
  <c r="EY8" i="177"/>
  <c r="EQ8" i="177"/>
  <c r="EP8" i="177"/>
  <c r="FC7" i="177"/>
  <c r="EQ7" i="177"/>
  <c r="EP7" i="177"/>
  <c r="FC6" i="177"/>
  <c r="FB6" i="177"/>
  <c r="EZ6" i="177"/>
  <c r="EW6" i="177"/>
  <c r="EQ6" i="177"/>
  <c r="EP6" i="177"/>
  <c r="FC5" i="177"/>
  <c r="FA5" i="177"/>
  <c r="EY5" i="177"/>
  <c r="EQ5" i="177"/>
  <c r="EP5" i="177"/>
  <c r="EO5" i="177"/>
  <c r="FC4" i="177"/>
  <c r="FB4" i="177"/>
  <c r="FA4" i="177"/>
  <c r="EZ4" i="177"/>
  <c r="EY4" i="177"/>
  <c r="EX4" i="177"/>
  <c r="EW4" i="177"/>
  <c r="EV4" i="177"/>
  <c r="EU4" i="177"/>
  <c r="ET4" i="177"/>
  <c r="ES4" i="177"/>
  <c r="ER4" i="177"/>
  <c r="FB3" i="177"/>
  <c r="EZ3" i="177"/>
  <c r="EV3" i="177"/>
  <c r="ET3" i="177"/>
  <c r="ER3" i="177"/>
  <c r="EQ3" i="177"/>
  <c r="EP3" i="177"/>
  <c r="EO3" i="177"/>
  <c r="EN2" i="177"/>
  <c r="EC1" i="177" s="1"/>
  <c r="EE1" i="177" s="1"/>
  <c r="EH1" i="177" s="1"/>
  <c r="DX2" i="177"/>
  <c r="DM1" i="177" s="1"/>
  <c r="DO1" i="177" s="1"/>
  <c r="DR1" i="177" s="1"/>
  <c r="DH2" i="177"/>
  <c r="CW1" i="177" s="1"/>
  <c r="CY1" i="177" s="1"/>
  <c r="DB1" i="177" s="1"/>
  <c r="CR2" i="177"/>
  <c r="CH10" i="177" s="1"/>
  <c r="EH25" i="177"/>
  <c r="EE25" i="177"/>
  <c r="EC25" i="177"/>
  <c r="DR25" i="177"/>
  <c r="DO25" i="177"/>
  <c r="DM25" i="177"/>
  <c r="DB25" i="177"/>
  <c r="CY25" i="177"/>
  <c r="CW25" i="177"/>
  <c r="CL25" i="177"/>
  <c r="CI25" i="177"/>
  <c r="CG25" i="177"/>
  <c r="EM24" i="177"/>
  <c r="EL24" i="177"/>
  <c r="EK24" i="177"/>
  <c r="EJ24" i="177"/>
  <c r="EI24" i="177"/>
  <c r="EG24" i="177"/>
  <c r="DW24" i="177"/>
  <c r="DV24" i="177"/>
  <c r="DU24" i="177"/>
  <c r="DT24" i="177"/>
  <c r="DS24" i="177"/>
  <c r="DQ24" i="177"/>
  <c r="DG24" i="177"/>
  <c r="DF24" i="177"/>
  <c r="DE24" i="177"/>
  <c r="DD24" i="177"/>
  <c r="DC24" i="177"/>
  <c r="DA24" i="177"/>
  <c r="CQ24" i="177"/>
  <c r="CP24" i="177"/>
  <c r="CO24" i="177"/>
  <c r="CN24" i="177"/>
  <c r="CM24" i="177"/>
  <c r="CK24" i="177"/>
  <c r="EM23" i="177"/>
  <c r="EL23" i="177"/>
  <c r="EK23" i="177"/>
  <c r="EJ23" i="177"/>
  <c r="EI23" i="177"/>
  <c r="EG23" i="177"/>
  <c r="DW23" i="177"/>
  <c r="DV23" i="177"/>
  <c r="DU23" i="177"/>
  <c r="DT23" i="177"/>
  <c r="DS23" i="177"/>
  <c r="DQ23" i="177"/>
  <c r="DG23" i="177"/>
  <c r="DF23" i="177"/>
  <c r="DE23" i="177"/>
  <c r="DD23" i="177"/>
  <c r="DC23" i="177"/>
  <c r="DA23" i="177"/>
  <c r="CQ23" i="177"/>
  <c r="CP23" i="177"/>
  <c r="CO23" i="177"/>
  <c r="CN23" i="177"/>
  <c r="CM23" i="177"/>
  <c r="CK23" i="177"/>
  <c r="EM22" i="177"/>
  <c r="EL22" i="177"/>
  <c r="EK22" i="177"/>
  <c r="EJ22" i="177"/>
  <c r="EI22" i="177"/>
  <c r="EG22" i="177"/>
  <c r="DW22" i="177"/>
  <c r="DV22" i="177"/>
  <c r="DU22" i="177"/>
  <c r="DT22" i="177"/>
  <c r="DS22" i="177"/>
  <c r="DQ22" i="177"/>
  <c r="DG22" i="177"/>
  <c r="DF22" i="177"/>
  <c r="DE22" i="177"/>
  <c r="DD22" i="177"/>
  <c r="DC22" i="177"/>
  <c r="DA22" i="177"/>
  <c r="CQ22" i="177"/>
  <c r="CP22" i="177"/>
  <c r="CO22" i="177"/>
  <c r="CN22" i="177"/>
  <c r="CM22" i="177"/>
  <c r="CK22" i="177"/>
  <c r="EM21" i="177"/>
  <c r="EL21" i="177"/>
  <c r="EK21" i="177"/>
  <c r="EJ21" i="177"/>
  <c r="EI21" i="177"/>
  <c r="EG21" i="177"/>
  <c r="DW21" i="177"/>
  <c r="DV21" i="177"/>
  <c r="DU21" i="177"/>
  <c r="DT21" i="177"/>
  <c r="DS21" i="177"/>
  <c r="DQ21" i="177"/>
  <c r="DG21" i="177"/>
  <c r="DF21" i="177"/>
  <c r="DE21" i="177"/>
  <c r="DD21" i="177"/>
  <c r="DC21" i="177"/>
  <c r="DA21" i="177"/>
  <c r="CQ21" i="177"/>
  <c r="CP21" i="177"/>
  <c r="CO21" i="177"/>
  <c r="CN21" i="177"/>
  <c r="CM21" i="177"/>
  <c r="CK21" i="177"/>
  <c r="EM20" i="177"/>
  <c r="EK20" i="177"/>
  <c r="EI20" i="177"/>
  <c r="EA20" i="177"/>
  <c r="DZ20" i="177"/>
  <c r="DW20" i="177"/>
  <c r="DU20" i="177"/>
  <c r="DS20" i="177"/>
  <c r="DK20" i="177"/>
  <c r="DJ20" i="177"/>
  <c r="DG20" i="177"/>
  <c r="DE20" i="177"/>
  <c r="DC20" i="177"/>
  <c r="CU20" i="177"/>
  <c r="CT20" i="177"/>
  <c r="CQ20" i="177"/>
  <c r="CO20" i="177"/>
  <c r="CM20" i="177"/>
  <c r="CE20" i="177"/>
  <c r="CD20" i="177"/>
  <c r="EM19" i="177"/>
  <c r="EK19" i="177"/>
  <c r="EI19" i="177"/>
  <c r="EA19" i="177"/>
  <c r="DZ19" i="177"/>
  <c r="DW19" i="177"/>
  <c r="DU19" i="177"/>
  <c r="DS19" i="177"/>
  <c r="DK19" i="177"/>
  <c r="DJ19" i="177"/>
  <c r="DG19" i="177"/>
  <c r="DE19" i="177"/>
  <c r="DC19" i="177"/>
  <c r="CU19" i="177"/>
  <c r="CT19" i="177"/>
  <c r="CQ19" i="177"/>
  <c r="CO19" i="177"/>
  <c r="CM19" i="177"/>
  <c r="CE19" i="177"/>
  <c r="CD19" i="177"/>
  <c r="EM18" i="177"/>
  <c r="EK18" i="177"/>
  <c r="EI18" i="177"/>
  <c r="EA18" i="177"/>
  <c r="DZ18" i="177"/>
  <c r="DW18" i="177"/>
  <c r="DU18" i="177"/>
  <c r="DS18" i="177"/>
  <c r="DK18" i="177"/>
  <c r="DJ18" i="177"/>
  <c r="DG18" i="177"/>
  <c r="DE18" i="177"/>
  <c r="DC18" i="177"/>
  <c r="CU18" i="177"/>
  <c r="CT18" i="177"/>
  <c r="CQ18" i="177"/>
  <c r="CO18" i="177"/>
  <c r="CM18" i="177"/>
  <c r="CE18" i="177"/>
  <c r="CD18" i="177"/>
  <c r="EM17" i="177"/>
  <c r="EK17" i="177"/>
  <c r="EI17" i="177"/>
  <c r="EA17" i="177"/>
  <c r="DZ17" i="177"/>
  <c r="DW17" i="177"/>
  <c r="DU17" i="177"/>
  <c r="DS17" i="177"/>
  <c r="DK17" i="177"/>
  <c r="DJ17" i="177"/>
  <c r="DG17" i="177"/>
  <c r="DE17" i="177"/>
  <c r="DC17" i="177"/>
  <c r="CU17" i="177"/>
  <c r="CT17" i="177"/>
  <c r="CQ17" i="177"/>
  <c r="CO17" i="177"/>
  <c r="CM17" i="177"/>
  <c r="CE17" i="177"/>
  <c r="CD17" i="177"/>
  <c r="EM16" i="177"/>
  <c r="EK16" i="177"/>
  <c r="EI16" i="177"/>
  <c r="EA16" i="177"/>
  <c r="DZ16" i="177"/>
  <c r="DW16" i="177"/>
  <c r="DU16" i="177"/>
  <c r="DS16" i="177"/>
  <c r="DK16" i="177"/>
  <c r="DJ16" i="177"/>
  <c r="DG16" i="177"/>
  <c r="DE16" i="177"/>
  <c r="DC16" i="177"/>
  <c r="CU16" i="177"/>
  <c r="CT16" i="177"/>
  <c r="CQ16" i="177"/>
  <c r="CO16" i="177"/>
  <c r="CM16" i="177"/>
  <c r="CE16" i="177"/>
  <c r="CD16" i="177"/>
  <c r="EM15" i="177"/>
  <c r="EK15" i="177"/>
  <c r="EA15" i="177"/>
  <c r="DZ15" i="177"/>
  <c r="DW15" i="177"/>
  <c r="DU15" i="177"/>
  <c r="DK15" i="177"/>
  <c r="DJ15" i="177"/>
  <c r="DG15" i="177"/>
  <c r="DE15" i="177"/>
  <c r="CU15" i="177"/>
  <c r="CT15" i="177"/>
  <c r="CQ15" i="177"/>
  <c r="CO15" i="177"/>
  <c r="CE15" i="177"/>
  <c r="CD15" i="177"/>
  <c r="EM14" i="177"/>
  <c r="EL14" i="177"/>
  <c r="EK14" i="177"/>
  <c r="EJ14" i="177"/>
  <c r="EG14" i="177"/>
  <c r="EA14" i="177"/>
  <c r="DZ14" i="177"/>
  <c r="DW14" i="177"/>
  <c r="DV14" i="177"/>
  <c r="DU14" i="177"/>
  <c r="DT14" i="177"/>
  <c r="DQ14" i="177"/>
  <c r="DK14" i="177"/>
  <c r="DJ14" i="177"/>
  <c r="DG14" i="177"/>
  <c r="DF14" i="177"/>
  <c r="DE14" i="177"/>
  <c r="DD14" i="177"/>
  <c r="DA14" i="177"/>
  <c r="CU14" i="177"/>
  <c r="CT14" i="177"/>
  <c r="CQ14" i="177"/>
  <c r="CP14" i="177"/>
  <c r="CO14" i="177"/>
  <c r="CN14" i="177"/>
  <c r="CK14" i="177"/>
  <c r="CE14" i="177"/>
  <c r="CD14" i="177"/>
  <c r="EM13" i="177"/>
  <c r="EK13" i="177"/>
  <c r="EI13" i="177"/>
  <c r="EA13" i="177"/>
  <c r="DZ13" i="177"/>
  <c r="DY13" i="177"/>
  <c r="DW13" i="177"/>
  <c r="DU13" i="177"/>
  <c r="DS13" i="177"/>
  <c r="DK13" i="177"/>
  <c r="DJ13" i="177"/>
  <c r="DI13" i="177"/>
  <c r="DG13" i="177"/>
  <c r="DE13" i="177"/>
  <c r="DC13" i="177"/>
  <c r="CU13" i="177"/>
  <c r="CT13" i="177"/>
  <c r="CS13" i="177"/>
  <c r="CQ13" i="177"/>
  <c r="CO13" i="177"/>
  <c r="CM13" i="177"/>
  <c r="CE13" i="177"/>
  <c r="CD13" i="177"/>
  <c r="CC13" i="177"/>
  <c r="EM12" i="177"/>
  <c r="EK12" i="177"/>
  <c r="EI12" i="177"/>
  <c r="EA12" i="177"/>
  <c r="DZ12" i="177"/>
  <c r="DW12" i="177"/>
  <c r="DU12" i="177"/>
  <c r="DS12" i="177"/>
  <c r="DK12" i="177"/>
  <c r="DJ12" i="177"/>
  <c r="DG12" i="177"/>
  <c r="DE12" i="177"/>
  <c r="DC12" i="177"/>
  <c r="CU12" i="177"/>
  <c r="CT12" i="177"/>
  <c r="CQ12" i="177"/>
  <c r="CO12" i="177"/>
  <c r="CM12" i="177"/>
  <c r="CE12" i="177"/>
  <c r="CD12" i="177"/>
  <c r="EM11" i="177"/>
  <c r="EK11" i="177"/>
  <c r="EI11" i="177"/>
  <c r="EA11" i="177"/>
  <c r="DZ11" i="177"/>
  <c r="DW11" i="177"/>
  <c r="DU11" i="177"/>
  <c r="DS11" i="177"/>
  <c r="DK11" i="177"/>
  <c r="DJ11" i="177"/>
  <c r="DG11" i="177"/>
  <c r="DE11" i="177"/>
  <c r="DC11" i="177"/>
  <c r="CU11" i="177"/>
  <c r="CT11" i="177"/>
  <c r="CQ11" i="177"/>
  <c r="CO11" i="177"/>
  <c r="CM11" i="177"/>
  <c r="CE11" i="177"/>
  <c r="CD11" i="177"/>
  <c r="EM10" i="177"/>
  <c r="EK10" i="177"/>
  <c r="EI10" i="177"/>
  <c r="EA10" i="177"/>
  <c r="DZ10" i="177"/>
  <c r="DW10" i="177"/>
  <c r="DU10" i="177"/>
  <c r="DS10" i="177"/>
  <c r="DK10" i="177"/>
  <c r="DJ10" i="177"/>
  <c r="DG10" i="177"/>
  <c r="DE10" i="177"/>
  <c r="DC10" i="177"/>
  <c r="CU10" i="177"/>
  <c r="CT10" i="177"/>
  <c r="CQ10" i="177"/>
  <c r="CO10" i="177"/>
  <c r="CM10" i="177"/>
  <c r="CE10" i="177"/>
  <c r="CD10" i="177"/>
  <c r="EM9" i="177"/>
  <c r="EK9" i="177"/>
  <c r="EI9" i="177"/>
  <c r="EA9" i="177"/>
  <c r="DZ9" i="177"/>
  <c r="DW9" i="177"/>
  <c r="DU9" i="177"/>
  <c r="DS9" i="177"/>
  <c r="DK9" i="177"/>
  <c r="DJ9" i="177"/>
  <c r="DG9" i="177"/>
  <c r="DE9" i="177"/>
  <c r="DC9" i="177"/>
  <c r="CU9" i="177"/>
  <c r="CT9" i="177"/>
  <c r="CQ9" i="177"/>
  <c r="CO9" i="177"/>
  <c r="CM9" i="177"/>
  <c r="CE9" i="177"/>
  <c r="CD9" i="177"/>
  <c r="EM8" i="177"/>
  <c r="EK8" i="177"/>
  <c r="EI8" i="177"/>
  <c r="EA8" i="177"/>
  <c r="DZ8" i="177"/>
  <c r="DW8" i="177"/>
  <c r="DU8" i="177"/>
  <c r="DS8" i="177"/>
  <c r="DK8" i="177"/>
  <c r="DJ8" i="177"/>
  <c r="DG8" i="177"/>
  <c r="DE8" i="177"/>
  <c r="DC8" i="177"/>
  <c r="CU8" i="177"/>
  <c r="CT8" i="177"/>
  <c r="CQ8" i="177"/>
  <c r="CO8" i="177"/>
  <c r="CM8" i="177"/>
  <c r="CE8" i="177"/>
  <c r="CD8" i="177"/>
  <c r="EM7" i="177"/>
  <c r="EA7" i="177"/>
  <c r="DZ7" i="177"/>
  <c r="DW7" i="177"/>
  <c r="DK7" i="177"/>
  <c r="DJ7" i="177"/>
  <c r="DG7" i="177"/>
  <c r="CU7" i="177"/>
  <c r="CT7" i="177"/>
  <c r="CQ7" i="177"/>
  <c r="CE7" i="177"/>
  <c r="CD7" i="177"/>
  <c r="EM6" i="177"/>
  <c r="EL6" i="177"/>
  <c r="EJ6" i="177"/>
  <c r="EG6" i="177"/>
  <c r="EA6" i="177"/>
  <c r="DZ6" i="177"/>
  <c r="DW6" i="177"/>
  <c r="DV6" i="177"/>
  <c r="DT6" i="177"/>
  <c r="DQ6" i="177"/>
  <c r="DK6" i="177"/>
  <c r="DJ6" i="177"/>
  <c r="DG6" i="177"/>
  <c r="DF6" i="177"/>
  <c r="DD6" i="177"/>
  <c r="DA6" i="177"/>
  <c r="CU6" i="177"/>
  <c r="CT6" i="177"/>
  <c r="CQ6" i="177"/>
  <c r="CP6" i="177"/>
  <c r="CN6" i="177"/>
  <c r="CK6" i="177"/>
  <c r="CE6" i="177"/>
  <c r="CD6" i="177"/>
  <c r="EM5" i="177"/>
  <c r="EK5" i="177"/>
  <c r="EI5" i="177"/>
  <c r="EA5" i="177"/>
  <c r="DZ5" i="177"/>
  <c r="DY5" i="177"/>
  <c r="DW5" i="177"/>
  <c r="DU5" i="177"/>
  <c r="DS5" i="177"/>
  <c r="DL5" i="177"/>
  <c r="DL8" i="177" s="1"/>
  <c r="DK5" i="177"/>
  <c r="DJ5" i="177"/>
  <c r="DI5" i="177"/>
  <c r="DG5" i="177"/>
  <c r="DE5" i="177"/>
  <c r="DC5" i="177"/>
  <c r="CU5" i="177"/>
  <c r="CT5" i="177"/>
  <c r="CS5" i="177"/>
  <c r="CQ5" i="177"/>
  <c r="CO5" i="177"/>
  <c r="CM5" i="177"/>
  <c r="CE5" i="177"/>
  <c r="CD5" i="177"/>
  <c r="CC5" i="177"/>
  <c r="EM4" i="177"/>
  <c r="EL4" i="177"/>
  <c r="EK4" i="177"/>
  <c r="EJ4" i="177"/>
  <c r="EI4" i="177"/>
  <c r="EH4" i="177"/>
  <c r="EG4" i="177"/>
  <c r="EF4" i="177"/>
  <c r="EE4" i="177"/>
  <c r="ED4" i="177"/>
  <c r="EC4" i="177"/>
  <c r="EB4" i="177"/>
  <c r="DW4" i="177"/>
  <c r="DV4" i="177"/>
  <c r="DU4" i="177"/>
  <c r="DT4" i="177"/>
  <c r="DS4" i="177"/>
  <c r="DR4" i="177"/>
  <c r="DQ4" i="177"/>
  <c r="DP4" i="177"/>
  <c r="DO4" i="177"/>
  <c r="DN4" i="177"/>
  <c r="DM4" i="177"/>
  <c r="DL4" i="177"/>
  <c r="DG4" i="177"/>
  <c r="DF4" i="177"/>
  <c r="DE4" i="177"/>
  <c r="DD4" i="177"/>
  <c r="DC4" i="177"/>
  <c r="DB4" i="177"/>
  <c r="DA4" i="177"/>
  <c r="CZ4" i="177"/>
  <c r="CY4" i="177"/>
  <c r="CX4" i="177"/>
  <c r="CW4" i="177"/>
  <c r="CV4" i="177"/>
  <c r="CQ4" i="177"/>
  <c r="CP4" i="177"/>
  <c r="CO4" i="177"/>
  <c r="CN4" i="177"/>
  <c r="CM4" i="177"/>
  <c r="CL4" i="177"/>
  <c r="CK4" i="177"/>
  <c r="CJ4" i="177"/>
  <c r="CI4" i="177"/>
  <c r="CH4" i="177"/>
  <c r="CG4" i="177"/>
  <c r="CF4" i="177"/>
  <c r="EL3" i="177"/>
  <c r="EJ3" i="177"/>
  <c r="EF3" i="177"/>
  <c r="ED3" i="177"/>
  <c r="EB3" i="177"/>
  <c r="EA3" i="177"/>
  <c r="DZ3" i="177"/>
  <c r="DY3" i="177"/>
  <c r="DV3" i="177"/>
  <c r="DT3" i="177"/>
  <c r="DP3" i="177"/>
  <c r="DN3" i="177"/>
  <c r="DL3" i="177"/>
  <c r="DK3" i="177"/>
  <c r="DJ3" i="177"/>
  <c r="DI3" i="177"/>
  <c r="DF3" i="177"/>
  <c r="DD3" i="177"/>
  <c r="CZ3" i="177"/>
  <c r="CX3" i="177"/>
  <c r="CV3" i="177"/>
  <c r="CU3" i="177"/>
  <c r="CT3" i="177"/>
  <c r="CS3" i="177"/>
  <c r="CP3" i="177"/>
  <c r="CN3" i="177"/>
  <c r="CJ3" i="177"/>
  <c r="CH3" i="177"/>
  <c r="CF3" i="177"/>
  <c r="CE3" i="177"/>
  <c r="CD3" i="177"/>
  <c r="CC3" i="177"/>
  <c r="CB2" i="177"/>
  <c r="BV25" i="177"/>
  <c r="BS25" i="177"/>
  <c r="BQ25" i="177"/>
  <c r="CA24" i="177"/>
  <c r="BZ24" i="177"/>
  <c r="BY24" i="177"/>
  <c r="BX24" i="177"/>
  <c r="BW24" i="177"/>
  <c r="BU24" i="177"/>
  <c r="CA23" i="177"/>
  <c r="BZ23" i="177"/>
  <c r="BY23" i="177"/>
  <c r="BX23" i="177"/>
  <c r="BW23" i="177"/>
  <c r="BU23" i="177"/>
  <c r="CA22" i="177"/>
  <c r="BZ22" i="177"/>
  <c r="BY22" i="177"/>
  <c r="BX22" i="177"/>
  <c r="BW22" i="177"/>
  <c r="BU22" i="177"/>
  <c r="CA21" i="177"/>
  <c r="BZ21" i="177"/>
  <c r="BY21" i="177"/>
  <c r="BX21" i="177"/>
  <c r="BW21" i="177"/>
  <c r="BU21" i="177"/>
  <c r="CA20" i="177"/>
  <c r="BY20" i="177"/>
  <c r="BW20" i="177"/>
  <c r="BO20" i="177"/>
  <c r="BN20" i="177"/>
  <c r="CA19" i="177"/>
  <c r="BY19" i="177"/>
  <c r="BW19" i="177"/>
  <c r="BO19" i="177"/>
  <c r="BN19" i="177"/>
  <c r="CA18" i="177"/>
  <c r="BY18" i="177"/>
  <c r="BW18" i="177"/>
  <c r="BO18" i="177"/>
  <c r="BN18" i="177"/>
  <c r="CA17" i="177"/>
  <c r="BY17" i="177"/>
  <c r="BW17" i="177"/>
  <c r="BO17" i="177"/>
  <c r="BN17" i="177"/>
  <c r="CA16" i="177"/>
  <c r="BY16" i="177"/>
  <c r="BW16" i="177"/>
  <c r="BO16" i="177"/>
  <c r="BN16" i="177"/>
  <c r="CA15" i="177"/>
  <c r="BY15" i="177"/>
  <c r="BO15" i="177"/>
  <c r="BN15" i="177"/>
  <c r="CA14" i="177"/>
  <c r="BZ14" i="177"/>
  <c r="BY14" i="177"/>
  <c r="BX14" i="177"/>
  <c r="BU14" i="177"/>
  <c r="BO14" i="177"/>
  <c r="BN14" i="177"/>
  <c r="CA13" i="177"/>
  <c r="BY13" i="177"/>
  <c r="BW13" i="177"/>
  <c r="BO13" i="177"/>
  <c r="BN13" i="177"/>
  <c r="BM13" i="177"/>
  <c r="CA12" i="177"/>
  <c r="BY12" i="177"/>
  <c r="BW12" i="177"/>
  <c r="BO12" i="177"/>
  <c r="BN12" i="177"/>
  <c r="CA11" i="177"/>
  <c r="BY11" i="177"/>
  <c r="BW11" i="177"/>
  <c r="BO11" i="177"/>
  <c r="BN11" i="177"/>
  <c r="CA10" i="177"/>
  <c r="BY10" i="177"/>
  <c r="BW10" i="177"/>
  <c r="BO10" i="177"/>
  <c r="BN10" i="177"/>
  <c r="CA9" i="177"/>
  <c r="BY9" i="177"/>
  <c r="BW9" i="177"/>
  <c r="BO9" i="177"/>
  <c r="BN9" i="177"/>
  <c r="CA8" i="177"/>
  <c r="BY8" i="177"/>
  <c r="BW8" i="177"/>
  <c r="BO8" i="177"/>
  <c r="BN8" i="177"/>
  <c r="CA7" i="177"/>
  <c r="BO7" i="177"/>
  <c r="BN7" i="177"/>
  <c r="CA6" i="177"/>
  <c r="BZ6" i="177"/>
  <c r="BX6" i="177"/>
  <c r="BU6" i="177"/>
  <c r="BO6" i="177"/>
  <c r="BN6" i="177"/>
  <c r="CA5" i="177"/>
  <c r="BY5" i="177"/>
  <c r="BW5" i="177"/>
  <c r="BO5" i="177"/>
  <c r="BN5" i="177"/>
  <c r="BM5" i="177"/>
  <c r="CA4" i="177"/>
  <c r="BZ4" i="177"/>
  <c r="BY4" i="177"/>
  <c r="BX4" i="177"/>
  <c r="BW4" i="177"/>
  <c r="BV4" i="177"/>
  <c r="BU4" i="177"/>
  <c r="BT4" i="177"/>
  <c r="BS4" i="177"/>
  <c r="BR4" i="177"/>
  <c r="BQ4" i="177"/>
  <c r="BP4" i="177"/>
  <c r="BZ3" i="177"/>
  <c r="BX3" i="177"/>
  <c r="BT3" i="177"/>
  <c r="BR3" i="177"/>
  <c r="BP3" i="177"/>
  <c r="BO3" i="177"/>
  <c r="BN3" i="177"/>
  <c r="BM3" i="177"/>
  <c r="BL2" i="177"/>
  <c r="BD10" i="177" s="1"/>
  <c r="BF25" i="177"/>
  <c r="BC25" i="177"/>
  <c r="BA25" i="177"/>
  <c r="BK24" i="177"/>
  <c r="BJ24" i="177"/>
  <c r="BI24" i="177"/>
  <c r="BH24" i="177"/>
  <c r="BG24" i="177"/>
  <c r="BE24" i="177"/>
  <c r="BK23" i="177"/>
  <c r="BJ23" i="177"/>
  <c r="BI23" i="177"/>
  <c r="BH23" i="177"/>
  <c r="BG23" i="177"/>
  <c r="BE23" i="177"/>
  <c r="BK22" i="177"/>
  <c r="BJ22" i="177"/>
  <c r="BI22" i="177"/>
  <c r="BH22" i="177"/>
  <c r="BG22" i="177"/>
  <c r="BE22" i="177"/>
  <c r="BK21" i="177"/>
  <c r="BJ21" i="177"/>
  <c r="BI21" i="177"/>
  <c r="BH21" i="177"/>
  <c r="BG21" i="177"/>
  <c r="BE21" i="177"/>
  <c r="BK20" i="177"/>
  <c r="BI20" i="177"/>
  <c r="BG20" i="177"/>
  <c r="AY20" i="177"/>
  <c r="AX20" i="177"/>
  <c r="BK19" i="177"/>
  <c r="BI19" i="177"/>
  <c r="BG19" i="177"/>
  <c r="AY19" i="177"/>
  <c r="AX19" i="177"/>
  <c r="BK18" i="177"/>
  <c r="BI18" i="177"/>
  <c r="BG18" i="177"/>
  <c r="AY18" i="177"/>
  <c r="AX18" i="177"/>
  <c r="BK17" i="177"/>
  <c r="BI17" i="177"/>
  <c r="BG17" i="177"/>
  <c r="AY17" i="177"/>
  <c r="AX17" i="177"/>
  <c r="BK16" i="177"/>
  <c r="BI16" i="177"/>
  <c r="BG16" i="177"/>
  <c r="AY16" i="177"/>
  <c r="AX16" i="177"/>
  <c r="BK15" i="177"/>
  <c r="BI15" i="177"/>
  <c r="AY15" i="177"/>
  <c r="AX15" i="177"/>
  <c r="BK14" i="177"/>
  <c r="BJ14" i="177"/>
  <c r="BI14" i="177"/>
  <c r="BH14" i="177"/>
  <c r="BE14" i="177"/>
  <c r="AY14" i="177"/>
  <c r="AX14" i="177"/>
  <c r="BK13" i="177"/>
  <c r="BI13" i="177"/>
  <c r="BG13" i="177"/>
  <c r="AY13" i="177"/>
  <c r="AX13" i="177"/>
  <c r="AW13" i="177"/>
  <c r="BK12" i="177"/>
  <c r="BI12" i="177"/>
  <c r="BG12" i="177"/>
  <c r="AY12" i="177"/>
  <c r="AX12" i="177"/>
  <c r="BK11" i="177"/>
  <c r="BI11" i="177"/>
  <c r="BG11" i="177"/>
  <c r="AY11" i="177"/>
  <c r="AX11" i="177"/>
  <c r="BK10" i="177"/>
  <c r="BI10" i="177"/>
  <c r="BG10" i="177"/>
  <c r="AY10" i="177"/>
  <c r="AX10" i="177"/>
  <c r="BK9" i="177"/>
  <c r="BI9" i="177"/>
  <c r="BG9" i="177"/>
  <c r="AY9" i="177"/>
  <c r="AX9" i="177"/>
  <c r="BK8" i="177"/>
  <c r="BI8" i="177"/>
  <c r="BG8" i="177"/>
  <c r="AY8" i="177"/>
  <c r="AX8" i="177"/>
  <c r="BK7" i="177"/>
  <c r="AY7" i="177"/>
  <c r="AX7" i="177"/>
  <c r="BK6" i="177"/>
  <c r="BJ6" i="177"/>
  <c r="BH6" i="177"/>
  <c r="BE6" i="177"/>
  <c r="AY6" i="177"/>
  <c r="AX6" i="177"/>
  <c r="BK5" i="177"/>
  <c r="BI5" i="177"/>
  <c r="BG5" i="177"/>
  <c r="AY5" i="177"/>
  <c r="AX5" i="177"/>
  <c r="AW5" i="177"/>
  <c r="BK4" i="177"/>
  <c r="BJ4" i="177"/>
  <c r="BI4" i="177"/>
  <c r="BH4" i="177"/>
  <c r="BG4" i="177"/>
  <c r="BF4" i="177"/>
  <c r="BE4" i="177"/>
  <c r="BD4" i="177"/>
  <c r="BC4" i="177"/>
  <c r="BB4" i="177"/>
  <c r="BA4" i="177"/>
  <c r="AZ4" i="177"/>
  <c r="BJ3" i="177"/>
  <c r="BH3" i="177"/>
  <c r="BD3" i="177"/>
  <c r="BB3" i="177"/>
  <c r="AZ3" i="177"/>
  <c r="AY3" i="177"/>
  <c r="AX3" i="177"/>
  <c r="AW3" i="177"/>
  <c r="AV2" i="177"/>
  <c r="AP25" i="177"/>
  <c r="AM25" i="177"/>
  <c r="AK25" i="177"/>
  <c r="AU24" i="177"/>
  <c r="AT24" i="177"/>
  <c r="AS24" i="177"/>
  <c r="AR24" i="177"/>
  <c r="AQ24" i="177"/>
  <c r="AO24" i="177"/>
  <c r="AU23" i="177"/>
  <c r="AT23" i="177"/>
  <c r="AS23" i="177"/>
  <c r="AR23" i="177"/>
  <c r="AQ23" i="177"/>
  <c r="AO23" i="177"/>
  <c r="AU22" i="177"/>
  <c r="AT22" i="177"/>
  <c r="AS22" i="177"/>
  <c r="AR22" i="177"/>
  <c r="AQ22" i="177"/>
  <c r="AO22" i="177"/>
  <c r="AU21" i="177"/>
  <c r="AT21" i="177"/>
  <c r="AS21" i="177"/>
  <c r="AR21" i="177"/>
  <c r="AQ21" i="177"/>
  <c r="AO21" i="177"/>
  <c r="AU20" i="177"/>
  <c r="AS20" i="177"/>
  <c r="AQ20" i="177"/>
  <c r="AI20" i="177"/>
  <c r="AH20" i="177"/>
  <c r="AU19" i="177"/>
  <c r="AS19" i="177"/>
  <c r="AQ19" i="177"/>
  <c r="AI19" i="177"/>
  <c r="AH19" i="177"/>
  <c r="AU18" i="177"/>
  <c r="AS18" i="177"/>
  <c r="AQ18" i="177"/>
  <c r="AI18" i="177"/>
  <c r="AH18" i="177"/>
  <c r="AU17" i="177"/>
  <c r="AS17" i="177"/>
  <c r="AQ17" i="177"/>
  <c r="AI17" i="177"/>
  <c r="AH17" i="177"/>
  <c r="AU16" i="177"/>
  <c r="AS16" i="177"/>
  <c r="AQ16" i="177"/>
  <c r="AI16" i="177"/>
  <c r="AH16" i="177"/>
  <c r="AU15" i="177"/>
  <c r="AS15" i="177"/>
  <c r="AI15" i="177"/>
  <c r="AH15" i="177"/>
  <c r="AU14" i="177"/>
  <c r="AT14" i="177"/>
  <c r="AS14" i="177"/>
  <c r="AR14" i="177"/>
  <c r="AO14" i="177"/>
  <c r="AI14" i="177"/>
  <c r="AH14" i="177"/>
  <c r="AU13" i="177"/>
  <c r="AS13" i="177"/>
  <c r="AQ13" i="177"/>
  <c r="AI13" i="177"/>
  <c r="AH13" i="177"/>
  <c r="AG13" i="177"/>
  <c r="AU12" i="177"/>
  <c r="AS12" i="177"/>
  <c r="AQ12" i="177"/>
  <c r="AI12" i="177"/>
  <c r="AH12" i="177"/>
  <c r="AU11" i="177"/>
  <c r="AS11" i="177"/>
  <c r="AQ11" i="177"/>
  <c r="AI11" i="177"/>
  <c r="AH11" i="177"/>
  <c r="AU10" i="177"/>
  <c r="AS10" i="177"/>
  <c r="AQ10" i="177"/>
  <c r="AI10" i="177"/>
  <c r="AH10" i="177"/>
  <c r="AU9" i="177"/>
  <c r="AS9" i="177"/>
  <c r="AQ9" i="177"/>
  <c r="AI9" i="177"/>
  <c r="AH9" i="177"/>
  <c r="AU8" i="177"/>
  <c r="AS8" i="177"/>
  <c r="AQ8" i="177"/>
  <c r="AI8" i="177"/>
  <c r="AH8" i="177"/>
  <c r="AU7" i="177"/>
  <c r="AI7" i="177"/>
  <c r="AH7" i="177"/>
  <c r="AU6" i="177"/>
  <c r="AT6" i="177"/>
  <c r="AR6" i="177"/>
  <c r="AO6" i="177"/>
  <c r="AI6" i="177"/>
  <c r="AH6" i="177"/>
  <c r="AU5" i="177"/>
  <c r="AS5" i="177"/>
  <c r="AQ5" i="177"/>
  <c r="AI5" i="177"/>
  <c r="AH5" i="177"/>
  <c r="AG5" i="177"/>
  <c r="AU4" i="177"/>
  <c r="AT4" i="177"/>
  <c r="AS4" i="177"/>
  <c r="AR4" i="177"/>
  <c r="AQ4" i="177"/>
  <c r="AP4" i="177"/>
  <c r="AO4" i="177"/>
  <c r="AN4" i="177"/>
  <c r="AM4" i="177"/>
  <c r="AL4" i="177"/>
  <c r="AK4" i="177"/>
  <c r="AJ4" i="177"/>
  <c r="AT3" i="177"/>
  <c r="AR3" i="177"/>
  <c r="AN3" i="177"/>
  <c r="AL3" i="177"/>
  <c r="AJ3" i="177"/>
  <c r="AI3" i="177"/>
  <c r="AH3" i="177"/>
  <c r="AG3" i="177"/>
  <c r="Z25" i="177"/>
  <c r="W25" i="177"/>
  <c r="U25" i="177"/>
  <c r="A25" i="177"/>
  <c r="Q25" i="177" s="1"/>
  <c r="AE4" i="177"/>
  <c r="AD4" i="177"/>
  <c r="AC4" i="177"/>
  <c r="AB4" i="177"/>
  <c r="AA4" i="177"/>
  <c r="Z4" i="177"/>
  <c r="Y4" i="177"/>
  <c r="X4" i="177"/>
  <c r="W4" i="177"/>
  <c r="V4" i="177"/>
  <c r="U4" i="177"/>
  <c r="T4" i="177"/>
  <c r="AD3" i="177"/>
  <c r="AB3" i="177"/>
  <c r="X3" i="177"/>
  <c r="V3" i="177"/>
  <c r="T3" i="177"/>
  <c r="Y14" i="177"/>
  <c r="Y6" i="177"/>
  <c r="S3" i="177"/>
  <c r="R3" i="177"/>
  <c r="Q3" i="177"/>
  <c r="S20" i="177"/>
  <c r="R20" i="177"/>
  <c r="S19" i="177"/>
  <c r="R19" i="177"/>
  <c r="S18" i="177"/>
  <c r="R18" i="177"/>
  <c r="S17" i="177"/>
  <c r="R17" i="177"/>
  <c r="S16" i="177"/>
  <c r="R16" i="177"/>
  <c r="S15" i="177"/>
  <c r="R15" i="177"/>
  <c r="S14" i="177"/>
  <c r="R14" i="177"/>
  <c r="S13" i="177"/>
  <c r="R13" i="177"/>
  <c r="S12" i="177"/>
  <c r="R12" i="177"/>
  <c r="S11" i="177"/>
  <c r="R11" i="177"/>
  <c r="S10" i="177"/>
  <c r="R10" i="177"/>
  <c r="S9" i="177"/>
  <c r="R9" i="177"/>
  <c r="S8" i="177"/>
  <c r="R8" i="177"/>
  <c r="S7" i="177"/>
  <c r="R7" i="177"/>
  <c r="S6" i="177"/>
  <c r="R6" i="177"/>
  <c r="R5" i="177"/>
  <c r="S5" i="177"/>
  <c r="Q13" i="177"/>
  <c r="Q5" i="177"/>
  <c r="M10" i="177"/>
  <c r="AE24" i="177"/>
  <c r="AD24" i="177"/>
  <c r="AE23" i="177"/>
  <c r="AD23" i="177"/>
  <c r="AE22" i="177"/>
  <c r="AD22" i="177"/>
  <c r="AE21" i="177"/>
  <c r="AD21" i="177"/>
  <c r="AE20" i="177"/>
  <c r="AE19" i="177"/>
  <c r="AE18" i="177"/>
  <c r="AE17" i="177"/>
  <c r="AE16" i="177"/>
  <c r="AE15" i="177"/>
  <c r="AE14" i="177"/>
  <c r="AD14" i="177"/>
  <c r="AE13" i="177"/>
  <c r="AE12" i="177"/>
  <c r="AE11" i="177"/>
  <c r="AE10" i="177"/>
  <c r="AE9" i="177"/>
  <c r="AE8" i="177"/>
  <c r="AE7" i="177"/>
  <c r="AE6" i="177"/>
  <c r="AD6" i="177"/>
  <c r="AE5" i="177"/>
  <c r="AA9" i="177"/>
  <c r="AA24" i="177"/>
  <c r="AA23" i="177"/>
  <c r="AA22" i="177"/>
  <c r="AA21" i="177"/>
  <c r="AA20" i="177"/>
  <c r="AA19" i="177"/>
  <c r="AA18" i="177"/>
  <c r="AA17" i="177"/>
  <c r="AA16" i="177"/>
  <c r="AA13" i="177"/>
  <c r="AA12" i="177"/>
  <c r="AA11" i="177"/>
  <c r="AA10" i="177"/>
  <c r="AA8" i="177"/>
  <c r="AA5" i="177"/>
  <c r="AF2" i="177"/>
  <c r="V5" i="177" s="1"/>
  <c r="A2" i="177"/>
  <c r="O15" i="177"/>
  <c r="O14" i="177"/>
  <c r="O10" i="177"/>
  <c r="AA43" i="210"/>
  <c r="AA44" i="210"/>
  <c r="AA45" i="210"/>
  <c r="AA46" i="210"/>
  <c r="AA47" i="210"/>
  <c r="AA48" i="210"/>
  <c r="AA49" i="210"/>
  <c r="AA50" i="210"/>
  <c r="AA51" i="210"/>
  <c r="AA52" i="210"/>
  <c r="AA53" i="210"/>
  <c r="AA54" i="210"/>
  <c r="AA55" i="210"/>
  <c r="AA56" i="210"/>
  <c r="AA57" i="210"/>
  <c r="AA58" i="210"/>
  <c r="AA59" i="210"/>
  <c r="AA60" i="210"/>
  <c r="AA61" i="210"/>
  <c r="AA62" i="210"/>
  <c r="AA63" i="210"/>
  <c r="AA64" i="210"/>
  <c r="AA65" i="210"/>
  <c r="AA66" i="210"/>
  <c r="AA67" i="210"/>
  <c r="AA68" i="210"/>
  <c r="AA69" i="210"/>
  <c r="AA70" i="210"/>
  <c r="AA5" i="210"/>
  <c r="AA6" i="210"/>
  <c r="AA7" i="210"/>
  <c r="AA8" i="210"/>
  <c r="AA9" i="210"/>
  <c r="AA10" i="210"/>
  <c r="AA11" i="210"/>
  <c r="AA12" i="210"/>
  <c r="AA13" i="210"/>
  <c r="AA14" i="210"/>
  <c r="AA15" i="210"/>
  <c r="AA16" i="210"/>
  <c r="AA17" i="210"/>
  <c r="AA18" i="210"/>
  <c r="AA19" i="210"/>
  <c r="AA20" i="210"/>
  <c r="AA21" i="210"/>
  <c r="AA22" i="210"/>
  <c r="AA23" i="210"/>
  <c r="AA24" i="210"/>
  <c r="AA25" i="210"/>
  <c r="AA26" i="210"/>
  <c r="AA27" i="210"/>
  <c r="AA28" i="210"/>
  <c r="AA29" i="210"/>
  <c r="AA30" i="210"/>
  <c r="AA31" i="210"/>
  <c r="AA32" i="210"/>
  <c r="AA33" i="210"/>
  <c r="AA34" i="210"/>
  <c r="AA35" i="210"/>
  <c r="AA36" i="210"/>
  <c r="AA37" i="210"/>
  <c r="AA38" i="210"/>
  <c r="AA39" i="210"/>
  <c r="AA40" i="210"/>
  <c r="AA41" i="210"/>
  <c r="AA42" i="210"/>
  <c r="M71" i="210"/>
  <c r="L71" i="210"/>
  <c r="K71" i="210"/>
  <c r="J71" i="210"/>
  <c r="I71" i="210"/>
  <c r="H71" i="210"/>
  <c r="G71" i="210"/>
  <c r="F71" i="210"/>
  <c r="E71" i="210"/>
  <c r="D71" i="210"/>
  <c r="C71" i="210"/>
  <c r="B71" i="210"/>
  <c r="M71" i="175"/>
  <c r="L71" i="175"/>
  <c r="K71" i="175"/>
  <c r="J71" i="175"/>
  <c r="I71" i="175"/>
  <c r="H71" i="175"/>
  <c r="G71" i="175"/>
  <c r="F71" i="175"/>
  <c r="E71" i="175"/>
  <c r="D71" i="175"/>
  <c r="C71" i="175"/>
  <c r="B71" i="175"/>
  <c r="H18" i="100"/>
  <c r="J18" i="212" s="1"/>
  <c r="H17" i="100"/>
  <c r="J17" i="212" s="1"/>
  <c r="G18" i="100"/>
  <c r="G18" i="212" s="1"/>
  <c r="G17" i="100"/>
  <c r="G17" i="212" s="1"/>
  <c r="I17" i="212" s="1"/>
  <c r="F18" i="100"/>
  <c r="D18" i="212" s="1"/>
  <c r="F17" i="100"/>
  <c r="D17" i="212" s="1"/>
  <c r="F11" i="100"/>
  <c r="D11" i="212" s="1"/>
  <c r="R36" i="143"/>
  <c r="Q36" i="143"/>
  <c r="S36" i="143"/>
  <c r="BG15" i="181"/>
  <c r="BG14" i="181"/>
  <c r="BG13" i="181"/>
  <c r="BG12" i="181"/>
  <c r="BG11" i="181"/>
  <c r="BG10" i="181"/>
  <c r="BG9" i="181"/>
  <c r="BG8" i="181"/>
  <c r="BG7" i="181"/>
  <c r="BE16" i="181"/>
  <c r="BD16" i="181"/>
  <c r="BC16" i="181"/>
  <c r="BB16" i="181"/>
  <c r="BA16" i="181"/>
  <c r="AZ16" i="181"/>
  <c r="AY16" i="181"/>
  <c r="AX16" i="181"/>
  <c r="AW16" i="181"/>
  <c r="AV16" i="181"/>
  <c r="AU16" i="181"/>
  <c r="AT16" i="181"/>
  <c r="AS16" i="181"/>
  <c r="AR16" i="181"/>
  <c r="AQ16" i="181"/>
  <c r="AP16" i="181"/>
  <c r="AO16" i="181"/>
  <c r="AN16" i="181"/>
  <c r="AM16" i="181"/>
  <c r="AL16" i="181"/>
  <c r="AK16" i="181"/>
  <c r="AJ16" i="181"/>
  <c r="AI16" i="181"/>
  <c r="AH16" i="181"/>
  <c r="AG16" i="181"/>
  <c r="AF16" i="181"/>
  <c r="AE16" i="181"/>
  <c r="AD16" i="181"/>
  <c r="AC16" i="181"/>
  <c r="AB16" i="181"/>
  <c r="AA16" i="181"/>
  <c r="Z16" i="181"/>
  <c r="Y16" i="181"/>
  <c r="X16" i="181"/>
  <c r="W16" i="181"/>
  <c r="V16" i="181"/>
  <c r="U16" i="181"/>
  <c r="T16" i="181"/>
  <c r="S16" i="181"/>
  <c r="R16" i="181"/>
  <c r="Q16" i="181"/>
  <c r="P16" i="181"/>
  <c r="O16" i="181"/>
  <c r="N16" i="181"/>
  <c r="M16" i="181"/>
  <c r="L16" i="181"/>
  <c r="K16" i="181"/>
  <c r="J16" i="181"/>
  <c r="I16" i="181"/>
  <c r="H16" i="181"/>
  <c r="G16" i="181"/>
  <c r="F16" i="181"/>
  <c r="E16" i="181"/>
  <c r="D16" i="181"/>
  <c r="C16" i="181"/>
  <c r="B16" i="181"/>
  <c r="T35" i="143"/>
  <c r="T34" i="143"/>
  <c r="T33" i="143"/>
  <c r="T32" i="143"/>
  <c r="T31" i="143"/>
  <c r="T30" i="143"/>
  <c r="T29" i="143"/>
  <c r="T28" i="143"/>
  <c r="T27" i="143"/>
  <c r="T26" i="143"/>
  <c r="T25" i="143"/>
  <c r="T24" i="143"/>
  <c r="T23" i="143"/>
  <c r="T22" i="143"/>
  <c r="T21" i="143"/>
  <c r="T20" i="143"/>
  <c r="T19" i="143"/>
  <c r="T18" i="143"/>
  <c r="T17" i="143"/>
  <c r="T16" i="143"/>
  <c r="T15" i="143"/>
  <c r="T14" i="143"/>
  <c r="T13" i="143"/>
  <c r="T12" i="143"/>
  <c r="T11" i="143"/>
  <c r="T10" i="143"/>
  <c r="T9" i="143"/>
  <c r="T8" i="143"/>
  <c r="T7" i="143"/>
  <c r="T6" i="143"/>
  <c r="AC28" i="35"/>
  <c r="AD28" i="35" s="1"/>
  <c r="AA28" i="35"/>
  <c r="AB28" i="35" s="1"/>
  <c r="X28" i="35"/>
  <c r="Y28" i="35" s="1"/>
  <c r="V28" i="35"/>
  <c r="W28" i="35" s="1"/>
  <c r="T28" i="35"/>
  <c r="U28" i="35" s="1"/>
  <c r="Q28" i="35"/>
  <c r="K28" i="35"/>
  <c r="E28" i="35"/>
  <c r="P27" i="35"/>
  <c r="O27" i="35"/>
  <c r="N27" i="35"/>
  <c r="J27" i="35"/>
  <c r="I27" i="35"/>
  <c r="H27" i="35"/>
  <c r="D27" i="35"/>
  <c r="C27" i="35"/>
  <c r="B27" i="35"/>
  <c r="X26" i="35"/>
  <c r="Y26" i="35" s="1"/>
  <c r="V26" i="35"/>
  <c r="W26" i="35" s="1"/>
  <c r="T26" i="35"/>
  <c r="U26" i="35" s="1"/>
  <c r="Q26" i="35"/>
  <c r="K26" i="35"/>
  <c r="E26" i="35"/>
  <c r="X25" i="35"/>
  <c r="Y25" i="35" s="1"/>
  <c r="V25" i="35"/>
  <c r="W25" i="35" s="1"/>
  <c r="T25" i="35"/>
  <c r="U25" i="35" s="1"/>
  <c r="Q25" i="35"/>
  <c r="K25" i="35"/>
  <c r="E25" i="35"/>
  <c r="X24" i="35"/>
  <c r="Y24" i="35" s="1"/>
  <c r="V24" i="35"/>
  <c r="W24" i="35" s="1"/>
  <c r="T24" i="35"/>
  <c r="U24" i="35" s="1"/>
  <c r="Q24" i="35"/>
  <c r="K24" i="35"/>
  <c r="E24" i="35"/>
  <c r="X23" i="35"/>
  <c r="Y23" i="35" s="1"/>
  <c r="V23" i="35"/>
  <c r="W23" i="35" s="1"/>
  <c r="T23" i="35"/>
  <c r="U23" i="35" s="1"/>
  <c r="Q23" i="35"/>
  <c r="K23" i="35"/>
  <c r="E23" i="35"/>
  <c r="X22" i="35"/>
  <c r="Y22" i="35" s="1"/>
  <c r="V22" i="35"/>
  <c r="W22" i="35" s="1"/>
  <c r="T22" i="35"/>
  <c r="U22" i="35" s="1"/>
  <c r="Q22" i="35"/>
  <c r="K22" i="35"/>
  <c r="E22" i="35"/>
  <c r="AC24" i="177"/>
  <c r="AB24" i="177"/>
  <c r="Y24" i="177"/>
  <c r="AC23" i="177"/>
  <c r="AB23" i="177"/>
  <c r="Y23" i="177"/>
  <c r="AC22" i="177"/>
  <c r="AB22" i="177"/>
  <c r="Y22" i="177"/>
  <c r="AC21" i="177"/>
  <c r="AB21" i="177"/>
  <c r="Y21" i="177"/>
  <c r="AC20" i="177"/>
  <c r="AC19" i="177"/>
  <c r="AC18" i="177"/>
  <c r="AC17" i="177"/>
  <c r="AC16" i="177"/>
  <c r="AC15" i="177"/>
  <c r="AC14" i="177"/>
  <c r="AB14" i="177"/>
  <c r="AC13" i="177"/>
  <c r="AC12" i="177"/>
  <c r="AC11" i="177"/>
  <c r="AC10" i="177"/>
  <c r="AC8" i="177"/>
  <c r="AB6" i="177"/>
  <c r="AC5" i="177"/>
  <c r="I4" i="184" l="1"/>
  <c r="I6" i="184" s="1"/>
  <c r="F5" i="184"/>
  <c r="F7" i="184"/>
  <c r="E7" i="184"/>
  <c r="M17" i="177"/>
  <c r="M9" i="177"/>
  <c r="K9" i="177"/>
  <c r="O8" i="177"/>
  <c r="M8" i="177"/>
  <c r="O12" i="177"/>
  <c r="O16" i="177"/>
  <c r="K13" i="177"/>
  <c r="O20" i="177"/>
  <c r="Z154" i="35"/>
  <c r="Z188" i="35"/>
  <c r="B16" i="184"/>
  <c r="E9" i="184"/>
  <c r="V135" i="35"/>
  <c r="W135" i="35" s="1"/>
  <c r="AH16" i="184"/>
  <c r="M13" i="177"/>
  <c r="K16" i="177"/>
  <c r="F11" i="184"/>
  <c r="Z136" i="35"/>
  <c r="ET9" i="177"/>
  <c r="EV9" i="177"/>
  <c r="EW9" i="177" s="1"/>
  <c r="ET17" i="177"/>
  <c r="EO2" i="177"/>
  <c r="EV5" i="177"/>
  <c r="EV7" i="177" s="1"/>
  <c r="ES1" i="177"/>
  <c r="EU1" i="177" s="1"/>
  <c r="EX1" i="177" s="1"/>
  <c r="X189" i="35"/>
  <c r="Y189" i="35" s="1"/>
  <c r="Z168" i="35"/>
  <c r="X171" i="35"/>
  <c r="Y171" i="35" s="1"/>
  <c r="Z150" i="35"/>
  <c r="Z132" i="35"/>
  <c r="Q117" i="35"/>
  <c r="V117" i="35"/>
  <c r="W117" i="35" s="1"/>
  <c r="X117" i="35"/>
  <c r="Y117" i="35" s="1"/>
  <c r="X135" i="35"/>
  <c r="Y135" i="35" s="1"/>
  <c r="Z152" i="35"/>
  <c r="Z167" i="35"/>
  <c r="Z169" i="35"/>
  <c r="F9" i="184"/>
  <c r="BB16" i="184"/>
  <c r="F8" i="184"/>
  <c r="BD5" i="177"/>
  <c r="BD8" i="177" s="1"/>
  <c r="DG25" i="177"/>
  <c r="E153" i="35"/>
  <c r="E189" i="35"/>
  <c r="BC16" i="184"/>
  <c r="O13" i="177"/>
  <c r="AA25" i="177"/>
  <c r="O18" i="177"/>
  <c r="K12" i="177"/>
  <c r="K18" i="177"/>
  <c r="O19" i="177"/>
  <c r="T117" i="35"/>
  <c r="U117" i="35" s="1"/>
  <c r="Z118" i="35"/>
  <c r="Z151" i="35"/>
  <c r="V171" i="35"/>
  <c r="W171" i="35" s="1"/>
  <c r="K10" i="177"/>
  <c r="G11" i="100"/>
  <c r="G11" i="212" s="1"/>
  <c r="I11" i="212" s="1"/>
  <c r="K8" i="177"/>
  <c r="T36" i="143"/>
  <c r="E5" i="184"/>
  <c r="K20" i="177"/>
  <c r="V18" i="177"/>
  <c r="BR18" i="177"/>
  <c r="DL13" i="177"/>
  <c r="DL15" i="177" s="1"/>
  <c r="CQ25" i="177"/>
  <c r="Z100" i="35"/>
  <c r="Z114" i="35"/>
  <c r="Z186" i="35"/>
  <c r="O2" i="184"/>
  <c r="BQ16" i="184"/>
  <c r="U1" i="177"/>
  <c r="M18" i="177"/>
  <c r="AL18" i="177"/>
  <c r="CH18" i="177"/>
  <c r="CH9" i="177"/>
  <c r="G25" i="177"/>
  <c r="T189" i="35"/>
  <c r="U189" i="35" s="1"/>
  <c r="E11" i="184"/>
  <c r="CF13" i="177"/>
  <c r="CF16" i="177" s="1"/>
  <c r="BB18" i="177"/>
  <c r="CZ18" i="177"/>
  <c r="V189" i="35"/>
  <c r="W189" i="35" s="1"/>
  <c r="ER13" i="177"/>
  <c r="ER16" i="177" s="1"/>
  <c r="M20" i="177"/>
  <c r="DP18" i="177"/>
  <c r="ET18" i="177"/>
  <c r="T81" i="35"/>
  <c r="U81" i="35" s="1"/>
  <c r="Z97" i="35"/>
  <c r="Z134" i="35"/>
  <c r="T153" i="35"/>
  <c r="U153" i="35" s="1"/>
  <c r="Z170" i="35"/>
  <c r="Z185" i="35"/>
  <c r="AV16" i="184"/>
  <c r="BX16" i="184"/>
  <c r="AK1" i="177"/>
  <c r="AM1" i="177" s="1"/>
  <c r="AP1" i="177" s="1"/>
  <c r="M19" i="177"/>
  <c r="EB18" i="177"/>
  <c r="CF5" i="177"/>
  <c r="CF8" i="177" s="1"/>
  <c r="FS25" i="177"/>
  <c r="M11" i="177"/>
  <c r="Z116" i="35"/>
  <c r="Z131" i="35"/>
  <c r="T135" i="35"/>
  <c r="U135" i="35" s="1"/>
  <c r="Z149" i="35"/>
  <c r="T171" i="35"/>
  <c r="U171" i="35" s="1"/>
  <c r="BA1" i="177"/>
  <c r="BC1" i="177" s="1"/>
  <c r="BF1" i="177" s="1"/>
  <c r="FJ18" i="177"/>
  <c r="E99" i="35"/>
  <c r="X153" i="35"/>
  <c r="Y153" i="35" s="1"/>
  <c r="BQ1" i="177"/>
  <c r="BS1" i="177" s="1"/>
  <c r="BV1" i="177" s="1"/>
  <c r="Z190" i="35"/>
  <c r="CG1" i="177"/>
  <c r="CI1" i="177" s="1"/>
  <c r="CL1" i="177" s="1"/>
  <c r="K19" i="177"/>
  <c r="H16" i="100"/>
  <c r="J16" i="212" s="1"/>
  <c r="AZ13" i="177"/>
  <c r="AZ15" i="177" s="1"/>
  <c r="EV18" i="177"/>
  <c r="Z94" i="35"/>
  <c r="Z113" i="35"/>
  <c r="Z115" i="35"/>
  <c r="E171" i="35"/>
  <c r="O17" i="177"/>
  <c r="Z96" i="35"/>
  <c r="E117" i="35"/>
  <c r="K171" i="35"/>
  <c r="K189" i="35"/>
  <c r="EM25" i="177"/>
  <c r="K17" i="177"/>
  <c r="K117" i="35"/>
  <c r="Z117" i="35" s="1"/>
  <c r="K135" i="35"/>
  <c r="Z148" i="35"/>
  <c r="Z172" i="35"/>
  <c r="Z187" i="35"/>
  <c r="BI16" i="184"/>
  <c r="E8" i="184"/>
  <c r="AO16" i="184"/>
  <c r="BJ16" i="184"/>
  <c r="BP16" i="184"/>
  <c r="AU16" i="184"/>
  <c r="BW16" i="184"/>
  <c r="AN16" i="184"/>
  <c r="AA16" i="184"/>
  <c r="AG16" i="184"/>
  <c r="T16" i="184"/>
  <c r="Z16" i="184"/>
  <c r="M16" i="184"/>
  <c r="S16" i="184"/>
  <c r="L16" i="184"/>
  <c r="Z130" i="35"/>
  <c r="Z80" i="35"/>
  <c r="V99" i="35"/>
  <c r="W99" i="35" s="1"/>
  <c r="X99" i="35"/>
  <c r="Y99" i="35" s="1"/>
  <c r="Z112" i="35"/>
  <c r="E135" i="35"/>
  <c r="V153" i="35"/>
  <c r="W153" i="35" s="1"/>
  <c r="K153" i="35"/>
  <c r="Z59" i="35"/>
  <c r="T63" i="35"/>
  <c r="U63" i="35" s="1"/>
  <c r="E81" i="35"/>
  <c r="Z77" i="35"/>
  <c r="K99" i="35"/>
  <c r="Z95" i="35"/>
  <c r="Z98" i="35"/>
  <c r="T99" i="35"/>
  <c r="U99" i="35" s="1"/>
  <c r="Q135" i="35"/>
  <c r="Q153" i="35"/>
  <c r="Q189" i="35"/>
  <c r="Q171" i="35"/>
  <c r="Z184" i="35"/>
  <c r="Q99" i="35"/>
  <c r="K81" i="35"/>
  <c r="Z82" i="35"/>
  <c r="Z46" i="35"/>
  <c r="X63" i="35"/>
  <c r="Y63" i="35" s="1"/>
  <c r="Z76" i="35"/>
  <c r="V81" i="35"/>
  <c r="W81" i="35" s="1"/>
  <c r="X81" i="35"/>
  <c r="Y81" i="35" s="1"/>
  <c r="Q81" i="35"/>
  <c r="Z79" i="35"/>
  <c r="Z60" i="35"/>
  <c r="Z78" i="35"/>
  <c r="K63" i="35"/>
  <c r="K45" i="35"/>
  <c r="Z41" i="35"/>
  <c r="Z44" i="35"/>
  <c r="Z61" i="35"/>
  <c r="Z42" i="35"/>
  <c r="X45" i="35"/>
  <c r="Y45" i="35" s="1"/>
  <c r="E63" i="35"/>
  <c r="Z62" i="35"/>
  <c r="V63" i="35"/>
  <c r="W63" i="35" s="1"/>
  <c r="Z64" i="35"/>
  <c r="Q63" i="35"/>
  <c r="Z58" i="35"/>
  <c r="E45" i="35"/>
  <c r="Z43" i="35"/>
  <c r="T45" i="35"/>
  <c r="U45" i="35" s="1"/>
  <c r="V45" i="35"/>
  <c r="W45" i="35" s="1"/>
  <c r="Q45" i="35"/>
  <c r="Z25" i="35"/>
  <c r="X27" i="35"/>
  <c r="Y27" i="35" s="1"/>
  <c r="Z40" i="35"/>
  <c r="T27" i="35"/>
  <c r="U27" i="35" s="1"/>
  <c r="Z23" i="35"/>
  <c r="V27" i="35"/>
  <c r="W27" i="35" s="1"/>
  <c r="J25" i="177"/>
  <c r="O11" i="177"/>
  <c r="O5" i="177"/>
  <c r="H11" i="100"/>
  <c r="J11" i="212" s="1"/>
  <c r="M5" i="177"/>
  <c r="K5" i="177"/>
  <c r="K11" i="177"/>
  <c r="E25" i="177"/>
  <c r="O9" i="177"/>
  <c r="FL5" i="177"/>
  <c r="FJ9" i="177"/>
  <c r="FL10" i="177"/>
  <c r="FH13" i="177"/>
  <c r="FJ17" i="177"/>
  <c r="FL18" i="177"/>
  <c r="FE2" i="177"/>
  <c r="FL9" i="177"/>
  <c r="FJ13" i="177"/>
  <c r="FL17" i="177"/>
  <c r="FE25" i="177"/>
  <c r="FO25" i="177"/>
  <c r="FH5" i="177"/>
  <c r="FH10" i="177"/>
  <c r="FL13" i="177"/>
  <c r="FH18" i="177"/>
  <c r="FQ25" i="177"/>
  <c r="FC25" i="177"/>
  <c r="FJ5" i="177"/>
  <c r="FH9" i="177"/>
  <c r="FJ10" i="177"/>
  <c r="FH17" i="177"/>
  <c r="EV17" i="177"/>
  <c r="EW17" i="177" s="1"/>
  <c r="ET13" i="177"/>
  <c r="ET15" i="177" s="1"/>
  <c r="DC25" i="177"/>
  <c r="EO25" i="177"/>
  <c r="EY25" i="177"/>
  <c r="DE25" i="177"/>
  <c r="DU25" i="177"/>
  <c r="ER5" i="177"/>
  <c r="ER10" i="177"/>
  <c r="EZ10" i="177" s="1"/>
  <c r="EV13" i="177"/>
  <c r="ER18" i="177"/>
  <c r="FA25" i="177"/>
  <c r="CA25" i="177"/>
  <c r="DS25" i="177"/>
  <c r="EK25" i="177"/>
  <c r="ET5" i="177"/>
  <c r="ER9" i="177"/>
  <c r="ET10" i="177"/>
  <c r="EW10" i="177" s="1"/>
  <c r="ER17" i="177"/>
  <c r="EZ17" i="177" s="1"/>
  <c r="CC2" i="177"/>
  <c r="DI2" i="177"/>
  <c r="CH5" i="177"/>
  <c r="CX5" i="177"/>
  <c r="DN5" i="177"/>
  <c r="ED5" i="177"/>
  <c r="DL7" i="177"/>
  <c r="CJ9" i="177"/>
  <c r="DL9" i="177"/>
  <c r="ED9" i="177"/>
  <c r="CJ10" i="177"/>
  <c r="DL10" i="177"/>
  <c r="ED10" i="177"/>
  <c r="CH13" i="177"/>
  <c r="CX13" i="177"/>
  <c r="DN13" i="177"/>
  <c r="ED13" i="177"/>
  <c r="CJ17" i="177"/>
  <c r="DL17" i="177"/>
  <c r="ED17" i="177"/>
  <c r="CJ18" i="177"/>
  <c r="DL18" i="177"/>
  <c r="ED18" i="177"/>
  <c r="CC25" i="177"/>
  <c r="CM25" i="177"/>
  <c r="DW25" i="177"/>
  <c r="CJ5" i="177"/>
  <c r="CZ5" i="177"/>
  <c r="DP5" i="177"/>
  <c r="EF5" i="177"/>
  <c r="CV9" i="177"/>
  <c r="DN9" i="177"/>
  <c r="EF9" i="177"/>
  <c r="CV10" i="177"/>
  <c r="DN10" i="177"/>
  <c r="EF10" i="177"/>
  <c r="CJ13" i="177"/>
  <c r="CZ13" i="177"/>
  <c r="DP13" i="177"/>
  <c r="EF13" i="177"/>
  <c r="CV17" i="177"/>
  <c r="DN17" i="177"/>
  <c r="EF17" i="177"/>
  <c r="CV18" i="177"/>
  <c r="DN18" i="177"/>
  <c r="EF18" i="177"/>
  <c r="CO25" i="177"/>
  <c r="DY25" i="177"/>
  <c r="EI25" i="177"/>
  <c r="CS2" i="177"/>
  <c r="DY2" i="177"/>
  <c r="CF9" i="177"/>
  <c r="CX9" i="177"/>
  <c r="DP9" i="177"/>
  <c r="CF10" i="177"/>
  <c r="CX10" i="177"/>
  <c r="DP10" i="177"/>
  <c r="CF17" i="177"/>
  <c r="CX17" i="177"/>
  <c r="DP17" i="177"/>
  <c r="CF18" i="177"/>
  <c r="CX18" i="177"/>
  <c r="DI25" i="177"/>
  <c r="CV5" i="177"/>
  <c r="EB5" i="177"/>
  <c r="CZ9" i="177"/>
  <c r="EB9" i="177"/>
  <c r="CZ10" i="177"/>
  <c r="EB10" i="177"/>
  <c r="CV13" i="177"/>
  <c r="EB13" i="177"/>
  <c r="CH17" i="177"/>
  <c r="CZ17" i="177"/>
  <c r="EB17" i="177"/>
  <c r="CS25" i="177"/>
  <c r="BT5" i="177"/>
  <c r="BR9" i="177"/>
  <c r="BT10" i="177"/>
  <c r="BP13" i="177"/>
  <c r="BR17" i="177"/>
  <c r="BT18" i="177"/>
  <c r="BM2" i="177"/>
  <c r="BT9" i="177"/>
  <c r="BR13" i="177"/>
  <c r="BT17" i="177"/>
  <c r="BM25" i="177"/>
  <c r="BW25" i="177"/>
  <c r="AU25" i="177"/>
  <c r="BP5" i="177"/>
  <c r="BP10" i="177"/>
  <c r="BT13" i="177"/>
  <c r="BP18" i="177"/>
  <c r="BY25" i="177"/>
  <c r="Q2" i="177"/>
  <c r="BK25" i="177"/>
  <c r="BR5" i="177"/>
  <c r="BP9" i="177"/>
  <c r="BR10" i="177"/>
  <c r="BP17" i="177"/>
  <c r="BB9" i="177"/>
  <c r="BB17" i="177"/>
  <c r="BD18" i="177"/>
  <c r="AW2" i="177"/>
  <c r="BD9" i="177"/>
  <c r="BB13" i="177"/>
  <c r="BD17" i="177"/>
  <c r="AW25" i="177"/>
  <c r="BG25" i="177"/>
  <c r="AZ5" i="177"/>
  <c r="AZ10" i="177"/>
  <c r="BH10" i="177" s="1"/>
  <c r="BD13" i="177"/>
  <c r="AZ18" i="177"/>
  <c r="BI25" i="177"/>
  <c r="BB5" i="177"/>
  <c r="AZ9" i="177"/>
  <c r="BB10" i="177"/>
  <c r="BE10" i="177" s="1"/>
  <c r="AZ17" i="177"/>
  <c r="X9" i="177"/>
  <c r="T13" i="177"/>
  <c r="T15" i="177" s="1"/>
  <c r="V17" i="177"/>
  <c r="X18" i="177"/>
  <c r="AN5" i="177"/>
  <c r="AL9" i="177"/>
  <c r="AN10" i="177"/>
  <c r="AJ13" i="177"/>
  <c r="AL17" i="177"/>
  <c r="AN18" i="177"/>
  <c r="X5" i="177"/>
  <c r="T10" i="177"/>
  <c r="V13" i="177"/>
  <c r="X17" i="177"/>
  <c r="AG2" i="177"/>
  <c r="AN9" i="177"/>
  <c r="AL13" i="177"/>
  <c r="AN17" i="177"/>
  <c r="AG25" i="177"/>
  <c r="AQ25" i="177"/>
  <c r="T9" i="177"/>
  <c r="V10" i="177"/>
  <c r="X13" i="177"/>
  <c r="T18" i="177"/>
  <c r="AJ5" i="177"/>
  <c r="AJ10" i="177"/>
  <c r="AN13" i="177"/>
  <c r="AJ18" i="177"/>
  <c r="AS25" i="177"/>
  <c r="T5" i="177"/>
  <c r="V9" i="177"/>
  <c r="X10" i="177"/>
  <c r="T17" i="177"/>
  <c r="AL5" i="177"/>
  <c r="AJ9" i="177"/>
  <c r="AL10" i="177"/>
  <c r="AJ17" i="177"/>
  <c r="AE25" i="177"/>
  <c r="Z28" i="35"/>
  <c r="K27" i="35"/>
  <c r="Q27" i="35"/>
  <c r="Z24" i="35"/>
  <c r="Z26" i="35"/>
  <c r="E27" i="35"/>
  <c r="Z22" i="35"/>
  <c r="AC25" i="177"/>
  <c r="P36" i="143"/>
  <c r="Z189" i="35" l="1"/>
  <c r="EZ18" i="177"/>
  <c r="DA18" i="177"/>
  <c r="DD18" i="177"/>
  <c r="EZ9" i="177"/>
  <c r="EV8" i="177"/>
  <c r="FB5" i="177"/>
  <c r="BD7" i="177"/>
  <c r="Z171" i="35"/>
  <c r="EW18" i="177"/>
  <c r="Z153" i="35"/>
  <c r="F5" i="177"/>
  <c r="H7" i="212" s="1"/>
  <c r="ER15" i="177"/>
  <c r="CF15" i="177"/>
  <c r="AZ16" i="177"/>
  <c r="DL16" i="177"/>
  <c r="F10" i="177"/>
  <c r="H10" i="212" s="1"/>
  <c r="CF7" i="177"/>
  <c r="D17" i="177"/>
  <c r="D9" i="177"/>
  <c r="F9" i="177"/>
  <c r="H9" i="212" s="1"/>
  <c r="DT18" i="177"/>
  <c r="Z99" i="35"/>
  <c r="DQ18" i="177"/>
  <c r="T8" i="177"/>
  <c r="D5" i="177"/>
  <c r="H18" i="177"/>
  <c r="F17" i="177"/>
  <c r="Z81" i="35"/>
  <c r="Y10" i="177"/>
  <c r="H10" i="177"/>
  <c r="AD9" i="177"/>
  <c r="H17" i="177"/>
  <c r="T16" i="177"/>
  <c r="D13" i="177"/>
  <c r="Z135" i="35"/>
  <c r="F18" i="177"/>
  <c r="H15" i="212" s="1"/>
  <c r="F13" i="177"/>
  <c r="H12" i="212" s="1"/>
  <c r="H9" i="177"/>
  <c r="D18" i="177"/>
  <c r="D10" i="177"/>
  <c r="V8" i="177"/>
  <c r="Z45" i="35"/>
  <c r="X15" i="177"/>
  <c r="AD15" i="177" s="1"/>
  <c r="H13" i="177"/>
  <c r="K12" i="212" s="1"/>
  <c r="X7" i="177"/>
  <c r="H5" i="177"/>
  <c r="K7" i="212" s="1"/>
  <c r="W1" i="177"/>
  <c r="Z63" i="35"/>
  <c r="Z27" i="35"/>
  <c r="M25" i="177"/>
  <c r="O25" i="177"/>
  <c r="FR9" i="177"/>
  <c r="FM9" i="177"/>
  <c r="FP9" i="177"/>
  <c r="FH15" i="177"/>
  <c r="FH16" i="177"/>
  <c r="ET16" i="177"/>
  <c r="FJ8" i="177"/>
  <c r="FJ7" i="177"/>
  <c r="FR13" i="177"/>
  <c r="FM13" i="177"/>
  <c r="FL16" i="177"/>
  <c r="FP13" i="177"/>
  <c r="FL15" i="177"/>
  <c r="FP10" i="177"/>
  <c r="FR10" i="177"/>
  <c r="FM10" i="177"/>
  <c r="FR17" i="177"/>
  <c r="FM17" i="177"/>
  <c r="FP17" i="177"/>
  <c r="FP18" i="177"/>
  <c r="FR18" i="177"/>
  <c r="FM18" i="177"/>
  <c r="FH7" i="177"/>
  <c r="FH8" i="177"/>
  <c r="FJ15" i="177"/>
  <c r="FJ16" i="177"/>
  <c r="FP5" i="177"/>
  <c r="FL8" i="177"/>
  <c r="FL7" i="177"/>
  <c r="FR5" i="177"/>
  <c r="FM5" i="177"/>
  <c r="X8" i="177"/>
  <c r="FB9" i="177"/>
  <c r="V7" i="177"/>
  <c r="AD13" i="177"/>
  <c r="ET8" i="177"/>
  <c r="ET7" i="177"/>
  <c r="EW7" i="177" s="1"/>
  <c r="FB13" i="177"/>
  <c r="EW13" i="177"/>
  <c r="EV15" i="177"/>
  <c r="EV16" i="177"/>
  <c r="EZ13" i="177"/>
  <c r="ER7" i="177"/>
  <c r="EZ7" i="177" s="1"/>
  <c r="ER8" i="177"/>
  <c r="FB8" i="177" s="1"/>
  <c r="FB10" i="177"/>
  <c r="EW5" i="177"/>
  <c r="FB18" i="177"/>
  <c r="FB17" i="177"/>
  <c r="EZ5" i="177"/>
  <c r="EB16" i="177"/>
  <c r="EB15" i="177"/>
  <c r="CP13" i="177"/>
  <c r="CK13" i="177"/>
  <c r="CJ16" i="177"/>
  <c r="CJ15" i="177"/>
  <c r="CN13" i="177"/>
  <c r="EL9" i="177"/>
  <c r="EG9" i="177"/>
  <c r="EJ9" i="177"/>
  <c r="DP8" i="177"/>
  <c r="DP7" i="177"/>
  <c r="DV5" i="177"/>
  <c r="DQ5" i="177"/>
  <c r="DT5" i="177"/>
  <c r="CN18" i="177"/>
  <c r="CP18" i="177"/>
  <c r="CK18" i="177"/>
  <c r="CH16" i="177"/>
  <c r="CH15" i="177"/>
  <c r="ED7" i="177"/>
  <c r="ED8" i="177"/>
  <c r="DV18" i="177"/>
  <c r="Y5" i="177"/>
  <c r="CV16" i="177"/>
  <c r="CV15" i="177"/>
  <c r="DD9" i="177"/>
  <c r="DF9" i="177"/>
  <c r="DA9" i="177"/>
  <c r="EF15" i="177"/>
  <c r="EL13" i="177"/>
  <c r="EG13" i="177"/>
  <c r="EF16" i="177"/>
  <c r="EJ13" i="177"/>
  <c r="EL10" i="177"/>
  <c r="EG10" i="177"/>
  <c r="EJ10" i="177"/>
  <c r="CZ8" i="177"/>
  <c r="DF5" i="177"/>
  <c r="DA5" i="177"/>
  <c r="CZ7" i="177"/>
  <c r="DD5" i="177"/>
  <c r="ED15" i="177"/>
  <c r="ED16" i="177"/>
  <c r="DN8" i="177"/>
  <c r="DN7" i="177"/>
  <c r="DD17" i="177"/>
  <c r="DF17" i="177"/>
  <c r="DA17" i="177"/>
  <c r="EB8" i="177"/>
  <c r="EB7" i="177"/>
  <c r="DV9" i="177"/>
  <c r="DQ9" i="177"/>
  <c r="DT9" i="177"/>
  <c r="EL17" i="177"/>
  <c r="EG17" i="177"/>
  <c r="EJ17" i="177"/>
  <c r="DP16" i="177"/>
  <c r="DV13" i="177"/>
  <c r="DQ13" i="177"/>
  <c r="DP15" i="177"/>
  <c r="DT13" i="177"/>
  <c r="CP5" i="177"/>
  <c r="CK5" i="177"/>
  <c r="CJ8" i="177"/>
  <c r="CJ7" i="177"/>
  <c r="CN5" i="177"/>
  <c r="DN15" i="177"/>
  <c r="DN16" i="177"/>
  <c r="CN9" i="177"/>
  <c r="CP9" i="177"/>
  <c r="CK9" i="177"/>
  <c r="CX8" i="177"/>
  <c r="CX7" i="177"/>
  <c r="DF18" i="177"/>
  <c r="DD10" i="177"/>
  <c r="DF10" i="177"/>
  <c r="DA10" i="177"/>
  <c r="CV7" i="177"/>
  <c r="CV8" i="177"/>
  <c r="DV17" i="177"/>
  <c r="DQ17" i="177"/>
  <c r="DT17" i="177"/>
  <c r="DV10" i="177"/>
  <c r="DQ10" i="177"/>
  <c r="DT10" i="177"/>
  <c r="EL18" i="177"/>
  <c r="EG18" i="177"/>
  <c r="EJ18" i="177"/>
  <c r="CZ16" i="177"/>
  <c r="CZ15" i="177"/>
  <c r="DF13" i="177"/>
  <c r="DA13" i="177"/>
  <c r="DD13" i="177"/>
  <c r="EF7" i="177"/>
  <c r="EL5" i="177"/>
  <c r="EG5" i="177"/>
  <c r="EF8" i="177"/>
  <c r="EJ5" i="177"/>
  <c r="CN17" i="177"/>
  <c r="CP17" i="177"/>
  <c r="CK17" i="177"/>
  <c r="CX16" i="177"/>
  <c r="CX15" i="177"/>
  <c r="CN10" i="177"/>
  <c r="CP10" i="177"/>
  <c r="CK10" i="177"/>
  <c r="CH8" i="177"/>
  <c r="CH7" i="177"/>
  <c r="BZ13" i="177"/>
  <c r="BU13" i="177"/>
  <c r="BT16" i="177"/>
  <c r="BX13" i="177"/>
  <c r="BT15" i="177"/>
  <c r="BZ9" i="177"/>
  <c r="BU9" i="177"/>
  <c r="BX9" i="177"/>
  <c r="BP15" i="177"/>
  <c r="BP16" i="177"/>
  <c r="BX10" i="177"/>
  <c r="BZ10" i="177"/>
  <c r="BU10" i="177"/>
  <c r="BP7" i="177"/>
  <c r="BP8" i="177"/>
  <c r="BZ17" i="177"/>
  <c r="BU17" i="177"/>
  <c r="BX17" i="177"/>
  <c r="BX18" i="177"/>
  <c r="BZ18" i="177"/>
  <c r="BU18" i="177"/>
  <c r="BR8" i="177"/>
  <c r="BR7" i="177"/>
  <c r="BR15" i="177"/>
  <c r="BR16" i="177"/>
  <c r="BX5" i="177"/>
  <c r="BT8" i="177"/>
  <c r="BT7" i="177"/>
  <c r="BZ5" i="177"/>
  <c r="BU5" i="177"/>
  <c r="AZ7" i="177"/>
  <c r="BJ7" i="177" s="1"/>
  <c r="AZ8" i="177"/>
  <c r="BH8" i="177" s="1"/>
  <c r="BB15" i="177"/>
  <c r="BB16" i="177"/>
  <c r="BH18" i="177"/>
  <c r="BJ18" i="177"/>
  <c r="BE18" i="177"/>
  <c r="AD5" i="177"/>
  <c r="BJ13" i="177"/>
  <c r="BE13" i="177"/>
  <c r="BD16" i="177"/>
  <c r="BH13" i="177"/>
  <c r="BD15" i="177"/>
  <c r="BJ10" i="177"/>
  <c r="BJ5" i="177"/>
  <c r="BB7" i="177"/>
  <c r="BB8" i="177"/>
  <c r="BE8" i="177" s="1"/>
  <c r="BE5" i="177"/>
  <c r="BJ17" i="177"/>
  <c r="BE17" i="177"/>
  <c r="BH17" i="177"/>
  <c r="BH9" i="177"/>
  <c r="BJ9" i="177"/>
  <c r="BE9" i="177"/>
  <c r="AT9" i="177"/>
  <c r="AO9" i="177"/>
  <c r="AR9" i="177"/>
  <c r="AD10" i="177"/>
  <c r="T7" i="177"/>
  <c r="AT13" i="177"/>
  <c r="AO13" i="177"/>
  <c r="AN16" i="177"/>
  <c r="AR13" i="177"/>
  <c r="AN15" i="177"/>
  <c r="Y13" i="177"/>
  <c r="X16" i="177"/>
  <c r="AR10" i="177"/>
  <c r="AT10" i="177"/>
  <c r="AO10" i="177"/>
  <c r="AL8" i="177"/>
  <c r="AL7" i="177"/>
  <c r="AT17" i="177"/>
  <c r="AO17" i="177"/>
  <c r="AR17" i="177"/>
  <c r="Y17" i="177"/>
  <c r="AD17" i="177"/>
  <c r="AR18" i="177"/>
  <c r="AT18" i="177"/>
  <c r="AO18" i="177"/>
  <c r="AJ7" i="177"/>
  <c r="AJ8" i="177"/>
  <c r="AL15" i="177"/>
  <c r="AL16" i="177"/>
  <c r="V15" i="177"/>
  <c r="V16" i="177"/>
  <c r="AR5" i="177"/>
  <c r="AN8" i="177"/>
  <c r="AN7" i="177"/>
  <c r="AT5" i="177"/>
  <c r="AO5" i="177"/>
  <c r="Y9" i="177"/>
  <c r="AJ15" i="177"/>
  <c r="AJ16" i="177"/>
  <c r="Y18" i="177"/>
  <c r="AD18" i="177"/>
  <c r="H16" i="177" l="1"/>
  <c r="BE7" i="177"/>
  <c r="EW8" i="177"/>
  <c r="Y7" i="177"/>
  <c r="D15" i="177"/>
  <c r="D14" i="177" s="1"/>
  <c r="FB7" i="177"/>
  <c r="R4" i="184"/>
  <c r="AY4" i="184"/>
  <c r="F7" i="177"/>
  <c r="F6" i="177" s="1"/>
  <c r="H7" i="177"/>
  <c r="H6" i="177" s="1"/>
  <c r="D8" i="177"/>
  <c r="Y15" i="177"/>
  <c r="F15" i="177"/>
  <c r="F14" i="177" s="1"/>
  <c r="Y8" i="177"/>
  <c r="H8" i="177"/>
  <c r="K8" i="212" s="1"/>
  <c r="H15" i="177"/>
  <c r="D16" i="177"/>
  <c r="F16" i="177"/>
  <c r="D7" i="177"/>
  <c r="D6" i="177" s="1"/>
  <c r="F8" i="177"/>
  <c r="H8" i="212" s="1"/>
  <c r="Z1" i="177"/>
  <c r="AE4" i="184" s="1"/>
  <c r="K4" i="184"/>
  <c r="J4" i="184"/>
  <c r="AT4" i="184"/>
  <c r="BG4" i="184"/>
  <c r="AL4" i="184"/>
  <c r="Q4" i="184"/>
  <c r="BU4" i="184"/>
  <c r="BN4" i="184"/>
  <c r="AS4" i="184"/>
  <c r="P4" i="184"/>
  <c r="BV4" i="184"/>
  <c r="BH4" i="184"/>
  <c r="AF4" i="184"/>
  <c r="AD4" i="184"/>
  <c r="AD6" i="184" s="1"/>
  <c r="AK4" i="184"/>
  <c r="AM4" i="184"/>
  <c r="AR4" i="184"/>
  <c r="BF4" i="184"/>
  <c r="BM4" i="184"/>
  <c r="BO4" i="184"/>
  <c r="BT4" i="184"/>
  <c r="AZ4" i="184"/>
  <c r="BH7" i="177"/>
  <c r="X4" i="184"/>
  <c r="Y4" i="184"/>
  <c r="BJ8" i="177"/>
  <c r="FR8" i="177"/>
  <c r="FM8" i="177"/>
  <c r="FP8" i="177"/>
  <c r="FR16" i="177"/>
  <c r="FM16" i="177"/>
  <c r="FP16" i="177"/>
  <c r="FP7" i="177"/>
  <c r="FM7" i="177"/>
  <c r="FR7" i="177"/>
  <c r="FP15" i="177"/>
  <c r="FM15" i="177"/>
  <c r="FR15" i="177"/>
  <c r="FB15" i="177"/>
  <c r="EZ15" i="177"/>
  <c r="EW15" i="177"/>
  <c r="EZ8" i="177"/>
  <c r="FB16" i="177"/>
  <c r="EW16" i="177"/>
  <c r="EZ16" i="177"/>
  <c r="EL7" i="177"/>
  <c r="EJ7" i="177"/>
  <c r="EG7" i="177"/>
  <c r="DA15" i="177"/>
  <c r="DF15" i="177"/>
  <c r="DD15" i="177"/>
  <c r="DQ7" i="177"/>
  <c r="DV7" i="177"/>
  <c r="DT7" i="177"/>
  <c r="EL8" i="177"/>
  <c r="EG8" i="177"/>
  <c r="EJ8" i="177"/>
  <c r="DD16" i="177"/>
  <c r="DF16" i="177"/>
  <c r="DA16" i="177"/>
  <c r="CP7" i="177"/>
  <c r="CN7" i="177"/>
  <c r="CK7" i="177"/>
  <c r="DV16" i="177"/>
  <c r="DQ16" i="177"/>
  <c r="DT16" i="177"/>
  <c r="DD8" i="177"/>
  <c r="DF8" i="177"/>
  <c r="DA8" i="177"/>
  <c r="EG15" i="177"/>
  <c r="EL15" i="177"/>
  <c r="EJ15" i="177"/>
  <c r="DV8" i="177"/>
  <c r="DQ8" i="177"/>
  <c r="DT8" i="177"/>
  <c r="CN8" i="177"/>
  <c r="CP8" i="177"/>
  <c r="CK8" i="177"/>
  <c r="DT15" i="177"/>
  <c r="DQ15" i="177"/>
  <c r="DV15" i="177"/>
  <c r="DD7" i="177"/>
  <c r="DA7" i="177"/>
  <c r="DF7" i="177"/>
  <c r="EL16" i="177"/>
  <c r="EG16" i="177"/>
  <c r="EJ16" i="177"/>
  <c r="CN15" i="177"/>
  <c r="CK15" i="177"/>
  <c r="CP15" i="177"/>
  <c r="CN16" i="177"/>
  <c r="CP16" i="177"/>
  <c r="CK16" i="177"/>
  <c r="BX7" i="177"/>
  <c r="BU7" i="177"/>
  <c r="BZ7" i="177"/>
  <c r="BZ8" i="177"/>
  <c r="BU8" i="177"/>
  <c r="BX8" i="177"/>
  <c r="BZ16" i="177"/>
  <c r="BU16" i="177"/>
  <c r="BX16" i="177"/>
  <c r="BX15" i="177"/>
  <c r="BU15" i="177"/>
  <c r="BZ15" i="177"/>
  <c r="BH15" i="177"/>
  <c r="BE15" i="177"/>
  <c r="BJ15" i="177"/>
  <c r="BJ16" i="177"/>
  <c r="BE16" i="177"/>
  <c r="BH16" i="177"/>
  <c r="Y16" i="177"/>
  <c r="AD16" i="177"/>
  <c r="AT16" i="177"/>
  <c r="AO16" i="177"/>
  <c r="AR16" i="177"/>
  <c r="AT8" i="177"/>
  <c r="AO8" i="177"/>
  <c r="AR8" i="177"/>
  <c r="AR7" i="177"/>
  <c r="AO7" i="177"/>
  <c r="AT7" i="177"/>
  <c r="AR15" i="177"/>
  <c r="AO15" i="177"/>
  <c r="AT15" i="177"/>
  <c r="G6" i="140"/>
  <c r="H14" i="177" l="1"/>
  <c r="K17" i="212"/>
  <c r="K13" i="212"/>
  <c r="K18" i="212"/>
  <c r="H13" i="212"/>
  <c r="H18" i="212"/>
  <c r="I18" i="212" s="1"/>
  <c r="BF15" i="184"/>
  <c r="BF6" i="184"/>
  <c r="BF10" i="184" s="1"/>
  <c r="BF12" i="184" s="1"/>
  <c r="C4" i="184"/>
  <c r="BU15" i="184"/>
  <c r="BU17" i="184" s="1"/>
  <c r="BU6" i="184"/>
  <c r="BU10" i="184" s="1"/>
  <c r="BU12" i="184" s="1"/>
  <c r="I15" i="184"/>
  <c r="I17" i="184" s="1"/>
  <c r="I10" i="184"/>
  <c r="I12" i="184" s="1"/>
  <c r="AR15" i="184"/>
  <c r="AR17" i="184" s="1"/>
  <c r="AR6" i="184"/>
  <c r="AR10" i="184" s="1"/>
  <c r="AR12" i="184" s="1"/>
  <c r="Q6" i="184"/>
  <c r="Q10" i="184" s="1"/>
  <c r="Q12" i="184" s="1"/>
  <c r="Q15" i="184"/>
  <c r="Q17" i="184" s="1"/>
  <c r="I14" i="177"/>
  <c r="L14" i="177"/>
  <c r="N14" i="177"/>
  <c r="AO4" i="184"/>
  <c r="AN4" i="184"/>
  <c r="AM6" i="184"/>
  <c r="AM15" i="184"/>
  <c r="AL15" i="184"/>
  <c r="AL17" i="184" s="1"/>
  <c r="AL6" i="184"/>
  <c r="AL10" i="184" s="1"/>
  <c r="AL12" i="184" s="1"/>
  <c r="AK15" i="184"/>
  <c r="AK17" i="184" s="1"/>
  <c r="AK6" i="184"/>
  <c r="AK10" i="184" s="1"/>
  <c r="AK12" i="184" s="1"/>
  <c r="BG15" i="184"/>
  <c r="BG17" i="184" s="1"/>
  <c r="BG6" i="184"/>
  <c r="BG10" i="184" s="1"/>
  <c r="BG12" i="184" s="1"/>
  <c r="BM15" i="184"/>
  <c r="BM17" i="184" s="1"/>
  <c r="BM6" i="184"/>
  <c r="BM10" i="184" s="1"/>
  <c r="BM12" i="184" s="1"/>
  <c r="AD10" i="184"/>
  <c r="AD12" i="184" s="1"/>
  <c r="AD15" i="184"/>
  <c r="AD17" i="184" s="1"/>
  <c r="AT6" i="184"/>
  <c r="AT15" i="184"/>
  <c r="AU4" i="184"/>
  <c r="AV4" i="184"/>
  <c r="Z4" i="184"/>
  <c r="Y6" i="184"/>
  <c r="Y15" i="184"/>
  <c r="AG4" i="184"/>
  <c r="AH4" i="184"/>
  <c r="AF6" i="184"/>
  <c r="AF15" i="184"/>
  <c r="J6" i="184"/>
  <c r="J10" i="184" s="1"/>
  <c r="J12" i="184" s="1"/>
  <c r="J15" i="184"/>
  <c r="J17" i="184" s="1"/>
  <c r="X6" i="184"/>
  <c r="X10" i="184" s="1"/>
  <c r="X12" i="184" s="1"/>
  <c r="X15" i="184"/>
  <c r="X17" i="184" s="1"/>
  <c r="BH15" i="184"/>
  <c r="BJ4" i="184"/>
  <c r="BI4" i="184"/>
  <c r="BH6" i="184"/>
  <c r="AE6" i="184"/>
  <c r="AE10" i="184" s="1"/>
  <c r="AE12" i="184" s="1"/>
  <c r="AE15" i="184"/>
  <c r="AE17" i="184" s="1"/>
  <c r="BV6" i="184"/>
  <c r="BX4" i="184"/>
  <c r="BV15" i="184"/>
  <c r="BW4" i="184"/>
  <c r="K15" i="184"/>
  <c r="L4" i="184"/>
  <c r="M4" i="184"/>
  <c r="K6" i="184"/>
  <c r="N6" i="177"/>
  <c r="L6" i="177"/>
  <c r="I6" i="177"/>
  <c r="AZ6" i="184"/>
  <c r="AZ10" i="184" s="1"/>
  <c r="AZ12" i="184" s="1"/>
  <c r="AZ15" i="184"/>
  <c r="AZ17" i="184" s="1"/>
  <c r="T4" i="184"/>
  <c r="P15" i="184"/>
  <c r="P17" i="184" s="1"/>
  <c r="P6" i="184"/>
  <c r="P10" i="184" s="1"/>
  <c r="P12" i="184" s="1"/>
  <c r="W4" i="184"/>
  <c r="BA4" i="184"/>
  <c r="BT6" i="184"/>
  <c r="BT10" i="184" s="1"/>
  <c r="BT12" i="184" s="1"/>
  <c r="BT15" i="184"/>
  <c r="BT17" i="184" s="1"/>
  <c r="AS6" i="184"/>
  <c r="AS10" i="184" s="1"/>
  <c r="AS12" i="184" s="1"/>
  <c r="AS15" i="184"/>
  <c r="AS17" i="184" s="1"/>
  <c r="AY6" i="184"/>
  <c r="AY15" i="184"/>
  <c r="AY17" i="184" s="1"/>
  <c r="BO15" i="184"/>
  <c r="BP4" i="184"/>
  <c r="BO6" i="184"/>
  <c r="BQ4" i="184"/>
  <c r="BN15" i="184"/>
  <c r="BN17" i="184" s="1"/>
  <c r="BN6" i="184"/>
  <c r="BN10" i="184" s="1"/>
  <c r="BN12" i="184" s="1"/>
  <c r="R6" i="184"/>
  <c r="R15" i="184"/>
  <c r="S4" i="184"/>
  <c r="E5" i="137"/>
  <c r="O8" i="237"/>
  <c r="B39" i="234"/>
  <c r="B22" i="234"/>
  <c r="D39" i="234"/>
  <c r="L39" i="234" s="1"/>
  <c r="E38" i="234"/>
  <c r="E37" i="234"/>
  <c r="E36" i="234"/>
  <c r="E35" i="234"/>
  <c r="E34" i="234"/>
  <c r="E33" i="234"/>
  <c r="E32" i="234"/>
  <c r="E31" i="234"/>
  <c r="E30" i="234"/>
  <c r="E29" i="234"/>
  <c r="E28" i="234"/>
  <c r="E27" i="234"/>
  <c r="E26" i="234"/>
  <c r="E25" i="234"/>
  <c r="E24" i="234"/>
  <c r="D22" i="234"/>
  <c r="E21" i="234"/>
  <c r="E20" i="234"/>
  <c r="E19" i="234"/>
  <c r="E18" i="234"/>
  <c r="E17" i="234"/>
  <c r="E16" i="234"/>
  <c r="E15" i="234"/>
  <c r="E14" i="234"/>
  <c r="E13" i="234"/>
  <c r="E12" i="234"/>
  <c r="E11" i="234"/>
  <c r="E10" i="234"/>
  <c r="E9" i="234"/>
  <c r="E8" i="234"/>
  <c r="E7" i="234"/>
  <c r="B39" i="57"/>
  <c r="B22" i="57"/>
  <c r="D39" i="57"/>
  <c r="L39" i="57" s="1"/>
  <c r="E38" i="57"/>
  <c r="E37" i="57"/>
  <c r="E36" i="57"/>
  <c r="E35" i="57"/>
  <c r="E34" i="57"/>
  <c r="E33" i="57"/>
  <c r="E32" i="57"/>
  <c r="E31" i="57"/>
  <c r="E30" i="57"/>
  <c r="E29" i="57"/>
  <c r="E28" i="57"/>
  <c r="E27" i="57"/>
  <c r="E26" i="57"/>
  <c r="E25" i="57"/>
  <c r="E24" i="57"/>
  <c r="D22" i="57"/>
  <c r="D40" i="57" s="1"/>
  <c r="E21" i="57"/>
  <c r="E20" i="57"/>
  <c r="E19" i="57"/>
  <c r="E18" i="57"/>
  <c r="E17" i="57"/>
  <c r="E16" i="57"/>
  <c r="E15" i="57"/>
  <c r="E14" i="57"/>
  <c r="E13" i="57"/>
  <c r="E12" i="57"/>
  <c r="E11" i="57"/>
  <c r="E10" i="57"/>
  <c r="E9" i="57"/>
  <c r="E8" i="57"/>
  <c r="E7" i="57"/>
  <c r="B39" i="235"/>
  <c r="K39" i="235" s="1"/>
  <c r="B22" i="235"/>
  <c r="B40" i="235" s="1"/>
  <c r="D39" i="235"/>
  <c r="E39" i="235" s="1"/>
  <c r="E38" i="235"/>
  <c r="E37" i="235"/>
  <c r="E36" i="235"/>
  <c r="E35" i="235"/>
  <c r="E34" i="235"/>
  <c r="E33" i="235"/>
  <c r="E32" i="235"/>
  <c r="E31" i="235"/>
  <c r="E30" i="235"/>
  <c r="E29" i="235"/>
  <c r="E28" i="235"/>
  <c r="E27" i="235"/>
  <c r="E26" i="235"/>
  <c r="E25" i="235"/>
  <c r="E24" i="235"/>
  <c r="D22" i="235"/>
  <c r="E22" i="235" s="1"/>
  <c r="E21" i="235"/>
  <c r="E20" i="235"/>
  <c r="E19" i="235"/>
  <c r="E18" i="235"/>
  <c r="E17" i="235"/>
  <c r="E16" i="235"/>
  <c r="E15" i="235"/>
  <c r="E14" i="235"/>
  <c r="E13" i="235"/>
  <c r="E12" i="235"/>
  <c r="E11" i="235"/>
  <c r="E10" i="235"/>
  <c r="E9" i="235"/>
  <c r="E8" i="235"/>
  <c r="E7" i="235"/>
  <c r="B40" i="234" l="1"/>
  <c r="S15" i="184"/>
  <c r="R17" i="184"/>
  <c r="T15" i="184"/>
  <c r="K10" i="184"/>
  <c r="L6" i="184"/>
  <c r="M6" i="184"/>
  <c r="Z15" i="184"/>
  <c r="Y17" i="184"/>
  <c r="R10" i="184"/>
  <c r="T6" i="184"/>
  <c r="S6" i="184"/>
  <c r="Y10" i="184"/>
  <c r="Z6" i="184"/>
  <c r="BA15" i="184"/>
  <c r="BA6" i="184"/>
  <c r="BC6" i="184" s="1"/>
  <c r="BC4" i="184"/>
  <c r="BB4" i="184"/>
  <c r="BH17" i="184"/>
  <c r="BI17" i="184" s="1"/>
  <c r="BI15" i="184"/>
  <c r="W6" i="184"/>
  <c r="W15" i="184"/>
  <c r="W17" i="184" s="1"/>
  <c r="M15" i="184"/>
  <c r="K17" i="184"/>
  <c r="L15" i="184"/>
  <c r="D4" i="184"/>
  <c r="BO10" i="184"/>
  <c r="BQ6" i="184"/>
  <c r="BP6" i="184"/>
  <c r="AT17" i="184"/>
  <c r="AV15" i="184"/>
  <c r="AU15" i="184"/>
  <c r="AM17" i="184"/>
  <c r="AN15" i="184"/>
  <c r="AO15" i="184"/>
  <c r="B4" i="184"/>
  <c r="B15" i="184" s="1"/>
  <c r="BV17" i="184"/>
  <c r="BW15" i="184"/>
  <c r="BX15" i="184"/>
  <c r="AT10" i="184"/>
  <c r="AU6" i="184"/>
  <c r="AV6" i="184"/>
  <c r="AM10" i="184"/>
  <c r="AO6" i="184"/>
  <c r="AN6" i="184"/>
  <c r="BQ15" i="184"/>
  <c r="BO17" i="184"/>
  <c r="BP15" i="184"/>
  <c r="AF17" i="184"/>
  <c r="AH17" i="184" s="1"/>
  <c r="AG15" i="184"/>
  <c r="AH15" i="184"/>
  <c r="BV10" i="184"/>
  <c r="BX6" i="184"/>
  <c r="BW6" i="184"/>
  <c r="AF10" i="184"/>
  <c r="AG6" i="184"/>
  <c r="AH6" i="184"/>
  <c r="AY10" i="184"/>
  <c r="AY12" i="184" s="1"/>
  <c r="BH10" i="184"/>
  <c r="BJ6" i="184"/>
  <c r="BI6" i="184"/>
  <c r="AA4" i="184"/>
  <c r="BJ15" i="184"/>
  <c r="BF17" i="184"/>
  <c r="E39" i="57"/>
  <c r="E39" i="234"/>
  <c r="K39" i="234"/>
  <c r="B40" i="57"/>
  <c r="E40" i="57" s="1"/>
  <c r="K39" i="57"/>
  <c r="L39" i="235"/>
  <c r="D40" i="235"/>
  <c r="E40" i="235" s="1"/>
  <c r="E22" i="234"/>
  <c r="D40" i="234"/>
  <c r="E22" i="57"/>
  <c r="B55" i="131"/>
  <c r="B26" i="131"/>
  <c r="E57" i="131"/>
  <c r="D55" i="131"/>
  <c r="E54" i="131"/>
  <c r="E53" i="131"/>
  <c r="E52" i="131"/>
  <c r="E51" i="131"/>
  <c r="E50" i="131"/>
  <c r="E49" i="131"/>
  <c r="E48" i="131"/>
  <c r="E47" i="131"/>
  <c r="E46" i="131"/>
  <c r="E45" i="131"/>
  <c r="E44" i="131"/>
  <c r="E43" i="131"/>
  <c r="E42" i="131"/>
  <c r="E41" i="131"/>
  <c r="E40" i="131"/>
  <c r="E39" i="131"/>
  <c r="E38" i="131"/>
  <c r="E37" i="131"/>
  <c r="E36" i="131"/>
  <c r="E35" i="131"/>
  <c r="E34" i="131"/>
  <c r="E33" i="131"/>
  <c r="E32" i="131"/>
  <c r="E31" i="131"/>
  <c r="E30" i="131"/>
  <c r="E29" i="131"/>
  <c r="E28" i="131"/>
  <c r="E27" i="131"/>
  <c r="D26" i="131"/>
  <c r="E25" i="131"/>
  <c r="E24" i="131"/>
  <c r="E23" i="131"/>
  <c r="E22" i="131"/>
  <c r="E21" i="131"/>
  <c r="E20" i="131"/>
  <c r="E19" i="131"/>
  <c r="E18" i="131"/>
  <c r="E17" i="131"/>
  <c r="E16" i="131"/>
  <c r="E15" i="131"/>
  <c r="E14" i="131"/>
  <c r="E13" i="131"/>
  <c r="E12" i="131"/>
  <c r="E11" i="131"/>
  <c r="E10" i="131"/>
  <c r="E9" i="131"/>
  <c r="E8" i="131"/>
  <c r="E7" i="131"/>
  <c r="E6" i="131"/>
  <c r="B56" i="131" l="1"/>
  <c r="B58" i="131" s="1"/>
  <c r="BJ17" i="184"/>
  <c r="AG17" i="184"/>
  <c r="M17" i="184"/>
  <c r="L17" i="184"/>
  <c r="R12" i="184"/>
  <c r="S10" i="184"/>
  <c r="T10" i="184"/>
  <c r="AO17" i="184"/>
  <c r="AN17" i="184"/>
  <c r="AA6" i="184"/>
  <c r="W10" i="184"/>
  <c r="W12" i="184" s="1"/>
  <c r="AA15" i="184"/>
  <c r="AA17" i="184"/>
  <c r="Z17" i="184"/>
  <c r="AH10" i="184"/>
  <c r="AG10" i="184"/>
  <c r="AF12" i="184"/>
  <c r="AM12" i="184"/>
  <c r="AO10" i="184"/>
  <c r="AN10" i="184"/>
  <c r="AV17" i="184"/>
  <c r="AU17" i="184"/>
  <c r="BV12" i="184"/>
  <c r="BX10" i="184"/>
  <c r="BW10" i="184"/>
  <c r="AU10" i="184"/>
  <c r="AT12" i="184"/>
  <c r="AV10" i="184"/>
  <c r="BA10" i="184"/>
  <c r="BB6" i="184"/>
  <c r="K12" i="184"/>
  <c r="L10" i="184"/>
  <c r="M10" i="184"/>
  <c r="BO12" i="184"/>
  <c r="BQ10" i="184"/>
  <c r="BP10" i="184"/>
  <c r="BA17" i="184"/>
  <c r="BB15" i="184"/>
  <c r="BC15" i="184"/>
  <c r="E4" i="184"/>
  <c r="F4" i="184"/>
  <c r="T17" i="184"/>
  <c r="S17" i="184"/>
  <c r="BP17" i="184"/>
  <c r="BQ17" i="184"/>
  <c r="BJ10" i="184"/>
  <c r="BI10" i="184"/>
  <c r="BH12" i="184"/>
  <c r="BX17" i="184"/>
  <c r="BW17" i="184"/>
  <c r="Y12" i="184"/>
  <c r="Z12" i="184" s="1"/>
  <c r="Z10" i="184"/>
  <c r="D56" i="131"/>
  <c r="D58" i="131" s="1"/>
  <c r="N26" i="131"/>
  <c r="M26" i="131"/>
  <c r="E26" i="131"/>
  <c r="E40" i="234"/>
  <c r="E55" i="131"/>
  <c r="B55" i="232"/>
  <c r="B26" i="232"/>
  <c r="E22" i="249"/>
  <c r="E21" i="249"/>
  <c r="E19" i="249"/>
  <c r="E18" i="249"/>
  <c r="E17" i="249"/>
  <c r="E14" i="249"/>
  <c r="E13" i="249"/>
  <c r="E12" i="249"/>
  <c r="E10" i="249"/>
  <c r="E9" i="249"/>
  <c r="E8" i="249"/>
  <c r="E7" i="249"/>
  <c r="E6" i="249"/>
  <c r="R37" i="6"/>
  <c r="R38" i="6"/>
  <c r="R39" i="6"/>
  <c r="R40" i="6"/>
  <c r="R41" i="6"/>
  <c r="R42" i="6"/>
  <c r="R43" i="6"/>
  <c r="R44" i="6"/>
  <c r="R45" i="6"/>
  <c r="R46" i="6"/>
  <c r="R47" i="6"/>
  <c r="R48" i="6"/>
  <c r="R49" i="6"/>
  <c r="R50" i="6"/>
  <c r="R51" i="6"/>
  <c r="R52" i="6"/>
  <c r="R53" i="6"/>
  <c r="R54" i="6"/>
  <c r="R55" i="6"/>
  <c r="R56" i="6"/>
  <c r="R57" i="6"/>
  <c r="R36" i="6"/>
  <c r="R35" i="6"/>
  <c r="R29" i="139"/>
  <c r="Q22" i="6"/>
  <c r="Q23" i="6"/>
  <c r="Q24" i="6"/>
  <c r="Q25" i="6"/>
  <c r="Q26" i="6"/>
  <c r="Q27" i="6"/>
  <c r="Q28" i="6"/>
  <c r="Q29" i="6"/>
  <c r="Q21" i="6"/>
  <c r="Q20" i="6"/>
  <c r="Q19" i="6"/>
  <c r="Q18" i="6"/>
  <c r="Q17" i="6"/>
  <c r="Q16" i="6"/>
  <c r="Q15" i="6"/>
  <c r="Q14" i="6"/>
  <c r="Q13" i="6"/>
  <c r="Q12" i="6"/>
  <c r="Q11" i="6"/>
  <c r="Q10" i="6"/>
  <c r="Q9" i="6"/>
  <c r="Q8" i="6"/>
  <c r="Q7" i="6"/>
  <c r="E43" i="228"/>
  <c r="E40" i="228"/>
  <c r="E39" i="228"/>
  <c r="E38" i="228"/>
  <c r="E37" i="228"/>
  <c r="E36" i="228"/>
  <c r="E35" i="228"/>
  <c r="E34" i="228"/>
  <c r="E33" i="228"/>
  <c r="E32" i="228"/>
  <c r="E31" i="228"/>
  <c r="E30" i="228"/>
  <c r="E29" i="228"/>
  <c r="E28" i="228"/>
  <c r="E27" i="228"/>
  <c r="E26" i="228"/>
  <c r="E25" i="228"/>
  <c r="E24" i="228"/>
  <c r="E23" i="228"/>
  <c r="E22" i="228"/>
  <c r="E21" i="228"/>
  <c r="E19" i="228"/>
  <c r="E18" i="228"/>
  <c r="E17" i="228"/>
  <c r="E16" i="228"/>
  <c r="E15" i="228"/>
  <c r="E14" i="228"/>
  <c r="E13" i="228"/>
  <c r="E12" i="228"/>
  <c r="E11" i="228"/>
  <c r="E10" i="228"/>
  <c r="E9" i="228"/>
  <c r="E8" i="228"/>
  <c r="E7" i="228"/>
  <c r="E6" i="228"/>
  <c r="E43" i="227"/>
  <c r="E40" i="227"/>
  <c r="E39" i="227"/>
  <c r="E38" i="227"/>
  <c r="E37" i="227"/>
  <c r="E36" i="227"/>
  <c r="E35" i="227"/>
  <c r="E34" i="227"/>
  <c r="E33" i="227"/>
  <c r="E32" i="227"/>
  <c r="E31" i="227"/>
  <c r="E30" i="227"/>
  <c r="E29" i="227"/>
  <c r="E28" i="227"/>
  <c r="E27" i="227"/>
  <c r="E26" i="227"/>
  <c r="E25" i="227"/>
  <c r="E24" i="227"/>
  <c r="E23" i="227"/>
  <c r="E22" i="227"/>
  <c r="E21" i="227"/>
  <c r="E19" i="227"/>
  <c r="E18" i="227"/>
  <c r="E17" i="227"/>
  <c r="E16" i="227"/>
  <c r="E15" i="227"/>
  <c r="E14" i="227"/>
  <c r="E13" i="227"/>
  <c r="E12" i="227"/>
  <c r="E11" i="227"/>
  <c r="E10" i="227"/>
  <c r="E9" i="227"/>
  <c r="E8" i="227"/>
  <c r="E7" i="227"/>
  <c r="E6" i="227"/>
  <c r="E32" i="219"/>
  <c r="E30" i="219"/>
  <c r="E29" i="219"/>
  <c r="E28" i="219"/>
  <c r="E27" i="219"/>
  <c r="E26" i="219"/>
  <c r="E25" i="219"/>
  <c r="E24" i="219"/>
  <c r="E23" i="219"/>
  <c r="E22" i="219"/>
  <c r="E21" i="219"/>
  <c r="E20" i="219"/>
  <c r="E19" i="219"/>
  <c r="E18" i="219"/>
  <c r="E17" i="219"/>
  <c r="E16" i="219"/>
  <c r="E15" i="219"/>
  <c r="E14" i="219"/>
  <c r="E13" i="219"/>
  <c r="E12" i="219"/>
  <c r="E11" i="219"/>
  <c r="E10" i="219"/>
  <c r="E9" i="219"/>
  <c r="E8" i="219"/>
  <c r="E7" i="219"/>
  <c r="E6" i="219"/>
  <c r="E32" i="218"/>
  <c r="E30" i="218"/>
  <c r="E29" i="218"/>
  <c r="E28" i="218"/>
  <c r="E27" i="218"/>
  <c r="E26" i="218"/>
  <c r="E25" i="218"/>
  <c r="E24" i="218"/>
  <c r="E23" i="218"/>
  <c r="E22" i="218"/>
  <c r="E21" i="218"/>
  <c r="E20" i="218"/>
  <c r="E19" i="218"/>
  <c r="E18" i="218"/>
  <c r="E17" i="218"/>
  <c r="E16" i="218"/>
  <c r="E15" i="218"/>
  <c r="E14" i="218"/>
  <c r="E13" i="218"/>
  <c r="E12" i="218"/>
  <c r="E11" i="218"/>
  <c r="E10" i="218"/>
  <c r="E9" i="218"/>
  <c r="E8" i="218"/>
  <c r="E7" i="218"/>
  <c r="E6" i="218"/>
  <c r="E32" i="217"/>
  <c r="E30" i="217"/>
  <c r="E29" i="217"/>
  <c r="E28" i="217"/>
  <c r="E27" i="217"/>
  <c r="E26" i="217"/>
  <c r="E25" i="217"/>
  <c r="E24" i="217"/>
  <c r="E23" i="217"/>
  <c r="E22" i="217"/>
  <c r="E21" i="217"/>
  <c r="E20" i="217"/>
  <c r="E19" i="217"/>
  <c r="E18" i="217"/>
  <c r="E17" i="217"/>
  <c r="E16" i="217"/>
  <c r="E15" i="217"/>
  <c r="E14" i="217"/>
  <c r="E13" i="217"/>
  <c r="E12" i="217"/>
  <c r="E11" i="217"/>
  <c r="E10" i="217"/>
  <c r="E9" i="217"/>
  <c r="E8" i="217"/>
  <c r="E7" i="217"/>
  <c r="E6" i="217"/>
  <c r="D31" i="217"/>
  <c r="E6" i="83"/>
  <c r="E7" i="83"/>
  <c r="E8" i="83"/>
  <c r="E9" i="83"/>
  <c r="E10" i="83"/>
  <c r="E11" i="83"/>
  <c r="E12" i="83"/>
  <c r="E13" i="83"/>
  <c r="E14" i="83"/>
  <c r="E15" i="83"/>
  <c r="E16" i="83"/>
  <c r="E17" i="83"/>
  <c r="E18" i="83"/>
  <c r="E19" i="83"/>
  <c r="E20" i="83"/>
  <c r="E21" i="83"/>
  <c r="E22" i="83"/>
  <c r="E23" i="83"/>
  <c r="E24" i="83"/>
  <c r="E25" i="83"/>
  <c r="E26" i="83"/>
  <c r="E27" i="83"/>
  <c r="E28" i="83"/>
  <c r="E29" i="83"/>
  <c r="E30" i="83"/>
  <c r="E32" i="83"/>
  <c r="E56" i="131" l="1"/>
  <c r="AA12" i="184"/>
  <c r="BB17" i="184"/>
  <c r="BC17" i="184"/>
  <c r="BX12" i="184"/>
  <c r="BW12" i="184"/>
  <c r="BQ12" i="184"/>
  <c r="BP12" i="184"/>
  <c r="BJ12" i="184"/>
  <c r="BI12" i="184"/>
  <c r="L12" i="184"/>
  <c r="M12" i="184"/>
  <c r="AO12" i="184"/>
  <c r="AN12" i="184"/>
  <c r="AA10" i="184"/>
  <c r="BA12" i="184"/>
  <c r="BC10" i="184"/>
  <c r="BB10" i="184"/>
  <c r="AG12" i="184"/>
  <c r="AH12" i="184"/>
  <c r="S12" i="184"/>
  <c r="T12" i="184"/>
  <c r="AU12" i="184"/>
  <c r="AV12" i="184"/>
  <c r="B56" i="232"/>
  <c r="B58" i="232" s="1"/>
  <c r="D33" i="217"/>
  <c r="E58" i="131"/>
  <c r="R37" i="139"/>
  <c r="R30" i="139"/>
  <c r="R31" i="139"/>
  <c r="R32" i="139"/>
  <c r="R33" i="139"/>
  <c r="R34" i="139"/>
  <c r="R35" i="139"/>
  <c r="R36" i="139"/>
  <c r="R38" i="139"/>
  <c r="R39" i="139"/>
  <c r="R40" i="139"/>
  <c r="R41" i="139"/>
  <c r="R42" i="139"/>
  <c r="R43" i="139"/>
  <c r="R44" i="139"/>
  <c r="R45" i="139"/>
  <c r="J59" i="253"/>
  <c r="I59" i="253"/>
  <c r="J58" i="253"/>
  <c r="I58" i="253"/>
  <c r="J55" i="253"/>
  <c r="I55" i="253"/>
  <c r="J54" i="253"/>
  <c r="I54" i="253"/>
  <c r="J53" i="253"/>
  <c r="I53" i="253"/>
  <c r="J52" i="253"/>
  <c r="I52" i="253"/>
  <c r="J51" i="253"/>
  <c r="I51" i="253"/>
  <c r="J50" i="253"/>
  <c r="I50" i="253"/>
  <c r="J49" i="253"/>
  <c r="I49" i="253"/>
  <c r="J48" i="253"/>
  <c r="I48" i="253"/>
  <c r="J47" i="253"/>
  <c r="I47" i="253"/>
  <c r="J46" i="253"/>
  <c r="I46" i="253"/>
  <c r="J45" i="253"/>
  <c r="I45" i="253"/>
  <c r="J44" i="253"/>
  <c r="I44" i="253"/>
  <c r="J43" i="253"/>
  <c r="I43" i="253"/>
  <c r="J42" i="253"/>
  <c r="I42" i="253"/>
  <c r="J41" i="253"/>
  <c r="I41" i="253"/>
  <c r="J40" i="253"/>
  <c r="I40" i="253"/>
  <c r="J39" i="253"/>
  <c r="I39" i="253"/>
  <c r="J38" i="253"/>
  <c r="I38" i="253"/>
  <c r="J37" i="253"/>
  <c r="I37" i="253"/>
  <c r="J36" i="253"/>
  <c r="I36" i="253"/>
  <c r="J35" i="253"/>
  <c r="I35" i="253"/>
  <c r="J34" i="253"/>
  <c r="I34" i="253"/>
  <c r="J31" i="253"/>
  <c r="I31" i="253"/>
  <c r="J30" i="253"/>
  <c r="I30" i="253"/>
  <c r="J29" i="253"/>
  <c r="I29" i="253"/>
  <c r="J28" i="253"/>
  <c r="I28" i="253"/>
  <c r="J27" i="253"/>
  <c r="I27" i="253"/>
  <c r="J26" i="253"/>
  <c r="I26" i="253"/>
  <c r="J25" i="253"/>
  <c r="I25" i="253"/>
  <c r="J24" i="253"/>
  <c r="I24" i="253"/>
  <c r="J23" i="253"/>
  <c r="I23" i="253"/>
  <c r="J22" i="253"/>
  <c r="I22" i="253"/>
  <c r="J21" i="253"/>
  <c r="I21" i="253"/>
  <c r="J20" i="253"/>
  <c r="I20" i="253"/>
  <c r="J19" i="253"/>
  <c r="I19" i="253"/>
  <c r="J18" i="253"/>
  <c r="I18" i="253"/>
  <c r="J17" i="253"/>
  <c r="I17" i="253"/>
  <c r="J16" i="253"/>
  <c r="I16" i="253"/>
  <c r="J15" i="253"/>
  <c r="I15" i="253"/>
  <c r="J14" i="253"/>
  <c r="I14" i="253"/>
  <c r="J13" i="253"/>
  <c r="I13" i="253"/>
  <c r="J12" i="253"/>
  <c r="I12" i="253"/>
  <c r="J11" i="253"/>
  <c r="I11" i="253"/>
  <c r="J10" i="253"/>
  <c r="I10" i="253"/>
  <c r="J8" i="253"/>
  <c r="I8" i="253"/>
  <c r="J7" i="253"/>
  <c r="I7" i="253"/>
  <c r="J6" i="253"/>
  <c r="I6" i="253"/>
  <c r="J5" i="253"/>
  <c r="I5" i="253"/>
  <c r="J59" i="49"/>
  <c r="I59" i="49"/>
  <c r="J58" i="49"/>
  <c r="I58" i="49"/>
  <c r="J55" i="49"/>
  <c r="I55" i="49"/>
  <c r="J54" i="49"/>
  <c r="I54" i="49"/>
  <c r="J53" i="49"/>
  <c r="I53" i="49"/>
  <c r="J52" i="49"/>
  <c r="I52" i="49"/>
  <c r="J51" i="49"/>
  <c r="I51" i="49"/>
  <c r="J50" i="49"/>
  <c r="I50" i="49"/>
  <c r="J49" i="49"/>
  <c r="I49" i="49"/>
  <c r="J48" i="49"/>
  <c r="I48" i="49"/>
  <c r="J47" i="49"/>
  <c r="I47" i="49"/>
  <c r="J46" i="49"/>
  <c r="I46" i="49"/>
  <c r="J45" i="49"/>
  <c r="I45" i="49"/>
  <c r="J44" i="49"/>
  <c r="I44" i="49"/>
  <c r="J43" i="49"/>
  <c r="I43" i="49"/>
  <c r="J42" i="49"/>
  <c r="I42" i="49"/>
  <c r="J41" i="49"/>
  <c r="I41" i="49"/>
  <c r="J40" i="49"/>
  <c r="I40" i="49"/>
  <c r="J39" i="49"/>
  <c r="I39" i="49"/>
  <c r="J38" i="49"/>
  <c r="I38" i="49"/>
  <c r="J37" i="49"/>
  <c r="I37" i="49"/>
  <c r="J36" i="49"/>
  <c r="I36" i="49"/>
  <c r="J35" i="49"/>
  <c r="I35" i="49"/>
  <c r="J34" i="49"/>
  <c r="I34" i="49"/>
  <c r="J31" i="49"/>
  <c r="I31" i="49"/>
  <c r="J30" i="49"/>
  <c r="I30" i="49"/>
  <c r="J29" i="49"/>
  <c r="I29" i="49"/>
  <c r="J28" i="49"/>
  <c r="I28" i="49"/>
  <c r="J27" i="49"/>
  <c r="I27" i="49"/>
  <c r="J26" i="49"/>
  <c r="I26" i="49"/>
  <c r="J25" i="49"/>
  <c r="I25" i="49"/>
  <c r="J24" i="49"/>
  <c r="I24" i="49"/>
  <c r="J23" i="49"/>
  <c r="I23" i="49"/>
  <c r="J22" i="49"/>
  <c r="I22" i="49"/>
  <c r="J21" i="49"/>
  <c r="I21" i="49"/>
  <c r="J20" i="49"/>
  <c r="I20" i="49"/>
  <c r="J19" i="49"/>
  <c r="I19" i="49"/>
  <c r="J18" i="49"/>
  <c r="I18" i="49"/>
  <c r="J17" i="49"/>
  <c r="I17" i="49"/>
  <c r="J16" i="49"/>
  <c r="I16" i="49"/>
  <c r="J15" i="49"/>
  <c r="I15" i="49"/>
  <c r="J14" i="49"/>
  <c r="I14" i="49"/>
  <c r="J13" i="49"/>
  <c r="I13" i="49"/>
  <c r="J12" i="49"/>
  <c r="I12" i="49"/>
  <c r="J11" i="49"/>
  <c r="I11" i="49"/>
  <c r="J10" i="49"/>
  <c r="I10" i="49"/>
  <c r="J8" i="49"/>
  <c r="I8" i="49"/>
  <c r="J7" i="49"/>
  <c r="I7" i="49"/>
  <c r="J6" i="49"/>
  <c r="I6" i="49"/>
  <c r="J5" i="49"/>
  <c r="I5" i="49"/>
  <c r="I6" i="236"/>
  <c r="J6" i="236"/>
  <c r="I7" i="236"/>
  <c r="J7" i="236"/>
  <c r="I8" i="236"/>
  <c r="J8" i="236"/>
  <c r="I10" i="236"/>
  <c r="J10" i="236"/>
  <c r="I11" i="236"/>
  <c r="J11" i="236"/>
  <c r="I12" i="236"/>
  <c r="J12" i="236"/>
  <c r="I13" i="236"/>
  <c r="J13" i="236"/>
  <c r="I14" i="236"/>
  <c r="J14" i="236"/>
  <c r="I15" i="236"/>
  <c r="J15" i="236"/>
  <c r="I16" i="236"/>
  <c r="J16" i="236"/>
  <c r="I17" i="236"/>
  <c r="J17" i="236"/>
  <c r="I18" i="236"/>
  <c r="J18" i="236"/>
  <c r="I19" i="236"/>
  <c r="J19" i="236"/>
  <c r="I20" i="236"/>
  <c r="J20" i="236"/>
  <c r="I21" i="236"/>
  <c r="J21" i="236"/>
  <c r="I22" i="236"/>
  <c r="J22" i="236"/>
  <c r="I23" i="236"/>
  <c r="J23" i="236"/>
  <c r="I24" i="236"/>
  <c r="J24" i="236"/>
  <c r="I25" i="236"/>
  <c r="J25" i="236"/>
  <c r="I26" i="236"/>
  <c r="J26" i="236"/>
  <c r="I27" i="236"/>
  <c r="J27" i="236"/>
  <c r="I28" i="236"/>
  <c r="J28" i="236"/>
  <c r="I29" i="236"/>
  <c r="J29" i="236"/>
  <c r="I30" i="236"/>
  <c r="J30" i="236"/>
  <c r="I31" i="236"/>
  <c r="J31" i="236"/>
  <c r="I34" i="236"/>
  <c r="J34" i="236"/>
  <c r="I35" i="236"/>
  <c r="J35" i="236"/>
  <c r="I36" i="236"/>
  <c r="J36" i="236"/>
  <c r="I37" i="236"/>
  <c r="J37" i="236"/>
  <c r="I38" i="236"/>
  <c r="J38" i="236"/>
  <c r="I39" i="236"/>
  <c r="J39" i="236"/>
  <c r="I40" i="236"/>
  <c r="J40" i="236"/>
  <c r="I41" i="236"/>
  <c r="J41" i="236"/>
  <c r="I42" i="236"/>
  <c r="J42" i="236"/>
  <c r="I43" i="236"/>
  <c r="J43" i="236"/>
  <c r="I44" i="236"/>
  <c r="J44" i="236"/>
  <c r="I45" i="236"/>
  <c r="J45" i="236"/>
  <c r="I46" i="236"/>
  <c r="J46" i="236"/>
  <c r="I47" i="236"/>
  <c r="J47" i="236"/>
  <c r="I48" i="236"/>
  <c r="J48" i="236"/>
  <c r="I49" i="236"/>
  <c r="J49" i="236"/>
  <c r="I50" i="236"/>
  <c r="J50" i="236"/>
  <c r="I51" i="236"/>
  <c r="J51" i="236"/>
  <c r="I52" i="236"/>
  <c r="J52" i="236"/>
  <c r="I53" i="236"/>
  <c r="J53" i="236"/>
  <c r="I54" i="236"/>
  <c r="J54" i="236"/>
  <c r="I55" i="236"/>
  <c r="J55" i="236"/>
  <c r="I58" i="236"/>
  <c r="J58" i="236"/>
  <c r="I59" i="236"/>
  <c r="J59" i="236"/>
  <c r="J5" i="236"/>
  <c r="I5" i="236"/>
  <c r="BC12" i="184" l="1"/>
  <c r="BB12" i="184"/>
  <c r="F11" i="139"/>
  <c r="K11" i="15"/>
  <c r="K12" i="15"/>
  <c r="K13" i="15"/>
  <c r="K14" i="15"/>
  <c r="K15" i="15"/>
  <c r="K16" i="15"/>
  <c r="K17" i="15"/>
  <c r="K18" i="15"/>
  <c r="K19" i="15"/>
  <c r="K20" i="15"/>
  <c r="K21" i="15"/>
  <c r="K22" i="15"/>
  <c r="K23" i="15"/>
  <c r="K24" i="15"/>
  <c r="K25" i="15"/>
  <c r="R10" i="5"/>
  <c r="S10" i="5"/>
  <c r="R11" i="5"/>
  <c r="S11" i="5"/>
  <c r="R12" i="5"/>
  <c r="S12" i="5"/>
  <c r="R13" i="5"/>
  <c r="S13" i="5"/>
  <c r="R14" i="5"/>
  <c r="S14" i="5"/>
  <c r="R15" i="5"/>
  <c r="S15" i="5"/>
  <c r="R16" i="5"/>
  <c r="S16" i="5"/>
  <c r="R17" i="5"/>
  <c r="S17" i="5"/>
  <c r="R18" i="5"/>
  <c r="S18" i="5"/>
  <c r="N10" i="212"/>
  <c r="M11" i="212"/>
  <c r="N11" i="212"/>
  <c r="N12" i="212"/>
  <c r="N13" i="212"/>
  <c r="N14" i="212"/>
  <c r="N15" i="212"/>
  <c r="M16" i="212"/>
  <c r="N16" i="212"/>
  <c r="M17" i="212"/>
  <c r="N17" i="212"/>
  <c r="M18" i="212"/>
  <c r="N18" i="212"/>
  <c r="M19" i="212"/>
  <c r="N19" i="212"/>
  <c r="M20" i="212"/>
  <c r="N20" i="212"/>
  <c r="M21" i="212"/>
  <c r="N21" i="212"/>
  <c r="M22" i="212"/>
  <c r="N22" i="212"/>
  <c r="M23" i="212"/>
  <c r="N23" i="212"/>
  <c r="M24" i="212"/>
  <c r="N24" i="212"/>
  <c r="M25" i="212"/>
  <c r="N25" i="212"/>
  <c r="M26" i="212"/>
  <c r="N26" i="212"/>
  <c r="M11" i="209"/>
  <c r="N11" i="209"/>
  <c r="M12" i="209"/>
  <c r="N12" i="209"/>
  <c r="M13" i="209"/>
  <c r="N13" i="209"/>
  <c r="M14" i="209"/>
  <c r="N14" i="209"/>
  <c r="M15" i="209"/>
  <c r="N15" i="209"/>
  <c r="M16" i="209"/>
  <c r="N16" i="209"/>
  <c r="C77" i="243" l="1" a="1"/>
  <c r="C77" i="243" s="1"/>
  <c r="D76" i="243" a="1"/>
  <c r="D76" i="243" s="1"/>
  <c r="C76" i="243" a="1"/>
  <c r="C76" i="243" s="1"/>
  <c r="D75" i="243" a="1"/>
  <c r="D75" i="243" s="1"/>
  <c r="C75" i="243" a="1"/>
  <c r="C75" i="243" s="1"/>
  <c r="D74" i="243" a="1"/>
  <c r="D74" i="243" s="1"/>
  <c r="D73" i="243" a="1"/>
  <c r="D73" i="243" s="1"/>
  <c r="C74" i="243" a="1"/>
  <c r="C74" i="243" s="1"/>
  <c r="C73" i="243" a="1"/>
  <c r="C73" i="243" s="1"/>
  <c r="I72" i="243"/>
  <c r="D72" i="243" a="1"/>
  <c r="D72" i="243" s="1"/>
  <c r="C72" i="243" a="1"/>
  <c r="C72" i="243" s="1"/>
  <c r="I71" i="243"/>
  <c r="C71" i="243" a="1"/>
  <c r="C71" i="243" s="1"/>
  <c r="D70" i="243" a="1"/>
  <c r="D70" i="243" s="1"/>
  <c r="C70" i="243" a="1"/>
  <c r="C70" i="243" s="1"/>
  <c r="I69" i="243"/>
  <c r="D69" i="243" a="1"/>
  <c r="D69" i="243" s="1"/>
  <c r="I66" i="243"/>
  <c r="D66" i="243" a="1"/>
  <c r="D66" i="243" s="1"/>
  <c r="D65" i="243" a="1"/>
  <c r="D65" i="243" s="1"/>
  <c r="C65" i="243" a="1"/>
  <c r="C65" i="243" s="1"/>
  <c r="D64" i="243" a="1"/>
  <c r="D64" i="243" s="1"/>
  <c r="C64" i="243" a="1"/>
  <c r="C64" i="243" s="1"/>
  <c r="D63" i="243" a="1"/>
  <c r="D63" i="243" s="1"/>
  <c r="C63" i="243" a="1"/>
  <c r="C63" i="243" s="1"/>
  <c r="D62" i="243" a="1"/>
  <c r="D62" i="243" s="1"/>
  <c r="C62" i="243" a="1"/>
  <c r="C62" i="243" s="1"/>
  <c r="D61" i="243" a="1"/>
  <c r="D61" i="243" s="1"/>
  <c r="G61" i="243"/>
  <c r="D60" i="243" a="1"/>
  <c r="D60" i="243" s="1"/>
  <c r="G60" i="243"/>
  <c r="I59" i="243"/>
  <c r="D59" i="243" a="1"/>
  <c r="D59" i="243" s="1"/>
  <c r="C59" i="243" a="1"/>
  <c r="C59" i="243" s="1"/>
  <c r="I58" i="243"/>
  <c r="D58" i="243" a="1"/>
  <c r="D58" i="243" s="1"/>
  <c r="C58" i="243" a="1"/>
  <c r="C58" i="243" s="1"/>
  <c r="D57" i="243" a="1"/>
  <c r="D57" i="243" s="1"/>
  <c r="C57" i="243" a="1"/>
  <c r="C57" i="243" s="1"/>
  <c r="I56" i="243"/>
  <c r="D56" i="243" a="1"/>
  <c r="D56" i="243" s="1"/>
  <c r="C56" i="243" a="1"/>
  <c r="C56" i="243" s="1"/>
  <c r="D55" i="243" a="1"/>
  <c r="D55" i="243" s="1"/>
  <c r="D54" i="243" a="1"/>
  <c r="D54" i="243" s="1"/>
  <c r="G54" i="243"/>
  <c r="D53" i="243" a="1"/>
  <c r="D53" i="243" s="1"/>
  <c r="D52" i="243" a="1"/>
  <c r="D52" i="243" s="1"/>
  <c r="D51" i="243" a="1"/>
  <c r="D51" i="243" s="1"/>
  <c r="C51" i="243" a="1"/>
  <c r="C51" i="243" s="1"/>
  <c r="I50" i="243"/>
  <c r="D50" i="243" a="1"/>
  <c r="D50" i="243" s="1"/>
  <c r="C50" i="243" a="1"/>
  <c r="C50" i="243" s="1"/>
  <c r="D49" i="243" a="1"/>
  <c r="D49" i="243" s="1"/>
  <c r="G49" i="243"/>
  <c r="I49" i="243"/>
  <c r="I48" i="243"/>
  <c r="D48" i="243" a="1"/>
  <c r="D48" i="243" s="1"/>
  <c r="I47" i="243"/>
  <c r="D47" i="243" a="1"/>
  <c r="D47" i="243" s="1"/>
  <c r="I46" i="243"/>
  <c r="D46" i="243" a="1"/>
  <c r="D46" i="243" s="1"/>
  <c r="C46" i="243" a="1"/>
  <c r="C46" i="243" s="1"/>
  <c r="G46" i="243" s="1"/>
  <c r="D45" i="243" a="1"/>
  <c r="D45" i="243" s="1"/>
  <c r="D43" i="243" a="1"/>
  <c r="D43" i="243" s="1"/>
  <c r="I42" i="243"/>
  <c r="D42" i="243" a="1"/>
  <c r="D42" i="243" s="1"/>
  <c r="I41" i="243"/>
  <c r="D41" i="243" a="1"/>
  <c r="D41" i="243" s="1"/>
  <c r="G41" i="243"/>
  <c r="I40" i="243"/>
  <c r="D40" i="243" a="1"/>
  <c r="D40" i="243" s="1"/>
  <c r="I39" i="243"/>
  <c r="D39" i="243" a="1"/>
  <c r="D39" i="243" s="1"/>
  <c r="D38" i="243" a="1"/>
  <c r="D38" i="243" s="1"/>
  <c r="C38" i="243" a="1"/>
  <c r="C38" i="243" s="1"/>
  <c r="D37" i="243" a="1"/>
  <c r="D37" i="243" s="1"/>
  <c r="C37" i="243" a="1"/>
  <c r="C37" i="243" s="1"/>
  <c r="D36" i="243" a="1"/>
  <c r="D36" i="243" s="1"/>
  <c r="I35" i="243"/>
  <c r="D35" i="243" a="1"/>
  <c r="D35" i="243" s="1"/>
  <c r="C35" i="243" a="1"/>
  <c r="C35" i="243" s="1"/>
  <c r="D34" i="243" a="1"/>
  <c r="D34" i="243" s="1"/>
  <c r="C34" i="243" a="1"/>
  <c r="C34" i="243" s="1"/>
  <c r="D33" i="243" a="1"/>
  <c r="D33" i="243" s="1"/>
  <c r="C33" i="243" a="1"/>
  <c r="C33" i="243" s="1"/>
  <c r="D32" i="243" a="1"/>
  <c r="D32" i="243" s="1"/>
  <c r="C32" i="243" a="1"/>
  <c r="C32" i="243" s="1"/>
  <c r="D31" i="243" a="1"/>
  <c r="D31" i="243" s="1"/>
  <c r="C31" i="243" a="1"/>
  <c r="C31" i="243" s="1"/>
  <c r="D30" i="243" a="1"/>
  <c r="D30" i="243" s="1"/>
  <c r="C30" i="243" a="1"/>
  <c r="C30" i="243" s="1"/>
  <c r="D29" i="243" a="1"/>
  <c r="D29" i="243" s="1"/>
  <c r="C29" i="243" a="1"/>
  <c r="C29" i="243" s="1"/>
  <c r="D28" i="243" a="1"/>
  <c r="D28" i="243" s="1"/>
  <c r="C28" i="243" a="1"/>
  <c r="C28" i="243" s="1"/>
  <c r="I27" i="243"/>
  <c r="D27" i="243" a="1"/>
  <c r="D27" i="243" s="1"/>
  <c r="D26" i="243" a="1"/>
  <c r="D26" i="243" s="1"/>
  <c r="C26" i="243" a="1"/>
  <c r="C26" i="243" s="1"/>
  <c r="D25" i="243" a="1"/>
  <c r="D25" i="243" s="1"/>
  <c r="C25" i="243" a="1"/>
  <c r="C25" i="243" s="1"/>
  <c r="D24" i="243" a="1"/>
  <c r="D24" i="243" s="1"/>
  <c r="C24" i="243" a="1"/>
  <c r="C24" i="243" s="1"/>
  <c r="D23" i="243" a="1"/>
  <c r="D23" i="243" s="1"/>
  <c r="C23" i="243" a="1"/>
  <c r="C23" i="243" s="1"/>
  <c r="D22" i="243" a="1"/>
  <c r="D22" i="243" s="1"/>
  <c r="H22" i="243" s="1"/>
  <c r="C22" i="243" a="1"/>
  <c r="C22" i="243" s="1"/>
  <c r="G22" i="243" s="1"/>
  <c r="C21" i="243" a="1"/>
  <c r="C21" i="243" s="1"/>
  <c r="G21" i="243" s="1"/>
  <c r="D21" i="243" a="1"/>
  <c r="D21" i="243" s="1"/>
  <c r="H21" i="243" s="1"/>
  <c r="G18" i="243"/>
  <c r="H18" i="243"/>
  <c r="G19" i="243"/>
  <c r="I20" i="243"/>
  <c r="D20" i="243" a="1"/>
  <c r="D20" i="243" s="1"/>
  <c r="H20" i="243" s="1"/>
  <c r="C20" i="243" a="1"/>
  <c r="C20" i="243" s="1"/>
  <c r="G20" i="243" s="1"/>
  <c r="D19" i="243" a="1"/>
  <c r="D19" i="243" s="1"/>
  <c r="H19" i="243" s="1"/>
  <c r="D17" i="243" a="1"/>
  <c r="D17" i="243" s="1"/>
  <c r="C17" i="243" a="1"/>
  <c r="C17" i="243" s="1"/>
  <c r="I14" i="243"/>
  <c r="D14" i="243" a="1"/>
  <c r="D14" i="243" s="1"/>
  <c r="C14" i="243" a="1"/>
  <c r="C14" i="243" s="1"/>
  <c r="I13" i="243"/>
  <c r="D13" i="243" a="1"/>
  <c r="D13" i="243" s="1"/>
  <c r="C13" i="243" a="1"/>
  <c r="C13" i="243" s="1"/>
  <c r="I12" i="243"/>
  <c r="D12" i="243" a="1"/>
  <c r="D12" i="243" s="1"/>
  <c r="C12" i="243" a="1"/>
  <c r="C12" i="243" s="1"/>
  <c r="I11" i="243"/>
  <c r="D11" i="243" a="1"/>
  <c r="D11" i="243" s="1"/>
  <c r="C11" i="243" a="1"/>
  <c r="C11" i="243" s="1"/>
  <c r="I10" i="243"/>
  <c r="D10" i="243" a="1"/>
  <c r="D10" i="243" s="1"/>
  <c r="C10" i="243" a="1"/>
  <c r="C10" i="243" s="1"/>
  <c r="D9" i="243" a="1"/>
  <c r="D9" i="243" s="1"/>
  <c r="I7" i="243"/>
  <c r="I8" i="243"/>
  <c r="D8" i="243" a="1"/>
  <c r="D8" i="243" s="1"/>
  <c r="I6" i="243"/>
  <c r="D6" i="243" a="1"/>
  <c r="D6" i="243" s="1"/>
  <c r="C6" i="243" a="1"/>
  <c r="C6" i="243" s="1"/>
  <c r="I5" i="243"/>
  <c r="I4" i="243"/>
  <c r="C4" i="243" a="1"/>
  <c r="C4" i="243" s="1"/>
  <c r="C56" i="253"/>
  <c r="J56" i="253" s="1"/>
  <c r="B56" i="253"/>
  <c r="I56" i="253" s="1"/>
  <c r="C32" i="253"/>
  <c r="J32" i="253" s="1"/>
  <c r="B32" i="253"/>
  <c r="C9" i="253"/>
  <c r="B9" i="253"/>
  <c r="I9" i="253" s="1"/>
  <c r="C56" i="49"/>
  <c r="J56" i="49" s="1"/>
  <c r="B56" i="49"/>
  <c r="I56" i="49" s="1"/>
  <c r="C32" i="49"/>
  <c r="B32" i="49"/>
  <c r="C9" i="49"/>
  <c r="J9" i="49" s="1"/>
  <c r="B9" i="49"/>
  <c r="I9" i="49" s="1"/>
  <c r="F29" i="215"/>
  <c r="F28" i="215"/>
  <c r="F27" i="215"/>
  <c r="F26" i="215"/>
  <c r="F25" i="215"/>
  <c r="F24" i="215"/>
  <c r="F23" i="215"/>
  <c r="F22" i="215"/>
  <c r="F21" i="215"/>
  <c r="I29" i="215"/>
  <c r="I28" i="215"/>
  <c r="I27" i="215"/>
  <c r="I26" i="215"/>
  <c r="I25" i="215"/>
  <c r="I24" i="215"/>
  <c r="I23" i="215"/>
  <c r="I22" i="215"/>
  <c r="I21" i="215"/>
  <c r="F15" i="215"/>
  <c r="F14" i="215"/>
  <c r="F13" i="215"/>
  <c r="F12" i="215"/>
  <c r="F11" i="215"/>
  <c r="F10" i="215"/>
  <c r="F9" i="215"/>
  <c r="F8" i="215"/>
  <c r="F7" i="215"/>
  <c r="I15" i="215"/>
  <c r="I14" i="215"/>
  <c r="I13" i="215"/>
  <c r="I12" i="215"/>
  <c r="I11" i="215"/>
  <c r="I10" i="215"/>
  <c r="I9" i="215"/>
  <c r="I8" i="215"/>
  <c r="I7" i="215"/>
  <c r="O15" i="215"/>
  <c r="O14" i="215"/>
  <c r="O13" i="215"/>
  <c r="O12" i="215"/>
  <c r="O11" i="215"/>
  <c r="O10" i="215"/>
  <c r="O9" i="215"/>
  <c r="O8" i="215"/>
  <c r="O7" i="215"/>
  <c r="B33" i="253" l="1"/>
  <c r="I32" i="253"/>
  <c r="C33" i="253"/>
  <c r="J9" i="253"/>
  <c r="C33" i="49"/>
  <c r="J32" i="49"/>
  <c r="B33" i="49"/>
  <c r="I32" i="49"/>
  <c r="J64" i="243"/>
  <c r="H61" i="243"/>
  <c r="J61" i="243"/>
  <c r="H60" i="243"/>
  <c r="J60" i="243"/>
  <c r="H54" i="243"/>
  <c r="J54" i="243"/>
  <c r="H49" i="243"/>
  <c r="J49" i="243"/>
  <c r="H46" i="243"/>
  <c r="J46" i="243"/>
  <c r="H41" i="243"/>
  <c r="J41" i="243"/>
  <c r="L29" i="109"/>
  <c r="L30" i="109"/>
  <c r="L34" i="214"/>
  <c r="L35" i="214"/>
  <c r="L36" i="214"/>
  <c r="M34" i="83"/>
  <c r="M35" i="83"/>
  <c r="H13" i="43"/>
  <c r="H13" i="248"/>
  <c r="E31" i="113"/>
  <c r="D31" i="113"/>
  <c r="C31" i="113"/>
  <c r="B31" i="113"/>
  <c r="AA17" i="257"/>
  <c r="B10" i="25"/>
  <c r="M8" i="2"/>
  <c r="N8" i="2"/>
  <c r="M9" i="2"/>
  <c r="N9" i="2"/>
  <c r="M10" i="2"/>
  <c r="N10" i="2"/>
  <c r="M11" i="2"/>
  <c r="N11" i="2"/>
  <c r="M12" i="2"/>
  <c r="N12" i="2"/>
  <c r="M13" i="2"/>
  <c r="N13" i="2"/>
  <c r="M14" i="2"/>
  <c r="N14" i="2"/>
  <c r="M15" i="2"/>
  <c r="N15" i="2"/>
  <c r="M16" i="2"/>
  <c r="N16" i="2"/>
  <c r="M17" i="2"/>
  <c r="N17" i="2"/>
  <c r="M18" i="2"/>
  <c r="N18" i="2"/>
  <c r="M19" i="2"/>
  <c r="N19" i="2"/>
  <c r="M20" i="2"/>
  <c r="N20" i="2"/>
  <c r="M21" i="2"/>
  <c r="N21" i="2"/>
  <c r="M22" i="2"/>
  <c r="N22" i="2"/>
  <c r="M23" i="2"/>
  <c r="N23" i="2"/>
  <c r="M24" i="2"/>
  <c r="N24" i="2"/>
  <c r="M25" i="2"/>
  <c r="N25" i="2"/>
  <c r="M26" i="2"/>
  <c r="N26" i="2"/>
  <c r="M7" i="2"/>
  <c r="N7" i="2"/>
  <c r="L7" i="2"/>
  <c r="F26" i="2"/>
  <c r="F7" i="2"/>
  <c r="H11" i="257"/>
  <c r="C2" i="257"/>
  <c r="A9" i="257"/>
  <c r="C57" i="253" l="1"/>
  <c r="J33" i="253"/>
  <c r="B57" i="253"/>
  <c r="I33" i="253"/>
  <c r="C57" i="49"/>
  <c r="J33" i="49"/>
  <c r="B57" i="49"/>
  <c r="I33" i="49"/>
  <c r="O7" i="2"/>
  <c r="E21" i="109"/>
  <c r="E22" i="109"/>
  <c r="E23" i="109"/>
  <c r="E24" i="109"/>
  <c r="E25" i="109"/>
  <c r="E26" i="214"/>
  <c r="E27" i="214"/>
  <c r="E28" i="214"/>
  <c r="E29" i="214"/>
  <c r="E30" i="214"/>
  <c r="E36" i="226"/>
  <c r="E37" i="226"/>
  <c r="E38" i="226"/>
  <c r="E39" i="226"/>
  <c r="E40" i="226"/>
  <c r="E16" i="226"/>
  <c r="E17" i="226"/>
  <c r="E18" i="226"/>
  <c r="E19" i="226"/>
  <c r="B60" i="253" l="1"/>
  <c r="I60" i="253" s="1"/>
  <c r="I57" i="253"/>
  <c r="C60" i="253"/>
  <c r="J60" i="253" s="1"/>
  <c r="J57" i="253"/>
  <c r="C60" i="49"/>
  <c r="J57" i="49"/>
  <c r="B60" i="49"/>
  <c r="I60" i="49" s="1"/>
  <c r="I57" i="49"/>
  <c r="HI3104" i="208"/>
  <c r="HH3104" i="208"/>
  <c r="BM3093" i="208"/>
  <c r="BL3093" i="208"/>
  <c r="Q8" i="5"/>
  <c r="Q9" i="5"/>
  <c r="Q10" i="5"/>
  <c r="Q11" i="5"/>
  <c r="Q12" i="5"/>
  <c r="Q13" i="5"/>
  <c r="Q14" i="5"/>
  <c r="Q15" i="5"/>
  <c r="Q16" i="5"/>
  <c r="Q17" i="5"/>
  <c r="Q18" i="5"/>
  <c r="Q7" i="5"/>
  <c r="J60" i="49" l="1"/>
  <c r="G24" i="133"/>
  <c r="G25" i="133"/>
  <c r="G26" i="133"/>
  <c r="G27" i="133"/>
  <c r="G28" i="133"/>
  <c r="G29" i="133"/>
  <c r="F25" i="207"/>
  <c r="L25" i="207"/>
  <c r="M25" i="207"/>
  <c r="N25" i="207"/>
  <c r="F26" i="207"/>
  <c r="L26" i="207"/>
  <c r="M26" i="207"/>
  <c r="N26" i="207"/>
  <c r="F27" i="207"/>
  <c r="L27" i="207"/>
  <c r="M27" i="207"/>
  <c r="N27" i="207"/>
  <c r="F28" i="207"/>
  <c r="L28" i="207"/>
  <c r="M28" i="207"/>
  <c r="N28" i="207"/>
  <c r="F29" i="207"/>
  <c r="L29" i="207"/>
  <c r="M29" i="207"/>
  <c r="N29" i="207"/>
  <c r="F51" i="6"/>
  <c r="I51" i="6"/>
  <c r="F52" i="6"/>
  <c r="I52" i="6"/>
  <c r="F53" i="6"/>
  <c r="I53" i="6"/>
  <c r="F54" i="6"/>
  <c r="I54" i="6"/>
  <c r="F55" i="6"/>
  <c r="I55" i="6"/>
  <c r="F56" i="6"/>
  <c r="I56" i="6"/>
  <c r="F57" i="6"/>
  <c r="I57" i="6"/>
  <c r="F24" i="6"/>
  <c r="I24" i="6"/>
  <c r="F25" i="6"/>
  <c r="I25" i="6"/>
  <c r="F26" i="6"/>
  <c r="I26" i="6"/>
  <c r="F27" i="6"/>
  <c r="I27" i="6"/>
  <c r="F28" i="6"/>
  <c r="I28" i="6"/>
  <c r="F29" i="6"/>
  <c r="I29" i="6"/>
  <c r="V55" i="6" l="1"/>
  <c r="T55" i="6" s="1"/>
  <c r="V54" i="6"/>
  <c r="T54" i="6" s="1"/>
  <c r="V53" i="6"/>
  <c r="T53" i="6" s="1"/>
  <c r="O26" i="207"/>
  <c r="V57" i="6"/>
  <c r="T57" i="6" s="1"/>
  <c r="V56" i="6"/>
  <c r="T56" i="6" s="1"/>
  <c r="V52" i="6"/>
  <c r="T52" i="6" s="1"/>
  <c r="O27" i="207"/>
  <c r="O25" i="207"/>
  <c r="O28" i="207"/>
  <c r="O29" i="207"/>
  <c r="HT2492" i="208" l="1"/>
  <c r="B13" i="254"/>
  <c r="O18" i="55"/>
  <c r="O19" i="55"/>
  <c r="O20" i="55"/>
  <c r="O21" i="55"/>
  <c r="O22" i="55"/>
  <c r="O23" i="55"/>
  <c r="O24" i="55"/>
  <c r="O25" i="55"/>
  <c r="H14" i="43"/>
  <c r="HI1492" i="208" l="1"/>
  <c r="HH1492" i="208"/>
  <c r="HF1482" i="208"/>
  <c r="HE1482" i="208"/>
  <c r="DZ1486" i="208"/>
  <c r="DY1486" i="208"/>
  <c r="BW1487" i="208"/>
  <c r="BV1487" i="208"/>
  <c r="HI1282" i="208" l="1"/>
  <c r="HH1282" i="208"/>
  <c r="BW1279" i="208"/>
  <c r="BV1279" i="208"/>
  <c r="S1278" i="208"/>
  <c r="R1278" i="208"/>
  <c r="DZ3" i="208" l="1"/>
  <c r="DY3" i="208"/>
  <c r="HF2" i="208"/>
  <c r="HE2" i="208"/>
  <c r="H7" i="248"/>
  <c r="H7" i="43"/>
  <c r="H8" i="43"/>
  <c r="H7" i="230"/>
  <c r="GV874" i="208" l="1"/>
  <c r="EM682" i="208" l="1"/>
  <c r="EL682" i="208"/>
  <c r="GZ684" i="208"/>
  <c r="GY684" i="208"/>
  <c r="EM675" i="208"/>
  <c r="EL675" i="208"/>
  <c r="Q674" i="208"/>
  <c r="P674" i="208"/>
  <c r="D31" i="218" l="1"/>
  <c r="BW249" i="208" l="1"/>
  <c r="BV249" i="208"/>
  <c r="O34" i="143"/>
  <c r="O35" i="143"/>
  <c r="G59" i="253"/>
  <c r="G55" i="253"/>
  <c r="G54" i="253"/>
  <c r="G53" i="253"/>
  <c r="G52" i="253"/>
  <c r="G51" i="253"/>
  <c r="G50" i="253"/>
  <c r="G49" i="253"/>
  <c r="G48" i="253"/>
  <c r="G47" i="253"/>
  <c r="G46" i="253"/>
  <c r="G45" i="253"/>
  <c r="G44" i="253"/>
  <c r="G43" i="253"/>
  <c r="G42" i="253"/>
  <c r="G41" i="253"/>
  <c r="G40" i="253"/>
  <c r="G39" i="253"/>
  <c r="G38" i="253"/>
  <c r="G37" i="253"/>
  <c r="G36" i="253"/>
  <c r="G35" i="253"/>
  <c r="G31" i="253"/>
  <c r="G30" i="253"/>
  <c r="G29" i="253"/>
  <c r="G28" i="253"/>
  <c r="G27" i="253"/>
  <c r="G26" i="253"/>
  <c r="G25" i="253"/>
  <c r="G24" i="253"/>
  <c r="G23" i="253"/>
  <c r="G22" i="253"/>
  <c r="G21" i="253"/>
  <c r="G20" i="253"/>
  <c r="G19" i="253"/>
  <c r="G18" i="253"/>
  <c r="G17" i="253"/>
  <c r="G16" i="253"/>
  <c r="G15" i="253"/>
  <c r="G14" i="253"/>
  <c r="G13" i="253"/>
  <c r="G12" i="253"/>
  <c r="G11" i="253"/>
  <c r="G8" i="253"/>
  <c r="G7" i="253"/>
  <c r="G6" i="253"/>
  <c r="G59" i="49"/>
  <c r="G55" i="49"/>
  <c r="G54" i="49"/>
  <c r="G53" i="49"/>
  <c r="G52" i="49"/>
  <c r="G51" i="49"/>
  <c r="G50" i="49"/>
  <c r="G49" i="49"/>
  <c r="G48" i="49"/>
  <c r="G47" i="49"/>
  <c r="G46" i="49"/>
  <c r="G45" i="49"/>
  <c r="G44" i="49"/>
  <c r="G43" i="49"/>
  <c r="G42" i="49"/>
  <c r="G41" i="49"/>
  <c r="G40" i="49"/>
  <c r="G39" i="49"/>
  <c r="G38" i="49"/>
  <c r="G37" i="49"/>
  <c r="G36" i="49"/>
  <c r="G35" i="49"/>
  <c r="G31" i="49"/>
  <c r="G30" i="49"/>
  <c r="G29" i="49"/>
  <c r="G28" i="49"/>
  <c r="G27" i="49"/>
  <c r="G26" i="49"/>
  <c r="G25" i="49"/>
  <c r="G24" i="49"/>
  <c r="G23" i="49"/>
  <c r="G22" i="49"/>
  <c r="G21" i="49"/>
  <c r="G20" i="49"/>
  <c r="G19" i="49"/>
  <c r="G18" i="49"/>
  <c r="G17" i="49"/>
  <c r="G16" i="49"/>
  <c r="G15" i="49"/>
  <c r="G14" i="49"/>
  <c r="G13" i="49"/>
  <c r="G12" i="49"/>
  <c r="G11" i="49"/>
  <c r="G8" i="49"/>
  <c r="G7" i="49"/>
  <c r="G6" i="49"/>
  <c r="G50" i="236"/>
  <c r="G51" i="236"/>
  <c r="G52" i="236"/>
  <c r="G53" i="236"/>
  <c r="G54" i="236"/>
  <c r="B32" i="236"/>
  <c r="I32" i="236" s="1"/>
  <c r="G26" i="236"/>
  <c r="G27" i="236"/>
  <c r="G28" i="236"/>
  <c r="G29" i="236"/>
  <c r="G30" i="236"/>
  <c r="G8" i="236"/>
  <c r="C9" i="236"/>
  <c r="J9" i="236" s="1"/>
  <c r="B9" i="236"/>
  <c r="I9" i="236" s="1"/>
  <c r="C106" i="44"/>
  <c r="B106" i="44"/>
  <c r="C89" i="44"/>
  <c r="B89" i="44"/>
  <c r="C72" i="44"/>
  <c r="B72" i="44"/>
  <c r="C55" i="44"/>
  <c r="B55" i="44"/>
  <c r="C38" i="44"/>
  <c r="B38" i="44"/>
  <c r="C21" i="44"/>
  <c r="B21" i="44"/>
  <c r="B33" i="236" l="1"/>
  <c r="I33" i="236" s="1"/>
  <c r="H15" i="241"/>
  <c r="B15" i="241"/>
  <c r="J14" i="241"/>
  <c r="D14" i="241"/>
  <c r="J13" i="241"/>
  <c r="D13" i="241"/>
  <c r="J12" i="241"/>
  <c r="D12" i="241"/>
  <c r="J11" i="241"/>
  <c r="D11" i="241"/>
  <c r="J10" i="241"/>
  <c r="D10" i="241"/>
  <c r="J9" i="241"/>
  <c r="D9" i="241"/>
  <c r="J8" i="241"/>
  <c r="D8" i="241"/>
  <c r="J7" i="241"/>
  <c r="D7" i="241"/>
  <c r="F26" i="238"/>
  <c r="E26" i="238"/>
  <c r="B26" i="238"/>
  <c r="I25" i="238"/>
  <c r="G25" i="238"/>
  <c r="D25" i="238"/>
  <c r="I24" i="238"/>
  <c r="G24" i="238"/>
  <c r="D24" i="238"/>
  <c r="I23" i="238"/>
  <c r="G23" i="238"/>
  <c r="D23" i="238"/>
  <c r="I22" i="238"/>
  <c r="G22" i="238"/>
  <c r="D22" i="238"/>
  <c r="I21" i="238"/>
  <c r="G21" i="238"/>
  <c r="D21" i="238"/>
  <c r="I20" i="238"/>
  <c r="G20" i="238"/>
  <c r="D20" i="238"/>
  <c r="I19" i="238"/>
  <c r="G19" i="238"/>
  <c r="D19" i="238"/>
  <c r="I18" i="238"/>
  <c r="G18" i="238"/>
  <c r="D18" i="238"/>
  <c r="F14" i="238"/>
  <c r="E14" i="238"/>
  <c r="B14" i="238"/>
  <c r="I13" i="238"/>
  <c r="G13" i="238"/>
  <c r="D13" i="238"/>
  <c r="I12" i="238"/>
  <c r="G12" i="238"/>
  <c r="D12" i="238"/>
  <c r="I11" i="238"/>
  <c r="G11" i="238"/>
  <c r="D11" i="238"/>
  <c r="I10" i="238"/>
  <c r="G10" i="238"/>
  <c r="D10" i="238"/>
  <c r="I9" i="238"/>
  <c r="G9" i="238"/>
  <c r="D9" i="238"/>
  <c r="I8" i="238"/>
  <c r="G8" i="238"/>
  <c r="D8" i="238"/>
  <c r="I7" i="238"/>
  <c r="G7" i="238"/>
  <c r="D7" i="238"/>
  <c r="I6" i="238"/>
  <c r="G6" i="238"/>
  <c r="D6" i="238"/>
  <c r="O6" i="143"/>
  <c r="O7" i="143"/>
  <c r="O8" i="143"/>
  <c r="O9" i="143"/>
  <c r="O10" i="143"/>
  <c r="O11" i="143"/>
  <c r="O12" i="143"/>
  <c r="O13" i="143"/>
  <c r="O14" i="143"/>
  <c r="O15" i="143"/>
  <c r="O16" i="143"/>
  <c r="O17" i="143"/>
  <c r="O18" i="143"/>
  <c r="O19" i="143"/>
  <c r="O20" i="143"/>
  <c r="O21" i="143"/>
  <c r="O22" i="143"/>
  <c r="O23" i="143"/>
  <c r="O24" i="143"/>
  <c r="O25" i="143"/>
  <c r="O26" i="143"/>
  <c r="O27" i="143"/>
  <c r="O28" i="143"/>
  <c r="O29" i="143"/>
  <c r="O30" i="143"/>
  <c r="O31" i="143"/>
  <c r="O32" i="143"/>
  <c r="O33" i="143"/>
  <c r="B12" i="255"/>
  <c r="C12" i="255"/>
  <c r="C13" i="254"/>
  <c r="O33" i="55"/>
  <c r="B33" i="55"/>
  <c r="O27" i="55"/>
  <c r="N26" i="55"/>
  <c r="N28" i="55" s="1"/>
  <c r="M26" i="55"/>
  <c r="M28" i="55" s="1"/>
  <c r="L26" i="55"/>
  <c r="L28" i="55" s="1"/>
  <c r="K26" i="55"/>
  <c r="K28" i="55" s="1"/>
  <c r="J26" i="55"/>
  <c r="J28" i="55" s="1"/>
  <c r="I26" i="55"/>
  <c r="I28" i="55" s="1"/>
  <c r="B26" i="55"/>
  <c r="B28" i="55" s="1"/>
  <c r="O17" i="55"/>
  <c r="O16" i="55"/>
  <c r="O15" i="55"/>
  <c r="O14" i="55"/>
  <c r="O13" i="55"/>
  <c r="O12" i="55"/>
  <c r="O11" i="55"/>
  <c r="O10" i="55"/>
  <c r="O9" i="55"/>
  <c r="O8" i="55"/>
  <c r="O29" i="237"/>
  <c r="O23" i="237"/>
  <c r="O11" i="237"/>
  <c r="O10" i="237"/>
  <c r="O9" i="237"/>
  <c r="C4" i="257" l="1"/>
  <c r="G26" i="238"/>
  <c r="B34" i="55"/>
  <c r="A24" i="257" s="1"/>
  <c r="G14" i="238"/>
  <c r="I26" i="238"/>
  <c r="A30" i="257"/>
  <c r="A32" i="257"/>
  <c r="A31" i="257"/>
  <c r="A33" i="257"/>
  <c r="D26" i="238"/>
  <c r="C26" i="238" s="1"/>
  <c r="I14" i="238"/>
  <c r="H14" i="238" s="1"/>
  <c r="D14" i="238"/>
  <c r="C14" i="238" s="1"/>
  <c r="D15" i="241"/>
  <c r="C15" i="241" s="1"/>
  <c r="J15" i="241"/>
  <c r="H26" i="238"/>
  <c r="O26" i="55"/>
  <c r="O28" i="55" s="1"/>
  <c r="O34" i="55" s="1"/>
  <c r="B24" i="257" s="1"/>
  <c r="H20" i="151"/>
  <c r="H6" i="151"/>
  <c r="C56" i="236"/>
  <c r="J56" i="236" s="1"/>
  <c r="B56" i="236"/>
  <c r="I56" i="236" s="1"/>
  <c r="B23" i="248"/>
  <c r="C54" i="43"/>
  <c r="B54" i="43"/>
  <c r="C51" i="43"/>
  <c r="B51" i="43"/>
  <c r="C45" i="43"/>
  <c r="C49" i="43" s="1"/>
  <c r="B45" i="43"/>
  <c r="B49" i="43" s="1"/>
  <c r="B24" i="43"/>
  <c r="C22" i="43"/>
  <c r="B22" i="43"/>
  <c r="C21" i="43"/>
  <c r="B21" i="43"/>
  <c r="C20" i="43"/>
  <c r="B20" i="43"/>
  <c r="C11" i="43"/>
  <c r="C18" i="43" s="1"/>
  <c r="B11" i="43"/>
  <c r="B18" i="43" s="1"/>
  <c r="C43" i="43"/>
  <c r="B43" i="43"/>
  <c r="C19" i="230"/>
  <c r="B19" i="230"/>
  <c r="B22" i="230"/>
  <c r="AC11" i="35"/>
  <c r="AD11" i="35" s="1"/>
  <c r="AH5" i="35"/>
  <c r="R187" i="35" l="1"/>
  <c r="R150" i="35"/>
  <c r="R168" i="35"/>
  <c r="R186" i="35"/>
  <c r="R151" i="35"/>
  <c r="R169" i="35"/>
  <c r="R115" i="35"/>
  <c r="R114" i="35"/>
  <c r="R133" i="35"/>
  <c r="R132" i="35"/>
  <c r="R97" i="35"/>
  <c r="R96" i="35"/>
  <c r="R79" i="35"/>
  <c r="R78" i="35"/>
  <c r="R61" i="35"/>
  <c r="R60" i="35"/>
  <c r="R25" i="35"/>
  <c r="R43" i="35"/>
  <c r="R42" i="35"/>
  <c r="R8" i="35"/>
  <c r="R24" i="35"/>
  <c r="B59" i="43"/>
  <c r="B60" i="43" s="1"/>
  <c r="B61" i="43" s="1"/>
  <c r="C59" i="43"/>
  <c r="C60" i="43" s="1"/>
  <c r="C61" i="43" s="1"/>
  <c r="I15" i="241"/>
  <c r="B28" i="43"/>
  <c r="B29" i="43" s="1"/>
  <c r="AH3" i="229"/>
  <c r="F50" i="6"/>
  <c r="F49" i="6"/>
  <c r="F48" i="6"/>
  <c r="F47" i="6"/>
  <c r="F46" i="6"/>
  <c r="F45" i="6"/>
  <c r="F44" i="6"/>
  <c r="F43" i="6"/>
  <c r="F42" i="6"/>
  <c r="F41" i="6"/>
  <c r="F40" i="6"/>
  <c r="F39" i="6"/>
  <c r="F38" i="6"/>
  <c r="F37" i="6"/>
  <c r="F36" i="6"/>
  <c r="F35" i="6"/>
  <c r="I50" i="6"/>
  <c r="I49" i="6"/>
  <c r="I48" i="6"/>
  <c r="I47" i="6"/>
  <c r="I46" i="6"/>
  <c r="I45" i="6"/>
  <c r="I44" i="6"/>
  <c r="I43" i="6"/>
  <c r="I42" i="6"/>
  <c r="I41" i="6"/>
  <c r="I40" i="6"/>
  <c r="I39" i="6"/>
  <c r="I38" i="6"/>
  <c r="I37" i="6"/>
  <c r="I36" i="6"/>
  <c r="I35" i="6"/>
  <c r="F23" i="6"/>
  <c r="F22" i="6"/>
  <c r="F21" i="6"/>
  <c r="F20" i="6"/>
  <c r="F19" i="6"/>
  <c r="F18" i="6"/>
  <c r="F17" i="6"/>
  <c r="F16" i="6"/>
  <c r="F15" i="6"/>
  <c r="F14" i="6"/>
  <c r="F13" i="6"/>
  <c r="F12" i="6"/>
  <c r="F11" i="6"/>
  <c r="F10" i="6"/>
  <c r="F9" i="6"/>
  <c r="F8" i="6"/>
  <c r="F7" i="6"/>
  <c r="I23" i="6"/>
  <c r="V51" i="6" s="1"/>
  <c r="T51" i="6" s="1"/>
  <c r="I22" i="6"/>
  <c r="V50" i="6" s="1"/>
  <c r="T50" i="6" s="1"/>
  <c r="I21" i="6"/>
  <c r="V49" i="6" s="1"/>
  <c r="T49" i="6" s="1"/>
  <c r="I20" i="6"/>
  <c r="I19" i="6"/>
  <c r="I18" i="6"/>
  <c r="V46" i="6" s="1"/>
  <c r="T46" i="6" s="1"/>
  <c r="I17" i="6"/>
  <c r="V45" i="6" s="1"/>
  <c r="T45" i="6" s="1"/>
  <c r="I16" i="6"/>
  <c r="V44" i="6" s="1"/>
  <c r="T44" i="6" s="1"/>
  <c r="I15" i="6"/>
  <c r="I14" i="6"/>
  <c r="I13" i="6"/>
  <c r="V41" i="6" s="1"/>
  <c r="T41" i="6" s="1"/>
  <c r="I12" i="6"/>
  <c r="I11" i="6"/>
  <c r="I10" i="6"/>
  <c r="V38" i="6" s="1"/>
  <c r="T38" i="6" s="1"/>
  <c r="I9" i="6"/>
  <c r="V37" i="6" s="1"/>
  <c r="T37" i="6" s="1"/>
  <c r="I8" i="6"/>
  <c r="I7" i="6"/>
  <c r="B20" i="226"/>
  <c r="M20" i="226" s="1"/>
  <c r="V40" i="6" l="1"/>
  <c r="T40" i="6" s="1"/>
  <c r="V39" i="6"/>
  <c r="T39" i="6" s="1"/>
  <c r="V35" i="6"/>
  <c r="T35" i="6" s="1"/>
  <c r="V47" i="6"/>
  <c r="T47" i="6" s="1"/>
  <c r="V36" i="6"/>
  <c r="T36" i="6" s="1"/>
  <c r="V48" i="6"/>
  <c r="T48" i="6" s="1"/>
  <c r="V42" i="6"/>
  <c r="T42" i="6" s="1"/>
  <c r="V43" i="6"/>
  <c r="T43" i="6" s="1"/>
  <c r="F5" i="229"/>
  <c r="G21" i="257"/>
  <c r="I30" i="6"/>
  <c r="F58" i="6"/>
  <c r="Q30" i="6"/>
  <c r="F30" i="6"/>
  <c r="I58" i="6"/>
  <c r="S24" i="170"/>
  <c r="I45" i="139" l="1"/>
  <c r="I44" i="139"/>
  <c r="I43" i="139"/>
  <c r="I42" i="139"/>
  <c r="I41" i="139"/>
  <c r="I40" i="139"/>
  <c r="I39" i="139"/>
  <c r="I38" i="139"/>
  <c r="I37" i="139"/>
  <c r="I36" i="139"/>
  <c r="I35" i="139"/>
  <c r="I34" i="139"/>
  <c r="I33" i="139"/>
  <c r="I32" i="139"/>
  <c r="I31" i="139"/>
  <c r="I30" i="139"/>
  <c r="I29" i="139"/>
  <c r="F45" i="139"/>
  <c r="F44" i="139"/>
  <c r="F43" i="139"/>
  <c r="F42" i="139"/>
  <c r="F41" i="139"/>
  <c r="F40" i="139"/>
  <c r="F39" i="139"/>
  <c r="F38" i="139"/>
  <c r="F37" i="139"/>
  <c r="F36" i="139"/>
  <c r="F35" i="139"/>
  <c r="F34" i="139"/>
  <c r="F33" i="139"/>
  <c r="F32" i="139"/>
  <c r="F31" i="139"/>
  <c r="F30" i="139"/>
  <c r="F29" i="139"/>
  <c r="Q23" i="139"/>
  <c r="Q22" i="139"/>
  <c r="Q21" i="139"/>
  <c r="Q20" i="139"/>
  <c r="Q19" i="139"/>
  <c r="Q18" i="139"/>
  <c r="Q17" i="139"/>
  <c r="Q16" i="139"/>
  <c r="Q15" i="139"/>
  <c r="Q14" i="139"/>
  <c r="Q13" i="139"/>
  <c r="Q12" i="139"/>
  <c r="Q11" i="139"/>
  <c r="Q10" i="139"/>
  <c r="Q9" i="139"/>
  <c r="Q8" i="139"/>
  <c r="Q7" i="139"/>
  <c r="F23" i="139"/>
  <c r="F22" i="139"/>
  <c r="F21" i="139"/>
  <c r="F20" i="139"/>
  <c r="F19" i="139"/>
  <c r="F18" i="139"/>
  <c r="F17" i="139"/>
  <c r="F16" i="139"/>
  <c r="F15" i="139"/>
  <c r="F14" i="139"/>
  <c r="F13" i="139"/>
  <c r="F12" i="139"/>
  <c r="F10" i="139"/>
  <c r="F9" i="139"/>
  <c r="F8" i="139"/>
  <c r="F7" i="139"/>
  <c r="I23" i="139"/>
  <c r="I22" i="139"/>
  <c r="I21" i="139"/>
  <c r="I20" i="139"/>
  <c r="I19" i="139"/>
  <c r="I18" i="139"/>
  <c r="I17" i="139"/>
  <c r="I16" i="139"/>
  <c r="I15" i="139"/>
  <c r="I14" i="139"/>
  <c r="I13" i="139"/>
  <c r="I12" i="139"/>
  <c r="I11" i="139"/>
  <c r="I10" i="139"/>
  <c r="I9" i="139"/>
  <c r="I8" i="139"/>
  <c r="I7" i="139"/>
  <c r="K8" i="5"/>
  <c r="K9" i="5"/>
  <c r="K10" i="5"/>
  <c r="T10" i="5" s="1"/>
  <c r="K11" i="5"/>
  <c r="T11" i="5" s="1"/>
  <c r="K12" i="5"/>
  <c r="T12" i="5" s="1"/>
  <c r="K13" i="5"/>
  <c r="T13" i="5" s="1"/>
  <c r="K14" i="5"/>
  <c r="T14" i="5" s="1"/>
  <c r="K15" i="5"/>
  <c r="T15" i="5" s="1"/>
  <c r="K16" i="5"/>
  <c r="T16" i="5" s="1"/>
  <c r="K17" i="5"/>
  <c r="T17" i="5" s="1"/>
  <c r="K18" i="5"/>
  <c r="T18" i="5" s="1"/>
  <c r="K7" i="5"/>
  <c r="L26" i="2"/>
  <c r="O26" i="2" s="1"/>
  <c r="L25" i="2"/>
  <c r="L24" i="2"/>
  <c r="L23" i="2"/>
  <c r="L22" i="2"/>
  <c r="L21" i="2"/>
  <c r="L20" i="2"/>
  <c r="L19" i="2"/>
  <c r="L18" i="2"/>
  <c r="L17" i="2"/>
  <c r="L16" i="2"/>
  <c r="L15" i="2"/>
  <c r="L14" i="2"/>
  <c r="L13" i="2"/>
  <c r="L12" i="2"/>
  <c r="L11" i="2"/>
  <c r="L10" i="2"/>
  <c r="L9" i="2"/>
  <c r="L8" i="2"/>
  <c r="F8" i="2"/>
  <c r="F9" i="2"/>
  <c r="F10" i="2"/>
  <c r="F11" i="2"/>
  <c r="F12" i="2"/>
  <c r="F13" i="2"/>
  <c r="F14" i="2"/>
  <c r="F15" i="2"/>
  <c r="F16" i="2"/>
  <c r="F17" i="2"/>
  <c r="F18" i="2"/>
  <c r="F19" i="2"/>
  <c r="F20" i="2"/>
  <c r="F21" i="2"/>
  <c r="F22" i="2"/>
  <c r="F23" i="2"/>
  <c r="F24" i="2"/>
  <c r="O24" i="2" s="1"/>
  <c r="F25" i="2"/>
  <c r="L24" i="207"/>
  <c r="L23" i="207"/>
  <c r="L22" i="207"/>
  <c r="L21" i="207"/>
  <c r="L20" i="207"/>
  <c r="L19" i="207"/>
  <c r="L18" i="207"/>
  <c r="L17" i="207"/>
  <c r="L16" i="207"/>
  <c r="L15" i="207"/>
  <c r="L14" i="207"/>
  <c r="L13" i="207"/>
  <c r="L12" i="207"/>
  <c r="L11" i="207"/>
  <c r="L10" i="207"/>
  <c r="L9" i="207"/>
  <c r="L8" i="207"/>
  <c r="L7" i="207"/>
  <c r="F8" i="207"/>
  <c r="F9" i="207"/>
  <c r="F10" i="207"/>
  <c r="F11" i="207"/>
  <c r="F12" i="207"/>
  <c r="F13" i="207"/>
  <c r="F14" i="207"/>
  <c r="F15" i="207"/>
  <c r="F16" i="207"/>
  <c r="F17" i="207"/>
  <c r="F18" i="207"/>
  <c r="F19" i="207"/>
  <c r="F20" i="207"/>
  <c r="F21" i="207"/>
  <c r="F22" i="207"/>
  <c r="F23" i="207"/>
  <c r="F24" i="207"/>
  <c r="F7" i="207"/>
  <c r="L16" i="209"/>
  <c r="L15" i="209"/>
  <c r="L14" i="209"/>
  <c r="L13" i="209"/>
  <c r="L12" i="209"/>
  <c r="L11" i="209"/>
  <c r="L10" i="209"/>
  <c r="L9" i="209"/>
  <c r="L8" i="209"/>
  <c r="L7" i="209"/>
  <c r="F8" i="209"/>
  <c r="F9" i="209"/>
  <c r="F10" i="209"/>
  <c r="F11" i="209"/>
  <c r="F12" i="209"/>
  <c r="F13" i="209"/>
  <c r="F14" i="209"/>
  <c r="F15" i="209"/>
  <c r="F16" i="209"/>
  <c r="F7" i="209"/>
  <c r="L26" i="212"/>
  <c r="L25" i="212"/>
  <c r="L24" i="212"/>
  <c r="L23" i="212"/>
  <c r="L22" i="212"/>
  <c r="L21" i="212"/>
  <c r="L20" i="212"/>
  <c r="L19" i="212"/>
  <c r="L18" i="212"/>
  <c r="L17" i="212"/>
  <c r="L16" i="212"/>
  <c r="L11" i="212"/>
  <c r="F11" i="212"/>
  <c r="F16" i="212"/>
  <c r="F17" i="212"/>
  <c r="F18" i="212"/>
  <c r="F19" i="212"/>
  <c r="F20" i="212"/>
  <c r="O20" i="212" s="1"/>
  <c r="F21" i="212"/>
  <c r="O21" i="212" s="1"/>
  <c r="F22" i="212"/>
  <c r="F23" i="212"/>
  <c r="O23" i="212" s="1"/>
  <c r="F24" i="212"/>
  <c r="F25" i="212"/>
  <c r="F26" i="212"/>
  <c r="M8" i="209"/>
  <c r="N8" i="209"/>
  <c r="M9" i="209"/>
  <c r="N9" i="209"/>
  <c r="M10" i="209"/>
  <c r="N10" i="209"/>
  <c r="O19" i="2" l="1"/>
  <c r="O25" i="212"/>
  <c r="O16" i="2"/>
  <c r="O16" i="212"/>
  <c r="O11" i="212"/>
  <c r="O18" i="212"/>
  <c r="O24" i="212"/>
  <c r="O8" i="2"/>
  <c r="V29" i="139"/>
  <c r="O18" i="2"/>
  <c r="O10" i="2"/>
  <c r="O25" i="2"/>
  <c r="O17" i="2"/>
  <c r="O12" i="2"/>
  <c r="O16" i="209"/>
  <c r="O15" i="2"/>
  <c r="O13" i="2"/>
  <c r="O11" i="2"/>
  <c r="O14" i="2"/>
  <c r="O22" i="2"/>
  <c r="O23" i="2"/>
  <c r="O26" i="212"/>
  <c r="O20" i="2"/>
  <c r="O19" i="212"/>
  <c r="O17" i="212"/>
  <c r="O12" i="209"/>
  <c r="O13" i="209"/>
  <c r="O15" i="209"/>
  <c r="O11" i="209"/>
  <c r="O9" i="209"/>
  <c r="O21" i="2"/>
  <c r="O22" i="212"/>
  <c r="O14" i="209"/>
  <c r="L17" i="209"/>
  <c r="O8" i="209"/>
  <c r="O9" i="2"/>
  <c r="L27" i="2"/>
  <c r="L30" i="207"/>
  <c r="D7" i="135" s="1"/>
  <c r="O10" i="209"/>
  <c r="D7" i="194"/>
  <c r="I7" i="194"/>
  <c r="D8" i="194"/>
  <c r="I8" i="194"/>
  <c r="D9" i="194"/>
  <c r="I9" i="194"/>
  <c r="D10" i="194"/>
  <c r="I10" i="194"/>
  <c r="D11" i="194"/>
  <c r="I11" i="194"/>
  <c r="D12" i="194"/>
  <c r="I12" i="194"/>
  <c r="D13" i="194"/>
  <c r="I13" i="194"/>
  <c r="D14" i="194"/>
  <c r="I14" i="194"/>
  <c r="D15" i="194"/>
  <c r="I15" i="194"/>
  <c r="D16" i="194"/>
  <c r="I16" i="194"/>
  <c r="D17" i="194"/>
  <c r="I17" i="194"/>
  <c r="D18" i="194"/>
  <c r="I18" i="194"/>
  <c r="D19" i="194"/>
  <c r="I19" i="194"/>
  <c r="D20" i="194"/>
  <c r="I20" i="194"/>
  <c r="D21" i="194"/>
  <c r="I21" i="194"/>
  <c r="D22" i="194"/>
  <c r="I22" i="194"/>
  <c r="D23" i="194"/>
  <c r="I23" i="194"/>
  <c r="D24" i="194"/>
  <c r="I24" i="194"/>
  <c r="D25" i="194"/>
  <c r="I25" i="194"/>
  <c r="D26" i="194"/>
  <c r="I26" i="194"/>
  <c r="D27" i="194"/>
  <c r="I27" i="194"/>
  <c r="D28" i="194"/>
  <c r="I28" i="194"/>
  <c r="D29" i="194"/>
  <c r="I29" i="194"/>
  <c r="D30" i="194"/>
  <c r="I30" i="194"/>
  <c r="D31" i="194"/>
  <c r="I31" i="194"/>
  <c r="D32" i="194"/>
  <c r="I32" i="194"/>
  <c r="D33" i="194"/>
  <c r="I33" i="194"/>
  <c r="D34" i="194"/>
  <c r="I34" i="194"/>
  <c r="D35" i="194"/>
  <c r="I35" i="194"/>
  <c r="D36" i="194"/>
  <c r="I36" i="194"/>
  <c r="D37" i="194"/>
  <c r="I37" i="194"/>
  <c r="D38" i="194"/>
  <c r="I38" i="194"/>
  <c r="D39" i="194"/>
  <c r="I39" i="194"/>
  <c r="D40" i="194"/>
  <c r="I40" i="194"/>
  <c r="D41" i="194"/>
  <c r="I41" i="194"/>
  <c r="D42" i="194"/>
  <c r="I42" i="194"/>
  <c r="D43" i="194"/>
  <c r="I43" i="194"/>
  <c r="D44" i="194"/>
  <c r="I44" i="194"/>
  <c r="D45" i="194"/>
  <c r="I45" i="194"/>
  <c r="D46" i="194"/>
  <c r="I46" i="194"/>
  <c r="D47" i="194"/>
  <c r="I47" i="194"/>
  <c r="D48" i="194"/>
  <c r="I48" i="194"/>
  <c r="D49" i="194"/>
  <c r="I49" i="194"/>
  <c r="D50" i="194"/>
  <c r="I50" i="194"/>
  <c r="D51" i="194"/>
  <c r="I51" i="194"/>
  <c r="D52" i="194"/>
  <c r="I52" i="194"/>
  <c r="D53" i="194"/>
  <c r="I53" i="194"/>
  <c r="D54" i="194"/>
  <c r="I54" i="194"/>
  <c r="D55" i="194"/>
  <c r="I55" i="194"/>
  <c r="D56" i="194"/>
  <c r="I56" i="194"/>
  <c r="D57" i="194"/>
  <c r="I57" i="194"/>
  <c r="D58" i="194"/>
  <c r="I58" i="194"/>
  <c r="D59" i="194"/>
  <c r="I59" i="194"/>
  <c r="D60" i="194"/>
  <c r="I60" i="194"/>
  <c r="D61" i="194"/>
  <c r="I61" i="194"/>
  <c r="D62" i="194"/>
  <c r="I62" i="194"/>
  <c r="D63" i="194"/>
  <c r="I63" i="194"/>
  <c r="D64" i="194"/>
  <c r="I64" i="194"/>
  <c r="D65" i="194"/>
  <c r="I65" i="194"/>
  <c r="D66" i="194"/>
  <c r="I66" i="194"/>
  <c r="D67" i="194"/>
  <c r="I67" i="194"/>
  <c r="D68" i="194"/>
  <c r="I68" i="194"/>
  <c r="D69" i="194"/>
  <c r="I69" i="194"/>
  <c r="D70" i="194"/>
  <c r="I70" i="194"/>
  <c r="D71" i="194"/>
  <c r="I71" i="194"/>
  <c r="D72" i="194"/>
  <c r="I72" i="194"/>
  <c r="D73" i="194"/>
  <c r="I73" i="194"/>
  <c r="D74" i="194"/>
  <c r="I74" i="194"/>
  <c r="D75" i="194"/>
  <c r="I75" i="194"/>
  <c r="D76" i="194"/>
  <c r="I76" i="194"/>
  <c r="D77" i="194"/>
  <c r="I77" i="194"/>
  <c r="D78" i="194"/>
  <c r="I78" i="194"/>
  <c r="D79" i="194"/>
  <c r="I79" i="194"/>
  <c r="D80" i="194"/>
  <c r="I80" i="194"/>
  <c r="D81" i="194"/>
  <c r="I81" i="194"/>
  <c r="D82" i="194"/>
  <c r="I82" i="194"/>
  <c r="D83" i="194"/>
  <c r="I83" i="194"/>
  <c r="D84" i="194"/>
  <c r="I84" i="194"/>
  <c r="D85" i="194"/>
  <c r="I85" i="194"/>
  <c r="D86" i="194"/>
  <c r="I86" i="194"/>
  <c r="D87" i="194"/>
  <c r="I87" i="194"/>
  <c r="D88" i="194"/>
  <c r="I88" i="194"/>
  <c r="D89" i="194"/>
  <c r="I89" i="194"/>
  <c r="D90" i="194"/>
  <c r="I90" i="194"/>
  <c r="D91" i="194"/>
  <c r="I91" i="194"/>
  <c r="D92" i="194"/>
  <c r="I92" i="194"/>
  <c r="D93" i="194"/>
  <c r="I93" i="194"/>
  <c r="D94" i="194"/>
  <c r="I94" i="194"/>
  <c r="D95" i="194"/>
  <c r="I95" i="194"/>
  <c r="D96" i="194"/>
  <c r="I96" i="194"/>
  <c r="D97" i="194"/>
  <c r="I97" i="194"/>
  <c r="D98" i="194"/>
  <c r="I98" i="194"/>
  <c r="D99" i="194"/>
  <c r="I99" i="194"/>
  <c r="D100" i="194"/>
  <c r="I100" i="194"/>
  <c r="D101" i="194"/>
  <c r="I101" i="194"/>
  <c r="D102" i="194"/>
  <c r="I102" i="194"/>
  <c r="D103" i="194"/>
  <c r="I103" i="194"/>
  <c r="D104" i="194"/>
  <c r="I104" i="194"/>
  <c r="D105" i="194"/>
  <c r="I105" i="194"/>
  <c r="D106" i="194"/>
  <c r="I106" i="194"/>
  <c r="D107" i="194"/>
  <c r="I107" i="194"/>
  <c r="D108" i="194"/>
  <c r="I108" i="194"/>
  <c r="D109" i="194"/>
  <c r="I109" i="194"/>
  <c r="D110" i="194"/>
  <c r="I110" i="194"/>
  <c r="D111" i="194"/>
  <c r="I111" i="194"/>
  <c r="D112" i="194"/>
  <c r="I112" i="194"/>
  <c r="D113" i="194"/>
  <c r="I113" i="194"/>
  <c r="D114" i="194"/>
  <c r="I114" i="194"/>
  <c r="D115" i="194"/>
  <c r="I115" i="194"/>
  <c r="D116" i="194"/>
  <c r="I116" i="194"/>
  <c r="D117" i="194"/>
  <c r="I117" i="194"/>
  <c r="D118" i="194"/>
  <c r="I118" i="194"/>
  <c r="D119" i="194"/>
  <c r="I119" i="194"/>
  <c r="D120" i="194"/>
  <c r="I120" i="194"/>
  <c r="D121" i="194"/>
  <c r="I121" i="194"/>
  <c r="D122" i="194"/>
  <c r="I122" i="194"/>
  <c r="D123" i="194"/>
  <c r="I123" i="194"/>
  <c r="D124" i="194"/>
  <c r="I124" i="194"/>
  <c r="D125" i="194"/>
  <c r="I125" i="194"/>
  <c r="D126" i="194"/>
  <c r="I126" i="194"/>
  <c r="D127" i="194"/>
  <c r="I127" i="194"/>
  <c r="D128" i="194"/>
  <c r="I128" i="194"/>
  <c r="D129" i="194"/>
  <c r="I129" i="194"/>
  <c r="D130" i="194"/>
  <c r="I130" i="194"/>
  <c r="D131" i="194"/>
  <c r="I131" i="194"/>
  <c r="D132" i="194"/>
  <c r="I132" i="194"/>
  <c r="D133" i="194"/>
  <c r="I133" i="194"/>
  <c r="D134" i="194"/>
  <c r="I134" i="194"/>
  <c r="D135" i="194"/>
  <c r="I135" i="194"/>
  <c r="D136" i="194"/>
  <c r="I136" i="194"/>
  <c r="D137" i="194"/>
  <c r="I137" i="194"/>
  <c r="D138" i="194"/>
  <c r="I138" i="194"/>
  <c r="D139" i="194"/>
  <c r="I139" i="194"/>
  <c r="D140" i="194"/>
  <c r="I140" i="194"/>
  <c r="D141" i="194"/>
  <c r="I141" i="194"/>
  <c r="D142" i="194"/>
  <c r="I142" i="194"/>
  <c r="D143" i="194"/>
  <c r="I143" i="194"/>
  <c r="D144" i="194"/>
  <c r="I144" i="194"/>
  <c r="D145" i="194"/>
  <c r="I145" i="194"/>
  <c r="D146" i="194"/>
  <c r="I146" i="194"/>
  <c r="D147" i="194"/>
  <c r="I147" i="194"/>
  <c r="D148" i="194"/>
  <c r="I148" i="194"/>
  <c r="D149" i="194"/>
  <c r="I149" i="194"/>
  <c r="D150" i="194"/>
  <c r="I150" i="194"/>
  <c r="D151" i="194"/>
  <c r="I151" i="194"/>
  <c r="D152" i="194"/>
  <c r="I152" i="194"/>
  <c r="D153" i="194"/>
  <c r="I153" i="194"/>
  <c r="D154" i="194"/>
  <c r="I154" i="194"/>
  <c r="D155" i="194"/>
  <c r="I155" i="194"/>
  <c r="D156" i="194"/>
  <c r="I156" i="194"/>
  <c r="D157" i="194"/>
  <c r="I157" i="194"/>
  <c r="D158" i="194"/>
  <c r="I158" i="194"/>
  <c r="D159" i="194"/>
  <c r="I159" i="194"/>
  <c r="D160" i="194"/>
  <c r="I160" i="194"/>
  <c r="D161" i="194"/>
  <c r="I161" i="194"/>
  <c r="D162" i="194"/>
  <c r="I162" i="194"/>
  <c r="D163" i="194"/>
  <c r="I163" i="194"/>
  <c r="D164" i="194"/>
  <c r="I164" i="194"/>
  <c r="D165" i="194"/>
  <c r="I165" i="194"/>
  <c r="D166" i="194"/>
  <c r="I166" i="194"/>
  <c r="D167" i="194"/>
  <c r="I167" i="194"/>
  <c r="D168" i="194"/>
  <c r="I168" i="194"/>
  <c r="D169" i="194"/>
  <c r="I169" i="194"/>
  <c r="D170" i="194"/>
  <c r="I170" i="194"/>
  <c r="D171" i="194"/>
  <c r="I171" i="194"/>
  <c r="D172" i="194"/>
  <c r="I172" i="194"/>
  <c r="D173" i="194"/>
  <c r="I173" i="194"/>
  <c r="D174" i="194"/>
  <c r="I174" i="194"/>
  <c r="D175" i="194"/>
  <c r="I175" i="194"/>
  <c r="D176" i="194"/>
  <c r="I176" i="194"/>
  <c r="D177" i="194"/>
  <c r="I177" i="194"/>
  <c r="D178" i="194"/>
  <c r="I178" i="194"/>
  <c r="D179" i="194"/>
  <c r="I179" i="194"/>
  <c r="D180" i="194"/>
  <c r="I180" i="194"/>
  <c r="D181" i="194"/>
  <c r="I181" i="194"/>
  <c r="D182" i="194"/>
  <c r="I182" i="194"/>
  <c r="D183" i="194"/>
  <c r="I183" i="194"/>
  <c r="D184" i="194"/>
  <c r="I184" i="194"/>
  <c r="D185" i="194"/>
  <c r="I185" i="194"/>
  <c r="D186" i="194"/>
  <c r="I186" i="194"/>
  <c r="D187" i="194"/>
  <c r="I187" i="194"/>
  <c r="D188" i="194"/>
  <c r="I188" i="194"/>
  <c r="D189" i="194"/>
  <c r="I189" i="194"/>
  <c r="D190" i="194"/>
  <c r="I190" i="194"/>
  <c r="D191" i="194"/>
  <c r="I191" i="194"/>
  <c r="D192" i="194"/>
  <c r="I192" i="194"/>
  <c r="D193" i="194"/>
  <c r="I193" i="194"/>
  <c r="D194" i="194"/>
  <c r="I194" i="194"/>
  <c r="D195" i="194"/>
  <c r="I195" i="194"/>
  <c r="D196" i="194"/>
  <c r="I196" i="194"/>
  <c r="D197" i="194"/>
  <c r="I197" i="194"/>
  <c r="D198" i="194"/>
  <c r="I198" i="194"/>
  <c r="D199" i="194"/>
  <c r="I199" i="194"/>
  <c r="D200" i="194"/>
  <c r="I200" i="194"/>
  <c r="D201" i="194"/>
  <c r="I201" i="194"/>
  <c r="D202" i="194"/>
  <c r="I202" i="194"/>
  <c r="D203" i="194"/>
  <c r="I203" i="194"/>
  <c r="D204" i="194"/>
  <c r="I204" i="194"/>
  <c r="D205" i="194"/>
  <c r="I205" i="194"/>
  <c r="D206" i="194"/>
  <c r="I206" i="194"/>
  <c r="D207" i="194"/>
  <c r="I207" i="194"/>
  <c r="D208" i="194"/>
  <c r="I208" i="194"/>
  <c r="D209" i="194"/>
  <c r="I209" i="194"/>
  <c r="D210" i="194"/>
  <c r="I210" i="194"/>
  <c r="D211" i="194"/>
  <c r="I211" i="194"/>
  <c r="D212" i="194"/>
  <c r="I212" i="194"/>
  <c r="D213" i="194"/>
  <c r="I213" i="194"/>
  <c r="D214" i="194"/>
  <c r="I214" i="194"/>
  <c r="D215" i="194"/>
  <c r="I215" i="194"/>
  <c r="D216" i="194"/>
  <c r="I216" i="194"/>
  <c r="D217" i="194"/>
  <c r="I217" i="194"/>
  <c r="D218" i="194"/>
  <c r="I218" i="194"/>
  <c r="D219" i="194"/>
  <c r="I219" i="194"/>
  <c r="D220" i="194"/>
  <c r="I220" i="194"/>
  <c r="D221" i="194"/>
  <c r="I221" i="194"/>
  <c r="D222" i="194"/>
  <c r="I222" i="194"/>
  <c r="D223" i="194"/>
  <c r="I223" i="194"/>
  <c r="D224" i="194"/>
  <c r="I224" i="194"/>
  <c r="D225" i="194"/>
  <c r="I225" i="194"/>
  <c r="D226" i="194"/>
  <c r="I226" i="194"/>
  <c r="D227" i="194"/>
  <c r="I227" i="194"/>
  <c r="D228" i="194"/>
  <c r="I228" i="194"/>
  <c r="D229" i="194"/>
  <c r="I229" i="194"/>
  <c r="D230" i="194"/>
  <c r="I230" i="194"/>
  <c r="D231" i="194"/>
  <c r="I231" i="194"/>
  <c r="D232" i="194"/>
  <c r="I232" i="194"/>
  <c r="D233" i="194"/>
  <c r="I233" i="194"/>
  <c r="D234" i="194"/>
  <c r="I234" i="194"/>
  <c r="D235" i="194"/>
  <c r="I235" i="194"/>
  <c r="D236" i="194"/>
  <c r="I236" i="194"/>
  <c r="D237" i="194"/>
  <c r="I237" i="194"/>
  <c r="D238" i="194"/>
  <c r="I238" i="194"/>
  <c r="D239" i="194"/>
  <c r="I239" i="194"/>
  <c r="D240" i="194"/>
  <c r="I240" i="194"/>
  <c r="D241" i="194"/>
  <c r="I241" i="194"/>
  <c r="D242" i="194"/>
  <c r="I242" i="194"/>
  <c r="D243" i="194"/>
  <c r="I243" i="194"/>
  <c r="D244" i="194"/>
  <c r="I244" i="194"/>
  <c r="D245" i="194"/>
  <c r="I245" i="194"/>
  <c r="D246" i="194"/>
  <c r="I246" i="194"/>
  <c r="D247" i="194"/>
  <c r="I247" i="194"/>
  <c r="D248" i="194"/>
  <c r="I248" i="194"/>
  <c r="D249" i="194"/>
  <c r="I249" i="194"/>
  <c r="D250" i="194"/>
  <c r="I250" i="194"/>
  <c r="D251" i="194"/>
  <c r="I251" i="194"/>
  <c r="D252" i="194"/>
  <c r="I252" i="194"/>
  <c r="D253" i="194"/>
  <c r="I253" i="194"/>
  <c r="D254" i="194"/>
  <c r="I254" i="194"/>
  <c r="D255" i="194"/>
  <c r="I255" i="194"/>
  <c r="D256" i="194"/>
  <c r="I256" i="194"/>
  <c r="D257" i="194"/>
  <c r="I257" i="194"/>
  <c r="D258" i="194"/>
  <c r="I258" i="194"/>
  <c r="D259" i="194"/>
  <c r="I259" i="194"/>
  <c r="D260" i="194"/>
  <c r="I260" i="194"/>
  <c r="D261" i="194"/>
  <c r="I261" i="194"/>
  <c r="D262" i="194"/>
  <c r="I262" i="194"/>
  <c r="D263" i="194"/>
  <c r="I263" i="194"/>
  <c r="D264" i="194"/>
  <c r="I264" i="194"/>
  <c r="D265" i="194"/>
  <c r="I265" i="194"/>
  <c r="D266" i="194"/>
  <c r="I266" i="194"/>
  <c r="D267" i="194"/>
  <c r="I267" i="194"/>
  <c r="D268" i="194"/>
  <c r="I268" i="194"/>
  <c r="D269" i="194"/>
  <c r="I269" i="194"/>
  <c r="D270" i="194"/>
  <c r="I270" i="194"/>
  <c r="D271" i="194"/>
  <c r="I271" i="194"/>
  <c r="D272" i="194"/>
  <c r="I272" i="194"/>
  <c r="D273" i="194"/>
  <c r="I273" i="194"/>
  <c r="D274" i="194"/>
  <c r="I274" i="194"/>
  <c r="D275" i="194"/>
  <c r="I275" i="194"/>
  <c r="D276" i="194"/>
  <c r="I276" i="194"/>
  <c r="D277" i="194"/>
  <c r="I277" i="194"/>
  <c r="D278" i="194"/>
  <c r="I278" i="194"/>
  <c r="D279" i="194"/>
  <c r="I279" i="194"/>
  <c r="D280" i="194"/>
  <c r="I280" i="194"/>
  <c r="D281" i="194"/>
  <c r="I281" i="194"/>
  <c r="D282" i="194"/>
  <c r="I282" i="194"/>
  <c r="D283" i="194"/>
  <c r="I283" i="194"/>
  <c r="A2" i="194"/>
  <c r="A2" i="185"/>
  <c r="O20" i="241"/>
  <c r="A2" i="241"/>
  <c r="O20" i="240"/>
  <c r="A2" i="240"/>
  <c r="S16" i="239"/>
  <c r="A2" i="239"/>
  <c r="S16" i="192"/>
  <c r="A2" i="192"/>
  <c r="S29" i="238"/>
  <c r="A2" i="238"/>
  <c r="S29" i="190"/>
  <c r="A2" i="190"/>
  <c r="A2" i="189"/>
  <c r="AD6" i="182"/>
  <c r="AD7" i="182"/>
  <c r="AD8" i="182"/>
  <c r="AD9" i="182"/>
  <c r="AD10" i="182"/>
  <c r="AD11" i="182"/>
  <c r="AD12" i="182"/>
  <c r="AD13" i="182"/>
  <c r="AD14" i="182"/>
  <c r="AD15" i="182"/>
  <c r="AD16" i="182"/>
  <c r="AD17" i="182"/>
  <c r="AD18" i="182"/>
  <c r="AD19" i="182"/>
  <c r="AD20" i="182"/>
  <c r="AD21" i="182"/>
  <c r="AD22" i="182"/>
  <c r="AD23" i="182"/>
  <c r="AD24" i="182"/>
  <c r="AD5" i="182"/>
  <c r="A2" i="182"/>
  <c r="A2" i="181"/>
  <c r="A2" i="140"/>
  <c r="A2" i="143"/>
  <c r="A2" i="197"/>
  <c r="B2" i="172"/>
  <c r="B2" i="71"/>
  <c r="A2" i="60"/>
  <c r="A2" i="234"/>
  <c r="A2" i="233"/>
  <c r="A2" i="57"/>
  <c r="A2" i="235"/>
  <c r="A2" i="255"/>
  <c r="A2" i="254"/>
  <c r="A2" i="55"/>
  <c r="A2" i="237"/>
  <c r="A2" i="131"/>
  <c r="A2" i="232"/>
  <c r="A2" i="134"/>
  <c r="A2" i="245"/>
  <c r="G21" i="133"/>
  <c r="G22" i="133"/>
  <c r="G23" i="133"/>
  <c r="A2" i="133"/>
  <c r="M21" i="207"/>
  <c r="N21" i="207"/>
  <c r="O21" i="207"/>
  <c r="O22" i="207"/>
  <c r="M22" i="207"/>
  <c r="N22" i="207"/>
  <c r="O23" i="207"/>
  <c r="M23" i="207"/>
  <c r="N23" i="207"/>
  <c r="M24" i="207"/>
  <c r="N24" i="207"/>
  <c r="O24" i="207"/>
  <c r="A2" i="47"/>
  <c r="A2" i="92"/>
  <c r="A2" i="151"/>
  <c r="A2" i="253"/>
  <c r="A2" i="49"/>
  <c r="A2" i="236"/>
  <c r="A10" i="249"/>
  <c r="A9" i="249"/>
  <c r="A8" i="249"/>
  <c r="A7" i="249"/>
  <c r="A6" i="249"/>
  <c r="A2" i="249"/>
  <c r="A2" i="45"/>
  <c r="A2" i="146"/>
  <c r="A2" i="44"/>
  <c r="A2" i="231"/>
  <c r="C58" i="248"/>
  <c r="B58" i="248"/>
  <c r="C48" i="248"/>
  <c r="B48" i="248"/>
  <c r="C42" i="248"/>
  <c r="B42" i="248"/>
  <c r="C17" i="248"/>
  <c r="B17" i="248"/>
  <c r="A2" i="248"/>
  <c r="A2" i="43"/>
  <c r="C41" i="230"/>
  <c r="A2" i="230"/>
  <c r="A2" i="229"/>
  <c r="A2" i="6"/>
  <c r="AA7" i="6"/>
  <c r="A2" i="228"/>
  <c r="A2" i="227"/>
  <c r="A2" i="226"/>
  <c r="A2" i="129"/>
  <c r="A2" i="219"/>
  <c r="A2" i="218"/>
  <c r="A2" i="217"/>
  <c r="A2" i="215"/>
  <c r="A2" i="100"/>
  <c r="DF24" i="170"/>
  <c r="AG26" i="15"/>
  <c r="DC24" i="170"/>
  <c r="AE25" i="15" s="1"/>
  <c r="AG25" i="15" s="1"/>
  <c r="CV24" i="170"/>
  <c r="AE24" i="15" s="1"/>
  <c r="AG24" i="15" s="1"/>
  <c r="CR24" i="170"/>
  <c r="AE23" i="15" s="1"/>
  <c r="AG23" i="15" s="1"/>
  <c r="CK24" i="170"/>
  <c r="AE22" i="15" s="1"/>
  <c r="AG22" i="15" s="1"/>
  <c r="CG24" i="170"/>
  <c r="AE21" i="15" s="1"/>
  <c r="AG21" i="15" s="1"/>
  <c r="BZ24" i="170"/>
  <c r="AE20" i="15" s="1"/>
  <c r="AG20" i="15" s="1"/>
  <c r="BV24" i="170"/>
  <c r="AE19" i="15" s="1"/>
  <c r="AG19" i="15" s="1"/>
  <c r="BO24" i="170"/>
  <c r="AE18" i="15" s="1"/>
  <c r="AG18" i="15" s="1"/>
  <c r="BK24" i="170"/>
  <c r="AE17" i="15" s="1"/>
  <c r="AG17" i="15" s="1"/>
  <c r="BD24" i="170"/>
  <c r="AE16" i="15" s="1"/>
  <c r="AG16" i="15" s="1"/>
  <c r="AZ24" i="170"/>
  <c r="AE15" i="15" s="1"/>
  <c r="AG15" i="15" s="1"/>
  <c r="AS24" i="170"/>
  <c r="AE14" i="15" s="1"/>
  <c r="AG14" i="15" s="1"/>
  <c r="AO24" i="170"/>
  <c r="AE13" i="15" s="1"/>
  <c r="AG13" i="15" s="1"/>
  <c r="AH24" i="170"/>
  <c r="AE12" i="15" s="1"/>
  <c r="AG12" i="15" s="1"/>
  <c r="AD24" i="170"/>
  <c r="AE11" i="15" s="1"/>
  <c r="AG11" i="15" s="1"/>
  <c r="W24" i="170"/>
  <c r="AE10" i="15" s="1"/>
  <c r="AG10" i="15" s="1"/>
  <c r="L24" i="170"/>
  <c r="AE8" i="15" s="1"/>
  <c r="AG8" i="15" s="1"/>
  <c r="H24" i="170"/>
  <c r="AE7" i="15" s="1"/>
  <c r="AG7" i="15" s="1"/>
  <c r="AE9" i="15"/>
  <c r="AG9" i="15" s="1"/>
  <c r="DG24" i="170"/>
  <c r="A1" i="170"/>
  <c r="A2" i="25"/>
  <c r="A2" i="109"/>
  <c r="A2" i="214"/>
  <c r="A2" i="83"/>
  <c r="AA7" i="139"/>
  <c r="C59" i="248" l="1"/>
  <c r="C60" i="248" s="1"/>
  <c r="B59" i="248"/>
  <c r="B60" i="248" s="1"/>
  <c r="B27" i="248"/>
  <c r="B28" i="248" s="1"/>
  <c r="L16" i="257" s="1"/>
  <c r="A2" i="139"/>
  <c r="A2" i="137"/>
  <c r="A2" i="144"/>
  <c r="A2" i="15"/>
  <c r="A2" i="5"/>
  <c r="A2" i="212"/>
  <c r="A2" i="210"/>
  <c r="A2" i="175"/>
  <c r="A2" i="209"/>
  <c r="A2" i="207"/>
  <c r="A2" i="2"/>
  <c r="A2" i="135"/>
  <c r="A2" i="147"/>
  <c r="O4" i="252"/>
  <c r="P4" i="252" s="1"/>
  <c r="U4" i="251"/>
  <c r="V4" i="251" s="1"/>
  <c r="A2" i="79"/>
  <c r="A2" i="252"/>
  <c r="A2" i="251"/>
  <c r="E38" i="251"/>
  <c r="A2" i="80"/>
  <c r="A2" i="204"/>
  <c r="A2" i="141"/>
  <c r="A2" i="242"/>
  <c r="I89" i="44" l="1"/>
  <c r="I38" i="44"/>
  <c r="C106" i="231"/>
  <c r="C49" i="230" s="1"/>
  <c r="I89" i="231"/>
  <c r="C89" i="231"/>
  <c r="C52" i="230" s="1"/>
  <c r="C72" i="231"/>
  <c r="C43" i="230" s="1"/>
  <c r="C47" i="230" s="1"/>
  <c r="C55" i="231"/>
  <c r="C20" i="230" s="1"/>
  <c r="I38" i="231"/>
  <c r="C38" i="231"/>
  <c r="C18" i="230" s="1"/>
  <c r="C21" i="231"/>
  <c r="C11" i="230" s="1"/>
  <c r="C16" i="230" s="1"/>
  <c r="B9" i="229"/>
  <c r="P14" i="256"/>
  <c r="O14" i="256"/>
  <c r="N14" i="256"/>
  <c r="T14" i="256" s="1"/>
  <c r="J14" i="256"/>
  <c r="I14" i="256"/>
  <c r="H14" i="256"/>
  <c r="D14" i="256"/>
  <c r="C14" i="256"/>
  <c r="B14" i="256"/>
  <c r="V13" i="256"/>
  <c r="U13" i="256"/>
  <c r="T13" i="256"/>
  <c r="Q13" i="256"/>
  <c r="K13" i="256"/>
  <c r="E13" i="256"/>
  <c r="V12" i="256"/>
  <c r="U12" i="256"/>
  <c r="T12" i="256"/>
  <c r="Q12" i="256"/>
  <c r="K12" i="256"/>
  <c r="E12" i="256"/>
  <c r="V11" i="256"/>
  <c r="U11" i="256"/>
  <c r="T11" i="256"/>
  <c r="Q11" i="256"/>
  <c r="W11" i="256" s="1"/>
  <c r="K11" i="256"/>
  <c r="E11" i="256"/>
  <c r="V10" i="256"/>
  <c r="U10" i="256"/>
  <c r="T10" i="256"/>
  <c r="Q10" i="256"/>
  <c r="K10" i="256"/>
  <c r="E10" i="256"/>
  <c r="V9" i="256"/>
  <c r="U9" i="256"/>
  <c r="T9" i="256"/>
  <c r="Q9" i="256"/>
  <c r="K9" i="256"/>
  <c r="E9" i="256"/>
  <c r="V8" i="256"/>
  <c r="U8" i="256"/>
  <c r="T8" i="256"/>
  <c r="Q8" i="256"/>
  <c r="K8" i="256"/>
  <c r="E8" i="256"/>
  <c r="E14" i="256" s="1"/>
  <c r="X4" i="256"/>
  <c r="V4" i="256"/>
  <c r="AC6" i="256" s="1"/>
  <c r="E19" i="25"/>
  <c r="E14" i="25"/>
  <c r="E15" i="25"/>
  <c r="W9" i="256" l="1"/>
  <c r="W13" i="256"/>
  <c r="W12" i="256"/>
  <c r="V14" i="256"/>
  <c r="Q14" i="256"/>
  <c r="W14" i="256" s="1"/>
  <c r="W8" i="256"/>
  <c r="W10" i="256"/>
  <c r="C57" i="230"/>
  <c r="C58" i="230" s="1"/>
  <c r="C59" i="230" s="1"/>
  <c r="K14" i="256"/>
  <c r="U14" i="256"/>
  <c r="B55" i="231" l="1"/>
  <c r="B20" i="230" s="1"/>
  <c r="B89" i="231"/>
  <c r="B52" i="230" s="1"/>
  <c r="B72" i="231"/>
  <c r="B43" i="230" s="1"/>
  <c r="B38" i="231"/>
  <c r="B18" i="230" s="1"/>
  <c r="B106" i="231"/>
  <c r="B49" i="230" s="1"/>
  <c r="H4" i="163" l="1"/>
  <c r="F4" i="163"/>
  <c r="C32" i="236"/>
  <c r="J32" i="236" s="1"/>
  <c r="C23" i="248" l="1"/>
  <c r="C24" i="43"/>
  <c r="C28" i="43" s="1"/>
  <c r="C29" i="43" s="1"/>
  <c r="H21" i="257" s="1"/>
  <c r="B57" i="230"/>
  <c r="B47" i="230"/>
  <c r="B41" i="230"/>
  <c r="C27" i="248" l="1"/>
  <c r="C28" i="248" s="1"/>
  <c r="M16" i="257" s="1"/>
  <c r="H23" i="248"/>
  <c r="I4" i="223"/>
  <c r="G4" i="223"/>
  <c r="F4" i="222"/>
  <c r="D4" i="222"/>
  <c r="F4" i="221"/>
  <c r="D4" i="221"/>
  <c r="F4" i="220"/>
  <c r="D4" i="220"/>
  <c r="R3" i="216"/>
  <c r="P3" i="216"/>
  <c r="J3" i="213"/>
  <c r="H3" i="213"/>
  <c r="B31" i="83"/>
  <c r="Z4" i="102"/>
  <c r="V4" i="102"/>
  <c r="AB4" i="99"/>
  <c r="X4" i="99"/>
  <c r="R4" i="211"/>
  <c r="P4" i="211"/>
  <c r="R4" i="247"/>
  <c r="P4" i="247"/>
  <c r="R4" i="246"/>
  <c r="P4" i="246"/>
  <c r="B33" i="83" l="1"/>
  <c r="K38" i="251"/>
  <c r="J38" i="251"/>
  <c r="I38" i="251"/>
  <c r="H38" i="251"/>
  <c r="G38" i="251"/>
  <c r="F38" i="251"/>
  <c r="D38" i="251" l="1"/>
  <c r="G7" i="133"/>
  <c r="W13" i="175" l="1"/>
  <c r="E22" i="113" l="1"/>
  <c r="D11" i="249" l="1"/>
  <c r="H57" i="248"/>
  <c r="H56" i="248"/>
  <c r="H55" i="248"/>
  <c r="H54" i="248"/>
  <c r="H53" i="248"/>
  <c r="H52" i="248"/>
  <c r="H51" i="248"/>
  <c r="H50" i="248"/>
  <c r="H47" i="248"/>
  <c r="H46" i="248"/>
  <c r="H45" i="248"/>
  <c r="H44" i="248"/>
  <c r="H41" i="248"/>
  <c r="H40" i="248"/>
  <c r="H39" i="248"/>
  <c r="H38" i="248"/>
  <c r="H37" i="248"/>
  <c r="H36" i="248"/>
  <c r="H35" i="248"/>
  <c r="H34" i="248"/>
  <c r="H33" i="248"/>
  <c r="H32" i="248"/>
  <c r="H31" i="248"/>
  <c r="H30" i="248"/>
  <c r="H26" i="248"/>
  <c r="H25" i="248"/>
  <c r="H24" i="248"/>
  <c r="H22" i="248"/>
  <c r="H21" i="248"/>
  <c r="H20" i="248"/>
  <c r="H19" i="248"/>
  <c r="H16" i="248"/>
  <c r="H15" i="248"/>
  <c r="H14" i="248"/>
  <c r="H12" i="248"/>
  <c r="H11" i="248"/>
  <c r="H10" i="248"/>
  <c r="H9" i="248"/>
  <c r="H8" i="248"/>
  <c r="H6" i="248"/>
  <c r="B22" i="113" l="1"/>
  <c r="C22" i="113"/>
  <c r="D22" i="113"/>
  <c r="B23" i="113"/>
  <c r="C23" i="113"/>
  <c r="D23" i="113"/>
  <c r="E23" i="113"/>
  <c r="B24" i="113"/>
  <c r="C24" i="113"/>
  <c r="D24" i="113"/>
  <c r="E24" i="113"/>
  <c r="B25" i="113"/>
  <c r="C25" i="113"/>
  <c r="D25" i="113"/>
  <c r="E25" i="113"/>
  <c r="B26" i="113"/>
  <c r="C26" i="113"/>
  <c r="D26" i="113"/>
  <c r="E26" i="113"/>
  <c r="B27" i="113"/>
  <c r="C27" i="113"/>
  <c r="D27" i="113"/>
  <c r="E27" i="113"/>
  <c r="B28" i="113"/>
  <c r="C28" i="113"/>
  <c r="D28" i="113"/>
  <c r="E28" i="113"/>
  <c r="B29" i="113"/>
  <c r="C29" i="113"/>
  <c r="D29" i="113"/>
  <c r="E29" i="113"/>
  <c r="B30" i="113"/>
  <c r="C30" i="113"/>
  <c r="D30" i="113"/>
  <c r="E30" i="113"/>
  <c r="B21" i="113"/>
  <c r="C21" i="113"/>
  <c r="D21" i="113"/>
  <c r="E21" i="113"/>
  <c r="B32" i="113"/>
  <c r="B33" i="113"/>
  <c r="B34" i="113"/>
  <c r="B35" i="113"/>
  <c r="B36" i="113"/>
  <c r="B37" i="113"/>
  <c r="B38" i="113"/>
  <c r="L29" i="247"/>
  <c r="L28" i="247"/>
  <c r="L27" i="247"/>
  <c r="L26" i="247"/>
  <c r="L25" i="247"/>
  <c r="L24" i="247"/>
  <c r="L23" i="247"/>
  <c r="L22" i="247"/>
  <c r="L21" i="247"/>
  <c r="L20" i="247"/>
  <c r="L19" i="247"/>
  <c r="L18" i="247"/>
  <c r="L17" i="247"/>
  <c r="L16" i="247"/>
  <c r="L15" i="247"/>
  <c r="L14" i="247"/>
  <c r="L13" i="247"/>
  <c r="L12" i="247"/>
  <c r="L11" i="247"/>
  <c r="L10" i="247"/>
  <c r="L29" i="246"/>
  <c r="L28" i="246"/>
  <c r="L27" i="246"/>
  <c r="L26" i="246"/>
  <c r="L25" i="246"/>
  <c r="L24" i="246"/>
  <c r="L23" i="246"/>
  <c r="L22" i="246"/>
  <c r="L21" i="246"/>
  <c r="L20" i="246"/>
  <c r="L19" i="246"/>
  <c r="L18" i="246"/>
  <c r="L17" i="246"/>
  <c r="L16" i="246"/>
  <c r="L15" i="246"/>
  <c r="L14" i="246"/>
  <c r="L13" i="246"/>
  <c r="L12" i="246"/>
  <c r="L11" i="246"/>
  <c r="L10" i="246"/>
  <c r="L30" i="246" l="1"/>
  <c r="L30" i="247"/>
  <c r="I28" i="113"/>
  <c r="E40" i="168" l="1"/>
  <c r="J40" i="168"/>
  <c r="E39" i="168"/>
  <c r="J39" i="168"/>
  <c r="K39" i="168" l="1"/>
  <c r="K40" i="168"/>
  <c r="F17" i="245"/>
  <c r="H17" i="245" s="1"/>
  <c r="F18" i="245"/>
  <c r="H18" i="245" s="1"/>
  <c r="F8" i="245"/>
  <c r="H8" i="245" s="1"/>
  <c r="F9" i="245"/>
  <c r="H9" i="245" s="1"/>
  <c r="F10" i="245"/>
  <c r="H10" i="245" s="1"/>
  <c r="F11" i="245"/>
  <c r="H11" i="245" s="1"/>
  <c r="F12" i="245"/>
  <c r="H12" i="245" s="1"/>
  <c r="F13" i="245"/>
  <c r="H13" i="245" s="1"/>
  <c r="F14" i="245"/>
  <c r="H14" i="245" s="1"/>
  <c r="F15" i="245"/>
  <c r="H15" i="245" s="1"/>
  <c r="F16" i="245"/>
  <c r="H16" i="245" s="1"/>
  <c r="F7" i="245"/>
  <c r="H7" i="245" s="1"/>
  <c r="F8" i="47"/>
  <c r="F9" i="47"/>
  <c r="F10" i="47"/>
  <c r="F11" i="47"/>
  <c r="F12" i="47"/>
  <c r="F13" i="47"/>
  <c r="F14" i="47"/>
  <c r="F15" i="47"/>
  <c r="F16" i="47"/>
  <c r="F17" i="47"/>
  <c r="F18" i="47"/>
  <c r="F19" i="47"/>
  <c r="F20" i="47"/>
  <c r="F21" i="47"/>
  <c r="F22" i="47"/>
  <c r="F23" i="47"/>
  <c r="F24" i="47"/>
  <c r="F25" i="47"/>
  <c r="F26" i="47"/>
  <c r="F7" i="47"/>
  <c r="AA11" i="35"/>
  <c r="AB11" i="35" s="1"/>
  <c r="Q11" i="35" l="1"/>
  <c r="D53" i="221" l="1"/>
  <c r="R12" i="256" s="1"/>
  <c r="D53" i="220"/>
  <c r="R11" i="256" s="1"/>
  <c r="D31" i="214" l="1"/>
  <c r="D31" i="83"/>
  <c r="E31" i="83" s="1"/>
  <c r="F24" i="257"/>
  <c r="D33" i="83" l="1"/>
  <c r="E33" i="83" s="1"/>
  <c r="J3" i="243"/>
  <c r="J7" i="243"/>
  <c r="J18" i="243"/>
  <c r="E78" i="243" l="1"/>
  <c r="F78" i="243"/>
  <c r="D77" i="243"/>
  <c r="G77" i="243"/>
  <c r="G76" i="243"/>
  <c r="G75" i="243"/>
  <c r="G74" i="243"/>
  <c r="G73" i="243"/>
  <c r="H72" i="243"/>
  <c r="H71" i="243"/>
  <c r="G70" i="243"/>
  <c r="I68" i="243"/>
  <c r="J68" i="243" s="1"/>
  <c r="J67" i="243"/>
  <c r="H66" i="243"/>
  <c r="C66" i="243"/>
  <c r="G65" i="243"/>
  <c r="G64" i="243"/>
  <c r="H63" i="243"/>
  <c r="G63" i="243"/>
  <c r="G62" i="243"/>
  <c r="H59" i="243"/>
  <c r="G59" i="243"/>
  <c r="H58" i="243"/>
  <c r="G57" i="243"/>
  <c r="G56" i="243"/>
  <c r="J48" i="243"/>
  <c r="H47" i="243"/>
  <c r="C45" i="243"/>
  <c r="G45" i="243" s="1"/>
  <c r="D44" i="243"/>
  <c r="C44" i="243"/>
  <c r="G44" i="243" s="1"/>
  <c r="G43" i="243"/>
  <c r="G42" i="243"/>
  <c r="J40" i="243"/>
  <c r="G38" i="243"/>
  <c r="H37" i="243"/>
  <c r="C36" i="243"/>
  <c r="G36" i="243" s="1"/>
  <c r="G35" i="243"/>
  <c r="G34" i="243"/>
  <c r="G33" i="243"/>
  <c r="G32" i="243"/>
  <c r="G31" i="243"/>
  <c r="G30" i="243"/>
  <c r="G29" i="243"/>
  <c r="G28" i="243"/>
  <c r="H27" i="243"/>
  <c r="C27" i="243"/>
  <c r="G26" i="243"/>
  <c r="G39" i="243"/>
  <c r="G40" i="243"/>
  <c r="G47" i="243"/>
  <c r="G48" i="243"/>
  <c r="G50" i="243"/>
  <c r="G51" i="243"/>
  <c r="G52" i="243"/>
  <c r="G53" i="243"/>
  <c r="G55" i="243"/>
  <c r="G67" i="243"/>
  <c r="H67" i="243"/>
  <c r="G68" i="243"/>
  <c r="H68" i="243"/>
  <c r="G69" i="243"/>
  <c r="I25" i="243"/>
  <c r="G25" i="243"/>
  <c r="G24" i="243"/>
  <c r="G23" i="243"/>
  <c r="I16" i="243"/>
  <c r="I15" i="243"/>
  <c r="G7" i="243"/>
  <c r="H7" i="243"/>
  <c r="G5" i="243"/>
  <c r="H5" i="243"/>
  <c r="J5" i="243"/>
  <c r="G3" i="243"/>
  <c r="H3" i="243"/>
  <c r="H4" i="243"/>
  <c r="G17" i="243"/>
  <c r="D16" i="243"/>
  <c r="H16" i="243" s="1"/>
  <c r="D15" i="243"/>
  <c r="H15" i="243" s="1"/>
  <c r="G14" i="243"/>
  <c r="G13" i="243"/>
  <c r="G12" i="243"/>
  <c r="G11" i="243"/>
  <c r="G10" i="243"/>
  <c r="G6" i="243"/>
  <c r="G8" i="243"/>
  <c r="G9" i="243"/>
  <c r="G15" i="243"/>
  <c r="G16" i="243"/>
  <c r="G2" i="243"/>
  <c r="J72" i="243" l="1"/>
  <c r="J70" i="243"/>
  <c r="J44" i="243"/>
  <c r="H70" i="243"/>
  <c r="I78" i="243"/>
  <c r="H48" i="243"/>
  <c r="J47" i="243"/>
  <c r="J15" i="243"/>
  <c r="J59" i="243"/>
  <c r="H2" i="243"/>
  <c r="J2" i="243"/>
  <c r="J16" i="243"/>
  <c r="J66" i="243"/>
  <c r="J36" i="243"/>
  <c r="J75" i="243"/>
  <c r="G72" i="243"/>
  <c r="G58" i="243"/>
  <c r="J58" i="243"/>
  <c r="H53" i="243"/>
  <c r="J53" i="243"/>
  <c r="G66" i="243"/>
  <c r="G71" i="243"/>
  <c r="J71" i="243"/>
  <c r="J19" i="243"/>
  <c r="H8" i="243"/>
  <c r="J8" i="243"/>
  <c r="H42" i="243"/>
  <c r="J42" i="243"/>
  <c r="H43" i="243"/>
  <c r="J43" i="243"/>
  <c r="H77" i="243"/>
  <c r="J77" i="243"/>
  <c r="H76" i="243"/>
  <c r="J76" i="243"/>
  <c r="H75" i="243"/>
  <c r="H74" i="243"/>
  <c r="J74" i="243"/>
  <c r="H73" i="243"/>
  <c r="J73" i="243"/>
  <c r="H69" i="243"/>
  <c r="J69" i="243"/>
  <c r="H65" i="243"/>
  <c r="J65" i="243"/>
  <c r="H64" i="243"/>
  <c r="J63" i="243"/>
  <c r="H62" i="243"/>
  <c r="J62" i="243"/>
  <c r="H52" i="243"/>
  <c r="J52" i="243"/>
  <c r="H40" i="243"/>
  <c r="H51" i="243"/>
  <c r="J51" i="243"/>
  <c r="H39" i="243"/>
  <c r="J39" i="243"/>
  <c r="H50" i="243"/>
  <c r="J50" i="243"/>
  <c r="H57" i="243"/>
  <c r="J57" i="243"/>
  <c r="J38" i="243"/>
  <c r="H56" i="243"/>
  <c r="J56" i="243"/>
  <c r="H38" i="243"/>
  <c r="G37" i="243"/>
  <c r="J37" i="243"/>
  <c r="H36" i="243"/>
  <c r="H35" i="243"/>
  <c r="J35" i="243"/>
  <c r="H34" i="243"/>
  <c r="J34" i="243"/>
  <c r="H33" i="243"/>
  <c r="J33" i="243"/>
  <c r="H32" i="243"/>
  <c r="J32" i="243"/>
  <c r="H30" i="243"/>
  <c r="J30" i="243"/>
  <c r="H29" i="243"/>
  <c r="J29" i="243"/>
  <c r="H31" i="243"/>
  <c r="J31" i="243"/>
  <c r="H28" i="243"/>
  <c r="J28" i="243"/>
  <c r="H23" i="243"/>
  <c r="J23" i="243"/>
  <c r="J22" i="243"/>
  <c r="J21" i="243"/>
  <c r="J20" i="243"/>
  <c r="H24" i="243"/>
  <c r="J24" i="243"/>
  <c r="H55" i="243"/>
  <c r="J55" i="243"/>
  <c r="H13" i="243"/>
  <c r="J13" i="243"/>
  <c r="H12" i="243"/>
  <c r="J12" i="243"/>
  <c r="H11" i="243"/>
  <c r="J11" i="243"/>
  <c r="H10" i="243"/>
  <c r="J10" i="243"/>
  <c r="H45" i="243"/>
  <c r="J45" i="243"/>
  <c r="H9" i="243"/>
  <c r="J9" i="243"/>
  <c r="G4" i="243"/>
  <c r="J4" i="243"/>
  <c r="G27" i="243"/>
  <c r="J27" i="243"/>
  <c r="H14" i="243"/>
  <c r="J14" i="243"/>
  <c r="H26" i="243"/>
  <c r="J26" i="243"/>
  <c r="H17" i="243"/>
  <c r="J17" i="243"/>
  <c r="H44" i="243"/>
  <c r="H25" i="243"/>
  <c r="J25" i="243"/>
  <c r="H6" i="243"/>
  <c r="J6" i="243"/>
  <c r="D78" i="243"/>
  <c r="C78" i="243"/>
  <c r="G78" i="243" l="1"/>
  <c r="J78" i="243"/>
  <c r="H78" i="243"/>
  <c r="H24" i="43" l="1"/>
  <c r="B26" i="230" l="1"/>
  <c r="AE6" i="15"/>
  <c r="AG6" i="15" s="1"/>
  <c r="AE11" i="99"/>
  <c r="X36" i="242" l="1"/>
  <c r="X37" i="242"/>
  <c r="X38" i="242"/>
  <c r="X39" i="242"/>
  <c r="X40" i="242"/>
  <c r="X41" i="242"/>
  <c r="X42" i="242"/>
  <c r="X43" i="242"/>
  <c r="X44" i="242"/>
  <c r="X45" i="242"/>
  <c r="X46" i="242"/>
  <c r="X35" i="242"/>
  <c r="AC38" i="242" l="1"/>
  <c r="AD38" i="242" s="1"/>
  <c r="AC40" i="242" l="1"/>
  <c r="AC36" i="242"/>
  <c r="AD36" i="242" s="1"/>
  <c r="AC42" i="242"/>
  <c r="AC43" i="242"/>
  <c r="AC37" i="242"/>
  <c r="AD37" i="242" s="1"/>
  <c r="AC41" i="242"/>
  <c r="AC39" i="242"/>
  <c r="AD39" i="242" s="1"/>
  <c r="AE36" i="242" l="1"/>
  <c r="AF36" i="242"/>
  <c r="D6" i="184" l="1"/>
  <c r="J8" i="240"/>
  <c r="J9" i="240"/>
  <c r="J10" i="240"/>
  <c r="J11" i="240"/>
  <c r="J12" i="240"/>
  <c r="J13" i="240"/>
  <c r="J14" i="240"/>
  <c r="J7" i="240"/>
  <c r="H15" i="240"/>
  <c r="D10" i="184" l="1"/>
  <c r="J15" i="240"/>
  <c r="I15" i="240" s="1"/>
  <c r="K15" i="239"/>
  <c r="J15" i="239"/>
  <c r="M14" i="239"/>
  <c r="M13" i="239"/>
  <c r="M12" i="239"/>
  <c r="M11" i="239"/>
  <c r="M10" i="239"/>
  <c r="M9" i="239"/>
  <c r="M8" i="239"/>
  <c r="M7" i="239"/>
  <c r="M8" i="192"/>
  <c r="M9" i="192"/>
  <c r="M10" i="192"/>
  <c r="M11" i="192"/>
  <c r="M12" i="192"/>
  <c r="M13" i="192"/>
  <c r="M14" i="192"/>
  <c r="D18" i="190"/>
  <c r="D12" i="184" l="1"/>
  <c r="M15" i="239"/>
  <c r="L15" i="239" s="1"/>
  <c r="H7" i="140" l="1"/>
  <c r="I7" i="140"/>
  <c r="H8" i="140"/>
  <c r="I8" i="140"/>
  <c r="H9" i="140"/>
  <c r="I9" i="140"/>
  <c r="H10" i="140"/>
  <c r="I10" i="140"/>
  <c r="H11" i="140"/>
  <c r="I11" i="140"/>
  <c r="H12" i="140"/>
  <c r="I12" i="140"/>
  <c r="H13" i="140"/>
  <c r="I13" i="140"/>
  <c r="H14" i="140"/>
  <c r="I14" i="140"/>
  <c r="H15" i="140"/>
  <c r="I15" i="140"/>
  <c r="H16" i="140"/>
  <c r="I16" i="140"/>
  <c r="H17" i="140"/>
  <c r="I17" i="140"/>
  <c r="H18" i="140"/>
  <c r="I18" i="140"/>
  <c r="H19" i="140"/>
  <c r="I19" i="140"/>
  <c r="H20" i="140"/>
  <c r="I20" i="140"/>
  <c r="H21" i="140"/>
  <c r="I21" i="140"/>
  <c r="H22" i="140"/>
  <c r="I22" i="140"/>
  <c r="H23" i="140"/>
  <c r="I23" i="140"/>
  <c r="H24" i="140"/>
  <c r="I24" i="140"/>
  <c r="I6" i="140"/>
  <c r="H6" i="140"/>
  <c r="E24" i="197" l="1"/>
  <c r="C24" i="197"/>
  <c r="E38" i="168" l="1"/>
  <c r="J38" i="168"/>
  <c r="K38" i="168" l="1"/>
  <c r="B29" i="237"/>
  <c r="N22" i="237"/>
  <c r="N24" i="237" s="1"/>
  <c r="M22" i="237"/>
  <c r="M24" i="237" s="1"/>
  <c r="D6" i="257" s="1"/>
  <c r="L22" i="237"/>
  <c r="L24" i="237" s="1"/>
  <c r="K22" i="237"/>
  <c r="K24" i="237" s="1"/>
  <c r="J22" i="237"/>
  <c r="J24" i="237" s="1"/>
  <c r="I22" i="237"/>
  <c r="I24" i="237" s="1"/>
  <c r="B22" i="237"/>
  <c r="B24" i="237" s="1"/>
  <c r="B30" i="237" s="1"/>
  <c r="A27" i="257" s="1"/>
  <c r="O21" i="237"/>
  <c r="O20" i="237"/>
  <c r="O19" i="237"/>
  <c r="O18" i="237"/>
  <c r="O17" i="237"/>
  <c r="O16" i="237"/>
  <c r="O15" i="237"/>
  <c r="O14" i="237"/>
  <c r="O13" i="237"/>
  <c r="O12" i="237"/>
  <c r="O22" i="237" l="1"/>
  <c r="O24" i="237" s="1"/>
  <c r="O30" i="237" s="1"/>
  <c r="B27" i="257" s="1"/>
  <c r="F8" i="134"/>
  <c r="H8" i="134" s="1"/>
  <c r="F9" i="134"/>
  <c r="H9" i="134" s="1"/>
  <c r="F10" i="134"/>
  <c r="H10" i="134" s="1"/>
  <c r="F11" i="134"/>
  <c r="H11" i="134" s="1"/>
  <c r="F12" i="134"/>
  <c r="H12" i="134" s="1"/>
  <c r="F13" i="134"/>
  <c r="H13" i="134" s="1"/>
  <c r="F14" i="134"/>
  <c r="H14" i="134" s="1"/>
  <c r="F15" i="134"/>
  <c r="H15" i="134" s="1"/>
  <c r="F16" i="134"/>
  <c r="H16" i="134" s="1"/>
  <c r="F17" i="134"/>
  <c r="H17" i="134" s="1"/>
  <c r="F18" i="134"/>
  <c r="H18" i="134" s="1"/>
  <c r="F19" i="134"/>
  <c r="H19" i="134" s="1"/>
  <c r="F20" i="134"/>
  <c r="H20" i="134" s="1"/>
  <c r="F21" i="134"/>
  <c r="H21" i="134" s="1"/>
  <c r="F22" i="134"/>
  <c r="H22" i="134" s="1"/>
  <c r="F23" i="134"/>
  <c r="H23" i="134" s="1"/>
  <c r="F24" i="134"/>
  <c r="H24" i="134" s="1"/>
  <c r="F25" i="134"/>
  <c r="H25" i="134" s="1"/>
  <c r="F26" i="134"/>
  <c r="H26" i="134" s="1"/>
  <c r="F7" i="134"/>
  <c r="H7" i="134" s="1"/>
  <c r="F11" i="163"/>
  <c r="F12" i="163"/>
  <c r="F13" i="163"/>
  <c r="F14" i="163"/>
  <c r="F10" i="163"/>
  <c r="G8" i="133"/>
  <c r="G9" i="133"/>
  <c r="G10" i="133"/>
  <c r="G11" i="133"/>
  <c r="G12" i="133"/>
  <c r="G13" i="133"/>
  <c r="G14" i="133"/>
  <c r="G15" i="133"/>
  <c r="G16" i="133"/>
  <c r="G17" i="133"/>
  <c r="G18" i="133"/>
  <c r="G19" i="133"/>
  <c r="G20" i="133"/>
  <c r="G59" i="236"/>
  <c r="G55" i="236"/>
  <c r="G49" i="236"/>
  <c r="G48" i="236"/>
  <c r="G47" i="236"/>
  <c r="G46" i="236"/>
  <c r="G45" i="236"/>
  <c r="G44" i="236"/>
  <c r="G43" i="236"/>
  <c r="G42" i="236"/>
  <c r="G41" i="236"/>
  <c r="G40" i="236"/>
  <c r="G39" i="236"/>
  <c r="G38" i="236"/>
  <c r="G37" i="236"/>
  <c r="G36" i="236"/>
  <c r="G35" i="236"/>
  <c r="G31" i="236"/>
  <c r="G25" i="236"/>
  <c r="G24" i="236"/>
  <c r="G23" i="236"/>
  <c r="G22" i="236"/>
  <c r="G21" i="236"/>
  <c r="G20" i="236"/>
  <c r="G19" i="236"/>
  <c r="G18" i="236"/>
  <c r="G17" i="236"/>
  <c r="G16" i="236"/>
  <c r="G15" i="236"/>
  <c r="G14" i="236"/>
  <c r="G13" i="236"/>
  <c r="G12" i="236"/>
  <c r="G11" i="236"/>
  <c r="C33" i="236"/>
  <c r="G7" i="236"/>
  <c r="G6" i="236"/>
  <c r="D39" i="233"/>
  <c r="D22" i="233"/>
  <c r="D55" i="232"/>
  <c r="D26" i="232"/>
  <c r="L59" i="232"/>
  <c r="D10" i="146" l="1"/>
  <c r="L39" i="233"/>
  <c r="N26" i="232"/>
  <c r="R8" i="229"/>
  <c r="C57" i="236"/>
  <c r="J33" i="236"/>
  <c r="R13" i="256"/>
  <c r="D56" i="232"/>
  <c r="D58" i="232" s="1"/>
  <c r="D8" i="146" s="1"/>
  <c r="D40" i="233"/>
  <c r="D22" i="45"/>
  <c r="S112" i="242"/>
  <c r="B57" i="236"/>
  <c r="D13" i="146"/>
  <c r="C60" i="236" l="1"/>
  <c r="J57" i="236"/>
  <c r="B60" i="236"/>
  <c r="I60" i="236" s="1"/>
  <c r="I57" i="236"/>
  <c r="H6" i="43"/>
  <c r="H56" i="230"/>
  <c r="H55" i="230"/>
  <c r="H54" i="230"/>
  <c r="H53" i="230"/>
  <c r="H52" i="230"/>
  <c r="H51" i="230"/>
  <c r="H50" i="230"/>
  <c r="H49" i="230"/>
  <c r="H46" i="230"/>
  <c r="H45" i="230"/>
  <c r="H44" i="230"/>
  <c r="H43" i="230"/>
  <c r="H40" i="230"/>
  <c r="H39" i="230"/>
  <c r="H38" i="230"/>
  <c r="H37" i="230"/>
  <c r="H36" i="230"/>
  <c r="H35" i="230"/>
  <c r="H34" i="230"/>
  <c r="H33" i="230"/>
  <c r="H32" i="230"/>
  <c r="H31" i="230"/>
  <c r="H30" i="230"/>
  <c r="H29" i="230"/>
  <c r="H25" i="230"/>
  <c r="H24" i="230"/>
  <c r="H23" i="230"/>
  <c r="H21" i="230"/>
  <c r="H20" i="230"/>
  <c r="H19" i="230"/>
  <c r="H18" i="230"/>
  <c r="H15" i="230"/>
  <c r="H14" i="230"/>
  <c r="H13" i="230"/>
  <c r="H12" i="230"/>
  <c r="H10" i="230"/>
  <c r="H9" i="230"/>
  <c r="H8" i="230"/>
  <c r="H6" i="230"/>
  <c r="J60" i="236" l="1"/>
  <c r="C22" i="230"/>
  <c r="B58" i="230"/>
  <c r="B59" i="230" s="1"/>
  <c r="C26" i="230" l="1"/>
  <c r="C27" i="230" s="1"/>
  <c r="M14" i="257" s="1"/>
  <c r="H22" i="230"/>
  <c r="E22" i="137"/>
  <c r="E23" i="137"/>
  <c r="E24" i="137"/>
  <c r="S108" i="242"/>
  <c r="AE12" i="99"/>
  <c r="AE13" i="99"/>
  <c r="AE14" i="99"/>
  <c r="AE15" i="99"/>
  <c r="AE16" i="99"/>
  <c r="AE17" i="99"/>
  <c r="AE18" i="99"/>
  <c r="AE19" i="99"/>
  <c r="AE20" i="99"/>
  <c r="AE21" i="99"/>
  <c r="AE22" i="99"/>
  <c r="AE23" i="99"/>
  <c r="AE24" i="99"/>
  <c r="AE25" i="99"/>
  <c r="AE26" i="99"/>
  <c r="AE27" i="99"/>
  <c r="AE28" i="99"/>
  <c r="AE29" i="99"/>
  <c r="AE30" i="99"/>
  <c r="AE31" i="99"/>
  <c r="AE32" i="99"/>
  <c r="AE33" i="99"/>
  <c r="AE34" i="99"/>
  <c r="AE35" i="99"/>
  <c r="AE36" i="99"/>
  <c r="AE37" i="99"/>
  <c r="AE38" i="99"/>
  <c r="AE39" i="99"/>
  <c r="AE40" i="99"/>
  <c r="AE41" i="99"/>
  <c r="AE42" i="99"/>
  <c r="AE43" i="99"/>
  <c r="AE44" i="99"/>
  <c r="AE45" i="99"/>
  <c r="AE46" i="99"/>
  <c r="AE47" i="99"/>
  <c r="AE48" i="99"/>
  <c r="AE49" i="99" l="1"/>
  <c r="G3" i="204"/>
  <c r="H3" i="204" s="1"/>
  <c r="S109" i="242" l="1"/>
  <c r="Q109" i="242" s="1"/>
  <c r="H9" i="43"/>
  <c r="H10" i="43"/>
  <c r="H11" i="43"/>
  <c r="H12" i="43"/>
  <c r="H15" i="43"/>
  <c r="H16" i="43"/>
  <c r="H17" i="43"/>
  <c r="H20" i="43"/>
  <c r="H21" i="43"/>
  <c r="H22" i="43"/>
  <c r="H23" i="43"/>
  <c r="H25" i="43"/>
  <c r="H26" i="43"/>
  <c r="H27" i="43"/>
  <c r="H31" i="43"/>
  <c r="H32" i="43"/>
  <c r="H33" i="43"/>
  <c r="H35" i="43"/>
  <c r="H36" i="43"/>
  <c r="H37" i="43"/>
  <c r="H38" i="43"/>
  <c r="H39" i="43"/>
  <c r="H40" i="43"/>
  <c r="H41" i="43"/>
  <c r="H42" i="43"/>
  <c r="H45" i="43"/>
  <c r="H46" i="43"/>
  <c r="H47" i="43"/>
  <c r="H48" i="43"/>
  <c r="H51" i="43"/>
  <c r="H52" i="43"/>
  <c r="H53" i="43"/>
  <c r="H54" i="43"/>
  <c r="H55" i="43"/>
  <c r="H56" i="43"/>
  <c r="H57" i="43"/>
  <c r="H58" i="43"/>
  <c r="P9" i="229" l="1"/>
  <c r="O9" i="229"/>
  <c r="N9" i="229"/>
  <c r="Q8" i="229"/>
  <c r="Q7" i="229"/>
  <c r="Q6" i="229"/>
  <c r="Q5" i="229"/>
  <c r="Q9" i="229" l="1"/>
  <c r="D10" i="31" l="1"/>
  <c r="L45" i="228"/>
  <c r="D41" i="228"/>
  <c r="D20" i="228"/>
  <c r="D41" i="227"/>
  <c r="D20" i="227"/>
  <c r="L45" i="227"/>
  <c r="L45" i="226"/>
  <c r="D41" i="226"/>
  <c r="D20" i="226"/>
  <c r="N20" i="226" s="1"/>
  <c r="L59" i="131"/>
  <c r="D36" i="222"/>
  <c r="D38" i="222" s="1"/>
  <c r="G16" i="223" s="1"/>
  <c r="D31" i="219"/>
  <c r="J23" i="216"/>
  <c r="I23" i="216"/>
  <c r="F23" i="216"/>
  <c r="J22" i="216"/>
  <c r="I22" i="216"/>
  <c r="F22" i="216"/>
  <c r="J21" i="216"/>
  <c r="I21" i="216"/>
  <c r="F21" i="216"/>
  <c r="J20" i="216"/>
  <c r="I20" i="216"/>
  <c r="F20" i="216"/>
  <c r="J19" i="216"/>
  <c r="I19" i="216"/>
  <c r="F19" i="216"/>
  <c r="O13" i="216"/>
  <c r="I13" i="216"/>
  <c r="F13" i="216"/>
  <c r="O12" i="216"/>
  <c r="I12" i="216"/>
  <c r="F12" i="216"/>
  <c r="O11" i="216"/>
  <c r="I11" i="216"/>
  <c r="F11" i="216"/>
  <c r="O10" i="216"/>
  <c r="I10" i="216"/>
  <c r="F10" i="216"/>
  <c r="O9" i="216"/>
  <c r="I9" i="216"/>
  <c r="F9" i="216"/>
  <c r="J29" i="215"/>
  <c r="J28" i="215"/>
  <c r="J27" i="215"/>
  <c r="J26" i="215"/>
  <c r="J25" i="215"/>
  <c r="J24" i="215"/>
  <c r="J23" i="215"/>
  <c r="J22" i="215"/>
  <c r="J21" i="215"/>
  <c r="L29" i="215"/>
  <c r="N20" i="227" l="1"/>
  <c r="R7" i="229"/>
  <c r="N20" i="228"/>
  <c r="R6" i="229"/>
  <c r="R5" i="229"/>
  <c r="R10" i="256"/>
  <c r="R9" i="256"/>
  <c r="R8" i="256"/>
  <c r="L24" i="215"/>
  <c r="K24" i="215" s="1"/>
  <c r="L26" i="215"/>
  <c r="K26" i="215" s="1"/>
  <c r="L21" i="215"/>
  <c r="K21" i="215" s="1"/>
  <c r="L28" i="215"/>
  <c r="K28" i="215" s="1"/>
  <c r="L23" i="215"/>
  <c r="K23" i="215" s="1"/>
  <c r="L22" i="215"/>
  <c r="K22" i="215" s="1"/>
  <c r="F14" i="216"/>
  <c r="L27" i="215"/>
  <c r="K27" i="215" s="1"/>
  <c r="D42" i="227"/>
  <c r="D33" i="219"/>
  <c r="I16" i="215"/>
  <c r="D6" i="129" s="1"/>
  <c r="L25" i="215"/>
  <c r="K25" i="215" s="1"/>
  <c r="O14" i="216"/>
  <c r="G10" i="223" s="1"/>
  <c r="L22" i="216"/>
  <c r="K22" i="216" s="1"/>
  <c r="L23" i="216"/>
  <c r="K23" i="216" s="1"/>
  <c r="L21" i="216"/>
  <c r="K21" i="216" s="1"/>
  <c r="F24" i="216"/>
  <c r="G11" i="223" s="1"/>
  <c r="I11" i="223" s="1"/>
  <c r="L20" i="216"/>
  <c r="K20" i="216" s="1"/>
  <c r="I14" i="216"/>
  <c r="G9" i="223" s="1"/>
  <c r="I24" i="216"/>
  <c r="F30" i="215"/>
  <c r="D8" i="129" s="1"/>
  <c r="I30" i="215"/>
  <c r="O16" i="215"/>
  <c r="L19" i="216"/>
  <c r="D42" i="228"/>
  <c r="D42" i="226"/>
  <c r="F16" i="215"/>
  <c r="K29" i="215"/>
  <c r="D26" i="109"/>
  <c r="N26" i="109" s="1"/>
  <c r="E6" i="137"/>
  <c r="E7" i="137"/>
  <c r="E8" i="137"/>
  <c r="E9" i="137"/>
  <c r="E10" i="137"/>
  <c r="E11" i="137"/>
  <c r="E12" i="137"/>
  <c r="E13" i="137"/>
  <c r="E14" i="137"/>
  <c r="E15" i="137"/>
  <c r="E16" i="137"/>
  <c r="E17" i="137"/>
  <c r="E18" i="137"/>
  <c r="E19" i="137"/>
  <c r="E20" i="137"/>
  <c r="E21" i="137"/>
  <c r="BB4" i="170"/>
  <c r="Q4" i="170"/>
  <c r="J4" i="170"/>
  <c r="F4" i="170"/>
  <c r="D44" i="227" l="1"/>
  <c r="V16" i="242"/>
  <c r="R14" i="256"/>
  <c r="V44" i="139"/>
  <c r="T44" i="139" s="1"/>
  <c r="Q8" i="170"/>
  <c r="Q10" i="170"/>
  <c r="Q12" i="170"/>
  <c r="Q14" i="170"/>
  <c r="Q16" i="170"/>
  <c r="Q18" i="170"/>
  <c r="Q20" i="170"/>
  <c r="Q22" i="170"/>
  <c r="Q7" i="170"/>
  <c r="Q9" i="170"/>
  <c r="Q11" i="170"/>
  <c r="Q13" i="170"/>
  <c r="Q15" i="170"/>
  <c r="Q17" i="170"/>
  <c r="Q19" i="170"/>
  <c r="Q21" i="170"/>
  <c r="D28" i="109"/>
  <c r="F6" i="170"/>
  <c r="F8" i="170"/>
  <c r="F10" i="170"/>
  <c r="F12" i="170"/>
  <c r="F14" i="170"/>
  <c r="F16" i="170"/>
  <c r="F18" i="170"/>
  <c r="F20" i="170"/>
  <c r="F22" i="170"/>
  <c r="F7" i="170"/>
  <c r="F9" i="170"/>
  <c r="F11" i="170"/>
  <c r="F13" i="170"/>
  <c r="F15" i="170"/>
  <c r="F17" i="170"/>
  <c r="F19" i="170"/>
  <c r="F21" i="170"/>
  <c r="J8" i="170"/>
  <c r="J10" i="170"/>
  <c r="J12" i="170"/>
  <c r="J14" i="170"/>
  <c r="J16" i="170"/>
  <c r="J18" i="170"/>
  <c r="J20" i="170"/>
  <c r="J22" i="170"/>
  <c r="J7" i="170"/>
  <c r="J9" i="170"/>
  <c r="J11" i="170"/>
  <c r="J13" i="170"/>
  <c r="J15" i="170"/>
  <c r="J17" i="170"/>
  <c r="J19" i="170"/>
  <c r="J21" i="170"/>
  <c r="BB8" i="170"/>
  <c r="BB10" i="170"/>
  <c r="BB12" i="170"/>
  <c r="BB14" i="170"/>
  <c r="BB16" i="170"/>
  <c r="BB18" i="170"/>
  <c r="BB20" i="170"/>
  <c r="BB22" i="170"/>
  <c r="BB7" i="170"/>
  <c r="BB9" i="170"/>
  <c r="BB11" i="170"/>
  <c r="BB13" i="170"/>
  <c r="BB15" i="170"/>
  <c r="BB17" i="170"/>
  <c r="BB19" i="170"/>
  <c r="BB21" i="170"/>
  <c r="V45" i="139"/>
  <c r="T45" i="139" s="1"/>
  <c r="D7" i="129"/>
  <c r="D13" i="129"/>
  <c r="L24" i="216"/>
  <c r="G12" i="223" s="1"/>
  <c r="K19" i="216"/>
  <c r="F46" i="139"/>
  <c r="D8" i="25" s="1"/>
  <c r="I46" i="139"/>
  <c r="D44" i="228"/>
  <c r="D44" i="226"/>
  <c r="D7" i="146" s="1"/>
  <c r="D55" i="220"/>
  <c r="L30" i="215"/>
  <c r="D9" i="129" s="1"/>
  <c r="BB6" i="170"/>
  <c r="Q6" i="170"/>
  <c r="J6" i="170"/>
  <c r="D13" i="25" l="1"/>
  <c r="D10" i="129"/>
  <c r="G13" i="223"/>
  <c r="G14" i="223"/>
  <c r="D33" i="218"/>
  <c r="D12" i="129" l="1"/>
  <c r="D55" i="221"/>
  <c r="D33" i="214"/>
  <c r="D12" i="25" s="1"/>
  <c r="G15" i="223" l="1"/>
  <c r="AE8" i="102" l="1"/>
  <c r="AG9" i="99"/>
  <c r="AH9" i="99" s="1"/>
  <c r="V12" i="99"/>
  <c r="AB12" i="99" s="1"/>
  <c r="Z12" i="99"/>
  <c r="V13" i="99"/>
  <c r="AB13" i="99" s="1"/>
  <c r="Z13" i="99"/>
  <c r="V14" i="99"/>
  <c r="AB14" i="99" s="1"/>
  <c r="Z14" i="99"/>
  <c r="V15" i="99"/>
  <c r="AB15" i="99" s="1"/>
  <c r="Z15" i="99"/>
  <c r="V16" i="99"/>
  <c r="AB16" i="99" s="1"/>
  <c r="Z16" i="99"/>
  <c r="V17" i="99"/>
  <c r="Z17" i="99"/>
  <c r="AB17" i="99"/>
  <c r="V18" i="99"/>
  <c r="AB18" i="99" s="1"/>
  <c r="Z18" i="99"/>
  <c r="V19" i="99"/>
  <c r="AB19" i="99" s="1"/>
  <c r="Z19" i="99"/>
  <c r="V20" i="99"/>
  <c r="Z20" i="99"/>
  <c r="AB20" i="99"/>
  <c r="V21" i="99"/>
  <c r="AB21" i="99" s="1"/>
  <c r="Z21" i="99"/>
  <c r="V22" i="99"/>
  <c r="AB22" i="99" s="1"/>
  <c r="Z22" i="99"/>
  <c r="V23" i="99"/>
  <c r="AB23" i="99" s="1"/>
  <c r="Z23" i="99"/>
  <c r="V24" i="99"/>
  <c r="Z24" i="99"/>
  <c r="AB24" i="99"/>
  <c r="V25" i="99"/>
  <c r="AB25" i="99" s="1"/>
  <c r="Z25" i="99"/>
  <c r="V26" i="99"/>
  <c r="AB26" i="99" s="1"/>
  <c r="Z26" i="99"/>
  <c r="V27" i="99"/>
  <c r="AB27" i="99" s="1"/>
  <c r="Z27" i="99"/>
  <c r="V28" i="99"/>
  <c r="AB28" i="99" s="1"/>
  <c r="Z28" i="99"/>
  <c r="V29" i="99"/>
  <c r="AB29" i="99" s="1"/>
  <c r="Z29" i="99"/>
  <c r="V30" i="99"/>
  <c r="AB30" i="99" s="1"/>
  <c r="Z30" i="99"/>
  <c r="V31" i="99"/>
  <c r="AB31" i="99" s="1"/>
  <c r="Z31" i="99"/>
  <c r="V32" i="99"/>
  <c r="AB32" i="99" s="1"/>
  <c r="Z32" i="99"/>
  <c r="V33" i="99"/>
  <c r="AB33" i="99" s="1"/>
  <c r="Z33" i="99"/>
  <c r="V34" i="99"/>
  <c r="AB34" i="99" s="1"/>
  <c r="Z34" i="99"/>
  <c r="V35" i="99"/>
  <c r="AB35" i="99" s="1"/>
  <c r="Z35" i="99"/>
  <c r="V36" i="99"/>
  <c r="AB36" i="99" s="1"/>
  <c r="Z36" i="99"/>
  <c r="V37" i="99"/>
  <c r="AB37" i="99" s="1"/>
  <c r="Z37" i="99"/>
  <c r="V38" i="99"/>
  <c r="AB38" i="99" s="1"/>
  <c r="Z38" i="99"/>
  <c r="V39" i="99"/>
  <c r="AB39" i="99" s="1"/>
  <c r="Z39" i="99"/>
  <c r="V40" i="99"/>
  <c r="AB40" i="99" s="1"/>
  <c r="Z40" i="99"/>
  <c r="V41" i="99"/>
  <c r="AB41" i="99" s="1"/>
  <c r="Z41" i="99"/>
  <c r="V42" i="99"/>
  <c r="AB42" i="99" s="1"/>
  <c r="Z42" i="99"/>
  <c r="V43" i="99"/>
  <c r="AB43" i="99" s="1"/>
  <c r="Z43" i="99"/>
  <c r="V44" i="99"/>
  <c r="AB44" i="99" s="1"/>
  <c r="Z44" i="99"/>
  <c r="V45" i="99"/>
  <c r="AB45" i="99" s="1"/>
  <c r="Z45" i="99"/>
  <c r="V46" i="99"/>
  <c r="AB46" i="99" s="1"/>
  <c r="Z46" i="99"/>
  <c r="V47" i="99"/>
  <c r="AB47" i="99" s="1"/>
  <c r="Z47" i="99"/>
  <c r="V48" i="99"/>
  <c r="AB48" i="99" s="1"/>
  <c r="Z48" i="99"/>
  <c r="Z11" i="99"/>
  <c r="V11" i="99"/>
  <c r="S98" i="242"/>
  <c r="S99" i="242"/>
  <c r="S100" i="242"/>
  <c r="S101" i="242"/>
  <c r="S102" i="242"/>
  <c r="S103" i="242"/>
  <c r="S104" i="242"/>
  <c r="S105" i="242"/>
  <c r="S106" i="242"/>
  <c r="S107" i="242"/>
  <c r="S97" i="242"/>
  <c r="S95" i="242"/>
  <c r="S94" i="242"/>
  <c r="S93" i="242"/>
  <c r="S91" i="242"/>
  <c r="S87" i="242"/>
  <c r="L14" i="211"/>
  <c r="L13" i="211"/>
  <c r="L12" i="211"/>
  <c r="L11" i="211"/>
  <c r="L10" i="211"/>
  <c r="K25" i="177"/>
  <c r="E91" i="210"/>
  <c r="C91" i="210"/>
  <c r="B91" i="210"/>
  <c r="J90" i="210"/>
  <c r="I90" i="210"/>
  <c r="H90" i="210"/>
  <c r="G90" i="210"/>
  <c r="J89" i="210"/>
  <c r="I89" i="210"/>
  <c r="H89" i="210"/>
  <c r="G89" i="210"/>
  <c r="J88" i="210"/>
  <c r="I88" i="210"/>
  <c r="H88" i="210"/>
  <c r="G88" i="210"/>
  <c r="E80" i="210"/>
  <c r="E77" i="210"/>
  <c r="J91" i="210" l="1"/>
  <c r="H13" i="100"/>
  <c r="J13" i="212" s="1"/>
  <c r="L13" i="212" s="1"/>
  <c r="S83" i="242" s="1"/>
  <c r="H14" i="100"/>
  <c r="J14" i="212" s="1"/>
  <c r="L14" i="212" s="1"/>
  <c r="H12" i="100"/>
  <c r="J12" i="212" s="1"/>
  <c r="I91" i="210"/>
  <c r="S89" i="242"/>
  <c r="S86" i="242"/>
  <c r="S88" i="242"/>
  <c r="S90" i="242"/>
  <c r="S92" i="242"/>
  <c r="S81" i="242"/>
  <c r="S96" i="242"/>
  <c r="L15" i="211"/>
  <c r="D7" i="147" s="1"/>
  <c r="D9" i="146" s="1"/>
  <c r="Q19" i="5"/>
  <c r="E78" i="210"/>
  <c r="E79" i="210"/>
  <c r="G91" i="210"/>
  <c r="H91" i="210"/>
  <c r="D6" i="147"/>
  <c r="H15" i="100" l="1"/>
  <c r="J15" i="212" s="1"/>
  <c r="L15" i="212" s="1"/>
  <c r="L12" i="212"/>
  <c r="S84" i="242"/>
  <c r="D10" i="135"/>
  <c r="S76" i="242"/>
  <c r="S74" i="242"/>
  <c r="S72" i="242"/>
  <c r="S71" i="242"/>
  <c r="S69" i="242"/>
  <c r="S68" i="242"/>
  <c r="S67" i="242"/>
  <c r="S66" i="242"/>
  <c r="S65" i="242"/>
  <c r="S64" i="242"/>
  <c r="S85" i="242" l="1"/>
  <c r="S82" i="242"/>
  <c r="D10" i="45"/>
  <c r="S73" i="242"/>
  <c r="S75" i="242"/>
  <c r="S62" i="242"/>
  <c r="S70" i="242"/>
  <c r="S63" i="242"/>
  <c r="S46" i="242" l="1"/>
  <c r="S61" i="242"/>
  <c r="S60" i="242"/>
  <c r="S59" i="242"/>
  <c r="S58" i="242"/>
  <c r="S57" i="242"/>
  <c r="S56" i="242"/>
  <c r="S55" i="242"/>
  <c r="S54" i="242"/>
  <c r="S53" i="242"/>
  <c r="S52" i="242"/>
  <c r="S51" i="242"/>
  <c r="S50" i="242"/>
  <c r="S49" i="242"/>
  <c r="S48" i="242"/>
  <c r="S47" i="242"/>
  <c r="S45" i="242"/>
  <c r="S44" i="242"/>
  <c r="S43" i="242"/>
  <c r="S42" i="242"/>
  <c r="AO2" i="242" s="1"/>
  <c r="D8" i="147"/>
  <c r="D7" i="45" l="1"/>
  <c r="D6" i="194"/>
  <c r="I6" i="194"/>
  <c r="J294" i="194"/>
  <c r="H294" i="194"/>
  <c r="G294" i="194"/>
  <c r="I293" i="194"/>
  <c r="I292" i="194"/>
  <c r="I291" i="194"/>
  <c r="I290" i="194"/>
  <c r="I289" i="194"/>
  <c r="I288" i="194"/>
  <c r="I287" i="194"/>
  <c r="I286" i="194"/>
  <c r="I285" i="194"/>
  <c r="I284" i="194"/>
  <c r="C294" i="194"/>
  <c r="D284" i="194"/>
  <c r="D285" i="194"/>
  <c r="D286" i="194"/>
  <c r="D287" i="194"/>
  <c r="D288" i="194"/>
  <c r="D289" i="194"/>
  <c r="D290" i="194"/>
  <c r="D291" i="194"/>
  <c r="D292" i="194"/>
  <c r="D293" i="194"/>
  <c r="E294" i="194"/>
  <c r="B294" i="194"/>
  <c r="I294" i="194" l="1"/>
  <c r="F294" i="194"/>
  <c r="D294" i="194"/>
  <c r="K294" i="194"/>
  <c r="D6" i="140"/>
  <c r="K15" i="192"/>
  <c r="J15" i="192"/>
  <c r="M7" i="192"/>
  <c r="I18" i="190"/>
  <c r="I25" i="190"/>
  <c r="I24" i="190"/>
  <c r="I23" i="190"/>
  <c r="I22" i="190"/>
  <c r="I21" i="190"/>
  <c r="I20" i="190"/>
  <c r="I19" i="190"/>
  <c r="G18" i="190"/>
  <c r="G25" i="190"/>
  <c r="G24" i="190"/>
  <c r="G23" i="190"/>
  <c r="G22" i="190"/>
  <c r="G21" i="190"/>
  <c r="G20" i="190"/>
  <c r="G19" i="190"/>
  <c r="D19" i="190"/>
  <c r="D20" i="190"/>
  <c r="D21" i="190"/>
  <c r="D22" i="190"/>
  <c r="D23" i="190"/>
  <c r="D24" i="190"/>
  <c r="D25" i="190"/>
  <c r="B26" i="190"/>
  <c r="F26" i="190"/>
  <c r="M15" i="192" l="1"/>
  <c r="I26" i="190"/>
  <c r="D26" i="190"/>
  <c r="C26" i="190" s="1"/>
  <c r="E26" i="190"/>
  <c r="G26" i="190" s="1"/>
  <c r="L15" i="192" l="1"/>
  <c r="H26" i="190" l="1"/>
  <c r="C15" i="184" l="1"/>
  <c r="C16" i="184"/>
  <c r="C6" i="184"/>
  <c r="D15" i="184"/>
  <c r="B6" i="184"/>
  <c r="F6" i="184" s="1"/>
  <c r="Z27" i="182"/>
  <c r="Q27" i="182"/>
  <c r="H27" i="182"/>
  <c r="Z26" i="182"/>
  <c r="AA26" i="182" s="1"/>
  <c r="AB26" i="182" s="1"/>
  <c r="AC26" i="182" s="1"/>
  <c r="Q26" i="182"/>
  <c r="R26" i="182" s="1"/>
  <c r="S26" i="182" s="1"/>
  <c r="T26" i="182" s="1"/>
  <c r="J26" i="182"/>
  <c r="K26" i="182" s="1"/>
  <c r="Z25" i="182"/>
  <c r="Q25" i="182"/>
  <c r="H25" i="182"/>
  <c r="Z24" i="182"/>
  <c r="AA24" i="182" s="1"/>
  <c r="AB24" i="182" s="1"/>
  <c r="AC24" i="182" s="1"/>
  <c r="Q24" i="182"/>
  <c r="R24" i="182" s="1"/>
  <c r="S24" i="182" s="1"/>
  <c r="T24" i="182" s="1"/>
  <c r="H24" i="182"/>
  <c r="I24" i="182" s="1"/>
  <c r="J24" i="182" s="1"/>
  <c r="K24" i="182" s="1"/>
  <c r="Z23" i="182"/>
  <c r="AA23" i="182" s="1"/>
  <c r="AB23" i="182" s="1"/>
  <c r="AC23" i="182" s="1"/>
  <c r="Q23" i="182"/>
  <c r="R23" i="182" s="1"/>
  <c r="S23" i="182" s="1"/>
  <c r="T23" i="182" s="1"/>
  <c r="H23" i="182"/>
  <c r="I23" i="182" s="1"/>
  <c r="J23" i="182" s="1"/>
  <c r="K23" i="182" s="1"/>
  <c r="Z22" i="182"/>
  <c r="AA22" i="182" s="1"/>
  <c r="AB22" i="182" s="1"/>
  <c r="AC22" i="182" s="1"/>
  <c r="Q22" i="182"/>
  <c r="R22" i="182" s="1"/>
  <c r="S22" i="182" s="1"/>
  <c r="T22" i="182" s="1"/>
  <c r="H22" i="182"/>
  <c r="I22" i="182" s="1"/>
  <c r="J22" i="182" s="1"/>
  <c r="K22" i="182" s="1"/>
  <c r="Z21" i="182"/>
  <c r="AA21" i="182" s="1"/>
  <c r="AB21" i="182" s="1"/>
  <c r="AC21" i="182" s="1"/>
  <c r="Q21" i="182"/>
  <c r="R21" i="182" s="1"/>
  <c r="S21" i="182" s="1"/>
  <c r="T21" i="182" s="1"/>
  <c r="H21" i="182"/>
  <c r="I21" i="182" s="1"/>
  <c r="J21" i="182" s="1"/>
  <c r="K21" i="182" s="1"/>
  <c r="Z20" i="182"/>
  <c r="AA20" i="182" s="1"/>
  <c r="AB20" i="182" s="1"/>
  <c r="AC20" i="182" s="1"/>
  <c r="Q20" i="182"/>
  <c r="R20" i="182" s="1"/>
  <c r="S20" i="182" s="1"/>
  <c r="T20" i="182" s="1"/>
  <c r="H20" i="182"/>
  <c r="I20" i="182" s="1"/>
  <c r="J20" i="182" s="1"/>
  <c r="K20" i="182" s="1"/>
  <c r="Z19" i="182"/>
  <c r="AA19" i="182" s="1"/>
  <c r="AB19" i="182" s="1"/>
  <c r="AC19" i="182" s="1"/>
  <c r="Q19" i="182"/>
  <c r="R19" i="182" s="1"/>
  <c r="S19" i="182" s="1"/>
  <c r="T19" i="182" s="1"/>
  <c r="H19" i="182"/>
  <c r="I19" i="182" s="1"/>
  <c r="J19" i="182" s="1"/>
  <c r="K19" i="182" s="1"/>
  <c r="Z18" i="182"/>
  <c r="AA18" i="182" s="1"/>
  <c r="AB18" i="182" s="1"/>
  <c r="AC18" i="182" s="1"/>
  <c r="Q18" i="182"/>
  <c r="R18" i="182" s="1"/>
  <c r="S18" i="182" s="1"/>
  <c r="T18" i="182" s="1"/>
  <c r="H18" i="182"/>
  <c r="I18" i="182" s="1"/>
  <c r="J18" i="182" s="1"/>
  <c r="K18" i="182" s="1"/>
  <c r="Z17" i="182"/>
  <c r="AA17" i="182" s="1"/>
  <c r="AB17" i="182" s="1"/>
  <c r="AC17" i="182" s="1"/>
  <c r="Q17" i="182"/>
  <c r="R17" i="182" s="1"/>
  <c r="S17" i="182" s="1"/>
  <c r="T17" i="182" s="1"/>
  <c r="H17" i="182"/>
  <c r="I17" i="182" s="1"/>
  <c r="J17" i="182" s="1"/>
  <c r="K17" i="182" s="1"/>
  <c r="Z16" i="182"/>
  <c r="AA16" i="182" s="1"/>
  <c r="AB16" i="182" s="1"/>
  <c r="AC16" i="182" s="1"/>
  <c r="Q16" i="182"/>
  <c r="R16" i="182" s="1"/>
  <c r="S16" i="182" s="1"/>
  <c r="T16" i="182" s="1"/>
  <c r="H16" i="182"/>
  <c r="I16" i="182" s="1"/>
  <c r="J16" i="182" s="1"/>
  <c r="K16" i="182" s="1"/>
  <c r="Z15" i="182"/>
  <c r="AA15" i="182" s="1"/>
  <c r="AB15" i="182" s="1"/>
  <c r="AC15" i="182" s="1"/>
  <c r="Q15" i="182"/>
  <c r="R15" i="182" s="1"/>
  <c r="S15" i="182" s="1"/>
  <c r="T15" i="182" s="1"/>
  <c r="H15" i="182"/>
  <c r="I15" i="182" s="1"/>
  <c r="J15" i="182" s="1"/>
  <c r="K15" i="182" s="1"/>
  <c r="Z14" i="182"/>
  <c r="AA14" i="182" s="1"/>
  <c r="AB14" i="182" s="1"/>
  <c r="AC14" i="182" s="1"/>
  <c r="Q14" i="182"/>
  <c r="R14" i="182" s="1"/>
  <c r="S14" i="182" s="1"/>
  <c r="T14" i="182" s="1"/>
  <c r="H14" i="182"/>
  <c r="I14" i="182" s="1"/>
  <c r="J14" i="182" s="1"/>
  <c r="K14" i="182" s="1"/>
  <c r="Z13" i="182"/>
  <c r="AA13" i="182" s="1"/>
  <c r="AB13" i="182" s="1"/>
  <c r="AC13" i="182" s="1"/>
  <c r="Q13" i="182"/>
  <c r="R13" i="182" s="1"/>
  <c r="S13" i="182" s="1"/>
  <c r="T13" i="182" s="1"/>
  <c r="H13" i="182"/>
  <c r="I13" i="182" s="1"/>
  <c r="J13" i="182" s="1"/>
  <c r="K13" i="182" s="1"/>
  <c r="Z12" i="182"/>
  <c r="AA12" i="182" s="1"/>
  <c r="AB12" i="182" s="1"/>
  <c r="AC12" i="182" s="1"/>
  <c r="Q12" i="182"/>
  <c r="R12" i="182" s="1"/>
  <c r="S12" i="182" s="1"/>
  <c r="T12" i="182" s="1"/>
  <c r="H12" i="182"/>
  <c r="I12" i="182" s="1"/>
  <c r="J12" i="182" s="1"/>
  <c r="K12" i="182" s="1"/>
  <c r="Z11" i="182"/>
  <c r="AA11" i="182" s="1"/>
  <c r="AB11" i="182" s="1"/>
  <c r="AC11" i="182" s="1"/>
  <c r="Q11" i="182"/>
  <c r="R11" i="182" s="1"/>
  <c r="S11" i="182" s="1"/>
  <c r="T11" i="182" s="1"/>
  <c r="H11" i="182"/>
  <c r="I11" i="182" s="1"/>
  <c r="J11" i="182" s="1"/>
  <c r="K11" i="182" s="1"/>
  <c r="Z10" i="182"/>
  <c r="AA10" i="182" s="1"/>
  <c r="AB10" i="182" s="1"/>
  <c r="AC10" i="182" s="1"/>
  <c r="Q10" i="182"/>
  <c r="R10" i="182" s="1"/>
  <c r="S10" i="182" s="1"/>
  <c r="T10" i="182" s="1"/>
  <c r="H10" i="182"/>
  <c r="I10" i="182" s="1"/>
  <c r="J10" i="182" s="1"/>
  <c r="K10" i="182" s="1"/>
  <c r="Z9" i="182"/>
  <c r="AA9" i="182" s="1"/>
  <c r="AB9" i="182" s="1"/>
  <c r="AC9" i="182" s="1"/>
  <c r="Q9" i="182"/>
  <c r="R9" i="182" s="1"/>
  <c r="S9" i="182" s="1"/>
  <c r="T9" i="182" s="1"/>
  <c r="H9" i="182"/>
  <c r="I9" i="182" s="1"/>
  <c r="J9" i="182" s="1"/>
  <c r="K9" i="182" s="1"/>
  <c r="Z8" i="182"/>
  <c r="AA8" i="182" s="1"/>
  <c r="AB8" i="182" s="1"/>
  <c r="AC8" i="182" s="1"/>
  <c r="Q8" i="182"/>
  <c r="R8" i="182" s="1"/>
  <c r="S8" i="182" s="1"/>
  <c r="T8" i="182" s="1"/>
  <c r="H8" i="182"/>
  <c r="I8" i="182" s="1"/>
  <c r="J8" i="182" s="1"/>
  <c r="K8" i="182" s="1"/>
  <c r="Z7" i="182"/>
  <c r="AA7" i="182" s="1"/>
  <c r="AB7" i="182" s="1"/>
  <c r="AC7" i="182" s="1"/>
  <c r="Q7" i="182"/>
  <c r="R7" i="182" s="1"/>
  <c r="S7" i="182" s="1"/>
  <c r="T7" i="182" s="1"/>
  <c r="H7" i="182"/>
  <c r="I7" i="182" s="1"/>
  <c r="J7" i="182" s="1"/>
  <c r="K7" i="182" s="1"/>
  <c r="Z6" i="182"/>
  <c r="AA6" i="182" s="1"/>
  <c r="AB6" i="182" s="1"/>
  <c r="AC6" i="182" s="1"/>
  <c r="Q6" i="182"/>
  <c r="R6" i="182" s="1"/>
  <c r="S6" i="182" s="1"/>
  <c r="T6" i="182" s="1"/>
  <c r="H6" i="182"/>
  <c r="I6" i="182" s="1"/>
  <c r="J6" i="182" s="1"/>
  <c r="K6" i="182" s="1"/>
  <c r="Z5" i="182"/>
  <c r="AA5" i="182" s="1"/>
  <c r="AB5" i="182" s="1"/>
  <c r="AC5" i="182" s="1"/>
  <c r="Q5" i="182"/>
  <c r="R5" i="182" s="1"/>
  <c r="S5" i="182" s="1"/>
  <c r="T5" i="182" s="1"/>
  <c r="H5" i="182"/>
  <c r="I5" i="182" s="1"/>
  <c r="J5" i="182" s="1"/>
  <c r="K5" i="182" s="1"/>
  <c r="BF16" i="181"/>
  <c r="BG6" i="181"/>
  <c r="M22" i="177"/>
  <c r="K23" i="177"/>
  <c r="L23" i="177"/>
  <c r="N22" i="177"/>
  <c r="O24" i="177"/>
  <c r="N24" i="177"/>
  <c r="M24" i="177"/>
  <c r="L24" i="177"/>
  <c r="K24" i="177"/>
  <c r="I24" i="177"/>
  <c r="I23" i="177"/>
  <c r="O22" i="177"/>
  <c r="L22" i="177"/>
  <c r="K22" i="177"/>
  <c r="O21" i="177"/>
  <c r="N21" i="177"/>
  <c r="M21" i="177"/>
  <c r="L21" i="177"/>
  <c r="K21" i="177"/>
  <c r="O7" i="177"/>
  <c r="O6" i="177"/>
  <c r="E91" i="175"/>
  <c r="C91" i="175"/>
  <c r="B91" i="175"/>
  <c r="J90" i="175"/>
  <c r="I90" i="175"/>
  <c r="H90" i="175"/>
  <c r="G90" i="175"/>
  <c r="J89" i="175"/>
  <c r="I89" i="175"/>
  <c r="H89" i="175"/>
  <c r="G89" i="175"/>
  <c r="J88" i="175"/>
  <c r="I88" i="175"/>
  <c r="H88" i="175"/>
  <c r="G88" i="175"/>
  <c r="E77" i="175"/>
  <c r="I25" i="182" l="1"/>
  <c r="J25" i="182" s="1"/>
  <c r="K25" i="182" s="1"/>
  <c r="F15" i="184"/>
  <c r="C10" i="184"/>
  <c r="E6" i="184"/>
  <c r="B10" i="184"/>
  <c r="F10" i="184" s="1"/>
  <c r="E15" i="184"/>
  <c r="E79" i="175"/>
  <c r="R25" i="182"/>
  <c r="S25" i="182" s="1"/>
  <c r="T25" i="182" s="1"/>
  <c r="J91" i="175"/>
  <c r="BG16" i="181"/>
  <c r="AA25" i="182"/>
  <c r="AB25" i="182" s="1"/>
  <c r="AC25" i="182" s="1"/>
  <c r="I27" i="182"/>
  <c r="J27" i="182" s="1"/>
  <c r="K27" i="182" s="1"/>
  <c r="E80" i="175"/>
  <c r="R27" i="182"/>
  <c r="S27" i="182" s="1"/>
  <c r="T27" i="182" s="1"/>
  <c r="AA27" i="182"/>
  <c r="AB27" i="182" s="1"/>
  <c r="AC27" i="182" s="1"/>
  <c r="E78" i="175"/>
  <c r="C17" i="184"/>
  <c r="N23" i="177"/>
  <c r="D16" i="184"/>
  <c r="B17" i="184"/>
  <c r="M23" i="177"/>
  <c r="O23" i="177"/>
  <c r="G91" i="175"/>
  <c r="H91" i="175"/>
  <c r="I91" i="175"/>
  <c r="E16" i="184" l="1"/>
  <c r="F16" i="184"/>
  <c r="C12" i="184"/>
  <c r="E12" i="184" s="1"/>
  <c r="E10" i="184"/>
  <c r="B12" i="184"/>
  <c r="F12" i="184" s="1"/>
  <c r="H9" i="100"/>
  <c r="J9" i="212" s="1"/>
  <c r="L9" i="212" s="1"/>
  <c r="S79" i="242" s="1"/>
  <c r="H10" i="100"/>
  <c r="J10" i="212" s="1"/>
  <c r="L10" i="212" s="1"/>
  <c r="H7" i="100"/>
  <c r="J7" i="212" s="1"/>
  <c r="L7" i="212" s="1"/>
  <c r="S77" i="242" s="1"/>
  <c r="H8" i="100"/>
  <c r="J8" i="212" s="1"/>
  <c r="L8" i="212" s="1"/>
  <c r="D17" i="184"/>
  <c r="F17" i="184" s="1"/>
  <c r="E17" i="184" l="1"/>
  <c r="S80" i="242"/>
  <c r="L27" i="212"/>
  <c r="D8" i="135" s="1"/>
  <c r="D8" i="45" s="1"/>
  <c r="S78" i="242"/>
  <c r="D47" i="102" l="1"/>
  <c r="L47" i="102"/>
  <c r="T47" i="102"/>
  <c r="D49" i="99"/>
  <c r="C25" i="140" l="1"/>
  <c r="D19" i="45" l="1"/>
  <c r="S111" i="242" l="1"/>
  <c r="D18" i="45"/>
  <c r="H11" i="163" l="1"/>
  <c r="H12" i="163"/>
  <c r="H13" i="163"/>
  <c r="H10" i="163"/>
  <c r="H14" i="163"/>
  <c r="D17" i="45" l="1"/>
  <c r="G179" i="92" l="1"/>
  <c r="G144" i="92"/>
  <c r="G79" i="92"/>
  <c r="G48" i="92"/>
  <c r="G179" i="151"/>
  <c r="G144" i="151"/>
  <c r="G76" i="151"/>
  <c r="G45" i="151"/>
  <c r="G78" i="151" l="1"/>
  <c r="G81" i="92"/>
  <c r="G181" i="92"/>
  <c r="G181" i="151"/>
  <c r="G182" i="92" l="1"/>
  <c r="G185" i="92" s="1"/>
  <c r="B9" i="257" s="1"/>
  <c r="G182" i="151"/>
  <c r="G184" i="151" s="1"/>
  <c r="D2" i="257" s="1"/>
  <c r="DE4" i="170" l="1"/>
  <c r="DA4" i="170"/>
  <c r="CT4" i="170"/>
  <c r="CP4" i="170"/>
  <c r="CI4" i="170"/>
  <c r="CE4" i="170"/>
  <c r="BX4" i="170"/>
  <c r="BT4" i="170"/>
  <c r="BM4" i="170"/>
  <c r="BI4" i="170"/>
  <c r="AX4" i="170"/>
  <c r="AQ4" i="170"/>
  <c r="AM4" i="170"/>
  <c r="AF4" i="170"/>
  <c r="AB4" i="170"/>
  <c r="U4" i="170"/>
  <c r="AF9" i="170" l="1"/>
  <c r="AF13" i="170"/>
  <c r="AF17" i="170"/>
  <c r="AF21" i="170"/>
  <c r="AF10" i="170"/>
  <c r="AF14" i="170"/>
  <c r="AF18" i="170"/>
  <c r="AF22" i="170"/>
  <c r="AF7" i="170"/>
  <c r="AF11" i="170"/>
  <c r="AF15" i="170"/>
  <c r="AF19" i="170"/>
  <c r="AF8" i="170"/>
  <c r="AF12" i="170"/>
  <c r="AF16" i="170"/>
  <c r="AF20" i="170"/>
  <c r="DA9" i="170"/>
  <c r="DA13" i="170"/>
  <c r="DA17" i="170"/>
  <c r="DA21" i="170"/>
  <c r="DA10" i="170"/>
  <c r="DA14" i="170"/>
  <c r="DA18" i="170"/>
  <c r="DA22" i="170"/>
  <c r="DA7" i="170"/>
  <c r="DA11" i="170"/>
  <c r="DA15" i="170"/>
  <c r="DA19" i="170"/>
  <c r="DA8" i="170"/>
  <c r="DA12" i="170"/>
  <c r="DA16" i="170"/>
  <c r="DA20" i="170"/>
  <c r="CE8" i="170"/>
  <c r="CE10" i="170"/>
  <c r="CE12" i="170"/>
  <c r="CE14" i="170"/>
  <c r="CE16" i="170"/>
  <c r="CE18" i="170"/>
  <c r="CE20" i="170"/>
  <c r="CE22" i="170"/>
  <c r="CE7" i="170"/>
  <c r="CE9" i="170"/>
  <c r="CE11" i="170"/>
  <c r="CE13" i="170"/>
  <c r="CE15" i="170"/>
  <c r="CE17" i="170"/>
  <c r="CE19" i="170"/>
  <c r="CE21" i="170"/>
  <c r="BM10" i="170"/>
  <c r="BM12" i="170"/>
  <c r="BM16" i="170"/>
  <c r="BM18" i="170"/>
  <c r="BM22" i="170"/>
  <c r="BM8" i="170"/>
  <c r="BM14" i="170"/>
  <c r="BM20" i="170"/>
  <c r="BM11" i="170"/>
  <c r="BM19" i="170"/>
  <c r="BM7" i="170"/>
  <c r="BM9" i="170"/>
  <c r="BM13" i="170"/>
  <c r="BM17" i="170"/>
  <c r="BM21" i="170"/>
  <c r="BM15" i="170"/>
  <c r="AM10" i="170"/>
  <c r="AM18" i="170"/>
  <c r="AM9" i="170"/>
  <c r="AM13" i="170"/>
  <c r="AM17" i="170"/>
  <c r="AM21" i="170"/>
  <c r="AM14" i="170"/>
  <c r="AM22" i="170"/>
  <c r="AM16" i="170"/>
  <c r="AM7" i="170"/>
  <c r="AM11" i="170"/>
  <c r="AM15" i="170"/>
  <c r="AM19" i="170"/>
  <c r="AM8" i="170"/>
  <c r="AM20" i="170"/>
  <c r="AM12" i="170"/>
  <c r="CI8" i="170"/>
  <c r="CI10" i="170"/>
  <c r="CI12" i="170"/>
  <c r="CI14" i="170"/>
  <c r="CI16" i="170"/>
  <c r="CI18" i="170"/>
  <c r="CI20" i="170"/>
  <c r="CI22" i="170"/>
  <c r="CI7" i="170"/>
  <c r="CI9" i="170"/>
  <c r="CI11" i="170"/>
  <c r="CI13" i="170"/>
  <c r="CI15" i="170"/>
  <c r="CI17" i="170"/>
  <c r="CI19" i="170"/>
  <c r="CI21" i="170"/>
  <c r="CP8" i="170"/>
  <c r="CP12" i="170"/>
  <c r="CP14" i="170"/>
  <c r="CP16" i="170"/>
  <c r="CP20" i="170"/>
  <c r="CP22" i="170"/>
  <c r="CP10" i="170"/>
  <c r="CP18" i="170"/>
  <c r="CP11" i="170"/>
  <c r="CP21" i="170"/>
  <c r="CP7" i="170"/>
  <c r="CP9" i="170"/>
  <c r="CP13" i="170"/>
  <c r="CP15" i="170"/>
  <c r="CP19" i="170"/>
  <c r="CP17" i="170"/>
  <c r="AX8" i="170"/>
  <c r="AX10" i="170"/>
  <c r="AX12" i="170"/>
  <c r="AX14" i="170"/>
  <c r="AX16" i="170"/>
  <c r="AX18" i="170"/>
  <c r="AX20" i="170"/>
  <c r="AX22" i="170"/>
  <c r="AX7" i="170"/>
  <c r="AX9" i="170"/>
  <c r="AX11" i="170"/>
  <c r="AX13" i="170"/>
  <c r="AX15" i="170"/>
  <c r="AX17" i="170"/>
  <c r="AX19" i="170"/>
  <c r="AX21" i="170"/>
  <c r="BI8" i="170"/>
  <c r="BI10" i="170"/>
  <c r="BI12" i="170"/>
  <c r="BI14" i="170"/>
  <c r="BI16" i="170"/>
  <c r="BI18" i="170"/>
  <c r="BI20" i="170"/>
  <c r="BI22" i="170"/>
  <c r="BI7" i="170"/>
  <c r="BI9" i="170"/>
  <c r="BI11" i="170"/>
  <c r="BI13" i="170"/>
  <c r="BI15" i="170"/>
  <c r="BI17" i="170"/>
  <c r="BI19" i="170"/>
  <c r="BI21" i="170"/>
  <c r="U6" i="170"/>
  <c r="U8" i="170"/>
  <c r="U12" i="170"/>
  <c r="U16" i="170"/>
  <c r="U20" i="170"/>
  <c r="U10" i="170"/>
  <c r="U14" i="170"/>
  <c r="U18" i="170"/>
  <c r="U22" i="170"/>
  <c r="U15" i="170"/>
  <c r="U9" i="170"/>
  <c r="U19" i="170"/>
  <c r="U7" i="170"/>
  <c r="U13" i="170"/>
  <c r="U17" i="170"/>
  <c r="U11" i="170"/>
  <c r="U21" i="170"/>
  <c r="BX8" i="170"/>
  <c r="BX10" i="170"/>
  <c r="BX12" i="170"/>
  <c r="BX14" i="170"/>
  <c r="BX16" i="170"/>
  <c r="BX18" i="170"/>
  <c r="BX20" i="170"/>
  <c r="BX22" i="170"/>
  <c r="BX7" i="170"/>
  <c r="BX9" i="170"/>
  <c r="BX11" i="170"/>
  <c r="BX13" i="170"/>
  <c r="BX15" i="170"/>
  <c r="BX17" i="170"/>
  <c r="BX19" i="170"/>
  <c r="BX21" i="170"/>
  <c r="DE7" i="170"/>
  <c r="DE15" i="170"/>
  <c r="DE8" i="170"/>
  <c r="DE16" i="170"/>
  <c r="DE9" i="170"/>
  <c r="DE17" i="170"/>
  <c r="DE10" i="170"/>
  <c r="DE18" i="170"/>
  <c r="DE11" i="170"/>
  <c r="DE19" i="170"/>
  <c r="DE13" i="170"/>
  <c r="DE12" i="170"/>
  <c r="DE20" i="170"/>
  <c r="DE21" i="170"/>
  <c r="DE14" i="170"/>
  <c r="DE22" i="170"/>
  <c r="CT20" i="170"/>
  <c r="CT21" i="170"/>
  <c r="CT22" i="170"/>
  <c r="BT21" i="170"/>
  <c r="BT22" i="170"/>
  <c r="AQ21" i="170"/>
  <c r="AQ22" i="170"/>
  <c r="AB6" i="170"/>
  <c r="AB10" i="170"/>
  <c r="AB18" i="170"/>
  <c r="AB15" i="170"/>
  <c r="AB9" i="170"/>
  <c r="AB11" i="170"/>
  <c r="AB19" i="170"/>
  <c r="AB22" i="170"/>
  <c r="AB8" i="170"/>
  <c r="AB17" i="170"/>
  <c r="AB12" i="170"/>
  <c r="AB20" i="170"/>
  <c r="AB14" i="170"/>
  <c r="AB13" i="170"/>
  <c r="AB21" i="170"/>
  <c r="AB7" i="170"/>
  <c r="AB16" i="170"/>
  <c r="AF6" i="170"/>
  <c r="DE6" i="170"/>
  <c r="DA6" i="170"/>
  <c r="CT12" i="170"/>
  <c r="CT8" i="170"/>
  <c r="CT19" i="170"/>
  <c r="CT11" i="170"/>
  <c r="CT14" i="170"/>
  <c r="CT15" i="170"/>
  <c r="CT18" i="170"/>
  <c r="CT6" i="170"/>
  <c r="CT9" i="170"/>
  <c r="CT10" i="170"/>
  <c r="CT17" i="170"/>
  <c r="CT13" i="170"/>
  <c r="CT16" i="170"/>
  <c r="CT7" i="170"/>
  <c r="CP6" i="170"/>
  <c r="CI6" i="170"/>
  <c r="CE6" i="170"/>
  <c r="BX6" i="170"/>
  <c r="BT19" i="170"/>
  <c r="BT18" i="170"/>
  <c r="BT17" i="170"/>
  <c r="BT16" i="170"/>
  <c r="BT15" i="170"/>
  <c r="BT14" i="170"/>
  <c r="BT13" i="170"/>
  <c r="BT12" i="170"/>
  <c r="BT11" i="170"/>
  <c r="BT10" i="170"/>
  <c r="BT9" i="170"/>
  <c r="BT8" i="170"/>
  <c r="BT7" i="170"/>
  <c r="BT6" i="170"/>
  <c r="BT20" i="170"/>
  <c r="BM6" i="170"/>
  <c r="BI6" i="170"/>
  <c r="AX6" i="170"/>
  <c r="AQ10" i="170"/>
  <c r="AQ9" i="170"/>
  <c r="AQ8" i="170"/>
  <c r="AQ12" i="170"/>
  <c r="AQ11" i="170"/>
  <c r="AQ14" i="170"/>
  <c r="AQ13" i="170"/>
  <c r="AQ16" i="170"/>
  <c r="AQ15" i="170"/>
  <c r="AQ18" i="170"/>
  <c r="AQ17" i="170"/>
  <c r="AQ20" i="170"/>
  <c r="AQ19" i="170"/>
  <c r="AQ6" i="170"/>
  <c r="AQ7" i="170"/>
  <c r="AM6" i="170"/>
  <c r="Z46" i="102"/>
  <c r="Z45" i="102"/>
  <c r="Z44" i="102"/>
  <c r="Z43" i="102"/>
  <c r="Z42" i="102"/>
  <c r="Z41" i="102"/>
  <c r="Z40" i="102"/>
  <c r="Z39" i="102"/>
  <c r="Z38" i="102"/>
  <c r="Z37" i="102"/>
  <c r="Z36" i="102"/>
  <c r="Z35" i="102"/>
  <c r="Z34" i="102"/>
  <c r="Z33" i="102"/>
  <c r="Z32" i="102"/>
  <c r="Z31" i="102"/>
  <c r="Z30" i="102"/>
  <c r="Z29" i="102"/>
  <c r="Z28" i="102"/>
  <c r="Z27" i="102"/>
  <c r="Z26" i="102"/>
  <c r="Z25" i="102"/>
  <c r="Z24" i="102"/>
  <c r="Z23" i="102"/>
  <c r="Z22" i="102"/>
  <c r="Z21" i="102"/>
  <c r="Z20" i="102"/>
  <c r="Z19" i="102"/>
  <c r="Z18" i="102"/>
  <c r="Z17" i="102"/>
  <c r="Z16" i="102"/>
  <c r="Z15" i="102"/>
  <c r="Z14" i="102"/>
  <c r="Z13" i="102"/>
  <c r="Z12" i="102"/>
  <c r="Z11" i="102"/>
  <c r="Z10" i="102"/>
  <c r="Z9" i="102"/>
  <c r="DK6" i="170" l="1"/>
  <c r="DK13" i="170"/>
  <c r="DK11" i="170"/>
  <c r="DK8" i="170"/>
  <c r="DK22" i="170"/>
  <c r="DK18" i="170"/>
  <c r="DK19" i="170"/>
  <c r="DK14" i="170"/>
  <c r="DK10" i="170"/>
  <c r="DK15" i="170"/>
  <c r="DK16" i="170"/>
  <c r="DK21" i="170"/>
  <c r="DK7" i="170"/>
  <c r="DK20" i="170"/>
  <c r="DK17" i="170"/>
  <c r="DK12" i="170"/>
  <c r="DK9" i="170"/>
  <c r="Z47" i="102"/>
  <c r="D9" i="135" s="1"/>
  <c r="S110" i="242" l="1"/>
  <c r="Q110" i="242" s="1"/>
  <c r="E9" i="135"/>
  <c r="Z49" i="99"/>
  <c r="D9" i="45" l="1"/>
  <c r="V49" i="99"/>
  <c r="AB11" i="99"/>
  <c r="D6" i="146" l="1"/>
  <c r="O11" i="15" l="1"/>
  <c r="O6" i="15" l="1"/>
  <c r="O25" i="15"/>
  <c r="O24" i="15"/>
  <c r="O23" i="15"/>
  <c r="O22" i="15"/>
  <c r="O21" i="15"/>
  <c r="O20" i="15"/>
  <c r="O19" i="15"/>
  <c r="O18" i="15"/>
  <c r="O17" i="15"/>
  <c r="O16" i="15"/>
  <c r="O15" i="15"/>
  <c r="O14" i="15"/>
  <c r="O13" i="15"/>
  <c r="O12" i="15"/>
  <c r="O10" i="15"/>
  <c r="O9" i="15"/>
  <c r="O8" i="15"/>
  <c r="O7" i="15"/>
  <c r="K12" i="60" l="1"/>
  <c r="N12" i="60"/>
  <c r="K13" i="60"/>
  <c r="N13" i="60"/>
  <c r="K14" i="60"/>
  <c r="N14" i="60"/>
  <c r="J49" i="168" l="1"/>
  <c r="J50" i="168"/>
  <c r="J51" i="168"/>
  <c r="J52" i="168"/>
  <c r="J53" i="168"/>
  <c r="J54" i="168"/>
  <c r="J55" i="168"/>
  <c r="J56" i="168"/>
  <c r="J57" i="168"/>
  <c r="J58" i="168"/>
  <c r="E49" i="168"/>
  <c r="K49" i="168" s="1"/>
  <c r="E50" i="168"/>
  <c r="E51" i="168"/>
  <c r="E52" i="168"/>
  <c r="E53" i="168"/>
  <c r="E54" i="168"/>
  <c r="E55" i="168"/>
  <c r="E56" i="168"/>
  <c r="E57" i="168"/>
  <c r="E58" i="168"/>
  <c r="O59" i="168"/>
  <c r="G59" i="168"/>
  <c r="H59" i="168"/>
  <c r="I59" i="168"/>
  <c r="L59" i="168"/>
  <c r="M59" i="168"/>
  <c r="F59" i="168"/>
  <c r="C59" i="168"/>
  <c r="P6" i="168"/>
  <c r="J7" i="168"/>
  <c r="J8" i="168"/>
  <c r="J9" i="168"/>
  <c r="J10" i="168"/>
  <c r="J11" i="168"/>
  <c r="J12" i="168"/>
  <c r="J13" i="168"/>
  <c r="J14" i="168"/>
  <c r="J15" i="168"/>
  <c r="J16" i="168"/>
  <c r="J17" i="168"/>
  <c r="J18" i="168"/>
  <c r="J19" i="168"/>
  <c r="J20" i="168"/>
  <c r="J21" i="168"/>
  <c r="J22" i="168"/>
  <c r="J23" i="168"/>
  <c r="J24" i="168"/>
  <c r="J25" i="168"/>
  <c r="J26" i="168"/>
  <c r="J27" i="168"/>
  <c r="J28" i="168"/>
  <c r="J29" i="168"/>
  <c r="J30" i="168"/>
  <c r="J31" i="168"/>
  <c r="J32" i="168"/>
  <c r="J33" i="168"/>
  <c r="J34" i="168"/>
  <c r="J35" i="168"/>
  <c r="J36" i="168"/>
  <c r="J37" i="168"/>
  <c r="J41" i="168"/>
  <c r="J42" i="168"/>
  <c r="J43" i="168"/>
  <c r="J44" i="168"/>
  <c r="J45" i="168"/>
  <c r="J46" i="168"/>
  <c r="J47" i="168"/>
  <c r="J48" i="168"/>
  <c r="J6" i="168"/>
  <c r="E7" i="168"/>
  <c r="E8" i="168"/>
  <c r="E9" i="168"/>
  <c r="E10" i="168"/>
  <c r="E11" i="168"/>
  <c r="E12" i="168"/>
  <c r="E13" i="168"/>
  <c r="E14" i="168"/>
  <c r="E15" i="168"/>
  <c r="K15" i="168" s="1"/>
  <c r="E16" i="168"/>
  <c r="E17" i="168"/>
  <c r="E18" i="168"/>
  <c r="E19" i="168"/>
  <c r="E20" i="168"/>
  <c r="E21" i="168"/>
  <c r="E22" i="168"/>
  <c r="E23" i="168"/>
  <c r="E24" i="168"/>
  <c r="E25" i="168"/>
  <c r="E26" i="168"/>
  <c r="E27" i="168"/>
  <c r="E28" i="168"/>
  <c r="E29" i="168"/>
  <c r="K29" i="168" s="1"/>
  <c r="E30" i="168"/>
  <c r="E31" i="168"/>
  <c r="K31" i="168" s="1"/>
  <c r="E32" i="168"/>
  <c r="E33" i="168"/>
  <c r="E34" i="168"/>
  <c r="E35" i="168"/>
  <c r="E36" i="168"/>
  <c r="E37" i="168"/>
  <c r="E41" i="168"/>
  <c r="E42" i="168"/>
  <c r="E43" i="168"/>
  <c r="E44" i="168"/>
  <c r="E45" i="168"/>
  <c r="E46" i="168"/>
  <c r="K46" i="168" s="1"/>
  <c r="E47" i="168"/>
  <c r="E48" i="168"/>
  <c r="K48" i="168" s="1"/>
  <c r="E6" i="168"/>
  <c r="A6" i="146"/>
  <c r="K55" i="168" l="1"/>
  <c r="K53" i="168"/>
  <c r="K23" i="168"/>
  <c r="K37" i="168"/>
  <c r="K58" i="168"/>
  <c r="K57" i="168"/>
  <c r="K35" i="168"/>
  <c r="N7" i="168"/>
  <c r="P7" i="168" s="1"/>
  <c r="N8" i="168" s="1"/>
  <c r="P8" i="168" s="1"/>
  <c r="E59" i="168"/>
  <c r="K27" i="168"/>
  <c r="K33" i="168"/>
  <c r="K25" i="168"/>
  <c r="K17" i="168"/>
  <c r="K9" i="168"/>
  <c r="K42" i="168"/>
  <c r="J59" i="168"/>
  <c r="K7" i="168"/>
  <c r="K19" i="168"/>
  <c r="K11" i="168"/>
  <c r="K44" i="168"/>
  <c r="K18" i="168"/>
  <c r="K54" i="168"/>
  <c r="K45" i="168"/>
  <c r="K36" i="168"/>
  <c r="K28" i="168"/>
  <c r="K20" i="168"/>
  <c r="K12" i="168"/>
  <c r="K52" i="168"/>
  <c r="K6" i="168"/>
  <c r="W6" i="168" s="1"/>
  <c r="K41" i="168"/>
  <c r="K32" i="168"/>
  <c r="K24" i="168"/>
  <c r="K16" i="168"/>
  <c r="K8" i="168"/>
  <c r="K43" i="168"/>
  <c r="K34" i="168"/>
  <c r="K26" i="168"/>
  <c r="K10" i="168"/>
  <c r="K50" i="168"/>
  <c r="K47" i="168"/>
  <c r="K30" i="168"/>
  <c r="K22" i="168"/>
  <c r="K14" i="168"/>
  <c r="K21" i="168"/>
  <c r="K13" i="168"/>
  <c r="K56" i="168"/>
  <c r="K51" i="168"/>
  <c r="W7" i="168" l="1"/>
  <c r="K59" i="168"/>
  <c r="N9" i="168"/>
  <c r="P9" i="168" s="1"/>
  <c r="W8" i="168"/>
  <c r="W9" i="168" l="1"/>
  <c r="N10" i="168"/>
  <c r="P10" i="168" s="1"/>
  <c r="W10" i="168" l="1"/>
  <c r="N11" i="168"/>
  <c r="P11" i="168" s="1"/>
  <c r="W11" i="168" l="1"/>
  <c r="N12" i="168"/>
  <c r="P12" i="168" s="1"/>
  <c r="W12" i="168" l="1"/>
  <c r="N13" i="168"/>
  <c r="P13" i="168" s="1"/>
  <c r="W13" i="168" l="1"/>
  <c r="N14" i="168"/>
  <c r="P14" i="168" s="1"/>
  <c r="D4" i="73"/>
  <c r="A1" i="239" l="1"/>
  <c r="A1" i="184"/>
  <c r="A1" i="192"/>
  <c r="A1" i="241"/>
  <c r="A1" i="185"/>
  <c r="A1" i="238"/>
  <c r="A1" i="194"/>
  <c r="A1" i="240"/>
  <c r="A1" i="55"/>
  <c r="B1" i="172"/>
  <c r="A1" i="190"/>
  <c r="A1" i="140"/>
  <c r="A1" i="57"/>
  <c r="B1" i="71"/>
  <c r="A1" i="189"/>
  <c r="A1" i="143"/>
  <c r="A1" i="235"/>
  <c r="A1" i="60"/>
  <c r="A1" i="233"/>
  <c r="A1" i="182"/>
  <c r="A1" i="197"/>
  <c r="A1" i="255"/>
  <c r="B1" i="168"/>
  <c r="A1" i="234"/>
  <c r="A1" i="254"/>
  <c r="A1" i="181"/>
  <c r="A1" i="31"/>
  <c r="A1" i="237"/>
  <c r="A1" i="35"/>
  <c r="A1" i="92"/>
  <c r="A1" i="253"/>
  <c r="A1" i="249"/>
  <c r="A1" i="248"/>
  <c r="A1" i="49"/>
  <c r="A1" i="45"/>
  <c r="A1" i="44"/>
  <c r="A1" i="134"/>
  <c r="A1" i="131" s="1"/>
  <c r="A1" i="236"/>
  <c r="A1" i="6"/>
  <c r="A1" i="146"/>
  <c r="A1" i="231"/>
  <c r="A1" i="230"/>
  <c r="A1" i="245"/>
  <c r="A1" i="133"/>
  <c r="A1" i="47"/>
  <c r="A1" i="151"/>
  <c r="A1" i="43"/>
  <c r="A1" i="229"/>
  <c r="A1" i="129"/>
  <c r="A1" i="219"/>
  <c r="A1" i="228"/>
  <c r="A1" i="227"/>
  <c r="A1" i="218"/>
  <c r="A1" i="226"/>
  <c r="A1" i="217"/>
  <c r="A1" i="25"/>
  <c r="A1" i="214"/>
  <c r="A1" i="100"/>
  <c r="A1" i="83"/>
  <c r="A1" i="109"/>
  <c r="A1" i="215"/>
  <c r="A1" i="175"/>
  <c r="A1" i="139"/>
  <c r="A1" i="5"/>
  <c r="A1" i="135"/>
  <c r="A1" i="212"/>
  <c r="A1" i="207"/>
  <c r="A1" i="210"/>
  <c r="A1" i="15"/>
  <c r="A1" i="209"/>
  <c r="A1" i="147"/>
  <c r="A1" i="144"/>
  <c r="A1" i="2"/>
  <c r="A1" i="137"/>
  <c r="A1" i="204"/>
  <c r="A1" i="251"/>
  <c r="A1" i="252"/>
  <c r="A1" i="79"/>
  <c r="A2" i="78"/>
  <c r="A1" i="141"/>
  <c r="W14" i="168"/>
  <c r="N15" i="168"/>
  <c r="P15" i="168" s="1"/>
  <c r="F170" i="35" l="1"/>
  <c r="R166" i="35"/>
  <c r="R134" i="35"/>
  <c r="R131" i="35"/>
  <c r="F188" i="35"/>
  <c r="R184" i="35"/>
  <c r="R170" i="35"/>
  <c r="R167" i="35"/>
  <c r="F166" i="35"/>
  <c r="F134" i="35"/>
  <c r="R188" i="35"/>
  <c r="R185" i="35"/>
  <c r="F184" i="35"/>
  <c r="R116" i="35"/>
  <c r="R113" i="35"/>
  <c r="F112" i="35"/>
  <c r="F130" i="35"/>
  <c r="R149" i="35"/>
  <c r="R148" i="35"/>
  <c r="F148" i="35"/>
  <c r="F116" i="35"/>
  <c r="R112" i="35"/>
  <c r="R152" i="35"/>
  <c r="F152" i="35"/>
  <c r="R130" i="35"/>
  <c r="R95" i="35"/>
  <c r="F98" i="35"/>
  <c r="R94" i="35"/>
  <c r="R98" i="35"/>
  <c r="F94" i="35"/>
  <c r="F80" i="35"/>
  <c r="R76" i="35"/>
  <c r="R77" i="35"/>
  <c r="F76" i="35"/>
  <c r="R80" i="35"/>
  <c r="F62" i="35"/>
  <c r="R58" i="35"/>
  <c r="R62" i="35"/>
  <c r="R59" i="35"/>
  <c r="F58" i="35"/>
  <c r="F44" i="35"/>
  <c r="R40" i="35"/>
  <c r="R44" i="35"/>
  <c r="R41" i="35"/>
  <c r="F40" i="35"/>
  <c r="R26" i="35"/>
  <c r="F26" i="35"/>
  <c r="R22" i="35"/>
  <c r="F22" i="35"/>
  <c r="R23" i="35"/>
  <c r="R6" i="35"/>
  <c r="F5" i="35"/>
  <c r="F9" i="35"/>
  <c r="R5" i="35"/>
  <c r="R9" i="35"/>
  <c r="L9" i="78"/>
  <c r="M9" i="78"/>
  <c r="W15" i="168"/>
  <c r="N16" i="168"/>
  <c r="P16" i="168" s="1"/>
  <c r="A16" i="228"/>
  <c r="C9" i="135" a="1"/>
  <c r="R189" i="35" l="1"/>
  <c r="R117" i="35"/>
  <c r="R27" i="35"/>
  <c r="R135" i="35"/>
  <c r="R81" i="35"/>
  <c r="R171" i="35"/>
  <c r="R153" i="35"/>
  <c r="R99" i="35"/>
  <c r="R63" i="35"/>
  <c r="R45" i="35"/>
  <c r="F18" i="249"/>
  <c r="G18" i="249" s="1"/>
  <c r="C9" i="135"/>
  <c r="N16" i="228"/>
  <c r="F22" i="197"/>
  <c r="F20" i="197"/>
  <c r="F19" i="197"/>
  <c r="F23" i="197"/>
  <c r="F18" i="197"/>
  <c r="F21" i="197"/>
  <c r="B21" i="231"/>
  <c r="B11" i="230" s="1"/>
  <c r="W16" i="168"/>
  <c r="N17" i="168"/>
  <c r="P17" i="168" s="1"/>
  <c r="A19" i="228"/>
  <c r="A29" i="83"/>
  <c r="H29" i="207" a="1"/>
  <c r="A18" i="55"/>
  <c r="A19" i="226"/>
  <c r="J56" i="6" a="1"/>
  <c r="C29" i="6"/>
  <c r="C39" i="228" a="1"/>
  <c r="A40" i="226"/>
  <c r="C40" i="228" a="1"/>
  <c r="C30" i="214" a="1"/>
  <c r="A25" i="109" a="1"/>
  <c r="A28" i="218"/>
  <c r="K51" i="6" a="1"/>
  <c r="A26" i="219"/>
  <c r="A26" i="218"/>
  <c r="B25" i="6"/>
  <c r="C5" i="79" a="1"/>
  <c r="G26" i="207" a="1"/>
  <c r="C26" i="83" a="1"/>
  <c r="C11" i="139"/>
  <c r="C27" i="83" a="1"/>
  <c r="A25" i="55"/>
  <c r="C39" i="227" a="1"/>
  <c r="K56" i="6" a="1"/>
  <c r="B24" i="6"/>
  <c r="A27" i="83"/>
  <c r="C28" i="6"/>
  <c r="J57" i="6" a="1"/>
  <c r="A36" i="228"/>
  <c r="A27" i="214"/>
  <c r="K55" i="6" a="1"/>
  <c r="C6" i="79" a="1"/>
  <c r="A39" i="228"/>
  <c r="J55" i="6" a="1"/>
  <c r="G8" i="207" a="1"/>
  <c r="B28" i="6"/>
  <c r="C28" i="218" a="1"/>
  <c r="B18" i="197"/>
  <c r="A18" i="226"/>
  <c r="B23" i="197"/>
  <c r="C37" i="227" a="1"/>
  <c r="A23" i="109" a="1"/>
  <c r="A28" i="217"/>
  <c r="J34" i="139" a="1"/>
  <c r="A28" i="219"/>
  <c r="C30" i="83" a="1"/>
  <c r="G29" i="207" a="1"/>
  <c r="A24" i="55"/>
  <c r="C18" i="228" a="1"/>
  <c r="G10" i="209" a="1"/>
  <c r="A29" i="217"/>
  <c r="A16" i="226"/>
  <c r="K27" i="6" a="1"/>
  <c r="C27" i="6"/>
  <c r="J28" i="6" a="1"/>
  <c r="C36" i="227" a="1"/>
  <c r="A28" i="214"/>
  <c r="C40" i="226" a="1"/>
  <c r="A27" i="219"/>
  <c r="C21" i="109" a="1"/>
  <c r="C29" i="218" a="1"/>
  <c r="A40" i="228"/>
  <c r="J36" i="139" a="1"/>
  <c r="C24" i="6"/>
  <c r="A18" i="228"/>
  <c r="C17" i="228" a="1"/>
  <c r="A39" i="226"/>
  <c r="B29" i="6"/>
  <c r="C18" i="226" a="1"/>
  <c r="C25" i="6"/>
  <c r="J8" i="139" a="1"/>
  <c r="C28" i="214" a="1"/>
  <c r="A38" i="227"/>
  <c r="A36" i="227"/>
  <c r="C17" i="227" a="1"/>
  <c r="A21" i="109" a="1"/>
  <c r="K26" i="6" a="1"/>
  <c r="K29" i="6" a="1"/>
  <c r="B19" i="197"/>
  <c r="J26" i="6" a="1"/>
  <c r="C25" i="109" a="1"/>
  <c r="C39" i="226" a="1"/>
  <c r="J52" i="6" a="1"/>
  <c r="A22" i="232"/>
  <c r="C27" i="218" a="1"/>
  <c r="J51" i="6" a="1"/>
  <c r="K25" i="6" a="1"/>
  <c r="C26" i="6"/>
  <c r="J24" i="6" a="1"/>
  <c r="C19" i="228" a="1"/>
  <c r="A36" i="226"/>
  <c r="A24" i="109" a="1"/>
  <c r="A22" i="55"/>
  <c r="K57" i="6" a="1"/>
  <c r="C16" i="228" a="1"/>
  <c r="A30" i="219"/>
  <c r="B27" i="6"/>
  <c r="C14" i="209"/>
  <c r="C16" i="226" a="1"/>
  <c r="A37" i="227"/>
  <c r="C38" i="226" a="1"/>
  <c r="A40" i="227"/>
  <c r="C24" i="109" a="1"/>
  <c r="C38" i="227" a="1"/>
  <c r="A29" i="218"/>
  <c r="A17" i="227"/>
  <c r="A26" i="83"/>
  <c r="K53" i="6" a="1"/>
  <c r="J54" i="6" a="1"/>
  <c r="C26" i="218" a="1"/>
  <c r="K24" i="6" a="1"/>
  <c r="A21" i="55"/>
  <c r="A23" i="55"/>
  <c r="J27" i="6" a="1"/>
  <c r="C38" i="228" a="1"/>
  <c r="C28" i="83" a="1"/>
  <c r="K54" i="6" a="1"/>
  <c r="B22" i="197"/>
  <c r="A38" i="226"/>
  <c r="J53" i="6" a="1"/>
  <c r="A11" i="233"/>
  <c r="A39" i="227"/>
  <c r="A16" i="227"/>
  <c r="G11" i="2" a="1"/>
  <c r="A29" i="214"/>
  <c r="A27" i="218"/>
  <c r="H26" i="207" a="1"/>
  <c r="A28" i="83"/>
  <c r="C23" i="109" a="1"/>
  <c r="A30" i="214"/>
  <c r="C19" i="226" a="1"/>
  <c r="C30" i="218" a="1"/>
  <c r="A19" i="227"/>
  <c r="C27" i="214" a="1"/>
  <c r="C29" i="83" a="1"/>
  <c r="C40" i="227" a="1"/>
  <c r="G28" i="207" a="1"/>
  <c r="C29" i="214" a="1"/>
  <c r="K52" i="6" a="1"/>
  <c r="C36" i="226" a="1"/>
  <c r="A18" i="227"/>
  <c r="A37" i="226"/>
  <c r="C37" i="226" a="1"/>
  <c r="C17" i="226" a="1"/>
  <c r="C19" i="227" a="1"/>
  <c r="A17" i="226"/>
  <c r="G25" i="207" a="1"/>
  <c r="C22" i="109" a="1"/>
  <c r="J25" i="6" a="1"/>
  <c r="A30" i="83"/>
  <c r="A26" i="214"/>
  <c r="A38" i="228"/>
  <c r="A22" i="109" a="1"/>
  <c r="K28" i="6" a="1"/>
  <c r="A37" i="228"/>
  <c r="C26" i="214" a="1"/>
  <c r="B26" i="6"/>
  <c r="A17" i="228"/>
  <c r="A20" i="55"/>
  <c r="C36" i="228" a="1"/>
  <c r="A19" i="233"/>
  <c r="H27" i="207" a="1"/>
  <c r="C16" i="227" a="1"/>
  <c r="A19" i="55"/>
  <c r="C37" i="228" a="1"/>
  <c r="A30" i="218"/>
  <c r="A29" i="219"/>
  <c r="A20" i="233"/>
  <c r="G27" i="207" a="1"/>
  <c r="J29" i="6" a="1"/>
  <c r="A30" i="217"/>
  <c r="C18" i="227" a="1"/>
  <c r="H28" i="207" a="1"/>
  <c r="H25" i="207" a="1"/>
  <c r="N26" i="214" l="1"/>
  <c r="N30" i="83"/>
  <c r="O30" i="83"/>
  <c r="J57" i="6"/>
  <c r="M57" i="6" s="1"/>
  <c r="N57" i="6" s="1"/>
  <c r="C28" i="83"/>
  <c r="F28" i="83" s="1"/>
  <c r="G28" i="83" s="1"/>
  <c r="N29" i="219"/>
  <c r="C18" i="226"/>
  <c r="F18" i="226" s="1"/>
  <c r="G18" i="226" s="1"/>
  <c r="A25" i="109"/>
  <c r="N25" i="109" s="1"/>
  <c r="N28" i="218"/>
  <c r="N26" i="83"/>
  <c r="O26" i="83"/>
  <c r="K26" i="6"/>
  <c r="T26" i="6" s="1"/>
  <c r="U26" i="6" s="1"/>
  <c r="K53" i="6"/>
  <c r="O53" i="6" s="1"/>
  <c r="P53" i="6" s="1"/>
  <c r="C39" i="226"/>
  <c r="F39" i="226" s="1"/>
  <c r="G39" i="226" s="1"/>
  <c r="C18" i="228"/>
  <c r="F18" i="228" s="1"/>
  <c r="G18" i="228" s="1"/>
  <c r="B57" i="6"/>
  <c r="B29" i="207"/>
  <c r="B29" i="133" s="1"/>
  <c r="N30" i="214"/>
  <c r="G8" i="207"/>
  <c r="C17" i="228"/>
  <c r="F17" i="228" s="1"/>
  <c r="G17" i="228" s="1"/>
  <c r="K56" i="6"/>
  <c r="O56" i="6" s="1"/>
  <c r="P56" i="6" s="1"/>
  <c r="C23" i="109"/>
  <c r="F23" i="109" s="1"/>
  <c r="G23" i="109" s="1"/>
  <c r="C36" i="227"/>
  <c r="F36" i="227" s="1"/>
  <c r="G36" i="227" s="1"/>
  <c r="N27" i="214"/>
  <c r="K54" i="6"/>
  <c r="O54" i="6" s="1"/>
  <c r="P54" i="6" s="1"/>
  <c r="C27" i="214"/>
  <c r="L27" i="214" s="1"/>
  <c r="N39" i="227"/>
  <c r="F27" i="217"/>
  <c r="G27" i="217" s="1"/>
  <c r="N18" i="227"/>
  <c r="K55" i="6"/>
  <c r="O55" i="6" s="1"/>
  <c r="P55" i="6" s="1"/>
  <c r="K52" i="6"/>
  <c r="O52" i="6" s="1"/>
  <c r="P52" i="6" s="1"/>
  <c r="J28" i="6"/>
  <c r="R28" i="6" s="1"/>
  <c r="S28" i="6" s="1"/>
  <c r="N28" i="214"/>
  <c r="K25" i="6"/>
  <c r="T25" i="6" s="1"/>
  <c r="U25" i="6" s="1"/>
  <c r="B26" i="207"/>
  <c r="B26" i="133" s="1"/>
  <c r="B54" i="6"/>
  <c r="N38" i="226"/>
  <c r="C40" i="228"/>
  <c r="F40" i="228" s="1"/>
  <c r="G40" i="228" s="1"/>
  <c r="N36" i="226"/>
  <c r="C29" i="214"/>
  <c r="F29" i="214" s="1"/>
  <c r="G29" i="214" s="1"/>
  <c r="C28" i="218"/>
  <c r="F28" i="218" s="1"/>
  <c r="G28" i="218" s="1"/>
  <c r="F26" i="217"/>
  <c r="G26" i="217" s="1"/>
  <c r="B28" i="207"/>
  <c r="B28" i="133" s="1"/>
  <c r="B56" i="6"/>
  <c r="J25" i="6"/>
  <c r="R25" i="6" s="1"/>
  <c r="S25" i="6" s="1"/>
  <c r="K27" i="6"/>
  <c r="V22" i="257" s="1"/>
  <c r="B52" i="6"/>
  <c r="B24" i="207"/>
  <c r="B24" i="133" s="1"/>
  <c r="F29" i="217"/>
  <c r="G29" i="217" s="1"/>
  <c r="N19" i="227"/>
  <c r="N40" i="227"/>
  <c r="N19" i="226"/>
  <c r="M19" i="226"/>
  <c r="C40" i="227"/>
  <c r="F40" i="227" s="1"/>
  <c r="G40" i="227" s="1"/>
  <c r="C29" i="207"/>
  <c r="C57" i="6"/>
  <c r="H25" i="207"/>
  <c r="R25" i="207" s="1"/>
  <c r="S25" i="207" s="1"/>
  <c r="B55" i="6"/>
  <c r="B27" i="207"/>
  <c r="B27" i="133" s="1"/>
  <c r="K24" i="6"/>
  <c r="T24" i="6" s="1"/>
  <c r="U24" i="6" s="1"/>
  <c r="C19" i="228"/>
  <c r="F19" i="228" s="1"/>
  <c r="G19" i="228" s="1"/>
  <c r="O27" i="83"/>
  <c r="N27" i="83"/>
  <c r="N26" i="218"/>
  <c r="M16" i="226"/>
  <c r="N16" i="226"/>
  <c r="N18" i="228"/>
  <c r="J34" i="139"/>
  <c r="H27" i="207"/>
  <c r="R27" i="207" s="1"/>
  <c r="S27" i="207" s="1"/>
  <c r="G10" i="209"/>
  <c r="P10" i="209" s="1"/>
  <c r="Q10" i="209" s="1"/>
  <c r="C40" i="226"/>
  <c r="F40" i="226" s="1"/>
  <c r="G40" i="226" s="1"/>
  <c r="N28" i="219"/>
  <c r="N39" i="226"/>
  <c r="K29" i="6"/>
  <c r="T29" i="6" s="1"/>
  <c r="U29" i="6" s="1"/>
  <c r="J24" i="6"/>
  <c r="R24" i="6" s="1"/>
  <c r="S24" i="6" s="1"/>
  <c r="C39" i="227"/>
  <c r="F39" i="227" s="1"/>
  <c r="G39" i="227" s="1"/>
  <c r="C27" i="207"/>
  <c r="C55" i="6"/>
  <c r="C24" i="207"/>
  <c r="C52" i="6"/>
  <c r="C30" i="83"/>
  <c r="F30" i="83" s="1"/>
  <c r="G30" i="83" s="1"/>
  <c r="N17" i="226"/>
  <c r="M17" i="226"/>
  <c r="N16" i="227"/>
  <c r="C22" i="109"/>
  <c r="F22" i="109" s="1"/>
  <c r="G22" i="109" s="1"/>
  <c r="C37" i="226"/>
  <c r="F37" i="226" s="1"/>
  <c r="G37" i="226" s="1"/>
  <c r="C19" i="227"/>
  <c r="F19" i="227" s="1"/>
  <c r="G19" i="227" s="1"/>
  <c r="F29" i="219"/>
  <c r="G29" i="219" s="1"/>
  <c r="C29" i="83"/>
  <c r="F29" i="83" s="1"/>
  <c r="G29" i="83" s="1"/>
  <c r="C30" i="218"/>
  <c r="F30" i="218" s="1"/>
  <c r="G30" i="218" s="1"/>
  <c r="F30" i="217"/>
  <c r="G30" i="217" s="1"/>
  <c r="G11" i="2"/>
  <c r="N37" i="227"/>
  <c r="H29" i="207"/>
  <c r="R29" i="207" s="1"/>
  <c r="S29" i="207" s="1"/>
  <c r="J56" i="6"/>
  <c r="M56" i="6" s="1"/>
  <c r="N56" i="6" s="1"/>
  <c r="F28" i="217"/>
  <c r="G28" i="217" s="1"/>
  <c r="M18" i="226"/>
  <c r="N18" i="226"/>
  <c r="N29" i="214"/>
  <c r="B53" i="6"/>
  <c r="B25" i="207"/>
  <c r="B25" i="133" s="1"/>
  <c r="F30" i="219"/>
  <c r="G30" i="219" s="1"/>
  <c r="C19" i="226"/>
  <c r="F19" i="226" s="1"/>
  <c r="G19" i="226" s="1"/>
  <c r="N37" i="226"/>
  <c r="J29" i="6"/>
  <c r="R29" i="6" s="1"/>
  <c r="S29" i="6" s="1"/>
  <c r="N29" i="218"/>
  <c r="J54" i="6"/>
  <c r="M54" i="6" s="1"/>
  <c r="N54" i="6" s="1"/>
  <c r="C39" i="228"/>
  <c r="F39" i="228" s="1"/>
  <c r="G39" i="228" s="1"/>
  <c r="G26" i="207"/>
  <c r="P26" i="207" s="1"/>
  <c r="Q26" i="207" s="1"/>
  <c r="N37" i="228"/>
  <c r="N30" i="219"/>
  <c r="N36" i="227"/>
  <c r="G28" i="207"/>
  <c r="P28" i="207" s="1"/>
  <c r="Q28" i="207" s="1"/>
  <c r="C26" i="214"/>
  <c r="F26" i="214" s="1"/>
  <c r="G26" i="214" s="1"/>
  <c r="N38" i="227"/>
  <c r="N26" i="219"/>
  <c r="C29" i="218"/>
  <c r="F29" i="218" s="1"/>
  <c r="G29" i="218" s="1"/>
  <c r="C38" i="226"/>
  <c r="F38" i="226" s="1"/>
  <c r="G38" i="226" s="1"/>
  <c r="N27" i="218"/>
  <c r="F28" i="219"/>
  <c r="G28" i="219" s="1"/>
  <c r="C16" i="227"/>
  <c r="F16" i="227" s="1"/>
  <c r="G16" i="227" s="1"/>
  <c r="C36" i="228"/>
  <c r="F36" i="228" s="1"/>
  <c r="G36" i="228" s="1"/>
  <c r="C21" i="109"/>
  <c r="F21" i="109" s="1"/>
  <c r="G21" i="109" s="1"/>
  <c r="G27" i="207"/>
  <c r="P27" i="207" s="1"/>
  <c r="Q27" i="207" s="1"/>
  <c r="N40" i="228"/>
  <c r="C18" i="227"/>
  <c r="F18" i="227" s="1"/>
  <c r="G18" i="227" s="1"/>
  <c r="N17" i="227"/>
  <c r="J55" i="6"/>
  <c r="M55" i="6" s="1"/>
  <c r="N55" i="6" s="1"/>
  <c r="N30" i="218"/>
  <c r="J27" i="6"/>
  <c r="R27" i="6" s="1"/>
  <c r="S27" i="6" s="1"/>
  <c r="G29" i="207"/>
  <c r="P29" i="207" s="1"/>
  <c r="Q29" i="207" s="1"/>
  <c r="A22" i="109"/>
  <c r="N22" i="109" s="1"/>
  <c r="K28" i="6"/>
  <c r="V23" i="257" s="1"/>
  <c r="N27" i="219"/>
  <c r="C26" i="207"/>
  <c r="C54" i="6"/>
  <c r="K51" i="6"/>
  <c r="O51" i="6" s="1"/>
  <c r="P51" i="6" s="1"/>
  <c r="C24" i="109"/>
  <c r="F24" i="109" s="1"/>
  <c r="G24" i="109" s="1"/>
  <c r="C28" i="207"/>
  <c r="C56" i="6"/>
  <c r="C16" i="226"/>
  <c r="F16" i="226" s="1"/>
  <c r="G16" i="226" s="1"/>
  <c r="C6" i="79"/>
  <c r="N19" i="228"/>
  <c r="J53" i="6"/>
  <c r="M53" i="6" s="1"/>
  <c r="N53" i="6" s="1"/>
  <c r="C30" i="214"/>
  <c r="F30" i="214" s="1"/>
  <c r="G30" i="214" s="1"/>
  <c r="N40" i="226"/>
  <c r="A24" i="109"/>
  <c r="N24" i="109" s="1"/>
  <c r="J52" i="6"/>
  <c r="M52" i="6" s="1"/>
  <c r="N52" i="6" s="1"/>
  <c r="C37" i="227"/>
  <c r="F37" i="227" s="1"/>
  <c r="G37" i="227" s="1"/>
  <c r="G25" i="207"/>
  <c r="P25" i="207" s="1"/>
  <c r="Q25" i="207" s="1"/>
  <c r="C37" i="228"/>
  <c r="F37" i="228" s="1"/>
  <c r="G37" i="228" s="1"/>
  <c r="C27" i="218"/>
  <c r="F27" i="218" s="1"/>
  <c r="G27" i="218" s="1"/>
  <c r="N39" i="228"/>
  <c r="J51" i="6"/>
  <c r="M51" i="6" s="1"/>
  <c r="N51" i="6" s="1"/>
  <c r="C38" i="227"/>
  <c r="F38" i="227" s="1"/>
  <c r="G38" i="227" s="1"/>
  <c r="N17" i="228"/>
  <c r="F27" i="219"/>
  <c r="G27" i="219" s="1"/>
  <c r="C36" i="226"/>
  <c r="F36" i="226" s="1"/>
  <c r="G36" i="226" s="1"/>
  <c r="J8" i="139"/>
  <c r="C25" i="109"/>
  <c r="F25" i="109" s="1"/>
  <c r="G25" i="109" s="1"/>
  <c r="C38" i="228"/>
  <c r="F38" i="228" s="1"/>
  <c r="G38" i="228" s="1"/>
  <c r="N38" i="228"/>
  <c r="A23" i="109"/>
  <c r="N23" i="109" s="1"/>
  <c r="J36" i="139"/>
  <c r="C26" i="218"/>
  <c r="F26" i="218" s="1"/>
  <c r="G26" i="218" s="1"/>
  <c r="C17" i="226"/>
  <c r="F17" i="226" s="1"/>
  <c r="G17" i="226" s="1"/>
  <c r="C17" i="227"/>
  <c r="F17" i="227" s="1"/>
  <c r="G17" i="227" s="1"/>
  <c r="F26" i="219"/>
  <c r="G26" i="219" s="1"/>
  <c r="C16" i="228"/>
  <c r="F16" i="228" s="1"/>
  <c r="G16" i="228" s="1"/>
  <c r="O28" i="83"/>
  <c r="N28" i="83"/>
  <c r="C28" i="214"/>
  <c r="F28" i="214" s="1"/>
  <c r="G28" i="214" s="1"/>
  <c r="C26" i="83"/>
  <c r="F26" i="83" s="1"/>
  <c r="G26" i="83" s="1"/>
  <c r="J26" i="6"/>
  <c r="R26" i="6" s="1"/>
  <c r="S26" i="6" s="1"/>
  <c r="C27" i="83"/>
  <c r="F27" i="83" s="1"/>
  <c r="G27" i="83" s="1"/>
  <c r="C25" i="207"/>
  <c r="C53" i="6"/>
  <c r="K57" i="6"/>
  <c r="O57" i="6" s="1"/>
  <c r="P57" i="6" s="1"/>
  <c r="A21" i="109"/>
  <c r="N21" i="109" s="1"/>
  <c r="O29" i="83"/>
  <c r="N29" i="83"/>
  <c r="H28" i="207"/>
  <c r="R28" i="207" s="1"/>
  <c r="S28" i="207" s="1"/>
  <c r="H26" i="207"/>
  <c r="R26" i="207" s="1"/>
  <c r="S26" i="207" s="1"/>
  <c r="N36" i="228"/>
  <c r="C5" i="79"/>
  <c r="B16" i="230"/>
  <c r="B27" i="230" s="1"/>
  <c r="L14" i="257" s="1"/>
  <c r="H11" i="230"/>
  <c r="W17" i="168"/>
  <c r="N18" i="168"/>
  <c r="P18" i="168" s="1"/>
  <c r="M28" i="83" l="1"/>
  <c r="L26" i="217"/>
  <c r="V20" i="257"/>
  <c r="F27" i="214"/>
  <c r="G27" i="214" s="1"/>
  <c r="L21" i="109"/>
  <c r="L26" i="214"/>
  <c r="L56" i="6"/>
  <c r="Q56" i="6" s="1"/>
  <c r="K22" i="257"/>
  <c r="M30" i="83"/>
  <c r="L29" i="217"/>
  <c r="V21" i="257"/>
  <c r="L52" i="6"/>
  <c r="Q52" i="6" s="1"/>
  <c r="V19" i="257"/>
  <c r="L27" i="217"/>
  <c r="L30" i="217"/>
  <c r="V24" i="257"/>
  <c r="L30" i="218"/>
  <c r="L57" i="6"/>
  <c r="Q57" i="6" s="1"/>
  <c r="L24" i="6"/>
  <c r="V24" i="6" s="1"/>
  <c r="I27" i="207"/>
  <c r="T27" i="207" s="1"/>
  <c r="L30" i="214"/>
  <c r="L28" i="214"/>
  <c r="L51" i="6"/>
  <c r="Q51" i="6" s="1"/>
  <c r="L28" i="218"/>
  <c r="L29" i="6"/>
  <c r="V29" i="6" s="1"/>
  <c r="K20" i="257"/>
  <c r="M29" i="83"/>
  <c r="L54" i="6"/>
  <c r="Q54" i="6" s="1"/>
  <c r="L27" i="6"/>
  <c r="V27" i="6" s="1"/>
  <c r="T27" i="6"/>
  <c r="U27" i="6" s="1"/>
  <c r="L29" i="214"/>
  <c r="L25" i="6"/>
  <c r="V25" i="6" s="1"/>
  <c r="K23" i="257"/>
  <c r="T28" i="6"/>
  <c r="U28" i="6" s="1"/>
  <c r="L22" i="109"/>
  <c r="L26" i="218"/>
  <c r="L29" i="218"/>
  <c r="I29" i="207"/>
  <c r="T29" i="207" s="1"/>
  <c r="K24" i="257"/>
  <c r="L27" i="219"/>
  <c r="K21" i="257"/>
  <c r="L27" i="218"/>
  <c r="L29" i="219"/>
  <c r="L28" i="219"/>
  <c r="I26" i="207"/>
  <c r="T26" i="207" s="1"/>
  <c r="L26" i="219"/>
  <c r="M26" i="83"/>
  <c r="L26" i="6"/>
  <c r="V26" i="6" s="1"/>
  <c r="L30" i="219"/>
  <c r="L23" i="109"/>
  <c r="I25" i="207"/>
  <c r="T25" i="207" s="1"/>
  <c r="I28" i="207"/>
  <c r="T28" i="207" s="1"/>
  <c r="M27" i="83"/>
  <c r="L53" i="6"/>
  <c r="Q53" i="6" s="1"/>
  <c r="L24" i="109"/>
  <c r="L28" i="217"/>
  <c r="L28" i="6"/>
  <c r="V28" i="6" s="1"/>
  <c r="L55" i="6"/>
  <c r="Q55" i="6" s="1"/>
  <c r="L25" i="109"/>
  <c r="I86" i="231"/>
  <c r="I74" i="231"/>
  <c r="J74" i="231" s="1"/>
  <c r="I62" i="231"/>
  <c r="I37" i="231"/>
  <c r="I88" i="231"/>
  <c r="I69" i="231"/>
  <c r="I50" i="231"/>
  <c r="I25" i="231"/>
  <c r="I20" i="231"/>
  <c r="I41" i="44"/>
  <c r="I85" i="44"/>
  <c r="I100" i="44"/>
  <c r="I26" i="44"/>
  <c r="I48" i="44"/>
  <c r="I13" i="44"/>
  <c r="I36" i="44"/>
  <c r="I99" i="44"/>
  <c r="I87" i="44"/>
  <c r="I60" i="44"/>
  <c r="I11" i="44"/>
  <c r="I85" i="231"/>
  <c r="I87" i="231"/>
  <c r="I81" i="44"/>
  <c r="I86" i="44"/>
  <c r="I83" i="44"/>
  <c r="I18" i="44"/>
  <c r="I83" i="231"/>
  <c r="I68" i="231"/>
  <c r="I69" i="44"/>
  <c r="I84" i="44"/>
  <c r="I12" i="44"/>
  <c r="I23" i="44"/>
  <c r="J23" i="44" s="1"/>
  <c r="I59" i="231"/>
  <c r="I44" i="231"/>
  <c r="I19" i="231"/>
  <c r="I92" i="44"/>
  <c r="I20" i="44"/>
  <c r="I35" i="44"/>
  <c r="I104" i="231"/>
  <c r="I64" i="231"/>
  <c r="I48" i="231"/>
  <c r="I28" i="44"/>
  <c r="I61" i="231"/>
  <c r="I97" i="44"/>
  <c r="I43" i="44"/>
  <c r="I42" i="231"/>
  <c r="I88" i="44"/>
  <c r="I50" i="44"/>
  <c r="I54" i="231"/>
  <c r="I6" i="44"/>
  <c r="J6" i="44" s="1"/>
  <c r="I76" i="231"/>
  <c r="I10" i="231"/>
  <c r="I57" i="44"/>
  <c r="I19" i="44"/>
  <c r="I51" i="231"/>
  <c r="I71" i="44"/>
  <c r="I101" i="231"/>
  <c r="I33" i="231"/>
  <c r="I44" i="44"/>
  <c r="I60" i="231"/>
  <c r="I31" i="44"/>
  <c r="I59" i="44"/>
  <c r="I65" i="231"/>
  <c r="I105" i="44"/>
  <c r="I51" i="44"/>
  <c r="I57" i="231"/>
  <c r="I96" i="44"/>
  <c r="I58" i="44"/>
  <c r="I46" i="231"/>
  <c r="I95" i="44"/>
  <c r="I8" i="44"/>
  <c r="I29" i="231"/>
  <c r="I45" i="44"/>
  <c r="I81" i="231"/>
  <c r="I7" i="231"/>
  <c r="I64" i="44"/>
  <c r="I34" i="44"/>
  <c r="I47" i="231"/>
  <c r="I70" i="44"/>
  <c r="I105" i="231"/>
  <c r="I27" i="231"/>
  <c r="I24" i="44"/>
  <c r="I67" i="44"/>
  <c r="I71" i="231"/>
  <c r="I15" i="44"/>
  <c r="I74" i="44"/>
  <c r="J74" i="44" s="1"/>
  <c r="I45" i="231"/>
  <c r="I104" i="44"/>
  <c r="I66" i="44"/>
  <c r="I53" i="231"/>
  <c r="I103" i="44"/>
  <c r="I9" i="44"/>
  <c r="I36" i="231"/>
  <c r="I94" i="44"/>
  <c r="I96" i="231"/>
  <c r="I24" i="231"/>
  <c r="I68" i="44"/>
  <c r="I66" i="231"/>
  <c r="I79" i="44"/>
  <c r="I93" i="231"/>
  <c r="I32" i="231"/>
  <c r="I93" i="44"/>
  <c r="I77" i="231"/>
  <c r="I11" i="231"/>
  <c r="I17" i="44"/>
  <c r="I98" i="44"/>
  <c r="I52" i="231"/>
  <c r="I32" i="44"/>
  <c r="I49" i="44"/>
  <c r="I40" i="231"/>
  <c r="J40" i="231" s="1"/>
  <c r="I16" i="44"/>
  <c r="I25" i="44"/>
  <c r="I28" i="231"/>
  <c r="I102" i="44"/>
  <c r="I103" i="231"/>
  <c r="I31" i="231"/>
  <c r="I14" i="44"/>
  <c r="I91" i="231"/>
  <c r="I17" i="231"/>
  <c r="I82" i="44"/>
  <c r="I91" i="44"/>
  <c r="I70" i="231"/>
  <c r="I78" i="44"/>
  <c r="I97" i="231"/>
  <c r="I26" i="231"/>
  <c r="I29" i="44"/>
  <c r="I75" i="231"/>
  <c r="I6" i="231"/>
  <c r="J6" i="231" s="1"/>
  <c r="I40" i="44"/>
  <c r="J40" i="44" s="1"/>
  <c r="I10" i="44"/>
  <c r="I49" i="231"/>
  <c r="I47" i="44"/>
  <c r="I102" i="231"/>
  <c r="I35" i="231"/>
  <c r="I7" i="44"/>
  <c r="I95" i="231"/>
  <c r="I30" i="231"/>
  <c r="I30" i="44"/>
  <c r="I92" i="231"/>
  <c r="I9" i="231"/>
  <c r="I53" i="44"/>
  <c r="I80" i="231"/>
  <c r="I14" i="231"/>
  <c r="I65" i="44"/>
  <c r="I27" i="44"/>
  <c r="I43" i="231"/>
  <c r="I101" i="44"/>
  <c r="I84" i="231"/>
  <c r="I18" i="231"/>
  <c r="I52" i="44"/>
  <c r="I67" i="231"/>
  <c r="I63" i="44"/>
  <c r="I94" i="231"/>
  <c r="I34" i="231"/>
  <c r="I54" i="44"/>
  <c r="I98" i="231"/>
  <c r="I8" i="231"/>
  <c r="I46" i="44"/>
  <c r="I99" i="231"/>
  <c r="I16" i="231"/>
  <c r="I61" i="44"/>
  <c r="I79" i="231"/>
  <c r="I13" i="231"/>
  <c r="I76" i="44"/>
  <c r="I58" i="231"/>
  <c r="I80" i="44"/>
  <c r="I42" i="44"/>
  <c r="I41" i="231"/>
  <c r="I37" i="44"/>
  <c r="I82" i="231"/>
  <c r="I15" i="231"/>
  <c r="I33" i="44"/>
  <c r="I75" i="44"/>
  <c r="I63" i="231"/>
  <c r="I62" i="44"/>
  <c r="I100" i="231"/>
  <c r="I23" i="231"/>
  <c r="J23" i="231" s="1"/>
  <c r="I77" i="44"/>
  <c r="I78" i="231"/>
  <c r="I12" i="231"/>
  <c r="W18" i="168"/>
  <c r="N19" i="168"/>
  <c r="P19" i="168" s="1"/>
  <c r="J57" i="44" l="1"/>
  <c r="J91" i="44"/>
  <c r="J91" i="231"/>
  <c r="J57" i="231"/>
  <c r="W19" i="168"/>
  <c r="N20" i="168"/>
  <c r="P20" i="168" s="1"/>
  <c r="B25" i="140"/>
  <c r="D24" i="140"/>
  <c r="D23" i="140"/>
  <c r="D22" i="140"/>
  <c r="D21" i="140"/>
  <c r="D20" i="140"/>
  <c r="D19" i="140"/>
  <c r="D18" i="140"/>
  <c r="D17" i="140"/>
  <c r="D16" i="140"/>
  <c r="D15" i="140"/>
  <c r="D14" i="140"/>
  <c r="D13" i="140"/>
  <c r="D12" i="140"/>
  <c r="D11" i="140"/>
  <c r="D10" i="140"/>
  <c r="D9" i="140"/>
  <c r="D8" i="140"/>
  <c r="D7" i="140"/>
  <c r="F25" i="140"/>
  <c r="I25" i="140" s="1"/>
  <c r="E25" i="140"/>
  <c r="G7" i="140"/>
  <c r="G8" i="140"/>
  <c r="G9" i="140"/>
  <c r="G10" i="140"/>
  <c r="G11" i="140"/>
  <c r="G12" i="140"/>
  <c r="G13" i="140"/>
  <c r="G14" i="140"/>
  <c r="J14" i="140" s="1"/>
  <c r="G15" i="140"/>
  <c r="G16" i="140"/>
  <c r="G17" i="140"/>
  <c r="G18" i="140"/>
  <c r="G19" i="140"/>
  <c r="G20" i="140"/>
  <c r="G21" i="140"/>
  <c r="G22" i="140"/>
  <c r="J22" i="140" s="1"/>
  <c r="G23" i="140"/>
  <c r="G24" i="140"/>
  <c r="J6" i="140"/>
  <c r="J10" i="140" l="1"/>
  <c r="J23" i="140"/>
  <c r="J15" i="140"/>
  <c r="J7" i="140"/>
  <c r="J11" i="140"/>
  <c r="J19" i="140"/>
  <c r="J18" i="140"/>
  <c r="J21" i="140"/>
  <c r="J13" i="140"/>
  <c r="J20" i="140"/>
  <c r="J17" i="140"/>
  <c r="J9" i="140"/>
  <c r="J24" i="140"/>
  <c r="J16" i="140"/>
  <c r="J12" i="140"/>
  <c r="J8" i="140"/>
  <c r="D25" i="140"/>
  <c r="H25" i="140"/>
  <c r="W20" i="168"/>
  <c r="N21" i="168"/>
  <c r="P21" i="168" s="1"/>
  <c r="G25" i="140"/>
  <c r="Y27" i="6" l="1"/>
  <c r="X29" i="207"/>
  <c r="W29" i="207"/>
  <c r="Z28" i="6"/>
  <c r="W28" i="207"/>
  <c r="Z27" i="6"/>
  <c r="Y28" i="6"/>
  <c r="X28" i="207"/>
  <c r="J25" i="140"/>
  <c r="W21" i="168"/>
  <c r="N22" i="168"/>
  <c r="P22" i="168" s="1"/>
  <c r="W22" i="168" l="1"/>
  <c r="N23" i="168"/>
  <c r="P23" i="168" s="1"/>
  <c r="W23" i="168" l="1"/>
  <c r="N24" i="168"/>
  <c r="P24" i="168" s="1"/>
  <c r="W24" i="168" l="1"/>
  <c r="N25" i="168"/>
  <c r="P25" i="168" s="1"/>
  <c r="W25" i="168" l="1"/>
  <c r="N26" i="168"/>
  <c r="P26" i="168" s="1"/>
  <c r="W26" i="168" l="1"/>
  <c r="N27" i="168"/>
  <c r="P27" i="168" s="1"/>
  <c r="W27" i="168" l="1"/>
  <c r="N28" i="168"/>
  <c r="P28" i="168" s="1"/>
  <c r="W28" i="168" l="1"/>
  <c r="N29" i="168"/>
  <c r="P29" i="168" s="1"/>
  <c r="N30" i="168" l="1"/>
  <c r="P30" i="168" s="1"/>
  <c r="W29" i="168"/>
  <c r="W30" i="168" l="1"/>
  <c r="N31" i="168"/>
  <c r="P31" i="168" s="1"/>
  <c r="W31" i="168" l="1"/>
  <c r="N32" i="168"/>
  <c r="P32" i="168" s="1"/>
  <c r="W32" i="168" l="1"/>
  <c r="N33" i="168"/>
  <c r="P33" i="168" s="1"/>
  <c r="M36" i="139" l="1"/>
  <c r="N36" i="139" s="1"/>
  <c r="W33" i="168"/>
  <c r="N34" i="168"/>
  <c r="P34" i="168" s="1"/>
  <c r="P8" i="207" l="1"/>
  <c r="Q8" i="207" s="1"/>
  <c r="J18" i="249"/>
  <c r="W34" i="168"/>
  <c r="N35" i="168"/>
  <c r="P35" i="168" s="1"/>
  <c r="L19" i="233" l="1"/>
  <c r="L20" i="233"/>
  <c r="L11" i="233"/>
  <c r="N22" i="232"/>
  <c r="M34" i="139"/>
  <c r="N34" i="139" s="1"/>
  <c r="D39" i="151"/>
  <c r="D40" i="151"/>
  <c r="D31" i="151"/>
  <c r="F9" i="135"/>
  <c r="G9" i="135" s="1"/>
  <c r="C9" i="45"/>
  <c r="W35" i="168"/>
  <c r="N36" i="168"/>
  <c r="P36" i="168" s="1"/>
  <c r="W36" i="168" l="1"/>
  <c r="N37" i="168"/>
  <c r="P37" i="168" s="1"/>
  <c r="N38" i="168" s="1"/>
  <c r="P38" i="168" l="1"/>
  <c r="W38" i="168" s="1"/>
  <c r="W37" i="168"/>
  <c r="N39" i="168" l="1"/>
  <c r="P39" i="168" s="1"/>
  <c r="V38" i="139"/>
  <c r="T38" i="139" s="1"/>
  <c r="V34" i="139"/>
  <c r="T34" i="139" s="1"/>
  <c r="V32" i="139"/>
  <c r="T32" i="139" s="1"/>
  <c r="V30" i="139"/>
  <c r="T30" i="139" s="1"/>
  <c r="A7" i="45"/>
  <c r="A8" i="45"/>
  <c r="A9" i="45"/>
  <c r="A10" i="45"/>
  <c r="A6" i="45"/>
  <c r="A46" i="102"/>
  <c r="B46" i="102"/>
  <c r="J46" i="102"/>
  <c r="R46" i="102"/>
  <c r="A39" i="102"/>
  <c r="B39" i="102"/>
  <c r="J39" i="102"/>
  <c r="R39" i="102"/>
  <c r="A40" i="102"/>
  <c r="B40" i="102"/>
  <c r="J40" i="102"/>
  <c r="R40" i="102"/>
  <c r="A41" i="102"/>
  <c r="B41" i="102"/>
  <c r="J41" i="102"/>
  <c r="R41" i="102"/>
  <c r="A42" i="102"/>
  <c r="B42" i="102"/>
  <c r="J42" i="102"/>
  <c r="R42" i="102"/>
  <c r="A43" i="102"/>
  <c r="B43" i="102"/>
  <c r="J43" i="102"/>
  <c r="R43" i="102"/>
  <c r="A44" i="102"/>
  <c r="B44" i="102"/>
  <c r="J44" i="102"/>
  <c r="R44" i="102"/>
  <c r="A45" i="102"/>
  <c r="B45" i="102"/>
  <c r="J45" i="102"/>
  <c r="R45" i="102"/>
  <c r="N141" i="92" l="1"/>
  <c r="F17" i="249"/>
  <c r="G17" i="249" s="1"/>
  <c r="N70" i="92"/>
  <c r="N65" i="92"/>
  <c r="N90" i="92"/>
  <c r="F27" i="234"/>
  <c r="G27" i="234" s="1"/>
  <c r="N96" i="92"/>
  <c r="N94" i="92"/>
  <c r="N62" i="92"/>
  <c r="P18" i="212"/>
  <c r="Q18" i="212" s="1"/>
  <c r="N60" i="92"/>
  <c r="P17" i="212"/>
  <c r="Q17" i="212" s="1"/>
  <c r="N63" i="92"/>
  <c r="J6" i="257"/>
  <c r="J5" i="257"/>
  <c r="N154" i="92"/>
  <c r="N131" i="92"/>
  <c r="F8" i="57"/>
  <c r="G8" i="57" s="1"/>
  <c r="N21" i="92"/>
  <c r="N159" i="92"/>
  <c r="N174" i="92"/>
  <c r="R8" i="212"/>
  <c r="S8" i="212" s="1"/>
  <c r="N98" i="92"/>
  <c r="N18" i="92"/>
  <c r="N24" i="92"/>
  <c r="N23" i="92"/>
  <c r="N19" i="92"/>
  <c r="N89" i="92"/>
  <c r="N100" i="92"/>
  <c r="N32" i="92"/>
  <c r="F19" i="217"/>
  <c r="G19" i="217" s="1"/>
  <c r="F35" i="57"/>
  <c r="G35" i="57" s="1"/>
  <c r="N133" i="92"/>
  <c r="N30" i="92"/>
  <c r="N46" i="92"/>
  <c r="N163" i="92"/>
  <c r="F19" i="131"/>
  <c r="G19" i="131" s="1"/>
  <c r="R14" i="212"/>
  <c r="S14" i="212" s="1"/>
  <c r="N123" i="92"/>
  <c r="N53" i="92"/>
  <c r="N109" i="92"/>
  <c r="N45" i="92"/>
  <c r="N132" i="92"/>
  <c r="F24" i="131"/>
  <c r="I24" i="131" s="1"/>
  <c r="N162" i="92"/>
  <c r="H12" i="57"/>
  <c r="N122" i="92"/>
  <c r="N145" i="92"/>
  <c r="N155" i="92"/>
  <c r="H18" i="234"/>
  <c r="L42" i="131"/>
  <c r="N168" i="92"/>
  <c r="N97" i="92"/>
  <c r="N22" i="92"/>
  <c r="H29" i="234"/>
  <c r="H34" i="234"/>
  <c r="N52" i="92"/>
  <c r="N167" i="92"/>
  <c r="N114" i="92"/>
  <c r="N72" i="92"/>
  <c r="N57" i="92"/>
  <c r="L29" i="131"/>
  <c r="N178" i="92"/>
  <c r="N112" i="92"/>
  <c r="N10" i="92"/>
  <c r="N101" i="92"/>
  <c r="N88" i="92"/>
  <c r="L23" i="217"/>
  <c r="N115" i="92"/>
  <c r="N135" i="92"/>
  <c r="N87" i="92"/>
  <c r="N142" i="92"/>
  <c r="P16" i="212"/>
  <c r="Q16" i="212" s="1"/>
  <c r="L7" i="131"/>
  <c r="N93" i="92"/>
  <c r="F51" i="131"/>
  <c r="G51" i="131" s="1"/>
  <c r="N43" i="92"/>
  <c r="D26" i="55"/>
  <c r="D28" i="55" s="1"/>
  <c r="C26" i="55"/>
  <c r="C28" i="55" s="1"/>
  <c r="H15" i="234"/>
  <c r="N164" i="92"/>
  <c r="N147" i="92"/>
  <c r="N11" i="92"/>
  <c r="N128" i="92"/>
  <c r="N38" i="92"/>
  <c r="L16" i="219"/>
  <c r="N40" i="92"/>
  <c r="N25" i="92"/>
  <c r="F26" i="55"/>
  <c r="F28" i="55" s="1"/>
  <c r="N150" i="92"/>
  <c r="N165" i="92"/>
  <c r="F19" i="249"/>
  <c r="G19" i="249" s="1"/>
  <c r="N27" i="92"/>
  <c r="N171" i="92"/>
  <c r="H33" i="234"/>
  <c r="F37" i="131"/>
  <c r="G37" i="131" s="1"/>
  <c r="N129" i="92"/>
  <c r="N146" i="92"/>
  <c r="L21" i="131"/>
  <c r="N139" i="92"/>
  <c r="N118" i="92"/>
  <c r="H20" i="234"/>
  <c r="N156" i="92"/>
  <c r="L18" i="131"/>
  <c r="N69" i="92"/>
  <c r="N138" i="92"/>
  <c r="N8" i="92"/>
  <c r="F21" i="234"/>
  <c r="G21" i="234" s="1"/>
  <c r="N137" i="92"/>
  <c r="H20" i="57"/>
  <c r="N85" i="92"/>
  <c r="L12" i="219"/>
  <c r="N175" i="92"/>
  <c r="L23" i="131"/>
  <c r="N136" i="92"/>
  <c r="H31" i="57"/>
  <c r="N6" i="92"/>
  <c r="N34" i="92"/>
  <c r="N58" i="92"/>
  <c r="N33" i="92"/>
  <c r="L19" i="219"/>
  <c r="N102" i="92"/>
  <c r="N14" i="92"/>
  <c r="E26" i="55"/>
  <c r="E28" i="55" s="1"/>
  <c r="N36" i="92"/>
  <c r="N49" i="92"/>
  <c r="N126" i="92"/>
  <c r="N125" i="92"/>
  <c r="L54" i="131"/>
  <c r="N17" i="92"/>
  <c r="F19" i="234"/>
  <c r="G19" i="234" s="1"/>
  <c r="H17" i="57"/>
  <c r="N105" i="92"/>
  <c r="N12" i="92"/>
  <c r="N153" i="92"/>
  <c r="F15" i="131"/>
  <c r="F8" i="217"/>
  <c r="G8" i="217" s="1"/>
  <c r="N106" i="92"/>
  <c r="N71" i="92"/>
  <c r="H26" i="57"/>
  <c r="N160" i="92"/>
  <c r="N73" i="92"/>
  <c r="N180" i="92"/>
  <c r="N121" i="92"/>
  <c r="F26" i="234"/>
  <c r="G26" i="234" s="1"/>
  <c r="N66" i="92"/>
  <c r="F7" i="217"/>
  <c r="G7" i="217" s="1"/>
  <c r="N80" i="92"/>
  <c r="N82" i="92"/>
  <c r="F53" i="131"/>
  <c r="G53" i="131" s="1"/>
  <c r="N143" i="92"/>
  <c r="N44" i="92"/>
  <c r="N83" i="92"/>
  <c r="H13" i="57"/>
  <c r="H37" i="57"/>
  <c r="N76" i="92"/>
  <c r="N148" i="92"/>
  <c r="N47" i="92"/>
  <c r="N39" i="92"/>
  <c r="N92" i="92"/>
  <c r="N26" i="92"/>
  <c r="L27" i="131"/>
  <c r="N120" i="92"/>
  <c r="F7" i="234"/>
  <c r="G7" i="234" s="1"/>
  <c r="N15" i="92"/>
  <c r="N169" i="92"/>
  <c r="G26" i="55"/>
  <c r="G28" i="55" s="1"/>
  <c r="N51" i="92"/>
  <c r="N78" i="92"/>
  <c r="N166" i="92"/>
  <c r="N95" i="92"/>
  <c r="N176" i="92"/>
  <c r="N158" i="92"/>
  <c r="N177" i="92"/>
  <c r="N13" i="92"/>
  <c r="P11" i="212"/>
  <c r="Q11" i="212" s="1"/>
  <c r="N99" i="92"/>
  <c r="H38" i="234"/>
  <c r="H11" i="234"/>
  <c r="N91" i="92"/>
  <c r="N134" i="92"/>
  <c r="N74" i="92"/>
  <c r="N149" i="92"/>
  <c r="N55" i="92"/>
  <c r="F22" i="217"/>
  <c r="G22" i="217" s="1"/>
  <c r="H18" i="57"/>
  <c r="N173" i="92"/>
  <c r="F46" i="131"/>
  <c r="L8" i="219"/>
  <c r="N124" i="92"/>
  <c r="N119" i="92"/>
  <c r="N140" i="92"/>
  <c r="N77" i="92"/>
  <c r="N151" i="92"/>
  <c r="N20" i="92"/>
  <c r="L32" i="131"/>
  <c r="N31" i="92"/>
  <c r="N50" i="92"/>
  <c r="N68" i="92"/>
  <c r="N84" i="92"/>
  <c r="L24" i="219"/>
  <c r="F14" i="219"/>
  <c r="G14" i="219" s="1"/>
  <c r="N113" i="92"/>
  <c r="N64" i="92"/>
  <c r="N108" i="92"/>
  <c r="N61" i="92"/>
  <c r="N130" i="92"/>
  <c r="L17" i="219"/>
  <c r="H26" i="55"/>
  <c r="H28" i="55" s="1"/>
  <c r="H33" i="57"/>
  <c r="N86" i="92"/>
  <c r="N37" i="92"/>
  <c r="F9" i="217"/>
  <c r="G9" i="217" s="1"/>
  <c r="N107" i="92"/>
  <c r="F31" i="131"/>
  <c r="G31" i="131" s="1"/>
  <c r="N9" i="92"/>
  <c r="N104" i="92"/>
  <c r="N7" i="92"/>
  <c r="N170" i="92"/>
  <c r="N111" i="92"/>
  <c r="N172" i="92"/>
  <c r="L22" i="131"/>
  <c r="N75" i="92"/>
  <c r="N28" i="92"/>
  <c r="N16" i="92"/>
  <c r="N67" i="92"/>
  <c r="N35" i="92"/>
  <c r="F31" i="234"/>
  <c r="G31" i="234" s="1"/>
  <c r="F50" i="131"/>
  <c r="G50" i="131" s="1"/>
  <c r="N161" i="92"/>
  <c r="F16" i="131"/>
  <c r="G16" i="131" s="1"/>
  <c r="N59" i="92"/>
  <c r="N117" i="92"/>
  <c r="N56" i="92"/>
  <c r="N42" i="92"/>
  <c r="N110" i="92"/>
  <c r="F27" i="57"/>
  <c r="G27" i="57" s="1"/>
  <c r="N41" i="92"/>
  <c r="N116" i="92"/>
  <c r="F18" i="217"/>
  <c r="G18" i="217" s="1"/>
  <c r="L14" i="131"/>
  <c r="N103" i="92"/>
  <c r="N152" i="92"/>
  <c r="F33" i="131"/>
  <c r="G33" i="131" s="1"/>
  <c r="N157" i="92"/>
  <c r="N54" i="92"/>
  <c r="L30" i="131"/>
  <c r="N29" i="92"/>
  <c r="N127" i="92"/>
  <c r="L6" i="131"/>
  <c r="R11" i="212"/>
  <c r="S11" i="212" s="1"/>
  <c r="L37" i="131"/>
  <c r="J19" i="249"/>
  <c r="F21" i="131"/>
  <c r="G21" i="131" s="1"/>
  <c r="F23" i="131"/>
  <c r="G23" i="131" s="1"/>
  <c r="F29" i="234"/>
  <c r="G29" i="234" s="1"/>
  <c r="J8" i="257"/>
  <c r="R13" i="212"/>
  <c r="S13" i="212" s="1"/>
  <c r="F31" i="57"/>
  <c r="G31" i="57" s="1"/>
  <c r="H19" i="234"/>
  <c r="L24" i="131"/>
  <c r="F9" i="249"/>
  <c r="G9" i="249" s="1"/>
  <c r="F33" i="234"/>
  <c r="G33" i="234" s="1"/>
  <c r="J9" i="249"/>
  <c r="J3" i="257"/>
  <c r="L7" i="217"/>
  <c r="F16" i="219"/>
  <c r="G16" i="219" s="1"/>
  <c r="L8" i="217"/>
  <c r="L19" i="217"/>
  <c r="L20" i="219"/>
  <c r="F20" i="219"/>
  <c r="G20" i="219" s="1"/>
  <c r="H37" i="234"/>
  <c r="F37" i="234"/>
  <c r="G37" i="234" s="1"/>
  <c r="F21" i="217"/>
  <c r="G21" i="217" s="1"/>
  <c r="L21" i="217"/>
  <c r="F10" i="131"/>
  <c r="G10" i="131" s="1"/>
  <c r="L10" i="131"/>
  <c r="H9" i="234"/>
  <c r="F9" i="234"/>
  <c r="G9" i="234" s="1"/>
  <c r="J7" i="257"/>
  <c r="H28" i="234"/>
  <c r="F28" i="234"/>
  <c r="G28" i="234" s="1"/>
  <c r="F20" i="217"/>
  <c r="G20" i="217" s="1"/>
  <c r="L20" i="217"/>
  <c r="H19" i="57"/>
  <c r="F19" i="57"/>
  <c r="G19" i="57" s="1"/>
  <c r="R10" i="212"/>
  <c r="S10" i="212" s="1"/>
  <c r="F11" i="217"/>
  <c r="G11" i="217" s="1"/>
  <c r="L11" i="217"/>
  <c r="F6" i="217"/>
  <c r="G6" i="217" s="1"/>
  <c r="L6" i="217"/>
  <c r="F23" i="217"/>
  <c r="G23" i="217" s="1"/>
  <c r="F13" i="217"/>
  <c r="G13" i="217" s="1"/>
  <c r="L13" i="217"/>
  <c r="J10" i="257"/>
  <c r="R15" i="212"/>
  <c r="S15" i="212" s="1"/>
  <c r="H25" i="57"/>
  <c r="F25" i="57"/>
  <c r="G25" i="57" s="1"/>
  <c r="H21" i="57"/>
  <c r="F21" i="57"/>
  <c r="G21" i="57" s="1"/>
  <c r="J13" i="249"/>
  <c r="F13" i="249"/>
  <c r="G13" i="249" s="1"/>
  <c r="L41" i="131"/>
  <c r="F41" i="131"/>
  <c r="H28" i="57"/>
  <c r="F28" i="57"/>
  <c r="G28" i="57" s="1"/>
  <c r="J7" i="249"/>
  <c r="F7" i="249"/>
  <c r="G7" i="249" s="1"/>
  <c r="R12" i="212"/>
  <c r="S12" i="212" s="1"/>
  <c r="G24" i="131"/>
  <c r="N40" i="168"/>
  <c r="P40" i="168" s="1"/>
  <c r="W39" i="168"/>
  <c r="V36" i="139"/>
  <c r="T36" i="139" s="1"/>
  <c r="V40" i="139"/>
  <c r="T40" i="139" s="1"/>
  <c r="T29" i="139"/>
  <c r="V37" i="139"/>
  <c r="T37" i="139" s="1"/>
  <c r="V33" i="139"/>
  <c r="T33" i="139" s="1"/>
  <c r="V41" i="139"/>
  <c r="T41" i="139" s="1"/>
  <c r="V42" i="139"/>
  <c r="T42" i="139" s="1"/>
  <c r="V31" i="139"/>
  <c r="T31" i="139" s="1"/>
  <c r="V35" i="139"/>
  <c r="T35" i="139" s="1"/>
  <c r="V43" i="139"/>
  <c r="T43" i="139" s="1"/>
  <c r="V39" i="139"/>
  <c r="T39" i="139" s="1"/>
  <c r="F24" i="139"/>
  <c r="I24" i="139"/>
  <c r="D6" i="25" s="1"/>
  <c r="Q24" i="139"/>
  <c r="I37" i="131" l="1"/>
  <c r="F20" i="57"/>
  <c r="G20" i="57" s="1"/>
  <c r="F34" i="234"/>
  <c r="G34" i="234" s="1"/>
  <c r="L46" i="131"/>
  <c r="F12" i="57"/>
  <c r="G12" i="57" s="1"/>
  <c r="F54" i="131"/>
  <c r="H21" i="234"/>
  <c r="H35" i="57"/>
  <c r="F18" i="234"/>
  <c r="G18" i="234" s="1"/>
  <c r="I16" i="131"/>
  <c r="F42" i="131"/>
  <c r="G42" i="131" s="1"/>
  <c r="L51" i="131"/>
  <c r="I51" i="131"/>
  <c r="H27" i="234"/>
  <c r="L50" i="131"/>
  <c r="I50" i="131"/>
  <c r="C11" i="249"/>
  <c r="F11" i="249" s="1"/>
  <c r="G11" i="249" s="1"/>
  <c r="F17" i="57"/>
  <c r="G17" i="57" s="1"/>
  <c r="H7" i="234"/>
  <c r="H8" i="57"/>
  <c r="L19" i="131"/>
  <c r="F15" i="234"/>
  <c r="G15" i="234" s="1"/>
  <c r="F7" i="131"/>
  <c r="I7" i="131" s="1"/>
  <c r="L53" i="131"/>
  <c r="F32" i="131"/>
  <c r="G32" i="131" s="1"/>
  <c r="H26" i="234"/>
  <c r="F27" i="131"/>
  <c r="G27" i="131" s="1"/>
  <c r="L31" i="131"/>
  <c r="F14" i="131"/>
  <c r="G14" i="131" s="1"/>
  <c r="I31" i="131"/>
  <c r="F37" i="57"/>
  <c r="G37" i="57" s="1"/>
  <c r="L15" i="131"/>
  <c r="H31" i="234"/>
  <c r="I53" i="131"/>
  <c r="F24" i="219"/>
  <c r="G24" i="219" s="1"/>
  <c r="T11" i="212"/>
  <c r="F6" i="131"/>
  <c r="G6" i="131" s="1"/>
  <c r="I33" i="131"/>
  <c r="I21" i="131"/>
  <c r="C39" i="234"/>
  <c r="F39" i="234" s="1"/>
  <c r="G39" i="234" s="1"/>
  <c r="H27" i="57"/>
  <c r="C22" i="57"/>
  <c r="F22" i="57" s="1"/>
  <c r="G22" i="57" s="1"/>
  <c r="F38" i="234"/>
  <c r="G38" i="234" s="1"/>
  <c r="C15" i="249"/>
  <c r="L22" i="217"/>
  <c r="I23" i="131"/>
  <c r="C39" i="57"/>
  <c r="F39" i="57" s="1"/>
  <c r="G39" i="57" s="1"/>
  <c r="L33" i="131"/>
  <c r="C26" i="131"/>
  <c r="L16" i="131"/>
  <c r="F33" i="57"/>
  <c r="G33" i="57" s="1"/>
  <c r="F29" i="131"/>
  <c r="G29" i="131" s="1"/>
  <c r="T5" i="80"/>
  <c r="F12" i="219"/>
  <c r="G12" i="219" s="1"/>
  <c r="F19" i="219"/>
  <c r="G19" i="219" s="1"/>
  <c r="J9" i="257"/>
  <c r="R5" i="80"/>
  <c r="L14" i="219"/>
  <c r="F11" i="234"/>
  <c r="G11" i="234" s="1"/>
  <c r="F179" i="92"/>
  <c r="F79" i="92"/>
  <c r="F17" i="219"/>
  <c r="G17" i="219" s="1"/>
  <c r="H9" i="57"/>
  <c r="F9" i="57"/>
  <c r="G9" i="57" s="1"/>
  <c r="H7" i="57"/>
  <c r="F7" i="57"/>
  <c r="G7" i="57" s="1"/>
  <c r="R9" i="212"/>
  <c r="S9" i="212" s="1"/>
  <c r="J4" i="257"/>
  <c r="F35" i="131"/>
  <c r="L35" i="131"/>
  <c r="L9" i="217"/>
  <c r="F49" i="131"/>
  <c r="L49" i="131"/>
  <c r="L9" i="131"/>
  <c r="F9" i="131"/>
  <c r="L11" i="219"/>
  <c r="F11" i="219"/>
  <c r="G11" i="219" s="1"/>
  <c r="H16" i="57"/>
  <c r="F16" i="57"/>
  <c r="G16" i="57" s="1"/>
  <c r="J21" i="249"/>
  <c r="F21" i="249"/>
  <c r="G21" i="249" s="1"/>
  <c r="F14" i="249"/>
  <c r="G14" i="249" s="1"/>
  <c r="J14" i="249"/>
  <c r="C22" i="234"/>
  <c r="F13" i="131"/>
  <c r="G13" i="131" s="1"/>
  <c r="F26" i="57"/>
  <c r="G26" i="57" s="1"/>
  <c r="L25" i="219"/>
  <c r="F25" i="219"/>
  <c r="G25" i="219" s="1"/>
  <c r="F43" i="131"/>
  <c r="G43" i="131" s="1"/>
  <c r="L43" i="131"/>
  <c r="L52" i="131"/>
  <c r="F52" i="131"/>
  <c r="F32" i="57"/>
  <c r="G32" i="57" s="1"/>
  <c r="H32" i="57"/>
  <c r="F16" i="217"/>
  <c r="G16" i="217" s="1"/>
  <c r="L16" i="217"/>
  <c r="H36" i="234"/>
  <c r="F36" i="234"/>
  <c r="G36" i="234" s="1"/>
  <c r="L13" i="131"/>
  <c r="F11" i="131"/>
  <c r="L11" i="131"/>
  <c r="R16" i="212"/>
  <c r="S16" i="212" s="1"/>
  <c r="J11" i="257"/>
  <c r="T16" i="212"/>
  <c r="R17" i="212"/>
  <c r="S17" i="212" s="1"/>
  <c r="T17" i="212"/>
  <c r="J12" i="257"/>
  <c r="L18" i="217"/>
  <c r="H17" i="234"/>
  <c r="F17" i="234"/>
  <c r="G17" i="234" s="1"/>
  <c r="L47" i="131"/>
  <c r="F47" i="131"/>
  <c r="F34" i="131"/>
  <c r="L34" i="131"/>
  <c r="F8" i="131"/>
  <c r="L8" i="131"/>
  <c r="F13" i="57"/>
  <c r="G13" i="57" s="1"/>
  <c r="F13" i="219"/>
  <c r="G13" i="219" s="1"/>
  <c r="L13" i="219"/>
  <c r="F12" i="217"/>
  <c r="G12" i="217" s="1"/>
  <c r="L12" i="217"/>
  <c r="F16" i="234"/>
  <c r="G16" i="234" s="1"/>
  <c r="H16" i="234"/>
  <c r="H12" i="234"/>
  <c r="F12" i="234"/>
  <c r="G12" i="234" s="1"/>
  <c r="L45" i="131"/>
  <c r="F45" i="131"/>
  <c r="H29" i="57"/>
  <c r="F29" i="57"/>
  <c r="G29" i="57" s="1"/>
  <c r="R18" i="212"/>
  <c r="S18" i="212" s="1"/>
  <c r="T18" i="212"/>
  <c r="J13" i="257"/>
  <c r="L6" i="219"/>
  <c r="F6" i="219"/>
  <c r="G6" i="219" s="1"/>
  <c r="L18" i="219"/>
  <c r="F18" i="219"/>
  <c r="G18" i="219" s="1"/>
  <c r="H32" i="234"/>
  <c r="F32" i="234"/>
  <c r="G32" i="234" s="1"/>
  <c r="F20" i="131"/>
  <c r="L20" i="131"/>
  <c r="H14" i="57"/>
  <c r="F14" i="57"/>
  <c r="G14" i="57" s="1"/>
  <c r="H13" i="234"/>
  <c r="F13" i="234"/>
  <c r="G13" i="234" s="1"/>
  <c r="F24" i="217"/>
  <c r="G24" i="217" s="1"/>
  <c r="L24" i="217"/>
  <c r="H36" i="57"/>
  <c r="F36" i="57"/>
  <c r="G36" i="57" s="1"/>
  <c r="F30" i="234"/>
  <c r="G30" i="234" s="1"/>
  <c r="H30" i="234"/>
  <c r="H25" i="234"/>
  <c r="F25" i="234"/>
  <c r="G25" i="234" s="1"/>
  <c r="H11" i="57"/>
  <c r="F11" i="57"/>
  <c r="G11" i="57" s="1"/>
  <c r="F22" i="219"/>
  <c r="G22" i="219" s="1"/>
  <c r="L22" i="219"/>
  <c r="F144" i="92"/>
  <c r="F181" i="92" s="1"/>
  <c r="F18" i="131"/>
  <c r="G18" i="131" s="1"/>
  <c r="S5" i="80"/>
  <c r="F20" i="234"/>
  <c r="G20" i="234" s="1"/>
  <c r="L10" i="219"/>
  <c r="F10" i="219"/>
  <c r="G10" i="219" s="1"/>
  <c r="H24" i="234"/>
  <c r="F24" i="234"/>
  <c r="G24" i="234" s="1"/>
  <c r="F14" i="217"/>
  <c r="G14" i="217" s="1"/>
  <c r="L14" i="217"/>
  <c r="F25" i="131"/>
  <c r="G25" i="131" s="1"/>
  <c r="L25" i="131"/>
  <c r="F17" i="131"/>
  <c r="L17" i="131"/>
  <c r="F38" i="57"/>
  <c r="G38" i="57" s="1"/>
  <c r="H38" i="57"/>
  <c r="H10" i="57"/>
  <c r="F10" i="57"/>
  <c r="G10" i="57" s="1"/>
  <c r="H15" i="57"/>
  <c r="F15" i="57"/>
  <c r="G15" i="57" s="1"/>
  <c r="H34" i="57"/>
  <c r="F34" i="57"/>
  <c r="G34" i="57" s="1"/>
  <c r="H8" i="234"/>
  <c r="F8" i="234"/>
  <c r="G8" i="234" s="1"/>
  <c r="L9" i="219"/>
  <c r="F9" i="219"/>
  <c r="G9" i="219" s="1"/>
  <c r="F18" i="57"/>
  <c r="G18" i="57" s="1"/>
  <c r="L7" i="219"/>
  <c r="F7" i="219"/>
  <c r="G7" i="219" s="1"/>
  <c r="L40" i="131"/>
  <c r="F40" i="131"/>
  <c r="L48" i="131"/>
  <c r="F48" i="131"/>
  <c r="F10" i="234"/>
  <c r="G10" i="234" s="1"/>
  <c r="H10" i="234"/>
  <c r="J8" i="249"/>
  <c r="F8" i="249"/>
  <c r="G8" i="249" s="1"/>
  <c r="C55" i="131"/>
  <c r="F55" i="131" s="1"/>
  <c r="G55" i="131" s="1"/>
  <c r="F30" i="131"/>
  <c r="F15" i="217"/>
  <c r="G15" i="217" s="1"/>
  <c r="L15" i="217"/>
  <c r="L21" i="219"/>
  <c r="F21" i="219"/>
  <c r="G21" i="219" s="1"/>
  <c r="F35" i="234"/>
  <c r="G35" i="234" s="1"/>
  <c r="H35" i="234"/>
  <c r="L36" i="131"/>
  <c r="F36" i="131"/>
  <c r="G36" i="131" s="1"/>
  <c r="F8" i="219"/>
  <c r="G8" i="219" s="1"/>
  <c r="F22" i="131"/>
  <c r="G22" i="131" s="1"/>
  <c r="F39" i="131"/>
  <c r="G39" i="131" s="1"/>
  <c r="L39" i="131"/>
  <c r="L38" i="131"/>
  <c r="F38" i="131"/>
  <c r="J22" i="249"/>
  <c r="F22" i="249"/>
  <c r="G22" i="249" s="1"/>
  <c r="J2" i="257"/>
  <c r="R7" i="212"/>
  <c r="S7" i="212" s="1"/>
  <c r="F12" i="131"/>
  <c r="L12" i="131"/>
  <c r="H24" i="57"/>
  <c r="F24" i="57"/>
  <c r="G24" i="57" s="1"/>
  <c r="H14" i="234"/>
  <c r="F14" i="234"/>
  <c r="G14" i="234" s="1"/>
  <c r="F17" i="217"/>
  <c r="G17" i="217" s="1"/>
  <c r="L17" i="217"/>
  <c r="H30" i="57"/>
  <c r="F30" i="57"/>
  <c r="G30" i="57" s="1"/>
  <c r="L44" i="131"/>
  <c r="F44" i="131"/>
  <c r="L28" i="131"/>
  <c r="F28" i="131"/>
  <c r="F25" i="217"/>
  <c r="G25" i="217" s="1"/>
  <c r="L25" i="217"/>
  <c r="L15" i="219"/>
  <c r="F15" i="219"/>
  <c r="G15" i="219" s="1"/>
  <c r="F10" i="217"/>
  <c r="G10" i="217" s="1"/>
  <c r="L10" i="217"/>
  <c r="J10" i="249"/>
  <c r="F10" i="249"/>
  <c r="G10" i="249" s="1"/>
  <c r="L23" i="219"/>
  <c r="F23" i="219"/>
  <c r="G23" i="219" s="1"/>
  <c r="F12" i="249"/>
  <c r="G12" i="249" s="1"/>
  <c r="J12" i="249"/>
  <c r="J6" i="249"/>
  <c r="F6" i="249"/>
  <c r="G6" i="249" s="1"/>
  <c r="I10" i="131"/>
  <c r="I14" i="131"/>
  <c r="G15" i="131"/>
  <c r="I15" i="131"/>
  <c r="G41" i="131"/>
  <c r="I41" i="131"/>
  <c r="G54" i="131"/>
  <c r="I54" i="131"/>
  <c r="I19" i="131"/>
  <c r="G46" i="131"/>
  <c r="I46" i="131"/>
  <c r="F25" i="257"/>
  <c r="W40" i="168"/>
  <c r="N41" i="168"/>
  <c r="P41" i="168" s="1"/>
  <c r="N42" i="168" s="1"/>
  <c r="P42" i="168" s="1"/>
  <c r="D7" i="25"/>
  <c r="V46" i="139"/>
  <c r="D9" i="25" s="1"/>
  <c r="W41" i="168" l="1"/>
  <c r="I32" i="131"/>
  <c r="I42" i="131"/>
  <c r="L44" i="35"/>
  <c r="AA44" i="35" s="1"/>
  <c r="AB44" i="35" s="1"/>
  <c r="L152" i="35"/>
  <c r="AA152" i="35" s="1"/>
  <c r="AB152" i="35" s="1"/>
  <c r="L80" i="35"/>
  <c r="AA80" i="35" s="1"/>
  <c r="AB80" i="35" s="1"/>
  <c r="L98" i="35"/>
  <c r="AA98" i="35" s="1"/>
  <c r="AB98" i="35" s="1"/>
  <c r="L62" i="35"/>
  <c r="AA62" i="35" s="1"/>
  <c r="AB62" i="35" s="1"/>
  <c r="L134" i="35"/>
  <c r="AA134" i="35" s="1"/>
  <c r="AB134" i="35" s="1"/>
  <c r="L170" i="35"/>
  <c r="AA170" i="35" s="1"/>
  <c r="AB170" i="35" s="1"/>
  <c r="L188" i="35"/>
  <c r="AA188" i="35" s="1"/>
  <c r="AB188" i="35" s="1"/>
  <c r="L116" i="35"/>
  <c r="AA116" i="35" s="1"/>
  <c r="AB116" i="35" s="1"/>
  <c r="G7" i="131"/>
  <c r="C16" i="249"/>
  <c r="F26" i="131"/>
  <c r="G26" i="131" s="1"/>
  <c r="L26" i="35"/>
  <c r="AA26" i="35" s="1"/>
  <c r="AB26" i="35" s="1"/>
  <c r="I6" i="131"/>
  <c r="I13" i="131"/>
  <c r="C40" i="57"/>
  <c r="F40" i="57" s="1"/>
  <c r="G40" i="57" s="1"/>
  <c r="C56" i="131"/>
  <c r="F56" i="131" s="1"/>
  <c r="G56" i="131" s="1"/>
  <c r="I27" i="131"/>
  <c r="I29" i="131"/>
  <c r="L9" i="35"/>
  <c r="I18" i="131"/>
  <c r="I25" i="131"/>
  <c r="I22" i="131"/>
  <c r="G34" i="131"/>
  <c r="I34" i="131"/>
  <c r="G52" i="131"/>
  <c r="I52" i="131"/>
  <c r="I38" i="131"/>
  <c r="G38" i="131"/>
  <c r="G17" i="131"/>
  <c r="I17" i="131"/>
  <c r="G20" i="131"/>
  <c r="I20" i="131"/>
  <c r="G35" i="131"/>
  <c r="I35" i="131"/>
  <c r="I39" i="131"/>
  <c r="I30" i="131"/>
  <c r="G30" i="131"/>
  <c r="G9" i="131"/>
  <c r="I9" i="131"/>
  <c r="G47" i="131"/>
  <c r="I47" i="131"/>
  <c r="I43" i="131"/>
  <c r="G49" i="131"/>
  <c r="I49" i="131"/>
  <c r="G28" i="131"/>
  <c r="I28" i="131"/>
  <c r="G12" i="131"/>
  <c r="I12" i="131"/>
  <c r="G40" i="131"/>
  <c r="I40" i="131"/>
  <c r="I44" i="131"/>
  <c r="G44" i="131"/>
  <c r="I48" i="131"/>
  <c r="G48" i="131"/>
  <c r="G45" i="131"/>
  <c r="I45" i="131"/>
  <c r="G11" i="131"/>
  <c r="I11" i="131"/>
  <c r="I36" i="131"/>
  <c r="G8" i="131"/>
  <c r="I8" i="131"/>
  <c r="F22" i="234"/>
  <c r="G22" i="234" s="1"/>
  <c r="C40" i="234"/>
  <c r="F40" i="234" s="1"/>
  <c r="G40" i="234" s="1"/>
  <c r="C20" i="249"/>
  <c r="D10" i="25"/>
  <c r="W42" i="168"/>
  <c r="N43" i="168"/>
  <c r="P43" i="168" s="1"/>
  <c r="Q9" i="35"/>
  <c r="Q8" i="35"/>
  <c r="Q7" i="35"/>
  <c r="Q6" i="35"/>
  <c r="Q5" i="35"/>
  <c r="C23" i="249" l="1"/>
  <c r="Q10" i="35"/>
  <c r="W43" i="168"/>
  <c r="N44" i="168"/>
  <c r="P44" i="168" s="1"/>
  <c r="W44" i="168" l="1"/>
  <c r="N45" i="168"/>
  <c r="P45" i="168" s="1"/>
  <c r="W45" i="168" l="1"/>
  <c r="N46" i="168"/>
  <c r="P46" i="168" s="1"/>
  <c r="N19" i="219" l="1"/>
  <c r="W46" i="168"/>
  <c r="N47" i="168"/>
  <c r="P47" i="168" s="1"/>
  <c r="W47" i="168" l="1"/>
  <c r="N48" i="168"/>
  <c r="P48" i="168" s="1"/>
  <c r="W48" i="168" l="1"/>
  <c r="N49" i="168"/>
  <c r="P49" i="168" s="1"/>
  <c r="N42" i="131" l="1"/>
  <c r="M42" i="131"/>
  <c r="N41" i="131"/>
  <c r="M41" i="131"/>
  <c r="N21" i="131"/>
  <c r="M21" i="131"/>
  <c r="K19" i="57"/>
  <c r="L19" i="57"/>
  <c r="D42" i="92"/>
  <c r="N22" i="131"/>
  <c r="M22" i="131"/>
  <c r="N50" i="168"/>
  <c r="P50" i="168" s="1"/>
  <c r="W49" i="168"/>
  <c r="N51" i="168" l="1"/>
  <c r="P51" i="168" s="1"/>
  <c r="W50" i="168"/>
  <c r="N52" i="168" l="1"/>
  <c r="P52" i="168" s="1"/>
  <c r="W51" i="168"/>
  <c r="N53" i="168" l="1"/>
  <c r="P53" i="168" s="1"/>
  <c r="W52" i="168"/>
  <c r="N54" i="168" l="1"/>
  <c r="P54" i="168" s="1"/>
  <c r="W53" i="168"/>
  <c r="N55" i="168" l="1"/>
  <c r="P55" i="168" s="1"/>
  <c r="W54" i="168"/>
  <c r="N56" i="168" l="1"/>
  <c r="P56" i="168" s="1"/>
  <c r="W55" i="168"/>
  <c r="N57" i="168" l="1"/>
  <c r="P57" i="168" s="1"/>
  <c r="W56" i="168"/>
  <c r="W57" i="168" l="1"/>
  <c r="N58" i="168"/>
  <c r="P58" i="168" s="1"/>
  <c r="W58" i="168" s="1"/>
  <c r="R38" i="102" l="1"/>
  <c r="R37" i="102"/>
  <c r="R36" i="102"/>
  <c r="R35" i="102"/>
  <c r="R34" i="102"/>
  <c r="R33" i="102"/>
  <c r="R32" i="102"/>
  <c r="R31" i="102"/>
  <c r="R30" i="102"/>
  <c r="R29" i="102"/>
  <c r="R28" i="102"/>
  <c r="R27" i="102"/>
  <c r="R26" i="102"/>
  <c r="R25" i="102"/>
  <c r="R24" i="102"/>
  <c r="R23" i="102"/>
  <c r="R22" i="102"/>
  <c r="R21" i="102"/>
  <c r="R20" i="102"/>
  <c r="R19" i="102"/>
  <c r="R18" i="102"/>
  <c r="R17" i="102"/>
  <c r="R16" i="102"/>
  <c r="R15" i="102"/>
  <c r="R14" i="102"/>
  <c r="R13" i="102"/>
  <c r="R12" i="102"/>
  <c r="R11" i="102"/>
  <c r="R10" i="102"/>
  <c r="R9" i="102"/>
  <c r="D6" i="31" l="1"/>
  <c r="D7" i="31" l="1"/>
  <c r="D8" i="31" s="1"/>
  <c r="V58" i="6"/>
  <c r="D9" i="31" s="1"/>
  <c r="D6" i="135" l="1"/>
  <c r="D11" i="135" l="1"/>
  <c r="D6" i="45"/>
  <c r="D11" i="45" s="1"/>
  <c r="T3" i="242" s="1"/>
  <c r="J49" i="99" l="1"/>
  <c r="M49" i="99"/>
  <c r="P49" i="99"/>
  <c r="S49" i="99"/>
  <c r="J23" i="6" a="1"/>
  <c r="G19" i="207" a="1"/>
  <c r="D11" i="151"/>
  <c r="G10" i="239" a="1"/>
  <c r="A45" i="232"/>
  <c r="C19" i="232" a="1"/>
  <c r="A22" i="83"/>
  <c r="F113" i="151" a="1"/>
  <c r="K8" i="238" a="1"/>
  <c r="C10" i="232" a="1"/>
  <c r="A12" i="83"/>
  <c r="D160" i="151"/>
  <c r="C34" i="227" a="1"/>
  <c r="C23" i="226" a="1"/>
  <c r="DC20" i="170"/>
  <c r="F98" i="151" a="1"/>
  <c r="F21" i="189" a="1"/>
  <c r="CN16" i="170"/>
  <c r="AV18" i="170"/>
  <c r="AK11" i="170"/>
  <c r="A29" i="235"/>
  <c r="C31" i="233" a="1"/>
  <c r="C9" i="109" a="1"/>
  <c r="B13" i="100"/>
  <c r="AO21" i="170"/>
  <c r="D118" i="92"/>
  <c r="D23" i="237"/>
  <c r="A59" i="189"/>
  <c r="K9" i="215" a="1"/>
  <c r="C20" i="237"/>
  <c r="A29" i="57"/>
  <c r="D22" i="15"/>
  <c r="J33" i="139" a="1"/>
  <c r="F121" i="151" a="1"/>
  <c r="A32" i="57"/>
  <c r="C23" i="83" a="1"/>
  <c r="A38" i="233"/>
  <c r="AV16" i="170"/>
  <c r="F111" i="151" a="1"/>
  <c r="A48" i="232"/>
  <c r="A23" i="214"/>
  <c r="A36" i="232"/>
  <c r="C32" i="235" a="1"/>
  <c r="F8" i="241" a="1"/>
  <c r="A25" i="214"/>
  <c r="C17" i="6"/>
  <c r="F9" i="189" a="1"/>
  <c r="A52" i="131"/>
  <c r="C29" i="232" a="1"/>
  <c r="E7" i="241" a="1"/>
  <c r="H26" i="2" a="1"/>
  <c r="CC8" i="170"/>
  <c r="F17" i="237"/>
  <c r="AK20" i="170"/>
  <c r="D51" i="92"/>
  <c r="C20" i="139"/>
  <c r="A22" i="227"/>
  <c r="A6" i="218"/>
  <c r="BV14" i="170"/>
  <c r="C14" i="218" a="1"/>
  <c r="D148" i="151"/>
  <c r="J6" i="229" a="1"/>
  <c r="K40" i="6" a="1"/>
  <c r="K22" i="139" a="1"/>
  <c r="F11" i="240" a="1"/>
  <c r="A18" i="109" a="1"/>
  <c r="A28" i="57"/>
  <c r="C20" i="100"/>
  <c r="F122" i="151" a="1"/>
  <c r="B16" i="15"/>
  <c r="A25" i="83"/>
  <c r="C20" i="109" a="1"/>
  <c r="CC15" i="170"/>
  <c r="B59" i="189"/>
  <c r="C22" i="139"/>
  <c r="C43" i="232" a="1"/>
  <c r="S13" i="170"/>
  <c r="M18" i="5" a="1"/>
  <c r="C22" i="15"/>
  <c r="J46" i="6" a="1"/>
  <c r="C7" i="227" a="1"/>
  <c r="K14" i="215" a="1"/>
  <c r="D51" i="151"/>
  <c r="A49" i="131"/>
  <c r="C10" i="15"/>
  <c r="Z14" i="170"/>
  <c r="D42" i="151"/>
  <c r="BK10" i="170"/>
  <c r="C13" i="79" a="1"/>
  <c r="C11" i="6"/>
  <c r="I5" i="229" a="1"/>
  <c r="A24" i="226"/>
  <c r="D18" i="170"/>
  <c r="K23" i="139" a="1"/>
  <c r="A15" i="228"/>
  <c r="H17" i="5"/>
  <c r="F70" i="151" a="1"/>
  <c r="C19" i="218" a="1"/>
  <c r="A31" i="228"/>
  <c r="K38" i="6" a="1"/>
  <c r="A18" i="219"/>
  <c r="F110" i="151" a="1"/>
  <c r="G17" i="2" a="1"/>
  <c r="A17" i="131"/>
  <c r="E20" i="15"/>
  <c r="D60" i="92"/>
  <c r="C11" i="109" a="1"/>
  <c r="F31" i="151" a="1"/>
  <c r="B26" i="189"/>
  <c r="AV11" i="170"/>
  <c r="E18" i="100"/>
  <c r="A15" i="217"/>
  <c r="A25" i="131"/>
  <c r="C21" i="227" a="1"/>
  <c r="D94" i="151"/>
  <c r="F13" i="240" a="1"/>
  <c r="D25" i="151"/>
  <c r="I10" i="15" a="1"/>
  <c r="B12" i="197"/>
  <c r="F39" i="151" a="1"/>
  <c r="P7" i="238" a="1"/>
  <c r="Z15" i="170"/>
  <c r="A17" i="109" a="1"/>
  <c r="C9" i="31" a="1"/>
  <c r="E8" i="240" a="1"/>
  <c r="A18" i="83"/>
  <c r="B14" i="139"/>
  <c r="B38" i="189"/>
  <c r="A24" i="83"/>
  <c r="K45" i="139" a="1"/>
  <c r="D158" i="151"/>
  <c r="BG13" i="170"/>
  <c r="A13" i="235"/>
  <c r="D88" i="151"/>
  <c r="D142" i="92"/>
  <c r="C33" i="228" a="1"/>
  <c r="K43" i="6" a="1"/>
  <c r="D100" i="151"/>
  <c r="K13" i="139" a="1"/>
  <c r="D10" i="92"/>
  <c r="C15" i="15"/>
  <c r="J21" i="139" a="1"/>
  <c r="S11" i="170"/>
  <c r="B20" i="139"/>
  <c r="B14" i="215"/>
  <c r="A35" i="235"/>
  <c r="E49" i="189" a="1"/>
  <c r="CG22" i="170"/>
  <c r="AV17" i="170"/>
  <c r="G12" i="207" a="1"/>
  <c r="A14" i="217"/>
  <c r="E12" i="15"/>
  <c r="H6" i="35" a="1"/>
  <c r="I16" i="15" a="1"/>
  <c r="J38" i="6" a="1"/>
  <c r="F12" i="151" a="1"/>
  <c r="C29" i="79" a="1"/>
  <c r="H12" i="170"/>
  <c r="A38" i="131"/>
  <c r="D22" i="92"/>
  <c r="F31" i="189" a="1"/>
  <c r="B58" i="189"/>
  <c r="BV12" i="170"/>
  <c r="J42" i="6" a="1"/>
  <c r="F55" i="151" a="1"/>
  <c r="J6" i="190" a="1"/>
  <c r="A43" i="131"/>
  <c r="CR6" i="170"/>
  <c r="D142" i="151"/>
  <c r="M8" i="238" a="1"/>
  <c r="A8" i="57"/>
  <c r="C27" i="235" a="1"/>
  <c r="J10" i="139" a="1"/>
  <c r="J37" i="6" a="1"/>
  <c r="A10" i="190"/>
  <c r="A16" i="83"/>
  <c r="D180" i="151"/>
  <c r="C25" i="226" a="1"/>
  <c r="F166" i="151" a="1"/>
  <c r="D13" i="92"/>
  <c r="E7" i="100"/>
  <c r="D148" i="92"/>
  <c r="L12" i="5" a="1"/>
  <c r="AV9" i="170"/>
  <c r="N9" i="238" a="1"/>
  <c r="H21" i="207" a="1"/>
  <c r="C32" i="233" a="1"/>
  <c r="F99" i="151" a="1"/>
  <c r="A13" i="83"/>
  <c r="F102" i="151" a="1"/>
  <c r="H15" i="209" a="1"/>
  <c r="AO14" i="170"/>
  <c r="C43" i="228" a="1"/>
  <c r="M12" i="190" a="1"/>
  <c r="A25" i="57"/>
  <c r="A32" i="233"/>
  <c r="H16" i="207" a="1"/>
  <c r="G10" i="237"/>
  <c r="F54" i="189" a="1"/>
  <c r="F19" i="189" a="1"/>
  <c r="A9" i="232"/>
  <c r="A19" i="237"/>
  <c r="G8" i="209" a="1"/>
  <c r="B16" i="100"/>
  <c r="F10" i="189" a="1"/>
  <c r="CG13" i="170"/>
  <c r="D15" i="151"/>
  <c r="C48" i="232" a="1"/>
  <c r="AD13" i="170"/>
  <c r="A7" i="232"/>
  <c r="B54" i="189"/>
  <c r="A17" i="232"/>
  <c r="C12" i="209"/>
  <c r="D58" i="92"/>
  <c r="D135" i="92"/>
  <c r="A34" i="235"/>
  <c r="F8" i="192" a="1"/>
  <c r="B15" i="197"/>
  <c r="A13" i="226"/>
  <c r="B20" i="6"/>
  <c r="J15" i="6" a="1"/>
  <c r="AK14" i="170"/>
  <c r="J18" i="6" a="1"/>
  <c r="J15" i="139" a="1"/>
  <c r="A6" i="227"/>
  <c r="F54" i="151" a="1"/>
  <c r="G11" i="237"/>
  <c r="F89" i="151" a="1"/>
  <c r="E23" i="189" a="1"/>
  <c r="H18" i="2" a="1"/>
  <c r="F39" i="189" a="1"/>
  <c r="H15" i="207" a="1"/>
  <c r="F10" i="239" a="1"/>
  <c r="A27" i="189"/>
  <c r="BG9" i="170"/>
  <c r="H7" i="192" a="1"/>
  <c r="J7" i="229" a="1"/>
  <c r="H8" i="229" a="1"/>
  <c r="AD17" i="170"/>
  <c r="A13" i="192"/>
  <c r="E37" i="189" a="1"/>
  <c r="G15" i="2" a="1"/>
  <c r="E60" i="189" a="1"/>
  <c r="H11" i="237"/>
  <c r="K15" i="6" a="1"/>
  <c r="F47" i="189" a="1"/>
  <c r="D84" i="92"/>
  <c r="F11" i="151" a="1"/>
  <c r="G21" i="212" a="1"/>
  <c r="A34" i="131"/>
  <c r="A9" i="57"/>
  <c r="D161" i="92"/>
  <c r="C13" i="209"/>
  <c r="G17" i="207" a="1"/>
  <c r="B18" i="6"/>
  <c r="D131" i="92"/>
  <c r="A14" i="232"/>
  <c r="A19" i="217"/>
  <c r="C24" i="218" a="1"/>
  <c r="B10" i="197"/>
  <c r="CN20" i="170"/>
  <c r="E20" i="237"/>
  <c r="H19" i="237"/>
  <c r="F103" i="151" a="1"/>
  <c r="C11" i="227" a="1"/>
  <c r="E11" i="15"/>
  <c r="F131" i="151" a="1"/>
  <c r="C18" i="15"/>
  <c r="A55" i="189"/>
  <c r="A11" i="83"/>
  <c r="BV8" i="170"/>
  <c r="D80" i="151"/>
  <c r="CY10" i="170"/>
  <c r="E17" i="100"/>
  <c r="F35" i="189" a="1"/>
  <c r="K17" i="139" a="1"/>
  <c r="A7" i="228"/>
  <c r="K7" i="238" a="1"/>
  <c r="A11" i="192"/>
  <c r="O8" i="170"/>
  <c r="C13" i="214" a="1"/>
  <c r="F106" i="151" a="1"/>
  <c r="F26" i="189" a="1"/>
  <c r="A26" i="233"/>
  <c r="K31" i="139" a="1"/>
  <c r="H7" i="239" a="1"/>
  <c r="D12" i="237"/>
  <c r="A8" i="227"/>
  <c r="CY17" i="170"/>
  <c r="H22" i="212" a="1"/>
  <c r="AD6" i="170"/>
  <c r="D17" i="5"/>
  <c r="B23" i="139"/>
  <c r="A6" i="217"/>
  <c r="B42" i="189"/>
  <c r="E14" i="100"/>
  <c r="I15" i="15" a="1"/>
  <c r="CC20" i="170"/>
  <c r="K21" i="139" a="1"/>
  <c r="F18" i="5"/>
  <c r="D131" i="151"/>
  <c r="H12" i="207" a="1"/>
  <c r="A45" i="189"/>
  <c r="CC21" i="170"/>
  <c r="B11" i="209"/>
  <c r="C29" i="228" a="1"/>
  <c r="A13" i="55"/>
  <c r="C10" i="228" a="1"/>
  <c r="F23" i="237"/>
  <c r="AO17" i="170"/>
  <c r="D9" i="92"/>
  <c r="B19" i="139"/>
  <c r="I18" i="15" a="1"/>
  <c r="H7" i="207" a="1"/>
  <c r="A11" i="217"/>
  <c r="B13" i="189"/>
  <c r="D11" i="237"/>
  <c r="F32" i="151" a="1"/>
  <c r="F63" i="151" a="1"/>
  <c r="C16" i="6"/>
  <c r="C14" i="235" a="1"/>
  <c r="F36" i="151" a="1"/>
  <c r="F11" i="192" a="1"/>
  <c r="A33" i="234"/>
  <c r="A16" i="214"/>
  <c r="D163" i="151"/>
  <c r="M12" i="5" a="1"/>
  <c r="D18" i="151"/>
  <c r="A44" i="131"/>
  <c r="A6" i="190"/>
  <c r="C39" i="232" a="1"/>
  <c r="C9" i="5"/>
  <c r="A18" i="217"/>
  <c r="BR19" i="170"/>
  <c r="P13" i="238" a="1"/>
  <c r="D15" i="237"/>
  <c r="A16" i="235"/>
  <c r="C21" i="15"/>
  <c r="D159" i="92"/>
  <c r="B43" i="189"/>
  <c r="Z22" i="170"/>
  <c r="C31" i="232" a="1"/>
  <c r="S20" i="170"/>
  <c r="B23" i="15"/>
  <c r="C14" i="237"/>
  <c r="A30" i="232"/>
  <c r="A9" i="237"/>
  <c r="A53" i="131"/>
  <c r="C30" i="235" a="1"/>
  <c r="B22" i="139"/>
  <c r="C12" i="235" a="1"/>
  <c r="B14" i="15"/>
  <c r="DC10" i="170"/>
  <c r="E7" i="240" a="1"/>
  <c r="C27" i="79" a="1"/>
  <c r="D19" i="237"/>
  <c r="F13" i="151" a="1"/>
  <c r="BV19" i="170"/>
  <c r="G13" i="209" a="1"/>
  <c r="C23" i="139"/>
  <c r="A37" i="235"/>
  <c r="A6" i="228"/>
  <c r="C7" i="232" a="1"/>
  <c r="D46" i="151"/>
  <c r="D7" i="92"/>
  <c r="F36" i="189" a="1"/>
  <c r="AZ14" i="170"/>
  <c r="F53" i="151" a="1"/>
  <c r="A14" i="55"/>
  <c r="A48" i="189"/>
  <c r="C14" i="83" a="1"/>
  <c r="M9" i="5" a="1"/>
  <c r="B11" i="139"/>
  <c r="P8" i="190" a="1"/>
  <c r="A9" i="233"/>
  <c r="D102" i="92"/>
  <c r="J10" i="215" a="1"/>
  <c r="CN10" i="170"/>
  <c r="A22" i="228"/>
  <c r="L18" i="5" a="1"/>
  <c r="D86" i="92"/>
  <c r="C26" i="79" a="1"/>
  <c r="F29" i="151" a="1"/>
  <c r="H16" i="170"/>
  <c r="E11" i="189" a="1"/>
  <c r="A37" i="57"/>
  <c r="C31" i="226" a="1"/>
  <c r="A31" i="227"/>
  <c r="F49" i="151" a="1"/>
  <c r="A30" i="226"/>
  <c r="D120" i="151"/>
  <c r="D139" i="92"/>
  <c r="A12" i="227"/>
  <c r="F7" i="192" a="1"/>
  <c r="D145" i="151"/>
  <c r="B7" i="215"/>
  <c r="AV19" i="170"/>
  <c r="F167" i="151" a="1"/>
  <c r="A51" i="232"/>
  <c r="D21" i="151"/>
  <c r="AD14" i="170"/>
  <c r="C7" i="215"/>
  <c r="A35" i="189"/>
  <c r="AD21" i="170"/>
  <c r="J49" i="6" a="1"/>
  <c r="D22" i="170"/>
  <c r="D9" i="151"/>
  <c r="F132" i="151" a="1"/>
  <c r="O19" i="170"/>
  <c r="E13" i="240" a="1"/>
  <c r="D156" i="151"/>
  <c r="A17" i="57"/>
  <c r="F8" i="189" a="1"/>
  <c r="BG15" i="170"/>
  <c r="F16" i="189" a="1"/>
  <c r="K11" i="238" a="1"/>
  <c r="BV7" i="170"/>
  <c r="A27" i="235"/>
  <c r="E23" i="15"/>
  <c r="E27" i="189" a="1"/>
  <c r="C8" i="5"/>
  <c r="C9" i="6"/>
  <c r="G23" i="2" a="1"/>
  <c r="Z21" i="170"/>
  <c r="D136" i="92"/>
  <c r="A31" i="233"/>
  <c r="B51" i="189"/>
  <c r="A24" i="189"/>
  <c r="AK15" i="170"/>
  <c r="E15" i="189" a="1"/>
  <c r="A13" i="232"/>
  <c r="D10" i="237"/>
  <c r="D133" i="151"/>
  <c r="D138" i="151"/>
  <c r="B17" i="139"/>
  <c r="C7" i="6"/>
  <c r="F7" i="240" a="1"/>
  <c r="A48" i="131"/>
  <c r="K30" i="139" a="1"/>
  <c r="E58" i="189" a="1"/>
  <c r="C9" i="226" a="1"/>
  <c r="F30" i="151" a="1"/>
  <c r="CN22" i="170"/>
  <c r="F19" i="237"/>
  <c r="A33" i="57"/>
  <c r="E10" i="189" a="1"/>
  <c r="G15" i="207" a="1"/>
  <c r="F33" i="189" a="1"/>
  <c r="D145" i="92"/>
  <c r="E16" i="15"/>
  <c r="E59" i="189" a="1"/>
  <c r="CR19" i="170"/>
  <c r="A36" i="234"/>
  <c r="C28" i="226" a="1"/>
  <c r="A36" i="57"/>
  <c r="D127" i="151"/>
  <c r="C30" i="232" a="1"/>
  <c r="P6" i="190" a="1"/>
  <c r="A29" i="232"/>
  <c r="C8" i="228" a="1"/>
  <c r="F14" i="5"/>
  <c r="E32" i="189" a="1"/>
  <c r="A17" i="234"/>
  <c r="E17" i="237"/>
  <c r="AD22" i="170"/>
  <c r="A10" i="227"/>
  <c r="CY14" i="170"/>
  <c r="D95" i="92"/>
  <c r="A51" i="189"/>
  <c r="C12" i="214" a="1"/>
  <c r="Z17" i="170"/>
  <c r="A16" i="219"/>
  <c r="A27" i="234"/>
  <c r="E7" i="15"/>
  <c r="M10" i="238" a="1"/>
  <c r="B21" i="139"/>
  <c r="F156" i="151" a="1"/>
  <c r="C6" i="109" a="1"/>
  <c r="C11" i="235" a="1"/>
  <c r="N6" i="190" a="1"/>
  <c r="CR13" i="170"/>
  <c r="C8" i="232" a="1"/>
  <c r="D123" i="92"/>
  <c r="D162" i="92"/>
  <c r="B17" i="15"/>
  <c r="P11" i="238" a="1"/>
  <c r="D11" i="100"/>
  <c r="F72" i="151" a="1"/>
  <c r="D20" i="92"/>
  <c r="C12" i="5"/>
  <c r="O21" i="170"/>
  <c r="A10" i="219"/>
  <c r="E12" i="241" a="1"/>
  <c r="C16" i="79" a="1"/>
  <c r="F139" i="151" a="1"/>
  <c r="K41" i="6" a="1"/>
  <c r="N6" i="238" a="1"/>
  <c r="G12" i="239" a="1"/>
  <c r="A10" i="233"/>
  <c r="D162" i="151"/>
  <c r="D16" i="15"/>
  <c r="A13" i="228"/>
  <c r="C21" i="228" a="1"/>
  <c r="A15" i="55"/>
  <c r="A15" i="218"/>
  <c r="C7" i="15"/>
  <c r="C9" i="79" a="1"/>
  <c r="B26" i="100"/>
  <c r="N7" i="190" a="1"/>
  <c r="D21" i="100"/>
  <c r="Z6" i="170"/>
  <c r="F17" i="189" a="1"/>
  <c r="B6" i="189"/>
  <c r="D52" i="92"/>
  <c r="D99" i="151"/>
  <c r="A28" i="227"/>
  <c r="D87" i="151"/>
  <c r="D160" i="92"/>
  <c r="C14" i="233" a="1"/>
  <c r="B14" i="209"/>
  <c r="J17" i="139" a="1"/>
  <c r="AZ16" i="170"/>
  <c r="B11" i="215"/>
  <c r="F8" i="240" a="1"/>
  <c r="AV14" i="170"/>
  <c r="E8" i="237"/>
  <c r="S15" i="170"/>
  <c r="K11" i="190" a="1"/>
  <c r="B23" i="100"/>
  <c r="A35" i="226"/>
  <c r="B13" i="6"/>
  <c r="H19" i="212" a="1"/>
  <c r="B46" i="189"/>
  <c r="K6" i="238" a="1"/>
  <c r="D15" i="15"/>
  <c r="H14" i="192" a="1"/>
  <c r="N9" i="190" a="1"/>
  <c r="C12" i="226" a="1"/>
  <c r="D23" i="151"/>
  <c r="B60" i="189"/>
  <c r="A8" i="226"/>
  <c r="C19" i="100"/>
  <c r="K9" i="238" a="1"/>
  <c r="F9" i="5"/>
  <c r="CN6" i="170"/>
  <c r="B16" i="6"/>
  <c r="A14" i="218"/>
  <c r="C46" i="232" a="1"/>
  <c r="O7" i="170"/>
  <c r="G26" i="100" a="1"/>
  <c r="J12" i="139" a="1"/>
  <c r="D20" i="100"/>
  <c r="E14" i="241" a="1"/>
  <c r="BR14" i="170"/>
  <c r="D100" i="92"/>
  <c r="AK17" i="170"/>
  <c r="J43" i="6" a="1"/>
  <c r="F9" i="151" a="1"/>
  <c r="C17" i="79" a="1"/>
  <c r="D12" i="15"/>
  <c r="C12" i="15"/>
  <c r="K35" i="139" a="1"/>
  <c r="D94" i="92"/>
  <c r="J41" i="6" a="1"/>
  <c r="C15" i="209"/>
  <c r="G16" i="207" a="1"/>
  <c r="E40" i="189" a="1"/>
  <c r="C18" i="214" a="1"/>
  <c r="AD10" i="170"/>
  <c r="A25" i="235"/>
  <c r="C15" i="25" a="1"/>
  <c r="C19" i="214" a="1"/>
  <c r="G22" i="100" a="1"/>
  <c r="B15" i="189"/>
  <c r="J11" i="215" a="1"/>
  <c r="DC12" i="170"/>
  <c r="C16" i="109" a="1"/>
  <c r="BK19" i="170"/>
  <c r="A23" i="189"/>
  <c r="D61" i="92"/>
  <c r="E14" i="240" a="1"/>
  <c r="A21" i="83"/>
  <c r="B16" i="139"/>
  <c r="I12" i="15" a="1"/>
  <c r="E24" i="15"/>
  <c r="F12" i="237"/>
  <c r="C32" i="232" a="1"/>
  <c r="BV18" i="170"/>
  <c r="C13" i="235" a="1"/>
  <c r="C27" i="226" a="1"/>
  <c r="M6" i="238" a="1"/>
  <c r="F152" i="151" a="1"/>
  <c r="K43" i="139" a="1"/>
  <c r="CN17" i="170"/>
  <c r="A13" i="237"/>
  <c r="D159" i="151"/>
  <c r="H15" i="170"/>
  <c r="CY16" i="170"/>
  <c r="F114" i="151" a="1"/>
  <c r="B8" i="209"/>
  <c r="A22" i="218"/>
  <c r="B8" i="139"/>
  <c r="H12" i="239" a="1"/>
  <c r="C9" i="83" a="1"/>
  <c r="O17" i="170"/>
  <c r="A6" i="189"/>
  <c r="D6" i="151"/>
  <c r="D126" i="151"/>
  <c r="A29" i="234"/>
  <c r="D18" i="5"/>
  <c r="F49" i="189" a="1"/>
  <c r="F75" i="151" a="1"/>
  <c r="A12" i="232"/>
  <c r="B16" i="209"/>
  <c r="CN9" i="170"/>
  <c r="O14" i="170"/>
  <c r="D96" i="92"/>
  <c r="AO19" i="170"/>
  <c r="F172" i="151" a="1"/>
  <c r="H8" i="2" a="1"/>
  <c r="B10" i="100"/>
  <c r="C17" i="218" a="1"/>
  <c r="L8" i="5" a="1"/>
  <c r="E7" i="189" a="1"/>
  <c r="L16" i="5" a="1"/>
  <c r="A11" i="109" a="1"/>
  <c r="D155" i="151"/>
  <c r="A6" i="219"/>
  <c r="Z13" i="170"/>
  <c r="H23" i="2" a="1"/>
  <c r="BG22" i="170"/>
  <c r="A31" i="235"/>
  <c r="C9" i="235" a="1"/>
  <c r="A23" i="131"/>
  <c r="C13" i="233" a="1"/>
  <c r="J36" i="6" a="1"/>
  <c r="A10" i="226"/>
  <c r="B13" i="197"/>
  <c r="C14" i="139"/>
  <c r="D79" i="151"/>
  <c r="A21" i="237"/>
  <c r="E16" i="189" a="1"/>
  <c r="D161" i="151"/>
  <c r="G7" i="239" a="1"/>
  <c r="D135" i="151"/>
  <c r="E31" i="189" a="1"/>
  <c r="D129" i="151"/>
  <c r="H13" i="5"/>
  <c r="A24" i="233"/>
  <c r="A17" i="235"/>
  <c r="C21" i="235" a="1"/>
  <c r="A18" i="234"/>
  <c r="H14" i="170"/>
  <c r="N7" i="238" a="1"/>
  <c r="F7" i="189" a="1"/>
  <c r="M14" i="5" a="1"/>
  <c r="A7" i="238"/>
  <c r="H16" i="5"/>
  <c r="L14" i="5" a="1"/>
  <c r="B36" i="189"/>
  <c r="E30" i="189" a="1"/>
  <c r="K50" i="6" a="1"/>
  <c r="DC15" i="170"/>
  <c r="C21" i="79" a="1"/>
  <c r="H26" i="212" a="1"/>
  <c r="F85" i="151" a="1"/>
  <c r="F16" i="237"/>
  <c r="C6" i="227" a="1"/>
  <c r="H15" i="237"/>
  <c r="E23" i="100"/>
  <c r="E9" i="237"/>
  <c r="AK19" i="170"/>
  <c r="B17" i="6"/>
  <c r="AD12" i="170"/>
  <c r="F41" i="189" a="1"/>
  <c r="C8" i="215"/>
  <c r="AO15" i="170"/>
  <c r="C30" i="79" a="1"/>
  <c r="A19" i="189"/>
  <c r="A22" i="214"/>
  <c r="C7" i="79" a="1"/>
  <c r="A9" i="55"/>
  <c r="C19" i="139"/>
  <c r="G15" i="209" a="1"/>
  <c r="K18" i="6" a="1"/>
  <c r="A8" i="235"/>
  <c r="A13" i="227"/>
  <c r="C28" i="232" a="1"/>
  <c r="F34" i="189" a="1"/>
  <c r="D11" i="5"/>
  <c r="B32" i="189"/>
  <c r="A19" i="234"/>
  <c r="CG11" i="170"/>
  <c r="E10" i="100"/>
  <c r="F90" i="151" a="1"/>
  <c r="D14" i="237"/>
  <c r="AK22" i="170"/>
  <c r="A28" i="234"/>
  <c r="K6" i="190" a="1"/>
  <c r="D20" i="151"/>
  <c r="B13" i="5"/>
  <c r="J10" i="190" a="1"/>
  <c r="A18" i="237"/>
  <c r="G10" i="192" a="1"/>
  <c r="C25" i="218" a="1"/>
  <c r="A20" i="235"/>
  <c r="D154" i="151"/>
  <c r="C42" i="232" a="1"/>
  <c r="F34" i="151" a="1"/>
  <c r="CN18" i="170"/>
  <c r="C10" i="100"/>
  <c r="A30" i="57"/>
  <c r="A44" i="189"/>
  <c r="H7" i="229" a="1"/>
  <c r="M17" i="5" a="1"/>
  <c r="F50" i="151" a="1"/>
  <c r="D12" i="170"/>
  <c r="D9" i="170"/>
  <c r="A7" i="218"/>
  <c r="C33" i="235" a="1"/>
  <c r="C6" i="228" a="1"/>
  <c r="A50" i="232"/>
  <c r="B10" i="139"/>
  <c r="A31" i="189"/>
  <c r="B8" i="15"/>
  <c r="H20" i="237"/>
  <c r="C12" i="100"/>
  <c r="E56" i="189" a="1"/>
  <c r="J15" i="215" a="1"/>
  <c r="A15" i="219"/>
  <c r="F10" i="240" a="1"/>
  <c r="C41" i="232" a="1"/>
  <c r="J38" i="139" a="1"/>
  <c r="F88" i="151" a="1"/>
  <c r="D10" i="15"/>
  <c r="A21" i="226"/>
  <c r="A15" i="214"/>
  <c r="B23" i="6"/>
  <c r="AD8" i="170"/>
  <c r="A26" i="227"/>
  <c r="A10" i="131"/>
  <c r="A15" i="131"/>
  <c r="A14" i="235"/>
  <c r="CG10" i="170"/>
  <c r="D151" i="92"/>
  <c r="A11" i="226"/>
  <c r="F148" i="151" a="1"/>
  <c r="C21" i="6"/>
  <c r="A13" i="218"/>
  <c r="A40" i="232"/>
  <c r="H19" i="207" a="1"/>
  <c r="B9" i="15"/>
  <c r="F7" i="239" a="1"/>
  <c r="F12" i="241" a="1"/>
  <c r="F104" i="151" a="1"/>
  <c r="B45" i="189"/>
  <c r="C25" i="214" a="1"/>
  <c r="BK8" i="170"/>
  <c r="C24" i="235" a="1"/>
  <c r="C15" i="227" a="1"/>
  <c r="D125" i="92"/>
  <c r="F12" i="240" a="1"/>
  <c r="K17" i="6" a="1"/>
  <c r="D23" i="15"/>
  <c r="BR7" i="170"/>
  <c r="C9" i="215"/>
  <c r="A21" i="234"/>
  <c r="G22" i="212" a="1"/>
  <c r="A19" i="109" a="1"/>
  <c r="B11" i="197"/>
  <c r="A43" i="232"/>
  <c r="F81" i="151" a="1"/>
  <c r="C19" i="6"/>
  <c r="C10" i="218" a="1"/>
  <c r="CC11" i="170"/>
  <c r="AD11" i="170"/>
  <c r="A8" i="232"/>
  <c r="H7" i="209" a="1"/>
  <c r="C9" i="139"/>
  <c r="B13" i="209"/>
  <c r="BK22" i="170"/>
  <c r="D120" i="92"/>
  <c r="D45" i="92"/>
  <c r="A18" i="233"/>
  <c r="I22" i="15" a="1"/>
  <c r="B14" i="100"/>
  <c r="E14" i="237"/>
  <c r="C22" i="227" a="1"/>
  <c r="E28" i="189" a="1"/>
  <c r="D17" i="151"/>
  <c r="E53" i="189" a="1"/>
  <c r="A46" i="189"/>
  <c r="H14" i="2" a="1"/>
  <c r="F47" i="151" a="1"/>
  <c r="F176" i="151" a="1"/>
  <c r="B11" i="100"/>
  <c r="C11" i="237"/>
  <c r="A35" i="131"/>
  <c r="J41" i="139" a="1"/>
  <c r="I25" i="15" a="1"/>
  <c r="E26" i="100"/>
  <c r="A7" i="226"/>
  <c r="CY9" i="170"/>
  <c r="B11" i="189"/>
  <c r="D10" i="100"/>
  <c r="C17" i="235" a="1"/>
  <c r="A13" i="189"/>
  <c r="A14" i="227"/>
  <c r="B14" i="6"/>
  <c r="A14" i="109" a="1"/>
  <c r="C6" i="25" a="1"/>
  <c r="B21" i="100"/>
  <c r="AV7" i="170"/>
  <c r="CG18" i="170"/>
  <c r="E13" i="15"/>
  <c r="B44" i="189"/>
  <c r="F15" i="237"/>
  <c r="A28" i="232"/>
  <c r="B9" i="189"/>
  <c r="K41" i="139" a="1"/>
  <c r="J12" i="190" a="1"/>
  <c r="AV8" i="170"/>
  <c r="F23" i="151" a="1"/>
  <c r="B24" i="189"/>
  <c r="K7" i="190" a="1"/>
  <c r="A16" i="218"/>
  <c r="O10" i="170"/>
  <c r="C12" i="228" a="1"/>
  <c r="C25" i="79" a="1"/>
  <c r="A31" i="57"/>
  <c r="J7" i="6" a="1"/>
  <c r="H8" i="237"/>
  <c r="A14" i="219"/>
  <c r="D27" i="92"/>
  <c r="D17" i="15"/>
  <c r="AO10" i="170"/>
  <c r="D12" i="151"/>
  <c r="D21" i="237"/>
  <c r="CR22" i="170"/>
  <c r="A32" i="226"/>
  <c r="E21" i="100"/>
  <c r="C44" i="232" a="1"/>
  <c r="B14" i="5"/>
  <c r="AZ13" i="170"/>
  <c r="G14" i="207" a="1"/>
  <c r="E24" i="100"/>
  <c r="A13" i="234"/>
  <c r="C20" i="233" a="1"/>
  <c r="BV15" i="170"/>
  <c r="J20" i="139" a="1"/>
  <c r="G14" i="192" a="1"/>
  <c r="C29" i="227" a="1"/>
  <c r="A15" i="226"/>
  <c r="C34" i="226" a="1"/>
  <c r="C13" i="227" a="1"/>
  <c r="A24" i="232"/>
  <c r="B15" i="5"/>
  <c r="P8" i="238" a="1"/>
  <c r="J9" i="190" a="1"/>
  <c r="G8" i="237"/>
  <c r="DC14" i="170"/>
  <c r="K42" i="6" a="1"/>
  <c r="A33" i="131"/>
  <c r="K13" i="215" a="1"/>
  <c r="A41" i="232"/>
  <c r="A11" i="238"/>
  <c r="A54" i="232"/>
  <c r="A47" i="232"/>
  <c r="A32" i="232"/>
  <c r="A15" i="234"/>
  <c r="D18" i="92"/>
  <c r="G8" i="2" a="1"/>
  <c r="C13" i="139"/>
  <c r="C57" i="131" a="1"/>
  <c r="H24" i="207" a="1"/>
  <c r="D98" i="92"/>
  <c r="D97" i="151"/>
  <c r="A35" i="234"/>
  <c r="E18" i="189" a="1"/>
  <c r="B24" i="100"/>
  <c r="AO11" i="170"/>
  <c r="A7" i="233"/>
  <c r="C36" i="233" a="1"/>
  <c r="C14" i="100"/>
  <c r="AK12" i="170"/>
  <c r="G14" i="2" a="1"/>
  <c r="C28" i="235" a="1"/>
  <c r="A13" i="131"/>
  <c r="CC18" i="170"/>
  <c r="K13" i="6" a="1"/>
  <c r="F155" i="151" a="1"/>
  <c r="E14" i="189" a="1"/>
  <c r="F14" i="192" a="1"/>
  <c r="C16" i="233" a="1"/>
  <c r="F37" i="151" a="1"/>
  <c r="F112" i="151" a="1"/>
  <c r="C13" i="83" a="1"/>
  <c r="B18" i="189"/>
  <c r="C19" i="109" a="1"/>
  <c r="J50" i="6" a="1"/>
  <c r="J13" i="6" a="1"/>
  <c r="A18" i="218"/>
  <c r="C14" i="227" a="1"/>
  <c r="J10" i="6" a="1"/>
  <c r="D122" i="92"/>
  <c r="J10" i="238" a="1"/>
  <c r="E50" i="189" a="1"/>
  <c r="BK12" i="170"/>
  <c r="C18" i="100"/>
  <c r="A36" i="233"/>
  <c r="A43" i="189"/>
  <c r="A23" i="217"/>
  <c r="E25" i="100"/>
  <c r="H9" i="209" a="1"/>
  <c r="B22" i="100"/>
  <c r="F20" i="237"/>
  <c r="F97" i="151" a="1"/>
  <c r="J37" i="139" a="1"/>
  <c r="F165" i="151" a="1"/>
  <c r="J8" i="190" a="1"/>
  <c r="G12" i="2" a="1"/>
  <c r="E36" i="189" a="1"/>
  <c r="A58" i="189"/>
  <c r="C17" i="100"/>
  <c r="D26" i="151"/>
  <c r="A6" i="109" a="1"/>
  <c r="D14" i="151"/>
  <c r="C26" i="227" a="1"/>
  <c r="D14" i="170"/>
  <c r="H10" i="237"/>
  <c r="D25" i="100"/>
  <c r="G23" i="212" a="1"/>
  <c r="A12" i="233"/>
  <c r="A19" i="83"/>
  <c r="CR17" i="170"/>
  <c r="AZ17" i="170"/>
  <c r="D180" i="92"/>
  <c r="A32" i="228"/>
  <c r="D16" i="92"/>
  <c r="D156" i="92"/>
  <c r="A29" i="227"/>
  <c r="S7" i="170"/>
  <c r="CR7" i="170"/>
  <c r="I7" i="229" a="1"/>
  <c r="L15" i="5" a="1"/>
  <c r="C18" i="109" a="1"/>
  <c r="A50" i="189"/>
  <c r="DC19" i="170"/>
  <c r="C12" i="227" a="1"/>
  <c r="C12" i="237"/>
  <c r="A31" i="232"/>
  <c r="A8" i="83"/>
  <c r="B20" i="15"/>
  <c r="C51" i="232" a="1"/>
  <c r="A23" i="232"/>
  <c r="C22" i="218" a="1"/>
  <c r="C12" i="233" a="1"/>
  <c r="AK18" i="170"/>
  <c r="J9" i="139" a="1"/>
  <c r="F24" i="151" a="1"/>
  <c r="CY7" i="170"/>
  <c r="BR16" i="170"/>
  <c r="G20" i="237"/>
  <c r="K40" i="139" a="1"/>
  <c r="I5" i="35" a="1"/>
  <c r="D130" i="151"/>
  <c r="F21" i="151" a="1"/>
  <c r="C24" i="226" a="1"/>
  <c r="F138" i="151" a="1"/>
  <c r="C20" i="6"/>
  <c r="CN8" i="170"/>
  <c r="D26" i="92"/>
  <c r="F52" i="151" a="1"/>
  <c r="C25" i="232" a="1"/>
  <c r="F55" i="189" a="1"/>
  <c r="J11" i="190" a="1"/>
  <c r="H12" i="209" a="1"/>
  <c r="AV21" i="170"/>
  <c r="AD18" i="170"/>
  <c r="C7" i="228" a="1"/>
  <c r="A9" i="228"/>
  <c r="A9" i="219"/>
  <c r="B9" i="139"/>
  <c r="CG14" i="170"/>
  <c r="H5" i="229" a="1"/>
  <c r="A25" i="227"/>
  <c r="C14" i="6"/>
  <c r="B9" i="100"/>
  <c r="C13" i="6"/>
  <c r="E52" i="189" a="1"/>
  <c r="AV13" i="170"/>
  <c r="L9" i="5" a="1"/>
  <c r="CR10" i="170"/>
  <c r="C26" i="100"/>
  <c r="A16" i="189"/>
  <c r="C35" i="235" a="1"/>
  <c r="E26" i="189" a="1"/>
  <c r="F23" i="189" a="1"/>
  <c r="BG16" i="170"/>
  <c r="A9" i="131"/>
  <c r="F37" i="189" a="1"/>
  <c r="A27" i="227"/>
  <c r="A11" i="218"/>
  <c r="D19" i="100"/>
  <c r="B9" i="5"/>
  <c r="B13" i="139"/>
  <c r="J45" i="6" a="1"/>
  <c r="H19" i="2" a="1"/>
  <c r="H9" i="237"/>
  <c r="G11" i="192" a="1"/>
  <c r="DC21" i="170"/>
  <c r="H23" i="207" a="1"/>
  <c r="G8" i="239" a="1"/>
  <c r="H14" i="239" a="1"/>
  <c r="C21" i="139"/>
  <c r="A16" i="234"/>
  <c r="Z7" i="170"/>
  <c r="F67" i="151" a="1"/>
  <c r="H18" i="170"/>
  <c r="A19" i="131"/>
  <c r="AK10" i="170"/>
  <c r="K8" i="215" a="1"/>
  <c r="F145" i="151" a="1"/>
  <c r="H20" i="207" a="1"/>
  <c r="D92" i="92"/>
  <c r="F12" i="239" a="1"/>
  <c r="A29" i="131"/>
  <c r="C19" i="235" a="1"/>
  <c r="C43" i="227" a="1"/>
  <c r="C16" i="83" a="1"/>
  <c r="A30" i="131"/>
  <c r="J29" i="139" a="1"/>
  <c r="J19" i="6" a="1"/>
  <c r="A34" i="226"/>
  <c r="A15" i="189"/>
  <c r="K8" i="6" a="1"/>
  <c r="D134" i="151"/>
  <c r="K21" i="6" a="1"/>
  <c r="D85" i="151"/>
  <c r="F26" i="151" a="1"/>
  <c r="A10" i="238"/>
  <c r="A10" i="192"/>
  <c r="D126" i="92"/>
  <c r="C10" i="139"/>
  <c r="BV16" i="170"/>
  <c r="A16" i="55"/>
  <c r="F96" i="151" a="1"/>
  <c r="C7" i="83" a="1"/>
  <c r="B50" i="189"/>
  <c r="A24" i="227"/>
  <c r="C10" i="209"/>
  <c r="F150" i="151" a="1"/>
  <c r="B11" i="6"/>
  <c r="A21" i="189"/>
  <c r="F108" i="151" a="1"/>
  <c r="C45" i="232" a="1"/>
  <c r="B18" i="139"/>
  <c r="A16" i="131"/>
  <c r="A11" i="190"/>
  <c r="CR15" i="170"/>
  <c r="E9" i="241" a="1"/>
  <c r="A37" i="233"/>
  <c r="C23" i="79" a="1"/>
  <c r="A24" i="214"/>
  <c r="O18" i="170"/>
  <c r="C13" i="237"/>
  <c r="D56" i="151"/>
  <c r="A19" i="232"/>
  <c r="E18" i="237"/>
  <c r="C15" i="226" a="1"/>
  <c r="C31" i="79" a="1"/>
  <c r="D11" i="170"/>
  <c r="C21" i="233" a="1"/>
  <c r="A34" i="228"/>
  <c r="E57" i="189" a="1"/>
  <c r="C6" i="218" a="1"/>
  <c r="C33" i="232" a="1"/>
  <c r="I7" i="15" a="1"/>
  <c r="F13" i="241" a="1"/>
  <c r="C10" i="214" a="1"/>
  <c r="C57" i="232" a="1"/>
  <c r="A14" i="83"/>
  <c r="F136" i="151" a="1"/>
  <c r="D56" i="92"/>
  <c r="D10" i="170"/>
  <c r="H16" i="2" a="1"/>
  <c r="A9" i="226"/>
  <c r="A15" i="57"/>
  <c r="A7" i="109" a="1"/>
  <c r="A10" i="228"/>
  <c r="CR11" i="170"/>
  <c r="C8" i="25" a="1"/>
  <c r="A24" i="218"/>
  <c r="AD15" i="170"/>
  <c r="B28" i="189"/>
  <c r="F105" i="151" a="1"/>
  <c r="J3" i="79" a="1"/>
  <c r="E15" i="237"/>
  <c r="A7" i="190"/>
  <c r="D21" i="92"/>
  <c r="J20" i="6" a="1"/>
  <c r="F22" i="151" a="1"/>
  <c r="P9" i="190" a="1"/>
  <c r="CC22" i="170"/>
  <c r="A23" i="226"/>
  <c r="H17" i="2" a="1"/>
  <c r="H17" i="237"/>
  <c r="D15" i="170"/>
  <c r="F123" i="151" a="1"/>
  <c r="A23" i="227"/>
  <c r="D88" i="92"/>
  <c r="M11" i="190" a="1"/>
  <c r="C18" i="6"/>
  <c r="D15" i="92"/>
  <c r="J7" i="215" a="1"/>
  <c r="AD19" i="170"/>
  <c r="B53" i="189"/>
  <c r="A27" i="228"/>
  <c r="J17" i="6" a="1"/>
  <c r="J48" i="6" a="1"/>
  <c r="C13" i="226" a="1"/>
  <c r="F100" i="151" a="1"/>
  <c r="E46" i="189" a="1"/>
  <c r="A9" i="192"/>
  <c r="H21" i="237"/>
  <c r="H7" i="170"/>
  <c r="B7" i="15"/>
  <c r="C4" i="79" a="1"/>
  <c r="A8" i="109" a="1"/>
  <c r="C32" i="227" a="1"/>
  <c r="A29" i="189"/>
  <c r="G9" i="2" a="1"/>
  <c r="C8" i="79" a="1"/>
  <c r="C16" i="218" a="1"/>
  <c r="A21" i="233"/>
  <c r="N10" i="238" a="1"/>
  <c r="B19" i="189"/>
  <c r="A16" i="217"/>
  <c r="J40" i="139" a="1"/>
  <c r="C10" i="215"/>
  <c r="D124" i="92"/>
  <c r="B9" i="209"/>
  <c r="D53" i="151"/>
  <c r="H8" i="207" a="1"/>
  <c r="A11" i="55"/>
  <c r="A52" i="232"/>
  <c r="M9" i="238" a="1"/>
  <c r="A11" i="214"/>
  <c r="F58" i="151" a="1"/>
  <c r="B39" i="189"/>
  <c r="B7" i="5"/>
  <c r="E10" i="241" a="1"/>
  <c r="F109" i="151" a="1"/>
  <c r="D130" i="92"/>
  <c r="F141" i="151" a="1"/>
  <c r="B14" i="197"/>
  <c r="H22" i="207" a="1"/>
  <c r="A12" i="109" a="1"/>
  <c r="A11" i="131"/>
  <c r="CY20" i="170"/>
  <c r="G7" i="207" a="1"/>
  <c r="F158" i="151" a="1"/>
  <c r="A24" i="235"/>
  <c r="C14" i="25" a="1"/>
  <c r="CR8" i="170"/>
  <c r="BG17" i="170"/>
  <c r="D60" i="151"/>
  <c r="H9" i="2" a="1"/>
  <c r="E12" i="237"/>
  <c r="CN19" i="170"/>
  <c r="G12" i="209" a="1"/>
  <c r="C9" i="232" a="1"/>
  <c r="B8" i="189"/>
  <c r="AZ6" i="170"/>
  <c r="C25" i="235" a="1"/>
  <c r="A24" i="228"/>
  <c r="J12" i="6" a="1"/>
  <c r="B17" i="100"/>
  <c r="C7" i="214" a="1"/>
  <c r="AO13" i="170"/>
  <c r="G13" i="207" a="1"/>
  <c r="D150" i="92"/>
  <c r="CC14" i="170"/>
  <c r="F53" i="189" a="1"/>
  <c r="C11" i="5"/>
  <c r="A23" i="228"/>
  <c r="D141" i="151"/>
  <c r="M16" i="5" a="1"/>
  <c r="C35" i="233" a="1"/>
  <c r="I11" i="15" a="1"/>
  <c r="A9" i="218"/>
  <c r="A37" i="234"/>
  <c r="D63" i="92"/>
  <c r="AD7" i="170"/>
  <c r="C21" i="214" a="1"/>
  <c r="F10" i="5"/>
  <c r="H21" i="170"/>
  <c r="D58" i="151"/>
  <c r="F44" i="151" a="1"/>
  <c r="G11" i="239" a="1"/>
  <c r="K8" i="190" a="1"/>
  <c r="I21" i="15" a="1"/>
  <c r="A12" i="237"/>
  <c r="K20" i="6" a="1"/>
  <c r="A34" i="234"/>
  <c r="BG18" i="170"/>
  <c r="C10" i="226" a="1"/>
  <c r="A44" i="232"/>
  <c r="CC16" i="170"/>
  <c r="AO6" i="170"/>
  <c r="E20" i="100"/>
  <c r="A13" i="214"/>
  <c r="F11" i="237"/>
  <c r="F170" i="151" a="1"/>
  <c r="H11" i="239" a="1"/>
  <c r="D17" i="100"/>
  <c r="C17" i="5"/>
  <c r="C13" i="5"/>
  <c r="C6" i="214" a="1"/>
  <c r="D50" i="151"/>
  <c r="A16" i="57"/>
  <c r="C27" i="109" a="1"/>
  <c r="A21" i="57"/>
  <c r="A32" i="235"/>
  <c r="K10" i="139" a="1"/>
  <c r="M8" i="5" a="1"/>
  <c r="E29" i="189" a="1"/>
  <c r="C18" i="218" a="1"/>
  <c r="C12" i="83" a="1"/>
  <c r="C8" i="227" a="1"/>
  <c r="DC11" i="170"/>
  <c r="B20" i="100"/>
  <c r="BG19" i="170"/>
  <c r="K18" i="139" a="1"/>
  <c r="F86" i="151" a="1"/>
  <c r="D20" i="15"/>
  <c r="A10" i="218"/>
  <c r="J14" i="139" a="1"/>
  <c r="C9" i="228" a="1"/>
  <c r="B15" i="100"/>
  <c r="DC7" i="170"/>
  <c r="J45" i="139" a="1"/>
  <c r="A34" i="57"/>
  <c r="C15" i="218" a="1"/>
  <c r="CN11" i="170"/>
  <c r="C29" i="226" a="1"/>
  <c r="A32" i="227"/>
  <c r="C25" i="100"/>
  <c r="CC13" i="170"/>
  <c r="F101" i="151" a="1"/>
  <c r="D15" i="5"/>
  <c r="A8" i="131"/>
  <c r="F56" i="189" a="1"/>
  <c r="A30" i="228"/>
  <c r="D9" i="237"/>
  <c r="AZ22" i="170"/>
  <c r="D98" i="151"/>
  <c r="BR15" i="170"/>
  <c r="J19" i="139" a="1"/>
  <c r="C17" i="232" a="1"/>
  <c r="A11" i="57"/>
  <c r="F124" i="151" a="1"/>
  <c r="H17" i="170"/>
  <c r="K14" i="6" a="1"/>
  <c r="C13" i="215"/>
  <c r="A8" i="237"/>
  <c r="D95" i="151"/>
  <c r="C34" i="233" a="1"/>
  <c r="C12" i="232" a="1"/>
  <c r="E19" i="237"/>
  <c r="D81" i="151"/>
  <c r="P10" i="238" a="1"/>
  <c r="D154" i="92"/>
  <c r="A25" i="218"/>
  <c r="C15" i="235" a="1"/>
  <c r="A40" i="131"/>
  <c r="J21" i="6" a="1"/>
  <c r="B18" i="100"/>
  <c r="B22" i="189"/>
  <c r="AK9" i="170"/>
  <c r="A18" i="235"/>
  <c r="D132" i="151"/>
  <c r="G21" i="100" a="1"/>
  <c r="BG7" i="170"/>
  <c r="D10" i="151"/>
  <c r="D13" i="237"/>
  <c r="C43" i="226" a="1"/>
  <c r="C26" i="226" a="1"/>
  <c r="E10" i="237"/>
  <c r="A14" i="214"/>
  <c r="A25" i="219"/>
  <c r="B8" i="215"/>
  <c r="E10" i="15"/>
  <c r="J8" i="6" a="1"/>
  <c r="O22" i="170"/>
  <c r="C7" i="233" a="1"/>
  <c r="K22" i="6" a="1"/>
  <c r="C9" i="25" a="1"/>
  <c r="O12" i="170"/>
  <c r="A27" i="233"/>
  <c r="A26" i="234"/>
  <c r="BR12" i="170"/>
  <c r="C16" i="214" a="1"/>
  <c r="C32" i="214" a="1"/>
  <c r="D101" i="92"/>
  <c r="F43" i="189" a="1"/>
  <c r="BG8" i="170"/>
  <c r="D14" i="15"/>
  <c r="D158" i="92"/>
  <c r="M7" i="190" a="1"/>
  <c r="AZ18" i="170"/>
  <c r="D23" i="92"/>
  <c r="B16" i="189"/>
  <c r="AK21" i="170"/>
  <c r="G20" i="100" a="1"/>
  <c r="D16" i="151"/>
  <c r="D84" i="151"/>
  <c r="CY12" i="170"/>
  <c r="N8" i="238" a="1"/>
  <c r="S10" i="170"/>
  <c r="D153" i="151"/>
  <c r="BK17" i="170"/>
  <c r="C16" i="129" a="1"/>
  <c r="D134" i="92"/>
  <c r="H22" i="170"/>
  <c r="A38" i="57"/>
  <c r="C6" i="226" a="1"/>
  <c r="H7" i="5"/>
  <c r="C29" i="235" a="1"/>
  <c r="H8" i="5"/>
  <c r="CN15" i="170"/>
  <c r="D9" i="5"/>
  <c r="F42" i="189" a="1"/>
  <c r="K45" i="6" a="1"/>
  <c r="H12" i="192" a="1"/>
  <c r="C19" i="25" a="1"/>
  <c r="K7" i="215" a="1"/>
  <c r="D89" i="151"/>
  <c r="F7" i="241" a="1"/>
  <c r="D21" i="170"/>
  <c r="N12" i="190" a="1"/>
  <c r="A33" i="189"/>
  <c r="F168" i="151" a="1"/>
  <c r="C10" i="79" a="1"/>
  <c r="M13" i="238" a="1"/>
  <c r="A12" i="235"/>
  <c r="CG12" i="170"/>
  <c r="C25" i="228" a="1"/>
  <c r="J11" i="6" a="1"/>
  <c r="A32" i="131"/>
  <c r="S18" i="170"/>
  <c r="C19" i="233" a="1"/>
  <c r="AO22" i="170"/>
  <c r="D8" i="15"/>
  <c r="D101" i="151"/>
  <c r="G23" i="207" a="1"/>
  <c r="B47" i="189"/>
  <c r="A12" i="214"/>
  <c r="D19" i="151"/>
  <c r="H9" i="5"/>
  <c r="M6" i="190" a="1"/>
  <c r="F130" i="151" a="1"/>
  <c r="A56" i="189"/>
  <c r="CY13" i="170"/>
  <c r="A12" i="131"/>
  <c r="C8" i="226" a="1"/>
  <c r="CY6" i="170"/>
  <c r="C13" i="218" a="1"/>
  <c r="B34" i="189"/>
  <c r="G22" i="2" a="1"/>
  <c r="A30" i="189"/>
  <c r="H13" i="2" a="1"/>
  <c r="O6" i="170"/>
  <c r="C23" i="25" a="1"/>
  <c r="C8" i="139"/>
  <c r="C12" i="6"/>
  <c r="E18" i="15"/>
  <c r="BR8" i="170"/>
  <c r="B12" i="6"/>
  <c r="G9" i="209" a="1"/>
  <c r="F79" i="151" a="1"/>
  <c r="C24" i="79" a="1"/>
  <c r="C31" i="227" a="1"/>
  <c r="D24" i="15"/>
  <c r="I8" i="229" a="1"/>
  <c r="A18" i="232"/>
  <c r="K37" i="6" a="1"/>
  <c r="G26" i="2" a="1"/>
  <c r="DC18" i="170"/>
  <c r="A34" i="227"/>
  <c r="D59" i="151"/>
  <c r="F57" i="151" a="1"/>
  <c r="F44" i="189" a="1"/>
  <c r="A31" i="226"/>
  <c r="B13" i="215"/>
  <c r="A20" i="218"/>
  <c r="F143" i="151" a="1"/>
  <c r="C23" i="6"/>
  <c r="G25" i="100" a="1"/>
  <c r="C15" i="6"/>
  <c r="B40" i="189"/>
  <c r="D12" i="100"/>
  <c r="H8" i="192" a="1"/>
  <c r="E16" i="237"/>
  <c r="AZ9" i="170"/>
  <c r="J9" i="238" a="1"/>
  <c r="A19" i="235"/>
  <c r="C28" i="227" a="1"/>
  <c r="D16" i="170"/>
  <c r="C30" i="226" a="1"/>
  <c r="F82" i="151" a="1"/>
  <c r="D19" i="170"/>
  <c r="CN7" i="170"/>
  <c r="J35" i="139" a="1"/>
  <c r="C15" i="79" a="1"/>
  <c r="C11" i="226" a="1"/>
  <c r="D93" i="151"/>
  <c r="C23" i="214" a="1"/>
  <c r="E47" i="189" a="1"/>
  <c r="C18" i="235" a="1"/>
  <c r="CN13" i="170"/>
  <c r="F38" i="189" a="1"/>
  <c r="B15" i="6"/>
  <c r="C16" i="15"/>
  <c r="D87" i="92"/>
  <c r="D57" i="92"/>
  <c r="C13" i="100"/>
  <c r="P13" i="190" a="1"/>
  <c r="A10" i="189"/>
  <c r="A26" i="235"/>
  <c r="D155" i="92"/>
  <c r="A53" i="232"/>
  <c r="C11" i="228" a="1"/>
  <c r="D91" i="92"/>
  <c r="D22" i="151"/>
  <c r="F128" i="151" a="1"/>
  <c r="G13" i="237"/>
  <c r="F80" i="151" a="1"/>
  <c r="AK13" i="170"/>
  <c r="H13" i="239" a="1"/>
  <c r="C9" i="233" a="1"/>
  <c r="A10" i="57"/>
  <c r="A36" i="235"/>
  <c r="P6" i="238" a="1"/>
  <c r="K39" i="6" a="1"/>
  <c r="C35" i="228" a="1"/>
  <c r="G24" i="2" a="1"/>
  <c r="K11" i="215" a="1"/>
  <c r="A17" i="55"/>
  <c r="A10" i="55"/>
  <c r="A54" i="189"/>
  <c r="J13" i="190" a="1"/>
  <c r="A45" i="131"/>
  <c r="C14" i="215"/>
  <c r="F178" i="151" a="1"/>
  <c r="F45" i="189" a="1"/>
  <c r="E21" i="15"/>
  <c r="C8" i="233" a="1"/>
  <c r="A10" i="217"/>
  <c r="BV17" i="170"/>
  <c r="Z11" i="170"/>
  <c r="A20" i="219"/>
  <c r="A25" i="189"/>
  <c r="E15" i="15"/>
  <c r="D86" i="151"/>
  <c r="F40" i="151" a="1"/>
  <c r="F25" i="151" a="1"/>
  <c r="F59" i="151" a="1"/>
  <c r="H9" i="170"/>
  <c r="A9" i="227"/>
  <c r="F38" i="151" a="1"/>
  <c r="D153" i="92"/>
  <c r="A23" i="83"/>
  <c r="BG11" i="170"/>
  <c r="E10" i="240" a="1"/>
  <c r="C22" i="228" a="1"/>
  <c r="C8" i="218" a="1"/>
  <c r="F14" i="239" a="1"/>
  <c r="G9" i="239" a="1"/>
  <c r="C37" i="232" a="1"/>
  <c r="K12" i="215" a="1"/>
  <c r="E12" i="189" a="1"/>
  <c r="D7" i="170"/>
  <c r="A8" i="238"/>
  <c r="D21" i="15"/>
  <c r="C52" i="232" a="1"/>
  <c r="D47" i="92"/>
  <c r="A10" i="83"/>
  <c r="C9" i="209"/>
  <c r="CN12" i="170"/>
  <c r="D143" i="151"/>
  <c r="A54" i="131"/>
  <c r="CR12" i="170"/>
  <c r="F29" i="189" a="1"/>
  <c r="F164" i="151" a="1"/>
  <c r="A40" i="189"/>
  <c r="F84" i="151" a="1"/>
  <c r="F52" i="189" a="1"/>
  <c r="A17" i="189"/>
  <c r="A17" i="83"/>
  <c r="L11" i="5" a="1"/>
  <c r="F83" i="151" a="1"/>
  <c r="J31" i="139" a="1"/>
  <c r="F33" i="151" a="1"/>
  <c r="D119" i="151"/>
  <c r="B15" i="15"/>
  <c r="C21" i="45" a="1"/>
  <c r="I23" i="15" a="1"/>
  <c r="A26" i="226"/>
  <c r="D62" i="92"/>
  <c r="F115" i="151" a="1"/>
  <c r="A28" i="131"/>
  <c r="A6" i="214"/>
  <c r="C9" i="100"/>
  <c r="B7" i="139"/>
  <c r="C19" i="237"/>
  <c r="G19" i="237"/>
  <c r="J39" i="6" a="1"/>
  <c r="D43" i="151"/>
  <c r="C26" i="235" a="1"/>
  <c r="F27" i="151" a="1"/>
  <c r="H16" i="209" a="1"/>
  <c r="A9" i="189"/>
  <c r="BG6" i="170"/>
  <c r="H21" i="2" a="1"/>
  <c r="M10" i="190" a="1"/>
  <c r="CR14" i="170"/>
  <c r="F160" i="151" a="1"/>
  <c r="C20" i="218" a="1"/>
  <c r="C14" i="214" a="1"/>
  <c r="F51" i="189" a="1"/>
  <c r="A8" i="233"/>
  <c r="D14" i="100"/>
  <c r="C27" i="233" a="1"/>
  <c r="BR9" i="170"/>
  <c r="G19" i="212" a="1"/>
  <c r="S19" i="170"/>
  <c r="C6" i="232" a="1"/>
  <c r="A14" i="131"/>
  <c r="C7" i="139"/>
  <c r="J9" i="215" a="1"/>
  <c r="D54" i="92"/>
  <c r="B57" i="189"/>
  <c r="H24" i="212" a="1"/>
  <c r="F71" i="151" a="1"/>
  <c r="A20" i="57"/>
  <c r="N11" i="238" a="1"/>
  <c r="C16" i="232" a="1"/>
  <c r="D96" i="151"/>
  <c r="C11" i="209"/>
  <c r="C17" i="109" a="1"/>
  <c r="K11" i="6" a="1"/>
  <c r="F60" i="151" a="1"/>
  <c r="H11" i="207" a="1"/>
  <c r="J8" i="215" a="1"/>
  <c r="A51" i="131"/>
  <c r="A9" i="190"/>
  <c r="C32" i="219" a="1"/>
  <c r="A14" i="233"/>
  <c r="F66" i="151" a="1"/>
  <c r="C6" i="15"/>
  <c r="J23" i="139" a="1"/>
  <c r="A13" i="217"/>
  <c r="F20" i="189" a="1"/>
  <c r="B12" i="139"/>
  <c r="Z10" i="170"/>
  <c r="E19" i="100"/>
  <c r="H9" i="239" a="1"/>
  <c r="D137" i="151"/>
  <c r="F13" i="5"/>
  <c r="E51" i="189" a="1"/>
  <c r="H15" i="5"/>
  <c r="AO7" i="170"/>
  <c r="A57" i="189"/>
  <c r="A26" i="228"/>
  <c r="B10" i="215"/>
  <c r="CR16" i="170"/>
  <c r="A28" i="226"/>
  <c r="A27" i="131"/>
  <c r="J39" i="139" a="1"/>
  <c r="C40" i="232" a="1"/>
  <c r="A15" i="227"/>
  <c r="C7" i="109" a="1"/>
  <c r="C24" i="25" a="1"/>
  <c r="J13" i="139" a="1"/>
  <c r="K12" i="6" a="1"/>
  <c r="K29" i="139" a="1"/>
  <c r="F17" i="151" a="1"/>
  <c r="F107" i="151" a="1"/>
  <c r="C12" i="215"/>
  <c r="B10" i="209"/>
  <c r="B20" i="189"/>
  <c r="J8" i="238" a="1"/>
  <c r="D8" i="100"/>
  <c r="A7" i="57"/>
  <c r="C32" i="228" a="1"/>
  <c r="D123" i="151"/>
  <c r="F147" i="151" a="1"/>
  <c r="D125" i="151"/>
  <c r="D92" i="151"/>
  <c r="A28" i="235"/>
  <c r="A17" i="237"/>
  <c r="C31" i="228" a="1"/>
  <c r="C10" i="237"/>
  <c r="C24" i="214" a="1"/>
  <c r="K10" i="190" a="1"/>
  <c r="A33" i="226"/>
  <c r="F157" i="151" a="1"/>
  <c r="K49" i="6" a="1"/>
  <c r="H11" i="170"/>
  <c r="A33" i="227"/>
  <c r="K44" i="6" a="1"/>
  <c r="C38" i="235" a="1"/>
  <c r="D20" i="170"/>
  <c r="C11" i="100"/>
  <c r="AZ10" i="170"/>
  <c r="H12" i="2" a="1"/>
  <c r="A10" i="232"/>
  <c r="C18" i="232" a="1"/>
  <c r="A35" i="228"/>
  <c r="B12" i="189"/>
  <c r="F74" i="151" a="1"/>
  <c r="S16" i="170"/>
  <c r="N12" i="238" a="1"/>
  <c r="C11" i="215"/>
  <c r="C23" i="228" a="1"/>
  <c r="DC13" i="170"/>
  <c r="A38" i="235"/>
  <c r="C8" i="237"/>
  <c r="C32" i="226" a="1"/>
  <c r="C20" i="79" a="1"/>
  <c r="F8" i="5"/>
  <c r="C11" i="214" a="1"/>
  <c r="A60" i="189"/>
  <c r="K11" i="139" a="1"/>
  <c r="E42" i="189" a="1"/>
  <c r="J11" i="238" a="1"/>
  <c r="J9" i="6" a="1"/>
  <c r="E9" i="15"/>
  <c r="C8" i="83" a="1"/>
  <c r="CN14" i="170"/>
  <c r="C11" i="218" a="1"/>
  <c r="G9" i="237"/>
  <c r="D129" i="92"/>
  <c r="F183" i="151" a="1"/>
  <c r="E8" i="241" a="1"/>
  <c r="J42" i="139" a="1"/>
  <c r="K15" i="139" a="1"/>
  <c r="C16" i="5"/>
  <c r="A16" i="109" a="1"/>
  <c r="E44" i="189" a="1"/>
  <c r="P7" i="190" a="1"/>
  <c r="A33" i="232"/>
  <c r="L13" i="5" a="1"/>
  <c r="F12" i="5"/>
  <c r="H11" i="192" a="1"/>
  <c r="A24" i="57"/>
  <c r="C8" i="109" a="1"/>
  <c r="E6" i="15"/>
  <c r="A30" i="227"/>
  <c r="D90" i="92"/>
  <c r="C13" i="109" a="1"/>
  <c r="C32" i="79" a="1"/>
  <c r="J44" i="6" a="1"/>
  <c r="A29" i="228"/>
  <c r="A15" i="109" a="1"/>
  <c r="F125" i="151" a="1"/>
  <c r="BR18" i="170"/>
  <c r="B41" i="189"/>
  <c r="F119" i="151" a="1"/>
  <c r="C19" i="15"/>
  <c r="A42" i="232"/>
  <c r="F15" i="151" a="1"/>
  <c r="A33" i="233"/>
  <c r="C14" i="109" a="1"/>
  <c r="A15" i="235"/>
  <c r="F92" i="151" a="1"/>
  <c r="I9" i="15" a="1"/>
  <c r="G24" i="207" a="1"/>
  <c r="S14" i="170"/>
  <c r="B12" i="215"/>
  <c r="K46" i="6" a="1"/>
  <c r="F73" i="151" a="1"/>
  <c r="D25" i="92"/>
  <c r="A47" i="131"/>
  <c r="BV6" i="170"/>
  <c r="F28" i="189" a="1"/>
  <c r="A12" i="57"/>
  <c r="B7" i="189"/>
  <c r="K36" i="6" a="1"/>
  <c r="K38" i="139" a="1"/>
  <c r="M13" i="5" a="1"/>
  <c r="A20" i="232"/>
  <c r="K9" i="139" a="1"/>
  <c r="C22" i="83" a="1"/>
  <c r="F64" i="151" a="1"/>
  <c r="K10" i="6" a="1"/>
  <c r="A11" i="235"/>
  <c r="F40" i="189" a="1"/>
  <c r="A7" i="131"/>
  <c r="CY19" i="170"/>
  <c r="CR9" i="170"/>
  <c r="K19" i="6" a="1"/>
  <c r="F13" i="192" a="1"/>
  <c r="CY15" i="170"/>
  <c r="D13" i="151"/>
  <c r="AZ8" i="170"/>
  <c r="CR21" i="170"/>
  <c r="E45" i="189" a="1"/>
  <c r="F13" i="239" a="1"/>
  <c r="S8" i="170"/>
  <c r="D13" i="5"/>
  <c r="C15" i="232" a="1"/>
  <c r="A12" i="55"/>
  <c r="D24" i="92"/>
  <c r="A39" i="232"/>
  <c r="C20" i="83" a="1"/>
  <c r="M11" i="238" a="1"/>
  <c r="F10" i="192" a="1"/>
  <c r="F154" i="151" a="1"/>
  <c r="D146" i="151"/>
  <c r="C24" i="232" a="1"/>
  <c r="F174" i="151" a="1"/>
  <c r="F95" i="151" a="1"/>
  <c r="A38" i="189"/>
  <c r="H18" i="207" a="1"/>
  <c r="CR18" i="170"/>
  <c r="A9" i="214"/>
  <c r="BG21" i="170"/>
  <c r="F175" i="151" a="1"/>
  <c r="F17" i="5"/>
  <c r="A24" i="219"/>
  <c r="BK6" i="170"/>
  <c r="A7" i="83"/>
  <c r="F21" i="237"/>
  <c r="M15" i="5" a="1"/>
  <c r="K48" i="6" a="1"/>
  <c r="D24" i="100"/>
  <c r="H18" i="237"/>
  <c r="E17" i="15"/>
  <c r="C10" i="109" a="1"/>
  <c r="F58" i="189" a="1"/>
  <c r="A12" i="192"/>
  <c r="C22" i="214" a="1"/>
  <c r="B12" i="100"/>
  <c r="BV22" i="170"/>
  <c r="D151" i="151"/>
  <c r="C11" i="233" a="1"/>
  <c r="I6" i="229" a="1"/>
  <c r="C17" i="15"/>
  <c r="M12" i="238" a="1"/>
  <c r="C10" i="83" a="1"/>
  <c r="C8" i="214" a="1"/>
  <c r="D26" i="100"/>
  <c r="A20" i="237"/>
  <c r="G23" i="237"/>
  <c r="A34" i="189"/>
  <c r="B16" i="197"/>
  <c r="A20" i="217"/>
  <c r="F51" i="151" a="1"/>
  <c r="P10" i="190" a="1"/>
  <c r="CG19" i="170"/>
  <c r="F14" i="151" a="1"/>
  <c r="F10" i="151" a="1"/>
  <c r="DC9" i="170"/>
  <c r="J6" i="238" a="1"/>
  <c r="F30" i="189" a="1"/>
  <c r="CC10" i="170"/>
  <c r="A46" i="232"/>
  <c r="A14" i="228"/>
  <c r="BR13" i="170"/>
  <c r="C18" i="139"/>
  <c r="A15" i="237"/>
  <c r="C28" i="233" a="1"/>
  <c r="D8" i="151"/>
  <c r="E12" i="240" a="1"/>
  <c r="CC6" i="170"/>
  <c r="A13" i="109" a="1"/>
  <c r="E11" i="241" a="1"/>
  <c r="E13" i="241" a="1"/>
  <c r="H8" i="209" a="1"/>
  <c r="C32" i="218" a="1"/>
  <c r="C15" i="139"/>
  <c r="D133" i="92"/>
  <c r="G18" i="207" a="1"/>
  <c r="C27" i="228" a="1"/>
  <c r="P11" i="190" a="1"/>
  <c r="D48" i="151"/>
  <c r="A49" i="232"/>
  <c r="F171" i="151" a="1"/>
  <c r="C8" i="6"/>
  <c r="H11" i="5"/>
  <c r="BK15" i="170"/>
  <c r="A18" i="214"/>
  <c r="D59" i="92"/>
  <c r="B21" i="189"/>
  <c r="A23" i="219"/>
  <c r="A7" i="214"/>
  <c r="J13" i="215" a="1"/>
  <c r="C21" i="226" a="1"/>
  <c r="C15" i="228" a="1"/>
  <c r="E55" i="189" a="1"/>
  <c r="A39" i="189"/>
  <c r="E54" i="189" a="1"/>
  <c r="C17" i="214" a="1"/>
  <c r="D9" i="100"/>
  <c r="A17" i="218"/>
  <c r="AZ15" i="170"/>
  <c r="CG17" i="170"/>
  <c r="D6" i="15"/>
  <c r="A7" i="235"/>
  <c r="BR21" i="170"/>
  <c r="B10" i="6"/>
  <c r="CC9" i="170"/>
  <c r="BR11" i="170"/>
  <c r="F60" i="189" a="1"/>
  <c r="A15" i="83"/>
  <c r="AV10" i="170"/>
  <c r="F9" i="241" a="1"/>
  <c r="D143" i="92"/>
  <c r="C16" i="209"/>
  <c r="K42" i="139" a="1"/>
  <c r="A17" i="214"/>
  <c r="I17" i="15" a="1"/>
  <c r="A8" i="217"/>
  <c r="C22" i="6"/>
  <c r="K44" i="139" a="1"/>
  <c r="H10" i="192" a="1"/>
  <c r="M13" i="190" a="1"/>
  <c r="M11" i="5" a="1"/>
  <c r="F43" i="151" a="1"/>
  <c r="C17" i="139"/>
  <c r="J32" i="139" a="1"/>
  <c r="P12" i="190" a="1"/>
  <c r="H9" i="192" a="1"/>
  <c r="D149" i="151"/>
  <c r="A33" i="228"/>
  <c r="C33" i="79" a="1"/>
  <c r="E17" i="189" a="1"/>
  <c r="H25" i="2" a="1"/>
  <c r="C35" i="226" a="1"/>
  <c r="H23" i="237"/>
  <c r="F59" i="189" a="1"/>
  <c r="A9" i="83"/>
  <c r="B17" i="5"/>
  <c r="K13" i="190" a="1"/>
  <c r="F42" i="151" a="1"/>
  <c r="A12" i="234"/>
  <c r="F140" i="151" a="1"/>
  <c r="D20" i="237"/>
  <c r="A7" i="219"/>
  <c r="A21" i="232"/>
  <c r="D128" i="92"/>
  <c r="F6" i="189" a="1"/>
  <c r="C14" i="228" a="1"/>
  <c r="D55" i="92"/>
  <c r="M8" i="190" a="1"/>
  <c r="A16" i="237"/>
  <c r="D12" i="5"/>
  <c r="C11" i="83" a="1"/>
  <c r="E23" i="237"/>
  <c r="A14" i="234"/>
  <c r="B25" i="15"/>
  <c r="A13" i="190"/>
  <c r="H10" i="2" a="1"/>
  <c r="A25" i="232"/>
  <c r="D124" i="151"/>
  <c r="E38" i="189" a="1"/>
  <c r="C15" i="237"/>
  <c r="F16" i="5"/>
  <c r="F12" i="189" a="1"/>
  <c r="B17" i="197"/>
  <c r="F25" i="189" a="1"/>
  <c r="D10" i="5"/>
  <c r="A8" i="219"/>
  <c r="D22" i="100"/>
  <c r="F8" i="237"/>
  <c r="H20" i="212" a="1"/>
  <c r="F22" i="189" a="1"/>
  <c r="CG16" i="170"/>
  <c r="C18" i="79" a="1"/>
  <c r="A14" i="189"/>
  <c r="CG8" i="170"/>
  <c r="A13" i="57"/>
  <c r="H14" i="207" a="1"/>
  <c r="D128" i="151"/>
  <c r="F65" i="151" a="1"/>
  <c r="F11" i="5"/>
  <c r="F126" i="151" a="1"/>
  <c r="C24" i="15"/>
  <c r="A31" i="131"/>
  <c r="B23" i="189"/>
  <c r="D54" i="151"/>
  <c r="A27" i="57"/>
  <c r="A8" i="55"/>
  <c r="D137" i="92"/>
  <c r="C6" i="83" a="1"/>
  <c r="H12" i="237"/>
  <c r="E25" i="15"/>
  <c r="A38" i="234"/>
  <c r="F94" i="151" a="1"/>
  <c r="H16" i="237"/>
  <c r="H13" i="192" a="1"/>
  <c r="C21" i="237"/>
  <c r="G16" i="237"/>
  <c r="A24" i="234"/>
  <c r="F10" i="241" a="1"/>
  <c r="D25" i="15"/>
  <c r="F146" i="151" a="1"/>
  <c r="C35" i="232" a="1"/>
  <c r="K23" i="6" a="1"/>
  <c r="J35" i="6" a="1"/>
  <c r="K8" i="139" a="1"/>
  <c r="H6" i="170"/>
  <c r="C38" i="233" a="1"/>
  <c r="S9" i="170"/>
  <c r="D157" i="92"/>
  <c r="A21" i="214"/>
  <c r="G11" i="209" a="1"/>
  <c r="D7" i="151"/>
  <c r="H24" i="2" a="1"/>
  <c r="H18" i="5"/>
  <c r="C25" i="83" a="1"/>
  <c r="A34" i="233"/>
  <c r="CY22" i="170"/>
  <c r="F162" i="151" a="1"/>
  <c r="A20" i="131"/>
  <c r="K37" i="139" a="1"/>
  <c r="AK6" i="170"/>
  <c r="C31" i="235" a="1"/>
  <c r="C23" i="237"/>
  <c r="A50" i="131"/>
  <c r="F57" i="189" a="1"/>
  <c r="B7" i="209"/>
  <c r="G21" i="2" a="1"/>
  <c r="F87" i="151" a="1"/>
  <c r="C11" i="79" a="1"/>
  <c r="G23" i="100" a="1"/>
  <c r="J5" i="229" a="1"/>
  <c r="D13" i="100"/>
  <c r="H14" i="209" a="1"/>
  <c r="A25" i="228"/>
  <c r="E25" i="189" a="1"/>
  <c r="F77" i="151" a="1"/>
  <c r="A21" i="218"/>
  <c r="B8" i="100"/>
  <c r="A17" i="233"/>
  <c r="F10" i="237"/>
  <c r="H19" i="170"/>
  <c r="K15" i="215" a="1"/>
  <c r="G18" i="2" a="1"/>
  <c r="CG21" i="170"/>
  <c r="C23" i="100"/>
  <c r="D29" i="92"/>
  <c r="A28" i="228"/>
  <c r="C27" i="227" a="1"/>
  <c r="B17" i="189"/>
  <c r="A19" i="218"/>
  <c r="F16" i="151" a="1"/>
  <c r="F180" i="151" a="1"/>
  <c r="A41" i="189"/>
  <c r="C28" i="228" a="1"/>
  <c r="CG6" i="170"/>
  <c r="H12" i="5"/>
  <c r="AD16" i="170"/>
  <c r="B31" i="189"/>
  <c r="A52" i="189"/>
  <c r="C37" i="233" a="1"/>
  <c r="H13" i="209" a="1"/>
  <c r="D18" i="15"/>
  <c r="H6" i="229" a="1"/>
  <c r="G10" i="207" a="1"/>
  <c r="AK7" i="170"/>
  <c r="D6" i="170"/>
  <c r="K12" i="139" a="1"/>
  <c r="D8" i="170"/>
  <c r="F133" i="151" a="1"/>
  <c r="F91" i="151" a="1"/>
  <c r="E13" i="100"/>
  <c r="C10" i="227" a="1"/>
  <c r="AZ19" i="170"/>
  <c r="N10" i="190" a="1"/>
  <c r="D77" i="151"/>
  <c r="A32" i="234"/>
  <c r="B22" i="6"/>
  <c r="G21" i="237"/>
  <c r="E11" i="237"/>
  <c r="F149" i="151" a="1"/>
  <c r="B37" i="189"/>
  <c r="H14" i="5"/>
  <c r="C18" i="5"/>
  <c r="D91" i="151"/>
  <c r="A18" i="131"/>
  <c r="C21" i="83" a="1"/>
  <c r="F14" i="237"/>
  <c r="BR10" i="170"/>
  <c r="B7" i="197"/>
  <c r="A17" i="219"/>
  <c r="D17" i="237"/>
  <c r="J7" i="190" a="1"/>
  <c r="E35" i="189" a="1"/>
  <c r="A8" i="189"/>
  <c r="C29" i="233" a="1"/>
  <c r="C7" i="218" a="1"/>
  <c r="F127" i="151" a="1"/>
  <c r="F9" i="239" a="1"/>
  <c r="J7" i="139" a="1"/>
  <c r="D82" i="151"/>
  <c r="C22" i="100"/>
  <c r="F24" i="189" a="1"/>
  <c r="F15" i="189" a="1"/>
  <c r="F11" i="239" a="1"/>
  <c r="D15" i="100"/>
  <c r="E6" i="189" a="1"/>
  <c r="C25" i="15"/>
  <c r="A11" i="219"/>
  <c r="A16" i="233"/>
  <c r="BV20" i="170"/>
  <c r="G18" i="237"/>
  <c r="A10" i="214"/>
  <c r="D24" i="151"/>
  <c r="C24" i="100"/>
  <c r="D90" i="151"/>
  <c r="A30" i="235"/>
  <c r="C7" i="226" a="1"/>
  <c r="C14" i="15"/>
  <c r="Z12" i="170"/>
  <c r="D49" i="92"/>
  <c r="F35" i="151" a="1"/>
  <c r="C9" i="218" a="1"/>
  <c r="F9" i="192" a="1"/>
  <c r="A35" i="233"/>
  <c r="H7" i="2" a="1"/>
  <c r="J14" i="215" a="1"/>
  <c r="A12" i="218"/>
  <c r="C30" i="228" a="1"/>
  <c r="D17" i="170"/>
  <c r="B15" i="215"/>
  <c r="B25" i="100"/>
  <c r="G20" i="2" a="1"/>
  <c r="A22" i="226"/>
  <c r="H10" i="209" a="1"/>
  <c r="E43" i="189" a="1"/>
  <c r="B15" i="139"/>
  <c r="A18" i="57"/>
  <c r="H8" i="170"/>
  <c r="G13" i="192" a="1"/>
  <c r="K16" i="139" a="1"/>
  <c r="C11" i="232" a="1"/>
  <c r="F50" i="189" a="1"/>
  <c r="A13" i="233"/>
  <c r="E21" i="237"/>
  <c r="D11" i="15"/>
  <c r="C24" i="83" a="1"/>
  <c r="C30" i="233" a="1"/>
  <c r="B10" i="189"/>
  <c r="D14" i="5"/>
  <c r="CY18" i="170"/>
  <c r="AO9" i="170"/>
  <c r="C18" i="25" a="1"/>
  <c r="C35" i="227" a="1"/>
  <c r="F134" i="151" a="1"/>
  <c r="CG7" i="170"/>
  <c r="G10" i="2" a="1"/>
  <c r="C26" i="228" a="1"/>
  <c r="C21" i="232" a="1"/>
  <c r="F14" i="241" a="1"/>
  <c r="AO20" i="170"/>
  <c r="H25" i="212" a="1"/>
  <c r="J12" i="238" a="1"/>
  <c r="D83" i="92"/>
  <c r="C9" i="15"/>
  <c r="CY8" i="170"/>
  <c r="I13" i="15" a="1"/>
  <c r="F18" i="237"/>
  <c r="D132" i="92"/>
  <c r="AK16" i="170"/>
  <c r="B11" i="5"/>
  <c r="F41" i="151" a="1"/>
  <c r="S6" i="170"/>
  <c r="K14" i="139" a="1"/>
  <c r="E22" i="100"/>
  <c r="C14" i="79" a="1"/>
  <c r="C9" i="227" a="1"/>
  <c r="A21" i="217"/>
  <c r="A8" i="214"/>
  <c r="A14" i="57"/>
  <c r="E11" i="100"/>
  <c r="C18" i="237"/>
  <c r="S22" i="170"/>
  <c r="A20" i="214"/>
  <c r="A22" i="217"/>
  <c r="A25" i="233"/>
  <c r="H13" i="170"/>
  <c r="A9" i="238"/>
  <c r="AZ20" i="170"/>
  <c r="C14" i="226" a="1"/>
  <c r="A34" i="232"/>
  <c r="K7" i="139" a="1"/>
  <c r="C22" i="79" a="1"/>
  <c r="F8" i="151" a="1"/>
  <c r="CC19" i="170"/>
  <c r="C18" i="83" a="1"/>
  <c r="C11" i="15"/>
  <c r="F48" i="151" a="1"/>
  <c r="C12" i="218" a="1"/>
  <c r="CY21" i="170"/>
  <c r="C7" i="5"/>
  <c r="D152" i="92"/>
  <c r="A6" i="232"/>
  <c r="G19" i="2" a="1"/>
  <c r="A8" i="190"/>
  <c r="DC22" i="170"/>
  <c r="C8" i="209"/>
  <c r="C22" i="226" a="1"/>
  <c r="G26" i="212" a="1"/>
  <c r="C30" i="227" a="1"/>
  <c r="A35" i="227"/>
  <c r="C19" i="79" a="1"/>
  <c r="F32" i="189" a="1"/>
  <c r="G25" i="2" a="1"/>
  <c r="A10" i="234"/>
  <c r="C7" i="209"/>
  <c r="D149" i="92"/>
  <c r="E13" i="189" a="1"/>
  <c r="G13" i="2" a="1"/>
  <c r="G20" i="212" a="1"/>
  <c r="K9" i="6" a="1"/>
  <c r="B11" i="15"/>
  <c r="F46" i="189" a="1"/>
  <c r="O20" i="170"/>
  <c r="A37" i="189"/>
  <c r="F13" i="237"/>
  <c r="B21" i="15"/>
  <c r="CG9" i="170"/>
  <c r="D11" i="92"/>
  <c r="A6" i="226"/>
  <c r="B18" i="15"/>
  <c r="F8" i="239" a="1"/>
  <c r="B13" i="15"/>
  <c r="AO8" i="170"/>
  <c r="B8" i="197"/>
  <c r="BG12" i="170"/>
  <c r="A14" i="237"/>
  <c r="D28" i="92"/>
  <c r="C16" i="100"/>
  <c r="D23" i="100"/>
  <c r="O11" i="170"/>
  <c r="A21" i="219"/>
  <c r="D13" i="15"/>
  <c r="F118" i="151" a="1"/>
  <c r="AD9" i="170"/>
  <c r="D46" i="92"/>
  <c r="D121" i="151"/>
  <c r="G9" i="207" a="1"/>
  <c r="BK11" i="170"/>
  <c r="E19" i="189" a="1"/>
  <c r="D146" i="92"/>
  <c r="B52" i="189"/>
  <c r="F46" i="151" a="1"/>
  <c r="D19" i="15"/>
  <c r="CG20" i="170"/>
  <c r="BV13" i="170"/>
  <c r="F135" i="151" a="1"/>
  <c r="S21" i="170"/>
  <c r="AK8" i="170"/>
  <c r="D82" i="92"/>
  <c r="A20" i="234"/>
  <c r="G15" i="237"/>
  <c r="AZ11" i="170"/>
  <c r="C8" i="100"/>
  <c r="C9" i="214" a="1"/>
  <c r="C12" i="79" a="1"/>
  <c r="J14" i="6" a="1"/>
  <c r="C8" i="129" a="1"/>
  <c r="B9" i="215"/>
  <c r="J6" i="35" a="1"/>
  <c r="CR20" i="170"/>
  <c r="B33" i="189"/>
  <c r="BK20" i="170"/>
  <c r="C6" i="31" a="1"/>
  <c r="BR22" i="170"/>
  <c r="A10" i="109" a="1"/>
  <c r="A14" i="226"/>
  <c r="Z20" i="170"/>
  <c r="K10" i="238" a="1"/>
  <c r="C6" i="129" a="1"/>
  <c r="D8" i="5"/>
  <c r="BG10" i="170"/>
  <c r="D163" i="92"/>
  <c r="G22" i="207" a="1"/>
  <c r="C38" i="232" a="1"/>
  <c r="AO16" i="170"/>
  <c r="G21" i="207" a="1"/>
  <c r="AZ12" i="170"/>
  <c r="D147" i="92"/>
  <c r="B16" i="5"/>
  <c r="C32" i="217" a="1"/>
  <c r="H11" i="2" a="1"/>
  <c r="C28" i="79" a="1"/>
  <c r="D122" i="151"/>
  <c r="C13" i="15"/>
  <c r="I24" i="15" a="1"/>
  <c r="A23" i="218"/>
  <c r="D121" i="92"/>
  <c r="D16" i="5"/>
  <c r="A12" i="217"/>
  <c r="D127" i="92"/>
  <c r="J40" i="6" a="1"/>
  <c r="CC7" i="170"/>
  <c r="H20" i="170"/>
  <c r="B24" i="15"/>
  <c r="C7" i="235" a="1"/>
  <c r="A35" i="232"/>
  <c r="D141" i="92"/>
  <c r="F14" i="240" a="1"/>
  <c r="F69" i="151" a="1"/>
  <c r="M9" i="190" a="1"/>
  <c r="A11" i="227"/>
  <c r="K32" i="139" a="1"/>
  <c r="AV6" i="170"/>
  <c r="BK7" i="170"/>
  <c r="C16" i="235" a="1"/>
  <c r="C12" i="109" a="1"/>
  <c r="K35" i="6" a="1"/>
  <c r="C24" i="228" a="1"/>
  <c r="C9" i="129" a="1"/>
  <c r="B12" i="5"/>
  <c r="A16" i="232"/>
  <c r="C36" i="235" a="1"/>
  <c r="D53" i="92"/>
  <c r="C20" i="214" a="1"/>
  <c r="C13" i="228" a="1"/>
  <c r="C20" i="232" a="1"/>
  <c r="A32" i="189"/>
  <c r="D152" i="151"/>
  <c r="D138" i="92"/>
  <c r="CY11" i="170"/>
  <c r="B12" i="209"/>
  <c r="H20" i="2" a="1"/>
  <c r="A18" i="189"/>
  <c r="E8" i="189" a="1"/>
  <c r="D8" i="237"/>
  <c r="F93" i="151" a="1"/>
  <c r="I6" i="35" a="1"/>
  <c r="F68" i="151" a="1"/>
  <c r="N11" i="190" a="1"/>
  <c r="C16" i="237"/>
  <c r="A8" i="228"/>
  <c r="CC17" i="170"/>
  <c r="A37" i="232"/>
  <c r="B30" i="189"/>
  <c r="E39" i="189" a="1"/>
  <c r="C8" i="15"/>
  <c r="K34" i="139" a="1"/>
  <c r="C49" i="232" a="1"/>
  <c r="A7" i="189"/>
  <c r="E22" i="189" a="1"/>
  <c r="D14" i="92"/>
  <c r="C47" i="232" a="1"/>
  <c r="D18" i="100"/>
  <c r="AZ21" i="170"/>
  <c r="E13" i="237"/>
  <c r="A12" i="190"/>
  <c r="F13" i="189" a="1"/>
  <c r="F6" i="151" a="1"/>
  <c r="A21" i="227"/>
  <c r="A20" i="83"/>
  <c r="F28" i="151" a="1"/>
  <c r="C33" i="226" a="1"/>
  <c r="O9" i="170"/>
  <c r="G7" i="192" a="1"/>
  <c r="B29" i="189"/>
  <c r="F169" i="151" a="1"/>
  <c r="F137" i="151" a="1"/>
  <c r="B19" i="15"/>
  <c r="B55" i="189"/>
  <c r="D18" i="237"/>
  <c r="E41" i="189" a="1"/>
  <c r="D52" i="151"/>
  <c r="G14" i="209" a="1"/>
  <c r="A9" i="235"/>
  <c r="J7" i="238" a="1"/>
  <c r="J22" i="139" a="1"/>
  <c r="C10" i="235" a="1"/>
  <c r="A30" i="233"/>
  <c r="F20" i="151" a="1"/>
  <c r="H10" i="170"/>
  <c r="H10" i="239" a="1"/>
  <c r="H23" i="212" a="1"/>
  <c r="F142" i="151" a="1"/>
  <c r="D13" i="170"/>
  <c r="J11" i="139" a="1"/>
  <c r="A9" i="109" a="1"/>
  <c r="Z8" i="170"/>
  <c r="F11" i="189" a="1"/>
  <c r="C50" i="232" a="1"/>
  <c r="D157" i="151"/>
  <c r="E15" i="100"/>
  <c r="K39" i="139" a="1"/>
  <c r="K20" i="139" a="1"/>
  <c r="F120" i="151" a="1"/>
  <c r="A12" i="226"/>
  <c r="BG14" i="170"/>
  <c r="BK13" i="170"/>
  <c r="G14" i="237"/>
  <c r="C10" i="233" a="1"/>
  <c r="E9" i="100"/>
  <c r="F163" i="151" a="1"/>
  <c r="F9" i="240" a="1"/>
  <c r="B21" i="6"/>
  <c r="B8" i="6"/>
  <c r="A10" i="237"/>
  <c r="D57" i="151"/>
  <c r="A12" i="238"/>
  <c r="D49" i="151"/>
  <c r="A6" i="83"/>
  <c r="H15" i="2" a="1"/>
  <c r="A12" i="219"/>
  <c r="C15" i="83" a="1"/>
  <c r="A8" i="218"/>
  <c r="C23" i="227" a="1"/>
  <c r="A36" i="131"/>
  <c r="A42" i="189"/>
  <c r="E20" i="189" a="1"/>
  <c r="J8" i="229" a="1"/>
  <c r="F11" i="241" a="1"/>
  <c r="G24" i="100" a="1"/>
  <c r="J47" i="6" a="1"/>
  <c r="Z16" i="170"/>
  <c r="M10" i="5" a="1"/>
  <c r="I6" i="15" a="1"/>
  <c r="O16" i="170"/>
  <c r="C26" i="233" a="1"/>
  <c r="I8" i="15" a="1"/>
  <c r="C17" i="233" a="1"/>
  <c r="A29" i="233"/>
  <c r="K12" i="238" a="1"/>
  <c r="H9" i="207" a="1"/>
  <c r="C36" i="232" a="1"/>
  <c r="A6" i="131"/>
  <c r="D8" i="92"/>
  <c r="C15" i="214" a="1"/>
  <c r="K7" i="6" a="1"/>
  <c r="A30" i="234"/>
  <c r="Z18" i="170"/>
  <c r="B18" i="5"/>
  <c r="D118" i="151"/>
  <c r="B19" i="6"/>
  <c r="C15" i="233" a="1"/>
  <c r="A12" i="228"/>
  <c r="H14" i="237"/>
  <c r="A7" i="217"/>
  <c r="AV22" i="170"/>
  <c r="J30" i="139" a="1"/>
  <c r="C15" i="215"/>
  <c r="E9" i="189" a="1"/>
  <c r="C25" i="233" a="1"/>
  <c r="G12" i="237"/>
  <c r="A28" i="189"/>
  <c r="E48" i="189" a="1"/>
  <c r="A11" i="237"/>
  <c r="C15" i="100"/>
  <c r="A38" i="232"/>
  <c r="D7" i="15"/>
  <c r="F159" i="151" a="1"/>
  <c r="C13" i="232" a="1"/>
  <c r="I20" i="15" a="1"/>
  <c r="B35" i="189"/>
  <c r="N13" i="190" a="1"/>
  <c r="BK14" i="170"/>
  <c r="C33" i="227" a="1"/>
  <c r="BR6" i="170"/>
  <c r="A7" i="192"/>
  <c r="A28" i="233"/>
  <c r="AV15" i="170"/>
  <c r="J16" i="139" a="1"/>
  <c r="H5" i="35" a="1"/>
  <c r="F48" i="189" a="1"/>
  <c r="A13" i="219"/>
  <c r="C15" i="5"/>
  <c r="C37" i="235" a="1"/>
  <c r="AV12" i="170"/>
  <c r="C32" i="83" a="1"/>
  <c r="C23" i="218" a="1"/>
  <c r="AZ7" i="170"/>
  <c r="C14" i="5"/>
  <c r="G17" i="237"/>
  <c r="D139" i="151"/>
  <c r="D119" i="92"/>
  <c r="E19" i="15"/>
  <c r="AD20" i="170"/>
  <c r="A6" i="238"/>
  <c r="O13" i="170"/>
  <c r="K12" i="190" a="1"/>
  <c r="A35" i="57"/>
  <c r="AO12" i="170"/>
  <c r="C20" i="25" a="1"/>
  <c r="G11" i="207" a="1"/>
  <c r="B12" i="15"/>
  <c r="H17" i="207" a="1"/>
  <c r="D19" i="92"/>
  <c r="D93" i="92"/>
  <c r="E22" i="15"/>
  <c r="G20" i="207" a="1"/>
  <c r="G19" i="100" a="1"/>
  <c r="K19" i="139" a="1"/>
  <c r="E14" i="15"/>
  <c r="DC17" i="170"/>
  <c r="B14" i="189"/>
  <c r="D150" i="151"/>
  <c r="BV21" i="170"/>
  <c r="BV9" i="170"/>
  <c r="B49" i="189"/>
  <c r="CC12" i="170"/>
  <c r="CG15" i="170"/>
  <c r="A20" i="109" a="1"/>
  <c r="D44" i="151"/>
  <c r="E34" i="189" a="1"/>
  <c r="BR17" i="170"/>
  <c r="C17" i="83" a="1"/>
  <c r="E16" i="100"/>
  <c r="B27" i="189"/>
  <c r="C12" i="139"/>
  <c r="A11" i="234"/>
  <c r="H10" i="5"/>
  <c r="C34" i="235" a="1"/>
  <c r="G16" i="2" a="1"/>
  <c r="S12" i="170"/>
  <c r="E12" i="100"/>
  <c r="K47" i="6" a="1"/>
  <c r="BV10" i="170"/>
  <c r="A46" i="131"/>
  <c r="A22" i="219"/>
  <c r="BR20" i="170"/>
  <c r="D147" i="151"/>
  <c r="C34" i="228" a="1"/>
  <c r="D140" i="151"/>
  <c r="A26" i="189"/>
  <c r="D80" i="92"/>
  <c r="B25" i="189"/>
  <c r="E33" i="189" a="1"/>
  <c r="B7" i="6"/>
  <c r="K13" i="238" a="1"/>
  <c r="K9" i="190" a="1"/>
  <c r="B6" i="197" a="1"/>
  <c r="F177" i="151" a="1"/>
  <c r="F19" i="151" a="1"/>
  <c r="BK18" i="170"/>
  <c r="C14" i="232" a="1"/>
  <c r="M7" i="238" a="1"/>
  <c r="H8" i="239" a="1"/>
  <c r="A14" i="192"/>
  <c r="L10" i="5" a="1"/>
  <c r="D17" i="92"/>
  <c r="B9" i="6"/>
  <c r="B10" i="5"/>
  <c r="A19" i="214"/>
  <c r="A15" i="233"/>
  <c r="G14" i="239" a="1"/>
  <c r="C10" i="31" a="1"/>
  <c r="F116" i="151" a="1"/>
  <c r="G16" i="209" a="1"/>
  <c r="C24" i="227" a="1"/>
  <c r="K10" i="215" a="1"/>
  <c r="H22" i="2" a="1"/>
  <c r="F56" i="151" a="1"/>
  <c r="A11" i="228"/>
  <c r="D9" i="15"/>
  <c r="C15" i="109" a="1"/>
  <c r="D136" i="151"/>
  <c r="A36" i="189"/>
  <c r="AO18" i="170"/>
  <c r="J22" i="6" a="1"/>
  <c r="D47" i="151"/>
  <c r="E21" i="189" a="1"/>
  <c r="E8" i="100"/>
  <c r="A15" i="232"/>
  <c r="A22" i="189"/>
  <c r="B19" i="100"/>
  <c r="J13" i="238" a="1"/>
  <c r="H10" i="207" a="1"/>
  <c r="A29" i="226"/>
  <c r="A11" i="232"/>
  <c r="K16" i="6" a="1"/>
  <c r="C10" i="5"/>
  <c r="C23" i="15"/>
  <c r="F151" i="151" a="1"/>
  <c r="BK16" i="170"/>
  <c r="A20" i="189"/>
  <c r="E9" i="240" a="1"/>
  <c r="G24" i="212" a="1"/>
  <c r="C33" i="233" a="1"/>
  <c r="A9" i="234"/>
  <c r="DC6" i="170"/>
  <c r="P12" i="238" a="1"/>
  <c r="A24" i="131"/>
  <c r="F7" i="151" a="1"/>
  <c r="D7" i="100"/>
  <c r="D16" i="237"/>
  <c r="H21" i="212" a="1"/>
  <c r="N13" i="238" a="1"/>
  <c r="C9" i="237"/>
  <c r="D50" i="92"/>
  <c r="B15" i="209"/>
  <c r="CN21" i="170"/>
  <c r="J43" i="139" a="1"/>
  <c r="A11" i="189"/>
  <c r="A25" i="226"/>
  <c r="A7" i="227"/>
  <c r="S17" i="170"/>
  <c r="K33" i="139" a="1"/>
  <c r="A8" i="192"/>
  <c r="J5" i="35" a="1"/>
  <c r="E24" i="189" a="1"/>
  <c r="F12" i="192" a="1"/>
  <c r="D83" i="151"/>
  <c r="G25" i="212" a="1"/>
  <c r="F129" i="151" a="1"/>
  <c r="J44" i="139" a="1"/>
  <c r="D89" i="92"/>
  <c r="F9" i="237"/>
  <c r="I19" i="15" a="1"/>
  <c r="C25" i="227" a="1"/>
  <c r="DC8" i="170"/>
  <c r="BG20" i="170"/>
  <c r="D102" i="151"/>
  <c r="D6" i="92"/>
  <c r="L7" i="5" a="1"/>
  <c r="P9" i="238" a="1"/>
  <c r="C19" i="83" a="1"/>
  <c r="C22" i="25" a="1"/>
  <c r="F61" i="151" a="1"/>
  <c r="A27" i="226"/>
  <c r="A9" i="217"/>
  <c r="F18" i="189" a="1"/>
  <c r="J18" i="139" a="1"/>
  <c r="A8" i="234"/>
  <c r="DC16" i="170"/>
  <c r="E11" i="240" a="1"/>
  <c r="A21" i="235"/>
  <c r="B8" i="5"/>
  <c r="C18" i="233" a="1"/>
  <c r="D85" i="92"/>
  <c r="H11" i="209" a="1"/>
  <c r="I14" i="15" a="1"/>
  <c r="C8" i="235" a="1"/>
  <c r="E8" i="15"/>
  <c r="B22" i="15"/>
  <c r="J16" i="6" a="1"/>
  <c r="A10" i="235"/>
  <c r="G13" i="239" a="1"/>
  <c r="H13" i="207" a="1"/>
  <c r="D140" i="92"/>
  <c r="A33" i="235"/>
  <c r="B9" i="197"/>
  <c r="D99" i="92"/>
  <c r="C20" i="235" a="1"/>
  <c r="C12" i="146" a="1"/>
  <c r="A27" i="232"/>
  <c r="BK9" i="170"/>
  <c r="A21" i="228"/>
  <c r="F161" i="151" a="1"/>
  <c r="G7" i="2" a="1"/>
  <c r="A37" i="131"/>
  <c r="A49" i="189"/>
  <c r="A31" i="234"/>
  <c r="D55" i="151"/>
  <c r="C21" i="218" a="1"/>
  <c r="B56" i="189"/>
  <c r="C20" i="15"/>
  <c r="A47" i="189"/>
  <c r="C21" i="100"/>
  <c r="F18" i="151" a="1"/>
  <c r="C17" i="237"/>
  <c r="A26" i="57"/>
  <c r="F14" i="189" a="1"/>
  <c r="F117" i="151" a="1"/>
  <c r="F15" i="5"/>
  <c r="A25" i="234"/>
  <c r="A13" i="238"/>
  <c r="K36" i="139" a="1"/>
  <c r="O15" i="170"/>
  <c r="B6" i="15"/>
  <c r="Z19" i="170"/>
  <c r="F153" i="151" a="1"/>
  <c r="F62" i="151" a="1"/>
  <c r="D97" i="92"/>
  <c r="G9" i="192" a="1"/>
  <c r="A17" i="217"/>
  <c r="A7" i="234"/>
  <c r="N8" i="190" a="1"/>
  <c r="C22" i="232" a="1"/>
  <c r="F27" i="189" a="1"/>
  <c r="C34" i="232" a="1"/>
  <c r="Z9" i="170"/>
  <c r="A12" i="189"/>
  <c r="C23" i="232" a="1"/>
  <c r="F7" i="5"/>
  <c r="G8" i="192" a="1"/>
  <c r="C24" i="233" a="1"/>
  <c r="D12" i="92"/>
  <c r="L17" i="5" a="1"/>
  <c r="B48" i="189"/>
  <c r="M7" i="5" a="1"/>
  <c r="G7" i="209" a="1"/>
  <c r="D16" i="100"/>
  <c r="D7" i="5"/>
  <c r="J12" i="215" a="1"/>
  <c r="BV11" i="170"/>
  <c r="C53" i="232" a="1"/>
  <c r="C10" i="6"/>
  <c r="B10" i="15"/>
  <c r="G12" i="192" a="1"/>
  <c r="F173" i="151" a="1"/>
  <c r="A53" i="189"/>
  <c r="H13" i="237"/>
  <c r="C54" i="232" a="1"/>
  <c r="C27" i="232" a="1"/>
  <c r="BK21" i="170"/>
  <c r="C16" i="139"/>
  <c r="AV20" i="170"/>
  <c r="A39" i="131"/>
  <c r="N39" i="131" l="1"/>
  <c r="M39" i="131"/>
  <c r="AY20" i="170"/>
  <c r="BN21" i="170"/>
  <c r="C27" i="232"/>
  <c r="C54" i="232"/>
  <c r="F173" i="151"/>
  <c r="N173" i="151" s="1"/>
  <c r="G12" i="192"/>
  <c r="C53" i="232"/>
  <c r="BY11" i="170"/>
  <c r="J12" i="215"/>
  <c r="G7" i="209"/>
  <c r="P7" i="209" s="1"/>
  <c r="Q7" i="209" s="1"/>
  <c r="M7" i="5"/>
  <c r="L17" i="5"/>
  <c r="U17" i="5" s="1"/>
  <c r="V17" i="5" s="1"/>
  <c r="C24" i="233"/>
  <c r="G8" i="192"/>
  <c r="C23" i="232"/>
  <c r="C34" i="232"/>
  <c r="F27" i="189"/>
  <c r="C22" i="232"/>
  <c r="N8" i="190"/>
  <c r="K7" i="234"/>
  <c r="L7" i="234"/>
  <c r="D64" i="92"/>
  <c r="G9" i="192"/>
  <c r="F62" i="151"/>
  <c r="F153" i="151"/>
  <c r="R15" i="170"/>
  <c r="K36" i="139"/>
  <c r="A25" i="238"/>
  <c r="K25" i="234"/>
  <c r="D165" i="92"/>
  <c r="L25" i="234"/>
  <c r="F117" i="151"/>
  <c r="F14" i="189"/>
  <c r="L26" i="57"/>
  <c r="K26" i="57"/>
  <c r="D105" i="92"/>
  <c r="F18" i="151"/>
  <c r="C21" i="218"/>
  <c r="K31" i="234"/>
  <c r="L31" i="234"/>
  <c r="D171" i="92"/>
  <c r="N37" i="131"/>
  <c r="M37" i="131"/>
  <c r="G7" i="2"/>
  <c r="P7" i="2" s="1"/>
  <c r="Q7" i="2" s="1"/>
  <c r="F161" i="151"/>
  <c r="N21" i="228"/>
  <c r="BN9" i="170"/>
  <c r="N27" i="232"/>
  <c r="C12" i="146"/>
  <c r="C20" i="235"/>
  <c r="D173" i="151"/>
  <c r="K33" i="235"/>
  <c r="L33" i="235"/>
  <c r="H13" i="207"/>
  <c r="K8" i="257" s="1"/>
  <c r="G13" i="239"/>
  <c r="L10" i="235"/>
  <c r="D64" i="151"/>
  <c r="K10" i="235"/>
  <c r="J16" i="6"/>
  <c r="R16" i="6" s="1"/>
  <c r="S16" i="6" s="1"/>
  <c r="C8" i="235"/>
  <c r="I14" i="15"/>
  <c r="L14" i="15" s="1"/>
  <c r="M14" i="15" s="1"/>
  <c r="H11" i="209"/>
  <c r="R11" i="209" s="1"/>
  <c r="S11" i="209" s="1"/>
  <c r="C18" i="233"/>
  <c r="K21" i="235"/>
  <c r="L21" i="235"/>
  <c r="D75" i="151"/>
  <c r="E11" i="240"/>
  <c r="O11" i="240" s="1"/>
  <c r="DF16" i="170"/>
  <c r="DJ16" i="170"/>
  <c r="DL16" i="170" s="1"/>
  <c r="K8" i="234"/>
  <c r="D65" i="92"/>
  <c r="L8" i="234"/>
  <c r="J18" i="139"/>
  <c r="R18" i="139" s="1"/>
  <c r="S18" i="139" s="1"/>
  <c r="F18" i="189"/>
  <c r="N27" i="226"/>
  <c r="F61" i="151"/>
  <c r="C22" i="25"/>
  <c r="I22" i="25" s="1"/>
  <c r="C19" i="83"/>
  <c r="P9" i="238"/>
  <c r="L7" i="5"/>
  <c r="U7" i="5" s="1"/>
  <c r="V7" i="5" s="1"/>
  <c r="BJ20" i="170"/>
  <c r="DJ8" i="170"/>
  <c r="DL8" i="170" s="1"/>
  <c r="DF8" i="170"/>
  <c r="C25" i="227"/>
  <c r="F25" i="227" s="1"/>
  <c r="G25" i="227" s="1"/>
  <c r="I19" i="15"/>
  <c r="L19" i="15" s="1"/>
  <c r="M19" i="15" s="1"/>
  <c r="J44" i="139"/>
  <c r="M44" i="139" s="1"/>
  <c r="N44" i="139" s="1"/>
  <c r="F129" i="151"/>
  <c r="G25" i="212"/>
  <c r="P25" i="212" s="1"/>
  <c r="Q25" i="212" s="1"/>
  <c r="F12" i="192"/>
  <c r="S12" i="192" s="1"/>
  <c r="E24" i="189"/>
  <c r="J5" i="35"/>
  <c r="A8" i="241"/>
  <c r="K33" i="139"/>
  <c r="V17" i="170"/>
  <c r="N7" i="227"/>
  <c r="N25" i="226"/>
  <c r="J43" i="139"/>
  <c r="M43" i="139" s="1"/>
  <c r="N43" i="139" s="1"/>
  <c r="CQ21" i="170"/>
  <c r="N13" i="238"/>
  <c r="H21" i="212"/>
  <c r="F7" i="151"/>
  <c r="M24" i="131"/>
  <c r="N24" i="131"/>
  <c r="P12" i="238"/>
  <c r="DF6" i="170"/>
  <c r="DJ6" i="170"/>
  <c r="DL6" i="170" s="1"/>
  <c r="D66" i="92"/>
  <c r="K9" i="234"/>
  <c r="L9" i="234"/>
  <c r="C33" i="233"/>
  <c r="G24" i="212"/>
  <c r="P24" i="212" s="1"/>
  <c r="Q24" i="212" s="1"/>
  <c r="E9" i="240"/>
  <c r="O9" i="240" s="1"/>
  <c r="BN16" i="170"/>
  <c r="F151" i="151"/>
  <c r="K16" i="6"/>
  <c r="N11" i="232"/>
  <c r="N29" i="226"/>
  <c r="H10" i="207"/>
  <c r="J13" i="238"/>
  <c r="N15" i="232"/>
  <c r="E21" i="189"/>
  <c r="J22" i="6"/>
  <c r="R22" i="6" s="1"/>
  <c r="S22" i="6" s="1"/>
  <c r="C15" i="109"/>
  <c r="N11" i="228"/>
  <c r="F56" i="151"/>
  <c r="H22" i="2"/>
  <c r="I17" i="257" s="1"/>
  <c r="K10" i="215"/>
  <c r="C24" i="227"/>
  <c r="F24" i="227" s="1"/>
  <c r="G24" i="227" s="1"/>
  <c r="G16" i="209"/>
  <c r="P16" i="209" s="1"/>
  <c r="Q16" i="209" s="1"/>
  <c r="F116" i="151"/>
  <c r="N116" i="151" s="1"/>
  <c r="C10" i="31"/>
  <c r="G14" i="239"/>
  <c r="D35" i="151"/>
  <c r="L15" i="233"/>
  <c r="N19" i="214"/>
  <c r="L10" i="5"/>
  <c r="U10" i="5" s="1"/>
  <c r="V10" i="5" s="1"/>
  <c r="A14" i="241"/>
  <c r="H8" i="239"/>
  <c r="M7" i="238"/>
  <c r="M19" i="238" s="1"/>
  <c r="C14" i="232"/>
  <c r="BN18" i="170"/>
  <c r="F19" i="151"/>
  <c r="F177" i="151"/>
  <c r="B6" i="197"/>
  <c r="K9" i="190"/>
  <c r="K13" i="238"/>
  <c r="K25" i="238" s="1"/>
  <c r="AC7" i="6"/>
  <c r="AB7" i="6"/>
  <c r="E33" i="189"/>
  <c r="C34" i="228"/>
  <c r="F34" i="228" s="1"/>
  <c r="G34" i="228" s="1"/>
  <c r="N22" i="219"/>
  <c r="N46" i="131"/>
  <c r="M46" i="131"/>
  <c r="BY10" i="170"/>
  <c r="K47" i="6"/>
  <c r="V12" i="170"/>
  <c r="G16" i="2"/>
  <c r="C34" i="235"/>
  <c r="D68" i="92"/>
  <c r="L11" i="234"/>
  <c r="K11" i="234"/>
  <c r="C17" i="83"/>
  <c r="E34" i="189"/>
  <c r="A20" i="109"/>
  <c r="N20" i="109" s="1"/>
  <c r="CJ15" i="170"/>
  <c r="CF12" i="170"/>
  <c r="BY9" i="170"/>
  <c r="BY21" i="170"/>
  <c r="DJ17" i="170"/>
  <c r="DL17" i="170" s="1"/>
  <c r="DF17" i="170"/>
  <c r="K19" i="139"/>
  <c r="G19" i="100"/>
  <c r="G20" i="207"/>
  <c r="P20" i="207" s="1"/>
  <c r="Q20" i="207" s="1"/>
  <c r="H17" i="207"/>
  <c r="G11" i="207"/>
  <c r="P11" i="207" s="1"/>
  <c r="Q11" i="207" s="1"/>
  <c r="C20" i="25"/>
  <c r="I20" i="25" s="1"/>
  <c r="D114" i="92"/>
  <c r="L35" i="57"/>
  <c r="K35" i="57"/>
  <c r="K12" i="190"/>
  <c r="R13" i="170"/>
  <c r="A18" i="238"/>
  <c r="AG20" i="170"/>
  <c r="BC7" i="170"/>
  <c r="C23" i="218"/>
  <c r="C32" i="83"/>
  <c r="AY12" i="170"/>
  <c r="C37" i="235"/>
  <c r="H37" i="235" s="1"/>
  <c r="N13" i="219"/>
  <c r="F48" i="189"/>
  <c r="H5" i="35"/>
  <c r="J16" i="139"/>
  <c r="R16" i="139" s="1"/>
  <c r="S16" i="139" s="1"/>
  <c r="AY15" i="170"/>
  <c r="D107" i="151"/>
  <c r="L28" i="233"/>
  <c r="A7" i="241"/>
  <c r="C33" i="227"/>
  <c r="F33" i="227" s="1"/>
  <c r="G33" i="227" s="1"/>
  <c r="BN14" i="170"/>
  <c r="N13" i="190"/>
  <c r="I20" i="15"/>
  <c r="L20" i="15" s="1"/>
  <c r="M20" i="15" s="1"/>
  <c r="C13" i="232"/>
  <c r="F159" i="151"/>
  <c r="N38" i="232"/>
  <c r="E48" i="189"/>
  <c r="C25" i="233"/>
  <c r="E9" i="189"/>
  <c r="J30" i="139"/>
  <c r="AY22" i="170"/>
  <c r="N12" i="228"/>
  <c r="C15" i="233"/>
  <c r="L30" i="234"/>
  <c r="D170" i="92"/>
  <c r="K30" i="234"/>
  <c r="K7" i="6"/>
  <c r="C15" i="214"/>
  <c r="S44" i="35"/>
  <c r="G152" i="35"/>
  <c r="M44" i="35"/>
  <c r="S80" i="35"/>
  <c r="G26" i="35"/>
  <c r="S170" i="35"/>
  <c r="S9" i="35"/>
  <c r="S188" i="35"/>
  <c r="M98" i="35"/>
  <c r="S62" i="35"/>
  <c r="S134" i="35"/>
  <c r="G188" i="35"/>
  <c r="G62" i="35"/>
  <c r="M80" i="35"/>
  <c r="G80" i="35"/>
  <c r="S26" i="35"/>
  <c r="M134" i="35"/>
  <c r="G134" i="35"/>
  <c r="M62" i="35"/>
  <c r="S116" i="35"/>
  <c r="M26" i="35"/>
  <c r="M170" i="35"/>
  <c r="G116" i="35"/>
  <c r="M152" i="35"/>
  <c r="G98" i="35"/>
  <c r="M6" i="131"/>
  <c r="N6" i="131"/>
  <c r="M188" i="35"/>
  <c r="M9" i="35"/>
  <c r="AC9" i="35" s="1"/>
  <c r="AD9" i="35" s="1"/>
  <c r="G44" i="35"/>
  <c r="S98" i="35"/>
  <c r="G9" i="35"/>
  <c r="S152" i="35"/>
  <c r="G170" i="35"/>
  <c r="M116" i="35"/>
  <c r="C36" i="232"/>
  <c r="H9" i="207"/>
  <c r="K12" i="238"/>
  <c r="K24" i="238" s="1"/>
  <c r="L29" i="233"/>
  <c r="D108" i="151"/>
  <c r="C17" i="233"/>
  <c r="I8" i="15"/>
  <c r="C26" i="233"/>
  <c r="R16" i="170"/>
  <c r="I6" i="15"/>
  <c r="M10" i="5"/>
  <c r="J47" i="6"/>
  <c r="M47" i="6" s="1"/>
  <c r="N47" i="6" s="1"/>
  <c r="G24" i="100"/>
  <c r="F11" i="241"/>
  <c r="J8" i="229"/>
  <c r="E20" i="189"/>
  <c r="M36" i="131"/>
  <c r="N36" i="131"/>
  <c r="C23" i="227"/>
  <c r="F23" i="227" s="1"/>
  <c r="G23" i="227" s="1"/>
  <c r="N8" i="218"/>
  <c r="C15" i="83"/>
  <c r="N12" i="219"/>
  <c r="H15" i="2"/>
  <c r="O6" i="83"/>
  <c r="N6" i="83"/>
  <c r="A24" i="238"/>
  <c r="B49" i="6"/>
  <c r="B21" i="207"/>
  <c r="B21" i="133" s="1"/>
  <c r="L21" i="133" s="1"/>
  <c r="F9" i="240"/>
  <c r="F163" i="151"/>
  <c r="C10" i="233"/>
  <c r="BN13" i="170"/>
  <c r="BJ14" i="170"/>
  <c r="M12" i="226"/>
  <c r="N12" i="226"/>
  <c r="F120" i="151"/>
  <c r="K20" i="139"/>
  <c r="K39" i="139"/>
  <c r="C50" i="232"/>
  <c r="F11" i="189"/>
  <c r="A9" i="109"/>
  <c r="N9" i="109" s="1"/>
  <c r="J11" i="139"/>
  <c r="R11" i="139" s="1"/>
  <c r="S11" i="139" s="1"/>
  <c r="G13" i="170"/>
  <c r="F142" i="151"/>
  <c r="H23" i="212"/>
  <c r="H10" i="239"/>
  <c r="K10" i="170"/>
  <c r="F20" i="151"/>
  <c r="D109" i="151"/>
  <c r="L30" i="233"/>
  <c r="C10" i="235"/>
  <c r="H10" i="235" s="1"/>
  <c r="J22" i="139"/>
  <c r="R22" i="139" s="1"/>
  <c r="S22" i="139" s="1"/>
  <c r="J7" i="238"/>
  <c r="K9" i="235"/>
  <c r="L9" i="235"/>
  <c r="D63" i="151"/>
  <c r="G14" i="209"/>
  <c r="P14" i="209" s="1"/>
  <c r="Q14" i="209" s="1"/>
  <c r="E41" i="189"/>
  <c r="F137" i="151"/>
  <c r="F169" i="151"/>
  <c r="G7" i="192"/>
  <c r="R9" i="170"/>
  <c r="C33" i="226"/>
  <c r="F28" i="151"/>
  <c r="N28" i="151" s="1"/>
  <c r="O20" i="83"/>
  <c r="N20" i="83"/>
  <c r="N21" i="227"/>
  <c r="F6" i="151"/>
  <c r="N6" i="151" s="1"/>
  <c r="F13" i="189"/>
  <c r="BC21" i="170"/>
  <c r="C47" i="232"/>
  <c r="E22" i="189"/>
  <c r="C49" i="232"/>
  <c r="K34" i="139"/>
  <c r="E39" i="189"/>
  <c r="N37" i="232"/>
  <c r="CF17" i="170"/>
  <c r="N8" i="228"/>
  <c r="N11" i="190"/>
  <c r="F68" i="151"/>
  <c r="I6" i="35"/>
  <c r="F93" i="151"/>
  <c r="E8" i="189"/>
  <c r="H20" i="2"/>
  <c r="DB11" i="170"/>
  <c r="C20" i="232"/>
  <c r="C13" i="228"/>
  <c r="F13" i="228" s="1"/>
  <c r="G13" i="228" s="1"/>
  <c r="C20" i="214"/>
  <c r="L20" i="214" s="1"/>
  <c r="C36" i="235"/>
  <c r="N16" i="232"/>
  <c r="C9" i="129"/>
  <c r="F9" i="129" s="1"/>
  <c r="G9" i="129" s="1"/>
  <c r="C24" i="228"/>
  <c r="F24" i="228" s="1"/>
  <c r="G24" i="228" s="1"/>
  <c r="K35" i="6"/>
  <c r="C12" i="109"/>
  <c r="C16" i="235"/>
  <c r="BN7" i="170"/>
  <c r="K32" i="139"/>
  <c r="N11" i="227"/>
  <c r="M9" i="190"/>
  <c r="F69" i="151"/>
  <c r="N69" i="151" s="1"/>
  <c r="F14" i="240"/>
  <c r="N35" i="232"/>
  <c r="C7" i="235"/>
  <c r="K20" i="170"/>
  <c r="CF7" i="170"/>
  <c r="J40" i="6"/>
  <c r="M40" i="6" s="1"/>
  <c r="N40" i="6" s="1"/>
  <c r="N23" i="218"/>
  <c r="I24" i="15"/>
  <c r="L24" i="15" s="1"/>
  <c r="M24" i="15" s="1"/>
  <c r="C28" i="79"/>
  <c r="H11" i="2"/>
  <c r="C32" i="217"/>
  <c r="F32" i="217" s="1"/>
  <c r="G32" i="217" s="1"/>
  <c r="BC12" i="170"/>
  <c r="G21" i="207"/>
  <c r="C38" i="232"/>
  <c r="G22" i="207"/>
  <c r="BJ10" i="170"/>
  <c r="C6" i="129"/>
  <c r="F6" i="129" s="1"/>
  <c r="G6" i="129" s="1"/>
  <c r="K10" i="238"/>
  <c r="K22" i="238" s="1"/>
  <c r="N14" i="226"/>
  <c r="M14" i="226"/>
  <c r="A10" i="109"/>
  <c r="N10" i="109" s="1"/>
  <c r="C6" i="31"/>
  <c r="BN20" i="170"/>
  <c r="CU20" i="170"/>
  <c r="J6" i="35"/>
  <c r="C8" i="129"/>
  <c r="H8" i="129" s="1"/>
  <c r="J14" i="6"/>
  <c r="R14" i="6" s="1"/>
  <c r="S14" i="6" s="1"/>
  <c r="C12" i="79"/>
  <c r="C9" i="214"/>
  <c r="BC11" i="170"/>
  <c r="L20" i="234"/>
  <c r="K20" i="234"/>
  <c r="D77" i="92"/>
  <c r="AN8" i="170"/>
  <c r="V21" i="170"/>
  <c r="F135" i="151"/>
  <c r="BY13" i="170"/>
  <c r="CJ20" i="170"/>
  <c r="F46" i="151"/>
  <c r="E19" i="189"/>
  <c r="BN11" i="170"/>
  <c r="G9" i="207"/>
  <c r="P9" i="207" s="1"/>
  <c r="Q9" i="207" s="1"/>
  <c r="AG9" i="170"/>
  <c r="F118" i="151"/>
  <c r="N21" i="219"/>
  <c r="R11" i="170"/>
  <c r="BJ12" i="170"/>
  <c r="F8" i="239"/>
  <c r="S8" i="239" s="1"/>
  <c r="M6" i="226"/>
  <c r="S5" i="229"/>
  <c r="G5" i="229"/>
  <c r="N6" i="226"/>
  <c r="CJ9" i="170"/>
  <c r="R20" i="170"/>
  <c r="F46" i="189"/>
  <c r="K9" i="6"/>
  <c r="G20" i="212"/>
  <c r="P20" i="212" s="1"/>
  <c r="Q20" i="212" s="1"/>
  <c r="G13" i="2"/>
  <c r="E13" i="189"/>
  <c r="K10" i="234"/>
  <c r="L10" i="234"/>
  <c r="D67" i="92"/>
  <c r="G25" i="2"/>
  <c r="F32" i="189"/>
  <c r="C19" i="79"/>
  <c r="N35" i="227"/>
  <c r="C30" i="227"/>
  <c r="F30" i="227" s="1"/>
  <c r="G30" i="227" s="1"/>
  <c r="G26" i="212"/>
  <c r="P26" i="212" s="1"/>
  <c r="Q26" i="212" s="1"/>
  <c r="C22" i="226"/>
  <c r="DJ22" i="170"/>
  <c r="DL22" i="170" s="1"/>
  <c r="DF22" i="170"/>
  <c r="G19" i="2"/>
  <c r="N6" i="232"/>
  <c r="DB21" i="170"/>
  <c r="C12" i="218"/>
  <c r="F48" i="151"/>
  <c r="C12" i="2"/>
  <c r="C18" i="83"/>
  <c r="CF19" i="170"/>
  <c r="F8" i="151"/>
  <c r="C22" i="79"/>
  <c r="K7" i="139"/>
  <c r="N34" i="232"/>
  <c r="C14" i="226"/>
  <c r="BC20" i="170"/>
  <c r="A21" i="238"/>
  <c r="K13" i="170"/>
  <c r="D104" i="151"/>
  <c r="L25" i="233"/>
  <c r="N20" i="214"/>
  <c r="V22" i="170"/>
  <c r="D37" i="92"/>
  <c r="L14" i="57"/>
  <c r="K14" i="57"/>
  <c r="N8" i="214"/>
  <c r="C9" i="227"/>
  <c r="F9" i="227" s="1"/>
  <c r="G9" i="227" s="1"/>
  <c r="C14" i="79"/>
  <c r="K14" i="139"/>
  <c r="F41" i="151"/>
  <c r="AN16" i="170"/>
  <c r="I13" i="15"/>
  <c r="L13" i="15" s="1"/>
  <c r="M13" i="15" s="1"/>
  <c r="DB8" i="170"/>
  <c r="C10" i="2"/>
  <c r="J12" i="238"/>
  <c r="H25" i="212"/>
  <c r="F14" i="241"/>
  <c r="C21" i="232"/>
  <c r="C26" i="228"/>
  <c r="F26" i="228" s="1"/>
  <c r="G26" i="228" s="1"/>
  <c r="G10" i="2"/>
  <c r="CJ7" i="170"/>
  <c r="F134" i="151"/>
  <c r="C35" i="227"/>
  <c r="F35" i="227" s="1"/>
  <c r="G35" i="227" s="1"/>
  <c r="C18" i="25"/>
  <c r="I18" i="25" s="1"/>
  <c r="DB18" i="170"/>
  <c r="C30" i="233"/>
  <c r="C24" i="83"/>
  <c r="F24" i="83" s="1"/>
  <c r="G24" i="83" s="1"/>
  <c r="D33" i="151"/>
  <c r="L13" i="233"/>
  <c r="F50" i="189"/>
  <c r="C11" i="232"/>
  <c r="K16" i="139"/>
  <c r="G13" i="192"/>
  <c r="K8" i="170"/>
  <c r="K18" i="57"/>
  <c r="D41" i="92"/>
  <c r="L18" i="57"/>
  <c r="E43" i="189"/>
  <c r="H10" i="209"/>
  <c r="M5" i="257" s="1"/>
  <c r="N22" i="226"/>
  <c r="G20" i="2"/>
  <c r="G17" i="170"/>
  <c r="C30" i="228"/>
  <c r="F30" i="228" s="1"/>
  <c r="G30" i="228" s="1"/>
  <c r="N12" i="218"/>
  <c r="J14" i="215"/>
  <c r="H7" i="2"/>
  <c r="D114" i="151"/>
  <c r="L35" i="233"/>
  <c r="F9" i="192"/>
  <c r="S9" i="192" s="1"/>
  <c r="C9" i="218"/>
  <c r="L9" i="218" s="1"/>
  <c r="F35" i="151"/>
  <c r="N35" i="151" s="1"/>
  <c r="C7" i="226"/>
  <c r="L30" i="235"/>
  <c r="K30" i="235"/>
  <c r="D170" i="151"/>
  <c r="N10" i="214"/>
  <c r="BY20" i="170"/>
  <c r="L16" i="233"/>
  <c r="D36" i="151"/>
  <c r="N11" i="219"/>
  <c r="E6" i="189"/>
  <c r="F11" i="239"/>
  <c r="S11" i="239" s="1"/>
  <c r="F15" i="189"/>
  <c r="F24" i="189"/>
  <c r="C22" i="212"/>
  <c r="J7" i="139"/>
  <c r="F9" i="239"/>
  <c r="S9" i="239" s="1"/>
  <c r="F127" i="151"/>
  <c r="C7" i="218"/>
  <c r="L7" i="218" s="1"/>
  <c r="C29" i="233"/>
  <c r="E35" i="189"/>
  <c r="J7" i="190"/>
  <c r="N17" i="219"/>
  <c r="C21" i="83"/>
  <c r="N18" i="131"/>
  <c r="M18" i="131"/>
  <c r="F149" i="151"/>
  <c r="B22" i="207"/>
  <c r="B22" i="133" s="1"/>
  <c r="B50" i="6"/>
  <c r="D172" i="92"/>
  <c r="K32" i="234"/>
  <c r="L32" i="234"/>
  <c r="N10" i="190"/>
  <c r="BC19" i="170"/>
  <c r="C10" i="227"/>
  <c r="F10" i="227" s="1"/>
  <c r="G10" i="227" s="1"/>
  <c r="F91" i="151"/>
  <c r="F133" i="151"/>
  <c r="G8" i="170"/>
  <c r="K12" i="139"/>
  <c r="AN7" i="170"/>
  <c r="G10" i="207"/>
  <c r="P10" i="207" s="1"/>
  <c r="Q10" i="207" s="1"/>
  <c r="H6" i="229"/>
  <c r="H13" i="209"/>
  <c r="R13" i="209" s="1"/>
  <c r="S13" i="209" s="1"/>
  <c r="C37" i="233"/>
  <c r="AG16" i="170"/>
  <c r="C28" i="228"/>
  <c r="F28" i="228" s="1"/>
  <c r="G28" i="228" s="1"/>
  <c r="F180" i="151"/>
  <c r="F16" i="151"/>
  <c r="N19" i="218"/>
  <c r="C27" i="227"/>
  <c r="F27" i="227" s="1"/>
  <c r="G27" i="227" s="1"/>
  <c r="N28" i="228"/>
  <c r="CJ21" i="170"/>
  <c r="G18" i="2"/>
  <c r="K15" i="215"/>
  <c r="H10" i="257" s="1"/>
  <c r="K19" i="170"/>
  <c r="L17" i="233"/>
  <c r="D37" i="151"/>
  <c r="N21" i="218"/>
  <c r="F77" i="151"/>
  <c r="E25" i="189"/>
  <c r="N25" i="228"/>
  <c r="H14" i="209"/>
  <c r="J5" i="229"/>
  <c r="M5" i="229" s="1"/>
  <c r="G23" i="100"/>
  <c r="C11" i="79"/>
  <c r="F87" i="151"/>
  <c r="G21" i="2"/>
  <c r="F57" i="189"/>
  <c r="M50" i="131"/>
  <c r="N50" i="131"/>
  <c r="C31" i="235"/>
  <c r="F31" i="235" s="1"/>
  <c r="G31" i="235" s="1"/>
  <c r="K37" i="139"/>
  <c r="N20" i="131"/>
  <c r="M20" i="131"/>
  <c r="F162" i="151"/>
  <c r="DB22" i="170"/>
  <c r="D113" i="151"/>
  <c r="L34" i="233"/>
  <c r="C25" i="83"/>
  <c r="M25" i="83" s="1"/>
  <c r="H24" i="2"/>
  <c r="G11" i="209"/>
  <c r="P11" i="209" s="1"/>
  <c r="Q11" i="209" s="1"/>
  <c r="N21" i="214"/>
  <c r="V9" i="170"/>
  <c r="C38" i="233"/>
  <c r="K8" i="139"/>
  <c r="G3" i="257" s="1"/>
  <c r="J35" i="6"/>
  <c r="M35" i="6" s="1"/>
  <c r="N35" i="6" s="1"/>
  <c r="K23" i="6"/>
  <c r="C35" i="232"/>
  <c r="F146" i="151"/>
  <c r="F10" i="241"/>
  <c r="K24" i="234"/>
  <c r="L24" i="234"/>
  <c r="D164" i="92"/>
  <c r="H13" i="192"/>
  <c r="F94" i="151"/>
  <c r="L38" i="234"/>
  <c r="K38" i="234"/>
  <c r="D178" i="92"/>
  <c r="C6" i="83"/>
  <c r="M6" i="83" s="1"/>
  <c r="K27" i="57"/>
  <c r="D106" i="92"/>
  <c r="L27" i="57"/>
  <c r="N31" i="131"/>
  <c r="M31" i="131"/>
  <c r="F126" i="151"/>
  <c r="F65" i="151"/>
  <c r="H14" i="207"/>
  <c r="K9" i="257" s="1"/>
  <c r="D36" i="92"/>
  <c r="K13" i="57"/>
  <c r="L13" i="57"/>
  <c r="CJ8" i="170"/>
  <c r="C18" i="79"/>
  <c r="CJ16" i="170"/>
  <c r="F22" i="189"/>
  <c r="H20" i="212"/>
  <c r="I20" i="212" s="1"/>
  <c r="T20" i="212" s="1"/>
  <c r="N8" i="219"/>
  <c r="F25" i="189"/>
  <c r="F12" i="189"/>
  <c r="E38" i="189"/>
  <c r="N25" i="232"/>
  <c r="H10" i="2"/>
  <c r="I5" i="257" s="1"/>
  <c r="K14" i="234"/>
  <c r="L14" i="234"/>
  <c r="D71" i="92"/>
  <c r="C11" i="83"/>
  <c r="M8" i="190"/>
  <c r="O8" i="190" s="1"/>
  <c r="C14" i="228"/>
  <c r="F14" i="228" s="1"/>
  <c r="G14" i="228" s="1"/>
  <c r="F6" i="189"/>
  <c r="N21" i="232"/>
  <c r="N7" i="219"/>
  <c r="F140" i="151"/>
  <c r="D69" i="92"/>
  <c r="K12" i="234"/>
  <c r="L12" i="234"/>
  <c r="F42" i="151"/>
  <c r="K13" i="190"/>
  <c r="O9" i="83"/>
  <c r="N9" i="83"/>
  <c r="F59" i="189"/>
  <c r="C35" i="226"/>
  <c r="H25" i="2"/>
  <c r="E17" i="189"/>
  <c r="C33" i="79"/>
  <c r="N33" i="228"/>
  <c r="H9" i="192"/>
  <c r="P12" i="190"/>
  <c r="J32" i="139"/>
  <c r="L32" i="139" s="1"/>
  <c r="F43" i="151"/>
  <c r="M11" i="5"/>
  <c r="W11" i="5" s="1"/>
  <c r="X11" i="5" s="1"/>
  <c r="M13" i="190"/>
  <c r="H10" i="192"/>
  <c r="K44" i="139"/>
  <c r="C50" i="6"/>
  <c r="C22" i="207"/>
  <c r="I17" i="15"/>
  <c r="L17" i="15" s="1"/>
  <c r="M17" i="15" s="1"/>
  <c r="N17" i="214"/>
  <c r="K42" i="139"/>
  <c r="F9" i="241"/>
  <c r="AY10" i="170"/>
  <c r="N15" i="83"/>
  <c r="O15" i="83"/>
  <c r="F60" i="189"/>
  <c r="CF9" i="170"/>
  <c r="L7" i="235"/>
  <c r="K7" i="235"/>
  <c r="D61" i="151"/>
  <c r="CJ17" i="170"/>
  <c r="BC15" i="170"/>
  <c r="N17" i="218"/>
  <c r="C17" i="214"/>
  <c r="E54" i="189"/>
  <c r="E55" i="189"/>
  <c r="C15" i="228"/>
  <c r="F15" i="228" s="1"/>
  <c r="G15" i="228" s="1"/>
  <c r="C21" i="226"/>
  <c r="J13" i="215"/>
  <c r="N7" i="214"/>
  <c r="N23" i="219"/>
  <c r="N18" i="214"/>
  <c r="BN15" i="170"/>
  <c r="F171" i="151"/>
  <c r="N49" i="232"/>
  <c r="P11" i="190"/>
  <c r="C27" i="228"/>
  <c r="F27" i="228" s="1"/>
  <c r="G27" i="228" s="1"/>
  <c r="G18" i="207"/>
  <c r="P18" i="207" s="1"/>
  <c r="Q18" i="207" s="1"/>
  <c r="C32" i="218"/>
  <c r="F32" i="218" s="1"/>
  <c r="G32" i="218" s="1"/>
  <c r="H8" i="209"/>
  <c r="E13" i="241"/>
  <c r="K13" i="241" s="1"/>
  <c r="E11" i="241"/>
  <c r="A13" i="109"/>
  <c r="N13" i="109" s="1"/>
  <c r="E12" i="240"/>
  <c r="O12" i="240" s="1"/>
  <c r="C28" i="233"/>
  <c r="N14" i="228"/>
  <c r="N46" i="232"/>
  <c r="CF10" i="170"/>
  <c r="F30" i="189"/>
  <c r="J6" i="238"/>
  <c r="DF9" i="170"/>
  <c r="DJ9" i="170"/>
  <c r="DL9" i="170" s="1"/>
  <c r="F10" i="151"/>
  <c r="F14" i="151"/>
  <c r="CJ19" i="170"/>
  <c r="P10" i="190"/>
  <c r="F51" i="151"/>
  <c r="C8" i="214"/>
  <c r="L8" i="214" s="1"/>
  <c r="C10" i="83"/>
  <c r="M12" i="238"/>
  <c r="M24" i="238" s="1"/>
  <c r="I6" i="229"/>
  <c r="C11" i="233"/>
  <c r="BY22" i="170"/>
  <c r="C22" i="214"/>
  <c r="A12" i="241"/>
  <c r="F58" i="189"/>
  <c r="C10" i="109"/>
  <c r="K48" i="6"/>
  <c r="M15" i="5"/>
  <c r="N10" i="257" s="1"/>
  <c r="N7" i="83"/>
  <c r="O7" i="83"/>
  <c r="N24" i="219"/>
  <c r="F175" i="151"/>
  <c r="N175" i="151" s="1"/>
  <c r="BJ21" i="170"/>
  <c r="N9" i="214"/>
  <c r="CU18" i="170"/>
  <c r="H18" i="207"/>
  <c r="F95" i="151"/>
  <c r="F174" i="151"/>
  <c r="N174" i="151" s="1"/>
  <c r="C24" i="232"/>
  <c r="F154" i="151"/>
  <c r="F10" i="192"/>
  <c r="S10" i="192" s="1"/>
  <c r="M11" i="238"/>
  <c r="M23" i="238" s="1"/>
  <c r="C20" i="83"/>
  <c r="N39" i="232"/>
  <c r="C15" i="232"/>
  <c r="V8" i="170"/>
  <c r="F13" i="239"/>
  <c r="S13" i="239" s="1"/>
  <c r="E45" i="189"/>
  <c r="CU21" i="170"/>
  <c r="BC8" i="170"/>
  <c r="DB15" i="170"/>
  <c r="F13" i="192"/>
  <c r="S13" i="192" s="1"/>
  <c r="K19" i="6"/>
  <c r="V14" i="257" s="1"/>
  <c r="CU9" i="170"/>
  <c r="DB19" i="170"/>
  <c r="N7" i="131"/>
  <c r="M7" i="131"/>
  <c r="F40" i="189"/>
  <c r="K11" i="235"/>
  <c r="L11" i="235"/>
  <c r="D65" i="151"/>
  <c r="K10" i="6"/>
  <c r="F64" i="151"/>
  <c r="C22" i="83"/>
  <c r="M22" i="83" s="1"/>
  <c r="K9" i="139"/>
  <c r="G4" i="257" s="1"/>
  <c r="N20" i="232"/>
  <c r="M13" i="5"/>
  <c r="K38" i="139"/>
  <c r="K36" i="6"/>
  <c r="D35" i="92"/>
  <c r="L12" i="57"/>
  <c r="K12" i="57"/>
  <c r="F28" i="189"/>
  <c r="M47" i="131"/>
  <c r="N47" i="131"/>
  <c r="F73" i="151"/>
  <c r="N73" i="151" s="1"/>
  <c r="K46" i="6"/>
  <c r="O46" i="6" s="1"/>
  <c r="P46" i="6" s="1"/>
  <c r="V14" i="170"/>
  <c r="G24" i="207"/>
  <c r="I9" i="15"/>
  <c r="F92" i="151"/>
  <c r="L15" i="235"/>
  <c r="D69" i="151"/>
  <c r="K15" i="235"/>
  <c r="C14" i="109"/>
  <c r="L33" i="233"/>
  <c r="D112" i="151"/>
  <c r="F15" i="151"/>
  <c r="N42" i="232"/>
  <c r="F119" i="151"/>
  <c r="F125" i="151"/>
  <c r="A15" i="109"/>
  <c r="N15" i="109" s="1"/>
  <c r="N29" i="228"/>
  <c r="J44" i="6"/>
  <c r="M44" i="6" s="1"/>
  <c r="N44" i="6" s="1"/>
  <c r="C32" i="79"/>
  <c r="C13" i="109"/>
  <c r="N30" i="227"/>
  <c r="C8" i="109"/>
  <c r="D103" i="92"/>
  <c r="K24" i="57"/>
  <c r="L24" i="57"/>
  <c r="H11" i="192"/>
  <c r="L13" i="5"/>
  <c r="U13" i="5" s="1"/>
  <c r="V13" i="5" s="1"/>
  <c r="N33" i="232"/>
  <c r="P7" i="190"/>
  <c r="E44" i="189"/>
  <c r="A16" i="109"/>
  <c r="N16" i="109" s="1"/>
  <c r="K15" i="139"/>
  <c r="J42" i="139"/>
  <c r="M42" i="139" s="1"/>
  <c r="N42" i="139" s="1"/>
  <c r="E8" i="241"/>
  <c r="F183" i="151"/>
  <c r="C11" i="218"/>
  <c r="F11" i="218" s="1"/>
  <c r="G11" i="218" s="1"/>
  <c r="CQ14" i="170"/>
  <c r="C8" i="83"/>
  <c r="F8" i="83" s="1"/>
  <c r="G8" i="83" s="1"/>
  <c r="J9" i="6"/>
  <c r="R9" i="6" s="1"/>
  <c r="S9" i="6" s="1"/>
  <c r="J11" i="238"/>
  <c r="E42" i="189"/>
  <c r="K11" i="139"/>
  <c r="T11" i="139" s="1"/>
  <c r="U11" i="139" s="1"/>
  <c r="C11" i="214"/>
  <c r="C20" i="79"/>
  <c r="C32" i="226"/>
  <c r="D178" i="151"/>
  <c r="K38" i="235"/>
  <c r="L38" i="235"/>
  <c r="DF13" i="170"/>
  <c r="DJ13" i="170"/>
  <c r="DL13" i="170" s="1"/>
  <c r="C23" i="228"/>
  <c r="F23" i="228" s="1"/>
  <c r="G23" i="228" s="1"/>
  <c r="N12" i="238"/>
  <c r="V16" i="170"/>
  <c r="F74" i="151"/>
  <c r="N35" i="228"/>
  <c r="C18" i="232"/>
  <c r="N10" i="232"/>
  <c r="H12" i="2"/>
  <c r="BC10" i="170"/>
  <c r="G20" i="170"/>
  <c r="C38" i="235"/>
  <c r="K44" i="6"/>
  <c r="N33" i="227"/>
  <c r="K11" i="170"/>
  <c r="K49" i="6"/>
  <c r="O49" i="6" s="1"/>
  <c r="P49" i="6" s="1"/>
  <c r="F157" i="151"/>
  <c r="N33" i="226"/>
  <c r="K10" i="190"/>
  <c r="C24" i="214"/>
  <c r="C31" i="228"/>
  <c r="F31" i="228" s="1"/>
  <c r="G31" i="228" s="1"/>
  <c r="L28" i="235"/>
  <c r="D168" i="151"/>
  <c r="K28" i="235"/>
  <c r="F147" i="151"/>
  <c r="C32" i="228"/>
  <c r="F32" i="228" s="1"/>
  <c r="G32" i="228" s="1"/>
  <c r="L7" i="57"/>
  <c r="D30" i="92"/>
  <c r="C14" i="129"/>
  <c r="K7" i="57"/>
  <c r="B14" i="129"/>
  <c r="D14" i="129"/>
  <c r="B16" i="25"/>
  <c r="J8" i="238"/>
  <c r="F107" i="151"/>
  <c r="N107" i="151" s="1"/>
  <c r="F17" i="151"/>
  <c r="K29" i="139"/>
  <c r="K12" i="6"/>
  <c r="J13" i="139"/>
  <c r="R13" i="139" s="1"/>
  <c r="S13" i="139" s="1"/>
  <c r="C24" i="25"/>
  <c r="I24" i="25" s="1"/>
  <c r="C7" i="109"/>
  <c r="F7" i="109" s="1"/>
  <c r="G7" i="109" s="1"/>
  <c r="N15" i="227"/>
  <c r="C40" i="232"/>
  <c r="J39" i="139"/>
  <c r="M39" i="139" s="1"/>
  <c r="N39" i="139" s="1"/>
  <c r="M27" i="131"/>
  <c r="N27" i="131"/>
  <c r="N28" i="226"/>
  <c r="CU16" i="170"/>
  <c r="N26" i="228"/>
  <c r="E51" i="189"/>
  <c r="H9" i="239"/>
  <c r="F20" i="189"/>
  <c r="J23" i="139"/>
  <c r="R23" i="139" s="1"/>
  <c r="S23" i="139" s="1"/>
  <c r="F66" i="151"/>
  <c r="L14" i="233"/>
  <c r="D34" i="151"/>
  <c r="C32" i="219"/>
  <c r="F32" i="219" s="1"/>
  <c r="G32" i="219" s="1"/>
  <c r="N51" i="131"/>
  <c r="M51" i="131"/>
  <c r="J8" i="215"/>
  <c r="H11" i="207"/>
  <c r="I11" i="207" s="1"/>
  <c r="F60" i="151"/>
  <c r="K11" i="6"/>
  <c r="C17" i="109"/>
  <c r="C16" i="232"/>
  <c r="N11" i="238"/>
  <c r="D43" i="92"/>
  <c r="L20" i="57"/>
  <c r="K20" i="57"/>
  <c r="F71" i="151"/>
  <c r="N71" i="151" s="1"/>
  <c r="H24" i="212"/>
  <c r="R24" i="212" s="1"/>
  <c r="S24" i="212" s="1"/>
  <c r="J9" i="215"/>
  <c r="M14" i="131"/>
  <c r="N14" i="131"/>
  <c r="C6" i="232"/>
  <c r="V19" i="170"/>
  <c r="G19" i="212"/>
  <c r="P19" i="212" s="1"/>
  <c r="Q19" i="212" s="1"/>
  <c r="C27" i="233"/>
  <c r="D28" i="151"/>
  <c r="L8" i="233"/>
  <c r="F51" i="189"/>
  <c r="C14" i="214"/>
  <c r="C20" i="218"/>
  <c r="F160" i="151"/>
  <c r="CU14" i="170"/>
  <c r="M10" i="190"/>
  <c r="H21" i="2"/>
  <c r="H16" i="209"/>
  <c r="M11" i="257" s="1"/>
  <c r="F27" i="151"/>
  <c r="C26" i="235"/>
  <c r="J39" i="6"/>
  <c r="M39" i="6" s="1"/>
  <c r="N39" i="6" s="1"/>
  <c r="AB7" i="139"/>
  <c r="AC7" i="139"/>
  <c r="N6" i="214"/>
  <c r="N28" i="131"/>
  <c r="M28" i="131"/>
  <c r="F115" i="151"/>
  <c r="N115" i="151" s="1"/>
  <c r="N26" i="226"/>
  <c r="I23" i="15"/>
  <c r="L23" i="15" s="1"/>
  <c r="M23" i="15" s="1"/>
  <c r="C21" i="45"/>
  <c r="J21" i="45" s="1"/>
  <c r="F33" i="151"/>
  <c r="N33" i="151" s="1"/>
  <c r="J31" i="139"/>
  <c r="F83" i="151"/>
  <c r="L11" i="5"/>
  <c r="U11" i="5" s="1"/>
  <c r="V11" i="5" s="1"/>
  <c r="O17" i="83"/>
  <c r="N17" i="83"/>
  <c r="F52" i="189"/>
  <c r="F84" i="151"/>
  <c r="F164" i="151"/>
  <c r="F29" i="189"/>
  <c r="CU12" i="170"/>
  <c r="N54" i="131"/>
  <c r="M54" i="131"/>
  <c r="CQ12" i="170"/>
  <c r="O10" i="83"/>
  <c r="N10" i="83"/>
  <c r="C52" i="232"/>
  <c r="A20" i="238"/>
  <c r="G7" i="170"/>
  <c r="E12" i="189"/>
  <c r="K12" i="215"/>
  <c r="L12" i="215" s="1"/>
  <c r="C37" i="232"/>
  <c r="G9" i="239"/>
  <c r="F14" i="239"/>
  <c r="S14" i="239" s="1"/>
  <c r="C8" i="218"/>
  <c r="C22" i="228"/>
  <c r="F22" i="228" s="1"/>
  <c r="G22" i="228" s="1"/>
  <c r="E10" i="240"/>
  <c r="O10" i="240" s="1"/>
  <c r="BJ11" i="170"/>
  <c r="N23" i="83"/>
  <c r="O23" i="83"/>
  <c r="F38" i="151"/>
  <c r="N38" i="151" s="1"/>
  <c r="N9" i="227"/>
  <c r="K9" i="170"/>
  <c r="F59" i="151"/>
  <c r="F25" i="151"/>
  <c r="F40" i="151"/>
  <c r="N20" i="219"/>
  <c r="BY17" i="170"/>
  <c r="C8" i="233"/>
  <c r="F45" i="189"/>
  <c r="F178" i="151"/>
  <c r="M45" i="131"/>
  <c r="N45" i="131"/>
  <c r="J13" i="190"/>
  <c r="K11" i="215"/>
  <c r="G24" i="2"/>
  <c r="C35" i="228"/>
  <c r="F35" i="228" s="1"/>
  <c r="G35" i="228" s="1"/>
  <c r="K39" i="6"/>
  <c r="P6" i="238"/>
  <c r="P18" i="238" s="1"/>
  <c r="L36" i="235"/>
  <c r="K36" i="235"/>
  <c r="D176" i="151"/>
  <c r="D33" i="92"/>
  <c r="L10" i="57"/>
  <c r="K10" i="57"/>
  <c r="C9" i="233"/>
  <c r="H13" i="239"/>
  <c r="AN13" i="170"/>
  <c r="F80" i="151"/>
  <c r="F128" i="151"/>
  <c r="C11" i="228"/>
  <c r="F11" i="228" s="1"/>
  <c r="G11" i="228" s="1"/>
  <c r="N53" i="232"/>
  <c r="D166" i="151"/>
  <c r="L26" i="235"/>
  <c r="K26" i="235"/>
  <c r="P13" i="190"/>
  <c r="F38" i="189"/>
  <c r="CQ13" i="170"/>
  <c r="C18" i="235"/>
  <c r="F18" i="235" s="1"/>
  <c r="G18" i="235" s="1"/>
  <c r="E47" i="189"/>
  <c r="C23" i="214"/>
  <c r="C11" i="226"/>
  <c r="C15" i="79"/>
  <c r="J35" i="139"/>
  <c r="M35" i="139" s="1"/>
  <c r="N35" i="139" s="1"/>
  <c r="CQ7" i="170"/>
  <c r="G19" i="170"/>
  <c r="F82" i="151"/>
  <c r="C30" i="226"/>
  <c r="G16" i="170"/>
  <c r="C28" i="227"/>
  <c r="F28" i="227" s="1"/>
  <c r="G28" i="227" s="1"/>
  <c r="L19" i="235"/>
  <c r="D73" i="151"/>
  <c r="K19" i="235"/>
  <c r="J9" i="238"/>
  <c r="BC9" i="170"/>
  <c r="H8" i="192"/>
  <c r="G25" i="100"/>
  <c r="C23" i="207"/>
  <c r="C51" i="6"/>
  <c r="F143" i="151"/>
  <c r="N20" i="218"/>
  <c r="N31" i="226"/>
  <c r="F44" i="189"/>
  <c r="F57" i="151"/>
  <c r="N34" i="227"/>
  <c r="DF18" i="170"/>
  <c r="DJ18" i="170"/>
  <c r="DL18" i="170" s="1"/>
  <c r="G26" i="2"/>
  <c r="K37" i="6"/>
  <c r="O37" i="6" s="1"/>
  <c r="P37" i="6" s="1"/>
  <c r="N18" i="232"/>
  <c r="I8" i="229"/>
  <c r="C31" i="227"/>
  <c r="F31" i="227" s="1"/>
  <c r="G31" i="227" s="1"/>
  <c r="C24" i="79"/>
  <c r="F79" i="151"/>
  <c r="G9" i="209"/>
  <c r="P9" i="209" s="1"/>
  <c r="Q9" i="209" s="1"/>
  <c r="C23" i="25"/>
  <c r="I23" i="25" s="1"/>
  <c r="H13" i="2"/>
  <c r="G22" i="2"/>
  <c r="I22" i="2" s="1"/>
  <c r="C13" i="218"/>
  <c r="F13" i="218" s="1"/>
  <c r="G13" i="218" s="1"/>
  <c r="DB6" i="170"/>
  <c r="C8" i="226"/>
  <c r="N12" i="131"/>
  <c r="M12" i="131"/>
  <c r="DB13" i="170"/>
  <c r="F130" i="151"/>
  <c r="M6" i="190"/>
  <c r="N12" i="214"/>
  <c r="G23" i="207"/>
  <c r="P23" i="207" s="1"/>
  <c r="Q23" i="207" s="1"/>
  <c r="C19" i="233"/>
  <c r="V18" i="170"/>
  <c r="M32" i="131"/>
  <c r="N32" i="131"/>
  <c r="J11" i="6"/>
  <c r="R11" i="6" s="1"/>
  <c r="S11" i="6" s="1"/>
  <c r="C25" i="228"/>
  <c r="F25" i="228" s="1"/>
  <c r="G25" i="228" s="1"/>
  <c r="CJ12" i="170"/>
  <c r="K12" i="235"/>
  <c r="L12" i="235"/>
  <c r="D66" i="151"/>
  <c r="M13" i="238"/>
  <c r="M25" i="238" s="1"/>
  <c r="C10" i="79"/>
  <c r="F168" i="151"/>
  <c r="N12" i="190"/>
  <c r="G21" i="170"/>
  <c r="F7" i="241"/>
  <c r="L7" i="241" s="1"/>
  <c r="K7" i="215"/>
  <c r="C19" i="25"/>
  <c r="H12" i="192"/>
  <c r="K45" i="6"/>
  <c r="F42" i="189"/>
  <c r="CQ15" i="170"/>
  <c r="C29" i="235"/>
  <c r="H29" i="235" s="1"/>
  <c r="C6" i="226"/>
  <c r="K38" i="57"/>
  <c r="L38" i="57"/>
  <c r="D117" i="92"/>
  <c r="K22" i="170"/>
  <c r="C16" i="129"/>
  <c r="H16" i="129" s="1"/>
  <c r="BN17" i="170"/>
  <c r="V10" i="170"/>
  <c r="N8" i="238"/>
  <c r="N20" i="238" s="1"/>
  <c r="DB12" i="170"/>
  <c r="G20" i="100"/>
  <c r="AN21" i="170"/>
  <c r="BC18" i="170"/>
  <c r="M7" i="190"/>
  <c r="BJ8" i="170"/>
  <c r="F43" i="189"/>
  <c r="C32" i="214"/>
  <c r="L32" i="214" s="1"/>
  <c r="C16" i="214"/>
  <c r="D166" i="92"/>
  <c r="K26" i="234"/>
  <c r="L26" i="234"/>
  <c r="L27" i="233"/>
  <c r="D106" i="151"/>
  <c r="R12" i="170"/>
  <c r="C9" i="25"/>
  <c r="K22" i="6"/>
  <c r="C7" i="233"/>
  <c r="R22" i="170"/>
  <c r="J8" i="6"/>
  <c r="R8" i="6" s="1"/>
  <c r="S8" i="6" s="1"/>
  <c r="N25" i="219"/>
  <c r="N14" i="214"/>
  <c r="C26" i="226"/>
  <c r="C43" i="226"/>
  <c r="BJ7" i="170"/>
  <c r="G21" i="100"/>
  <c r="K18" i="235"/>
  <c r="D72" i="151"/>
  <c r="L18" i="235"/>
  <c r="AN9" i="170"/>
  <c r="J21" i="6"/>
  <c r="N40" i="131"/>
  <c r="M40" i="131"/>
  <c r="C15" i="235"/>
  <c r="N25" i="218"/>
  <c r="P10" i="238"/>
  <c r="C12" i="232"/>
  <c r="C34" i="233"/>
  <c r="K14" i="6"/>
  <c r="K17" i="170"/>
  <c r="F124" i="151"/>
  <c r="L11" i="57"/>
  <c r="K11" i="57"/>
  <c r="D34" i="92"/>
  <c r="C17" i="232"/>
  <c r="J19" i="139"/>
  <c r="R19" i="139" s="1"/>
  <c r="S19" i="139" s="1"/>
  <c r="BC22" i="170"/>
  <c r="N30" i="228"/>
  <c r="F56" i="189"/>
  <c r="N8" i="131"/>
  <c r="M8" i="131"/>
  <c r="F101" i="151"/>
  <c r="CF13" i="170"/>
  <c r="N32" i="227"/>
  <c r="C29" i="226"/>
  <c r="CQ11" i="170"/>
  <c r="C15" i="218"/>
  <c r="L34" i="57"/>
  <c r="D113" i="92"/>
  <c r="K34" i="57"/>
  <c r="J45" i="139"/>
  <c r="M45" i="139" s="1"/>
  <c r="N45" i="139" s="1"/>
  <c r="DF7" i="170"/>
  <c r="DJ7" i="170"/>
  <c r="DL7" i="170" s="1"/>
  <c r="C9" i="228"/>
  <c r="F9" i="228" s="1"/>
  <c r="G9" i="228" s="1"/>
  <c r="J14" i="139"/>
  <c r="R14" i="139" s="1"/>
  <c r="S14" i="139" s="1"/>
  <c r="N10" i="218"/>
  <c r="F86" i="151"/>
  <c r="K18" i="139"/>
  <c r="BJ19" i="170"/>
  <c r="DF11" i="170"/>
  <c r="DJ11" i="170"/>
  <c r="DL11" i="170" s="1"/>
  <c r="C8" i="227"/>
  <c r="F8" i="227" s="1"/>
  <c r="G8" i="227" s="1"/>
  <c r="C12" i="83"/>
  <c r="C18" i="218"/>
  <c r="F18" i="218" s="1"/>
  <c r="G18" i="218" s="1"/>
  <c r="E29" i="189"/>
  <c r="M8" i="5"/>
  <c r="K10" i="139"/>
  <c r="G5" i="257" s="1"/>
  <c r="L32" i="235"/>
  <c r="K32" i="235"/>
  <c r="D172" i="151"/>
  <c r="K21" i="57"/>
  <c r="D44" i="92"/>
  <c r="L21" i="57"/>
  <c r="C27" i="109"/>
  <c r="L16" i="57"/>
  <c r="D39" i="92"/>
  <c r="K16" i="57"/>
  <c r="C6" i="214"/>
  <c r="H11" i="239"/>
  <c r="F170" i="151"/>
  <c r="N13" i="214"/>
  <c r="CF16" i="170"/>
  <c r="N44" i="232"/>
  <c r="C10" i="226"/>
  <c r="BJ18" i="170"/>
  <c r="K34" i="234"/>
  <c r="L34" i="234"/>
  <c r="D174" i="92"/>
  <c r="K20" i="6"/>
  <c r="I21" i="15"/>
  <c r="L21" i="15" s="1"/>
  <c r="M21" i="15" s="1"/>
  <c r="K8" i="190"/>
  <c r="G11" i="239"/>
  <c r="F44" i="151"/>
  <c r="K21" i="170"/>
  <c r="C21" i="214"/>
  <c r="AG7" i="170"/>
  <c r="D177" i="92"/>
  <c r="K37" i="234"/>
  <c r="L37" i="234"/>
  <c r="N9" i="218"/>
  <c r="I11" i="15"/>
  <c r="L11" i="15" s="1"/>
  <c r="M11" i="15" s="1"/>
  <c r="C35" i="233"/>
  <c r="M16" i="5"/>
  <c r="N23" i="228"/>
  <c r="F53" i="189"/>
  <c r="CF14" i="170"/>
  <c r="G13" i="207"/>
  <c r="P13" i="207" s="1"/>
  <c r="Q13" i="207" s="1"/>
  <c r="C7" i="214"/>
  <c r="J12" i="6"/>
  <c r="R12" i="6" s="1"/>
  <c r="S12" i="6" s="1"/>
  <c r="N24" i="228"/>
  <c r="C25" i="235"/>
  <c r="C9" i="232"/>
  <c r="G12" i="209"/>
  <c r="P12" i="209" s="1"/>
  <c r="Q12" i="209" s="1"/>
  <c r="CQ19" i="170"/>
  <c r="H9" i="2"/>
  <c r="BJ17" i="170"/>
  <c r="CU8" i="170"/>
  <c r="C14" i="25"/>
  <c r="D164" i="151"/>
  <c r="K24" i="235"/>
  <c r="L24" i="235"/>
  <c r="F158" i="151"/>
  <c r="G7" i="207"/>
  <c r="P7" i="207" s="1"/>
  <c r="Q7" i="207" s="1"/>
  <c r="DB20" i="170"/>
  <c r="N11" i="131"/>
  <c r="M11" i="131"/>
  <c r="A12" i="109"/>
  <c r="N12" i="109" s="1"/>
  <c r="H22" i="207"/>
  <c r="R22" i="207" s="1"/>
  <c r="S22" i="207" s="1"/>
  <c r="F141" i="151"/>
  <c r="F109" i="151"/>
  <c r="N109" i="151" s="1"/>
  <c r="E10" i="241"/>
  <c r="O10" i="241" s="1"/>
  <c r="C29" i="133"/>
  <c r="E29" i="133" s="1"/>
  <c r="F29" i="133"/>
  <c r="H29" i="133" s="1"/>
  <c r="F27" i="133"/>
  <c r="H27" i="133" s="1"/>
  <c r="F25" i="133"/>
  <c r="H25" i="133" s="1"/>
  <c r="K24" i="133"/>
  <c r="L24" i="133"/>
  <c r="F26" i="133"/>
  <c r="H26" i="133" s="1"/>
  <c r="C26" i="133"/>
  <c r="E26" i="133" s="1"/>
  <c r="C27" i="133"/>
  <c r="E27" i="133" s="1"/>
  <c r="K28" i="133"/>
  <c r="K29" i="133"/>
  <c r="F28" i="133"/>
  <c r="H28" i="133" s="1"/>
  <c r="L29" i="133"/>
  <c r="L28" i="133"/>
  <c r="C25" i="133"/>
  <c r="E25" i="133" s="1"/>
  <c r="C24" i="133"/>
  <c r="E24" i="133" s="1"/>
  <c r="F24" i="133"/>
  <c r="H24" i="133" s="1"/>
  <c r="C28" i="133"/>
  <c r="E28" i="133" s="1"/>
  <c r="F58" i="151"/>
  <c r="N11" i="214"/>
  <c r="M9" i="238"/>
  <c r="M21" i="238" s="1"/>
  <c r="N52" i="232"/>
  <c r="H8" i="207"/>
  <c r="K3" i="257" s="1"/>
  <c r="J40" i="139"/>
  <c r="M40" i="139" s="1"/>
  <c r="N40" i="139" s="1"/>
  <c r="N10" i="238"/>
  <c r="D41" i="151"/>
  <c r="L21" i="233"/>
  <c r="C16" i="218"/>
  <c r="C8" i="79"/>
  <c r="G9" i="2"/>
  <c r="C32" i="227"/>
  <c r="F32" i="227" s="1"/>
  <c r="G32" i="227" s="1"/>
  <c r="A8" i="109"/>
  <c r="N8" i="109" s="1"/>
  <c r="C4" i="79"/>
  <c r="K7" i="170"/>
  <c r="A9" i="241"/>
  <c r="E46" i="189"/>
  <c r="F100" i="151"/>
  <c r="C13" i="226"/>
  <c r="J48" i="6"/>
  <c r="M48" i="6" s="1"/>
  <c r="N48" i="6" s="1"/>
  <c r="J17" i="6"/>
  <c r="R17" i="6" s="1"/>
  <c r="S17" i="6" s="1"/>
  <c r="N27" i="228"/>
  <c r="AG19" i="170"/>
  <c r="J7" i="215"/>
  <c r="M11" i="190"/>
  <c r="O11" i="190" s="1"/>
  <c r="N23" i="227"/>
  <c r="F123" i="151"/>
  <c r="G15" i="170"/>
  <c r="H17" i="2"/>
  <c r="I12" i="257" s="1"/>
  <c r="N23" i="226"/>
  <c r="CF22" i="170"/>
  <c r="P9" i="190"/>
  <c r="F22" i="151"/>
  <c r="J20" i="6"/>
  <c r="R20" i="6" s="1"/>
  <c r="S20" i="6" s="1"/>
  <c r="J3" i="79"/>
  <c r="B32" i="79" s="1"/>
  <c r="F105" i="151"/>
  <c r="N105" i="151" s="1"/>
  <c r="AG15" i="170"/>
  <c r="N24" i="218"/>
  <c r="C8" i="25"/>
  <c r="I8" i="25" s="1"/>
  <c r="CU11" i="170"/>
  <c r="N10" i="228"/>
  <c r="A7" i="109"/>
  <c r="N7" i="109" s="1"/>
  <c r="K15" i="57"/>
  <c r="L15" i="57"/>
  <c r="D38" i="92"/>
  <c r="M9" i="226"/>
  <c r="N9" i="226"/>
  <c r="H16" i="2"/>
  <c r="G10" i="170"/>
  <c r="F136" i="151"/>
  <c r="N14" i="83"/>
  <c r="O14" i="83"/>
  <c r="C57" i="232"/>
  <c r="C10" i="214"/>
  <c r="F13" i="241"/>
  <c r="I7" i="15"/>
  <c r="C33" i="232"/>
  <c r="C6" i="218"/>
  <c r="E57" i="189"/>
  <c r="N34" i="228"/>
  <c r="C21" i="233"/>
  <c r="G11" i="170"/>
  <c r="C31" i="79"/>
  <c r="C15" i="226"/>
  <c r="N19" i="232"/>
  <c r="R18" i="170"/>
  <c r="N24" i="214"/>
  <c r="C23" i="79"/>
  <c r="L37" i="233"/>
  <c r="D116" i="151"/>
  <c r="E9" i="241"/>
  <c r="CU15" i="170"/>
  <c r="N16" i="131"/>
  <c r="M16" i="131"/>
  <c r="C45" i="232"/>
  <c r="F108" i="151"/>
  <c r="N108" i="151" s="1"/>
  <c r="F150" i="151"/>
  <c r="N24" i="227"/>
  <c r="C7" i="83"/>
  <c r="F96" i="151"/>
  <c r="BY16" i="170"/>
  <c r="A10" i="241"/>
  <c r="A22" i="238"/>
  <c r="F26" i="151"/>
  <c r="K21" i="6"/>
  <c r="K8" i="6"/>
  <c r="N34" i="226"/>
  <c r="J19" i="6"/>
  <c r="R19" i="6" s="1"/>
  <c r="S19" i="6" s="1"/>
  <c r="J29" i="139"/>
  <c r="N30" i="131"/>
  <c r="M30" i="131"/>
  <c r="C16" i="83"/>
  <c r="M16" i="83" s="1"/>
  <c r="C43" i="227"/>
  <c r="F43" i="227" s="1"/>
  <c r="G43" i="227" s="1"/>
  <c r="C19" i="235"/>
  <c r="N29" i="131"/>
  <c r="M29" i="131"/>
  <c r="F12" i="239"/>
  <c r="S12" i="239" s="1"/>
  <c r="H20" i="207"/>
  <c r="F145" i="151"/>
  <c r="K8" i="215"/>
  <c r="AN10" i="170"/>
  <c r="N19" i="131"/>
  <c r="M19" i="131"/>
  <c r="K18" i="170"/>
  <c r="F67" i="151"/>
  <c r="L16" i="234"/>
  <c r="D73" i="92"/>
  <c r="K16" i="234"/>
  <c r="H14" i="239"/>
  <c r="G8" i="239"/>
  <c r="H23" i="207"/>
  <c r="K18" i="257" s="1"/>
  <c r="DJ21" i="170"/>
  <c r="DL21" i="170" s="1"/>
  <c r="DF21" i="170"/>
  <c r="G11" i="192"/>
  <c r="H19" i="2"/>
  <c r="I14" i="257" s="1"/>
  <c r="J45" i="6"/>
  <c r="M45" i="6" s="1"/>
  <c r="N45" i="6" s="1"/>
  <c r="N11" i="218"/>
  <c r="N27" i="227"/>
  <c r="F37" i="189"/>
  <c r="M9" i="131"/>
  <c r="N9" i="131"/>
  <c r="BJ16" i="170"/>
  <c r="F23" i="189"/>
  <c r="E26" i="189"/>
  <c r="C35" i="235"/>
  <c r="CU10" i="170"/>
  <c r="L9" i="5"/>
  <c r="U9" i="5" s="1"/>
  <c r="V9" i="5" s="1"/>
  <c r="AY13" i="170"/>
  <c r="E52" i="189"/>
  <c r="N25" i="227"/>
  <c r="H5" i="229"/>
  <c r="CJ14" i="170"/>
  <c r="N9" i="219"/>
  <c r="N9" i="228"/>
  <c r="C7" i="228"/>
  <c r="F7" i="228" s="1"/>
  <c r="G7" i="228" s="1"/>
  <c r="AG18" i="170"/>
  <c r="AY21" i="170"/>
  <c r="H12" i="209"/>
  <c r="J11" i="190"/>
  <c r="F55" i="189"/>
  <c r="C25" i="232"/>
  <c r="F52" i="151"/>
  <c r="CQ8" i="170"/>
  <c r="F138" i="151"/>
  <c r="C24" i="226"/>
  <c r="F21" i="151"/>
  <c r="I5" i="35"/>
  <c r="K40" i="139"/>
  <c r="O40" i="139" s="1"/>
  <c r="P40" i="139" s="1"/>
  <c r="DB7" i="170"/>
  <c r="F24" i="151"/>
  <c r="J9" i="139"/>
  <c r="AN18" i="170"/>
  <c r="C12" i="233"/>
  <c r="C22" i="218"/>
  <c r="F22" i="218" s="1"/>
  <c r="G22" i="218" s="1"/>
  <c r="N23" i="232"/>
  <c r="C51" i="232"/>
  <c r="N8" i="83"/>
  <c r="O8" i="83"/>
  <c r="N31" i="232"/>
  <c r="C12" i="227"/>
  <c r="F12" i="227" s="1"/>
  <c r="G12" i="227" s="1"/>
  <c r="DF19" i="170"/>
  <c r="DJ19" i="170"/>
  <c r="DL19" i="170" s="1"/>
  <c r="C18" i="109"/>
  <c r="F18" i="109" s="1"/>
  <c r="G18" i="109" s="1"/>
  <c r="L15" i="5"/>
  <c r="U15" i="5" s="1"/>
  <c r="V15" i="5" s="1"/>
  <c r="I7" i="229"/>
  <c r="CU7" i="170"/>
  <c r="V7" i="170"/>
  <c r="N29" i="227"/>
  <c r="N32" i="228"/>
  <c r="BC17" i="170"/>
  <c r="CU17" i="170"/>
  <c r="N19" i="83"/>
  <c r="O19" i="83"/>
  <c r="L12" i="233"/>
  <c r="D32" i="151"/>
  <c r="G23" i="212"/>
  <c r="P23" i="212" s="1"/>
  <c r="Q23" i="212" s="1"/>
  <c r="G14" i="170"/>
  <c r="C26" i="227"/>
  <c r="F26" i="227" s="1"/>
  <c r="G26" i="227" s="1"/>
  <c r="A6" i="109"/>
  <c r="E36" i="189"/>
  <c r="G12" i="2"/>
  <c r="J8" i="190"/>
  <c r="S8" i="190" s="1"/>
  <c r="S20" i="190" s="1"/>
  <c r="F165" i="151"/>
  <c r="J37" i="139"/>
  <c r="M37" i="139" s="1"/>
  <c r="N37" i="139" s="1"/>
  <c r="F97" i="151"/>
  <c r="H9" i="209"/>
  <c r="R9" i="209" s="1"/>
  <c r="S9" i="209" s="1"/>
  <c r="L36" i="233"/>
  <c r="D115" i="151"/>
  <c r="BN12" i="170"/>
  <c r="E50" i="189"/>
  <c r="J10" i="238"/>
  <c r="S10" i="238" s="1"/>
  <c r="S22" i="238" s="1"/>
  <c r="J10" i="6"/>
  <c r="R10" i="6" s="1"/>
  <c r="S10" i="6" s="1"/>
  <c r="C14" i="227"/>
  <c r="F14" i="227" s="1"/>
  <c r="G14" i="227" s="1"/>
  <c r="N18" i="218"/>
  <c r="J13" i="6"/>
  <c r="R13" i="6" s="1"/>
  <c r="S13" i="6" s="1"/>
  <c r="J50" i="6"/>
  <c r="M50" i="6" s="1"/>
  <c r="N50" i="6" s="1"/>
  <c r="C19" i="109"/>
  <c r="C13" i="83"/>
  <c r="M13" i="83" s="1"/>
  <c r="F112" i="151"/>
  <c r="N112" i="151" s="1"/>
  <c r="F37" i="151"/>
  <c r="N37" i="151" s="1"/>
  <c r="C16" i="233"/>
  <c r="F14" i="192"/>
  <c r="S14" i="192" s="1"/>
  <c r="E14" i="189"/>
  <c r="F155" i="151"/>
  <c r="K13" i="6"/>
  <c r="CF18" i="170"/>
  <c r="N13" i="131"/>
  <c r="M13" i="131"/>
  <c r="C28" i="235"/>
  <c r="H28" i="235" s="1"/>
  <c r="G14" i="2"/>
  <c r="AN12" i="170"/>
  <c r="C36" i="233"/>
  <c r="L7" i="233"/>
  <c r="D27" i="151"/>
  <c r="E18" i="189"/>
  <c r="L35" i="234"/>
  <c r="D175" i="92"/>
  <c r="K35" i="234"/>
  <c r="H24" i="207"/>
  <c r="I24" i="207" s="1"/>
  <c r="T24" i="207" s="1"/>
  <c r="C57" i="131"/>
  <c r="G8" i="2"/>
  <c r="L15" i="234"/>
  <c r="K15" i="234"/>
  <c r="D72" i="92"/>
  <c r="N32" i="232"/>
  <c r="N47" i="232"/>
  <c r="N54" i="232"/>
  <c r="A23" i="238"/>
  <c r="N41" i="232"/>
  <c r="K13" i="215"/>
  <c r="N33" i="131"/>
  <c r="M33" i="131"/>
  <c r="K42" i="6"/>
  <c r="O42" i="6" s="1"/>
  <c r="P42" i="6" s="1"/>
  <c r="DJ14" i="170"/>
  <c r="DL14" i="170" s="1"/>
  <c r="DF14" i="170"/>
  <c r="J9" i="190"/>
  <c r="S9" i="190" s="1"/>
  <c r="S21" i="190" s="1"/>
  <c r="P8" i="238"/>
  <c r="P20" i="238" s="1"/>
  <c r="N24" i="232"/>
  <c r="C13" i="227"/>
  <c r="F13" i="227" s="1"/>
  <c r="G13" i="227" s="1"/>
  <c r="C34" i="226"/>
  <c r="N15" i="226"/>
  <c r="M15" i="226"/>
  <c r="C29" i="227"/>
  <c r="F29" i="227" s="1"/>
  <c r="G29" i="227" s="1"/>
  <c r="G14" i="192"/>
  <c r="J20" i="139"/>
  <c r="R20" i="139" s="1"/>
  <c r="S20" i="139" s="1"/>
  <c r="BY15" i="170"/>
  <c r="C20" i="233"/>
  <c r="K13" i="234"/>
  <c r="L13" i="234"/>
  <c r="D70" i="92"/>
  <c r="G14" i="207"/>
  <c r="P14" i="207" s="1"/>
  <c r="Q14" i="207" s="1"/>
  <c r="BC13" i="170"/>
  <c r="C44" i="232"/>
  <c r="N32" i="226"/>
  <c r="CU22" i="170"/>
  <c r="N14" i="219"/>
  <c r="J7" i="6"/>
  <c r="R7" i="6" s="1"/>
  <c r="S7" i="6" s="1"/>
  <c r="K31" i="57"/>
  <c r="L31" i="57"/>
  <c r="D110" i="92"/>
  <c r="C25" i="79"/>
  <c r="C12" i="228"/>
  <c r="F12" i="228" s="1"/>
  <c r="G12" i="228" s="1"/>
  <c r="R10" i="170"/>
  <c r="N16" i="218"/>
  <c r="K7" i="190"/>
  <c r="F23" i="151"/>
  <c r="AY8" i="170"/>
  <c r="J12" i="190"/>
  <c r="K41" i="139"/>
  <c r="O41" i="139" s="1"/>
  <c r="P41" i="139" s="1"/>
  <c r="N28" i="232"/>
  <c r="CJ18" i="170"/>
  <c r="AY7" i="170"/>
  <c r="C6" i="25"/>
  <c r="A14" i="109"/>
  <c r="N14" i="109" s="1"/>
  <c r="N14" i="227"/>
  <c r="C17" i="235"/>
  <c r="H17" i="235" s="1"/>
  <c r="DB9" i="170"/>
  <c r="N7" i="226"/>
  <c r="M7" i="226"/>
  <c r="I25" i="15"/>
  <c r="L25" i="15" s="1"/>
  <c r="M25" i="15" s="1"/>
  <c r="J41" i="139"/>
  <c r="M41" i="139" s="1"/>
  <c r="N41" i="139" s="1"/>
  <c r="M35" i="131"/>
  <c r="N35" i="131"/>
  <c r="F176" i="151"/>
  <c r="F47" i="151"/>
  <c r="H14" i="2"/>
  <c r="I9" i="257" s="1"/>
  <c r="E53" i="189"/>
  <c r="E28" i="189"/>
  <c r="C22" i="227"/>
  <c r="F22" i="227" s="1"/>
  <c r="G22" i="227" s="1"/>
  <c r="I22" i="15"/>
  <c r="L22" i="15" s="1"/>
  <c r="M22" i="15" s="1"/>
  <c r="L18" i="233"/>
  <c r="D38" i="151"/>
  <c r="BN22" i="170"/>
  <c r="H7" i="209"/>
  <c r="M2" i="257" s="1"/>
  <c r="N8" i="232"/>
  <c r="AG11" i="170"/>
  <c r="CF11" i="170"/>
  <c r="C10" i="218"/>
  <c r="F10" i="218" s="1"/>
  <c r="G10" i="218" s="1"/>
  <c r="F81" i="151"/>
  <c r="N43" i="232"/>
  <c r="A19" i="109"/>
  <c r="N19" i="109" s="1"/>
  <c r="G22" i="212"/>
  <c r="P22" i="212" s="1"/>
  <c r="Q22" i="212" s="1"/>
  <c r="L21" i="234"/>
  <c r="K21" i="234"/>
  <c r="D78" i="92"/>
  <c r="K17" i="6"/>
  <c r="F12" i="240"/>
  <c r="C15" i="227"/>
  <c r="F15" i="227" s="1"/>
  <c r="G15" i="227" s="1"/>
  <c r="C24" i="235"/>
  <c r="BN8" i="170"/>
  <c r="C25" i="214"/>
  <c r="L25" i="214" s="1"/>
  <c r="F104" i="151"/>
  <c r="F12" i="241"/>
  <c r="L12" i="241" s="1"/>
  <c r="F7" i="239"/>
  <c r="S7" i="239" s="1"/>
  <c r="H19" i="207"/>
  <c r="N40" i="232"/>
  <c r="N13" i="218"/>
  <c r="C21" i="207"/>
  <c r="C49" i="6"/>
  <c r="F148" i="151"/>
  <c r="M11" i="226"/>
  <c r="N11" i="226"/>
  <c r="CJ10" i="170"/>
  <c r="D68" i="151"/>
  <c r="K14" i="235"/>
  <c r="L14" i="235"/>
  <c r="N15" i="131"/>
  <c r="M15" i="131"/>
  <c r="M10" i="131"/>
  <c r="N10" i="131"/>
  <c r="N26" i="227"/>
  <c r="AG8" i="170"/>
  <c r="B51" i="6"/>
  <c r="B23" i="207"/>
  <c r="B23" i="133" s="1"/>
  <c r="F23" i="133" s="1"/>
  <c r="H23" i="133" s="1"/>
  <c r="N15" i="214"/>
  <c r="N21" i="226"/>
  <c r="F88" i="151"/>
  <c r="J38" i="139"/>
  <c r="M38" i="139" s="1"/>
  <c r="N38" i="139" s="1"/>
  <c r="C41" i="232"/>
  <c r="F10" i="240"/>
  <c r="N15" i="219"/>
  <c r="J15" i="215"/>
  <c r="L15" i="215" s="1"/>
  <c r="E56" i="189"/>
  <c r="C12" i="212"/>
  <c r="N50" i="232"/>
  <c r="C6" i="228"/>
  <c r="F6" i="228" s="1"/>
  <c r="G6" i="228" s="1"/>
  <c r="C33" i="235"/>
  <c r="N7" i="218"/>
  <c r="G9" i="170"/>
  <c r="G12" i="170"/>
  <c r="F50" i="151"/>
  <c r="M17" i="5"/>
  <c r="H7" i="229"/>
  <c r="D109" i="92"/>
  <c r="L30" i="57"/>
  <c r="K30" i="57"/>
  <c r="CQ18" i="170"/>
  <c r="F34" i="151"/>
  <c r="N34" i="151" s="1"/>
  <c r="C42" i="232"/>
  <c r="D74" i="151"/>
  <c r="L20" i="235"/>
  <c r="K20" i="235"/>
  <c r="C25" i="218"/>
  <c r="G10" i="192"/>
  <c r="J10" i="190"/>
  <c r="L10" i="190" s="1"/>
  <c r="K6" i="190"/>
  <c r="L28" i="234"/>
  <c r="D168" i="92"/>
  <c r="K28" i="234"/>
  <c r="AN22" i="170"/>
  <c r="F90" i="151"/>
  <c r="CJ11" i="170"/>
  <c r="D76" i="92"/>
  <c r="L19" i="234"/>
  <c r="K19" i="234"/>
  <c r="F34" i="189"/>
  <c r="C28" i="232"/>
  <c r="N13" i="227"/>
  <c r="L8" i="235"/>
  <c r="K8" i="235"/>
  <c r="D62" i="151"/>
  <c r="K18" i="6"/>
  <c r="G15" i="209"/>
  <c r="P15" i="209" s="1"/>
  <c r="Q15" i="209" s="1"/>
  <c r="C7" i="79"/>
  <c r="N22" i="214"/>
  <c r="C30" i="79"/>
  <c r="F41" i="189"/>
  <c r="AG12" i="170"/>
  <c r="AN19" i="170"/>
  <c r="C6" i="227"/>
  <c r="F6" i="227" s="1"/>
  <c r="G6" i="227" s="1"/>
  <c r="F85" i="151"/>
  <c r="H26" i="212"/>
  <c r="J21" i="257" s="1"/>
  <c r="C21" i="79"/>
  <c r="DJ15" i="170"/>
  <c r="DL15" i="170" s="1"/>
  <c r="DF15" i="170"/>
  <c r="K50" i="6"/>
  <c r="E30" i="189"/>
  <c r="L14" i="5"/>
  <c r="U14" i="5" s="1"/>
  <c r="V14" i="5" s="1"/>
  <c r="A19" i="238"/>
  <c r="M14" i="5"/>
  <c r="F7" i="189"/>
  <c r="N7" i="238"/>
  <c r="K14" i="170"/>
  <c r="K18" i="234"/>
  <c r="D75" i="92"/>
  <c r="L18" i="234"/>
  <c r="C21" i="235"/>
  <c r="D71" i="151"/>
  <c r="L17" i="235"/>
  <c r="K17" i="235"/>
  <c r="D103" i="151"/>
  <c r="L24" i="233"/>
  <c r="E31" i="189"/>
  <c r="G7" i="239"/>
  <c r="E16" i="189"/>
  <c r="N10" i="226"/>
  <c r="M10" i="226"/>
  <c r="J36" i="6"/>
  <c r="M36" i="6" s="1"/>
  <c r="N36" i="6" s="1"/>
  <c r="C13" i="233"/>
  <c r="N23" i="131"/>
  <c r="M23" i="131"/>
  <c r="C9" i="235"/>
  <c r="H9" i="235" s="1"/>
  <c r="D171" i="151"/>
  <c r="L31" i="235"/>
  <c r="K31" i="235"/>
  <c r="BJ22" i="170"/>
  <c r="H23" i="2"/>
  <c r="I18" i="257" s="1"/>
  <c r="S7" i="35"/>
  <c r="S78" i="35"/>
  <c r="G168" i="35"/>
  <c r="M7" i="35"/>
  <c r="M96" i="35"/>
  <c r="M186" i="35"/>
  <c r="G24" i="35"/>
  <c r="G7" i="35"/>
  <c r="S60" i="35"/>
  <c r="G96" i="35"/>
  <c r="S24" i="35"/>
  <c r="M42" i="35"/>
  <c r="M24" i="35"/>
  <c r="M60" i="35"/>
  <c r="G60" i="35"/>
  <c r="M150" i="35"/>
  <c r="S132" i="35"/>
  <c r="G42" i="35"/>
  <c r="G186" i="35"/>
  <c r="G114" i="35"/>
  <c r="M114" i="35"/>
  <c r="M168" i="35"/>
  <c r="S42" i="35"/>
  <c r="S96" i="35"/>
  <c r="AC96" i="35" s="1"/>
  <c r="AD96" i="35" s="1"/>
  <c r="S168" i="35"/>
  <c r="G78" i="35"/>
  <c r="M78" i="35"/>
  <c r="S150" i="35"/>
  <c r="N6" i="219"/>
  <c r="M132" i="35"/>
  <c r="G150" i="35"/>
  <c r="S114" i="35"/>
  <c r="G132" i="35"/>
  <c r="S186" i="35"/>
  <c r="AC186" i="35" s="1"/>
  <c r="AD186" i="35" s="1"/>
  <c r="A11" i="109"/>
  <c r="N11" i="109" s="1"/>
  <c r="L16" i="5"/>
  <c r="U16" i="5" s="1"/>
  <c r="V16" i="5" s="1"/>
  <c r="E7" i="189"/>
  <c r="L8" i="5"/>
  <c r="U8" i="5" s="1"/>
  <c r="V8" i="5" s="1"/>
  <c r="C17" i="218"/>
  <c r="H8" i="2"/>
  <c r="I3" i="257" s="1"/>
  <c r="F172" i="151"/>
  <c r="R14" i="170"/>
  <c r="CQ9" i="170"/>
  <c r="N12" i="232"/>
  <c r="F75" i="151"/>
  <c r="F49" i="189"/>
  <c r="D169" i="92"/>
  <c r="L29" i="234"/>
  <c r="K29" i="234"/>
  <c r="R17" i="170"/>
  <c r="C9" i="83"/>
  <c r="H12" i="239"/>
  <c r="N22" i="218"/>
  <c r="F114" i="151"/>
  <c r="N114" i="151" s="1"/>
  <c r="DB16" i="170"/>
  <c r="K15" i="170"/>
  <c r="CQ17" i="170"/>
  <c r="K43" i="139"/>
  <c r="F152" i="151"/>
  <c r="M6" i="238"/>
  <c r="C27" i="226"/>
  <c r="C13" i="235"/>
  <c r="BY18" i="170"/>
  <c r="C32" i="232"/>
  <c r="I12" i="15"/>
  <c r="L12" i="15" s="1"/>
  <c r="M12" i="15" s="1"/>
  <c r="O21" i="83"/>
  <c r="N21" i="83"/>
  <c r="E14" i="240"/>
  <c r="O14" i="240" s="1"/>
  <c r="BN19" i="170"/>
  <c r="C16" i="109"/>
  <c r="DF12" i="170"/>
  <c r="DJ12" i="170"/>
  <c r="DL12" i="170" s="1"/>
  <c r="J11" i="215"/>
  <c r="G22" i="100"/>
  <c r="C19" i="214"/>
  <c r="C15" i="25"/>
  <c r="K25" i="235"/>
  <c r="L25" i="235"/>
  <c r="D165" i="151"/>
  <c r="AG10" i="170"/>
  <c r="C18" i="214"/>
  <c r="L18" i="214" s="1"/>
  <c r="E40" i="189"/>
  <c r="G16" i="207"/>
  <c r="P16" i="207" s="1"/>
  <c r="Q16" i="207" s="1"/>
  <c r="J41" i="6"/>
  <c r="M41" i="6" s="1"/>
  <c r="N41" i="6" s="1"/>
  <c r="K35" i="139"/>
  <c r="C13" i="2"/>
  <c r="C17" i="79"/>
  <c r="F9" i="151"/>
  <c r="J43" i="6"/>
  <c r="M43" i="6" s="1"/>
  <c r="N43" i="6" s="1"/>
  <c r="AN17" i="170"/>
  <c r="E14" i="241"/>
  <c r="O14" i="241" s="1"/>
  <c r="J12" i="139"/>
  <c r="R12" i="139" s="1"/>
  <c r="S12" i="139" s="1"/>
  <c r="G26" i="100"/>
  <c r="R7" i="170"/>
  <c r="C46" i="232"/>
  <c r="N14" i="218"/>
  <c r="K9" i="238"/>
  <c r="K21" i="238" s="1"/>
  <c r="M8" i="226"/>
  <c r="N8" i="226"/>
  <c r="C12" i="226"/>
  <c r="N9" i="190"/>
  <c r="O9" i="190" s="1"/>
  <c r="H14" i="192"/>
  <c r="K6" i="238"/>
  <c r="K18" i="238" s="1"/>
  <c r="H19" i="212"/>
  <c r="N35" i="226"/>
  <c r="K11" i="190"/>
  <c r="V15" i="170"/>
  <c r="AY14" i="170"/>
  <c r="F8" i="240"/>
  <c r="BC16" i="170"/>
  <c r="J17" i="139"/>
  <c r="R17" i="139" s="1"/>
  <c r="S17" i="139" s="1"/>
  <c r="C14" i="233"/>
  <c r="N28" i="227"/>
  <c r="C61" i="189"/>
  <c r="F17" i="189"/>
  <c r="N7" i="190"/>
  <c r="O7" i="190" s="1"/>
  <c r="C9" i="79"/>
  <c r="N15" i="218"/>
  <c r="C21" i="228"/>
  <c r="F21" i="228" s="1"/>
  <c r="G21" i="228" s="1"/>
  <c r="N13" i="228"/>
  <c r="L10" i="233"/>
  <c r="D30" i="151"/>
  <c r="G12" i="239"/>
  <c r="N6" i="238"/>
  <c r="K41" i="6"/>
  <c r="O41" i="6" s="1"/>
  <c r="P41" i="6" s="1"/>
  <c r="F139" i="151"/>
  <c r="C16" i="79"/>
  <c r="E12" i="241"/>
  <c r="O12" i="241" s="1"/>
  <c r="N10" i="219"/>
  <c r="R21" i="170"/>
  <c r="F72" i="151"/>
  <c r="N72" i="151" s="1"/>
  <c r="P11" i="238"/>
  <c r="P23" i="238" s="1"/>
  <c r="B18" i="2"/>
  <c r="C8" i="232"/>
  <c r="CU13" i="170"/>
  <c r="N6" i="190"/>
  <c r="C11" i="235"/>
  <c r="C6" i="109"/>
  <c r="L6" i="109" s="1"/>
  <c r="F156" i="151"/>
  <c r="M10" i="238"/>
  <c r="M22" i="238" s="1"/>
  <c r="D167" i="92"/>
  <c r="L27" i="234"/>
  <c r="K27" i="234"/>
  <c r="N16" i="219"/>
  <c r="C12" i="214"/>
  <c r="L12" i="214" s="1"/>
  <c r="DB14" i="170"/>
  <c r="N10" i="227"/>
  <c r="AG22" i="170"/>
  <c r="K17" i="234"/>
  <c r="L17" i="234"/>
  <c r="D74" i="92"/>
  <c r="E32" i="189"/>
  <c r="C8" i="228"/>
  <c r="F8" i="228" s="1"/>
  <c r="G8" i="228" s="1"/>
  <c r="N29" i="232"/>
  <c r="P6" i="190"/>
  <c r="C30" i="232"/>
  <c r="L36" i="57"/>
  <c r="D115" i="92"/>
  <c r="K36" i="57"/>
  <c r="C28" i="226"/>
  <c r="D176" i="92"/>
  <c r="L36" i="234"/>
  <c r="K36" i="234"/>
  <c r="CU19" i="170"/>
  <c r="E59" i="189"/>
  <c r="F33" i="189"/>
  <c r="G15" i="207"/>
  <c r="P15" i="207" s="1"/>
  <c r="Q15" i="207" s="1"/>
  <c r="E10" i="189"/>
  <c r="L33" i="57"/>
  <c r="K33" i="57"/>
  <c r="D112" i="92"/>
  <c r="CQ22" i="170"/>
  <c r="F30" i="151"/>
  <c r="N30" i="151" s="1"/>
  <c r="C9" i="226"/>
  <c r="E58" i="189"/>
  <c r="K30" i="139"/>
  <c r="L30" i="139" s="1"/>
  <c r="M48" i="131"/>
  <c r="N48" i="131"/>
  <c r="F7" i="240"/>
  <c r="N13" i="232"/>
  <c r="E15" i="189"/>
  <c r="AN15" i="170"/>
  <c r="D110" i="151"/>
  <c r="L31" i="233"/>
  <c r="G23" i="2"/>
  <c r="E27" i="189"/>
  <c r="L27" i="235"/>
  <c r="D167" i="151"/>
  <c r="K27" i="235"/>
  <c r="BY7" i="170"/>
  <c r="K11" i="238"/>
  <c r="K23" i="238" s="1"/>
  <c r="F16" i="189"/>
  <c r="BJ15" i="170"/>
  <c r="F8" i="189"/>
  <c r="D40" i="92"/>
  <c r="L17" i="57"/>
  <c r="K17" i="57"/>
  <c r="E13" i="240"/>
  <c r="O13" i="240" s="1"/>
  <c r="R19" i="170"/>
  <c r="F132" i="151"/>
  <c r="G22" i="170"/>
  <c r="J49" i="6"/>
  <c r="M49" i="6" s="1"/>
  <c r="N49" i="6" s="1"/>
  <c r="AG21" i="170"/>
  <c r="AG14" i="170"/>
  <c r="N51" i="232"/>
  <c r="F167" i="151"/>
  <c r="AY19" i="170"/>
  <c r="F7" i="192"/>
  <c r="S7" i="192" s="1"/>
  <c r="N12" i="227"/>
  <c r="N30" i="226"/>
  <c r="F49" i="151"/>
  <c r="N31" i="227"/>
  <c r="C31" i="226"/>
  <c r="K37" i="57"/>
  <c r="D116" i="92"/>
  <c r="L37" i="57"/>
  <c r="E11" i="189"/>
  <c r="K16" i="170"/>
  <c r="F29" i="151"/>
  <c r="N29" i="151" s="1"/>
  <c r="C26" i="79"/>
  <c r="L18" i="5"/>
  <c r="U18" i="5" s="1"/>
  <c r="V18" i="5" s="1"/>
  <c r="N22" i="228"/>
  <c r="CQ10" i="170"/>
  <c r="J10" i="215"/>
  <c r="D29" i="151"/>
  <c r="L9" i="233"/>
  <c r="P8" i="190"/>
  <c r="M9" i="5"/>
  <c r="N4" i="257" s="1"/>
  <c r="C14" i="83"/>
  <c r="M14" i="83" s="1"/>
  <c r="F53" i="151"/>
  <c r="BC14" i="170"/>
  <c r="F36" i="189"/>
  <c r="C7" i="232"/>
  <c r="N6" i="228"/>
  <c r="S7" i="229"/>
  <c r="G7" i="229"/>
  <c r="L37" i="235"/>
  <c r="D177" i="151"/>
  <c r="K37" i="235"/>
  <c r="G13" i="209"/>
  <c r="P13" i="209" s="1"/>
  <c r="Q13" i="209" s="1"/>
  <c r="BY19" i="170"/>
  <c r="F13" i="151"/>
  <c r="C27" i="79"/>
  <c r="E7" i="240"/>
  <c r="O7" i="240" s="1"/>
  <c r="DF10" i="170"/>
  <c r="DJ10" i="170"/>
  <c r="DL10" i="170" s="1"/>
  <c r="C12" i="235"/>
  <c r="F12" i="235" s="1"/>
  <c r="G12" i="235" s="1"/>
  <c r="C30" i="235"/>
  <c r="M53" i="131"/>
  <c r="N53" i="131"/>
  <c r="N30" i="232"/>
  <c r="V20" i="170"/>
  <c r="C31" i="232"/>
  <c r="K16" i="235"/>
  <c r="D70" i="151"/>
  <c r="L16" i="235"/>
  <c r="P13" i="238"/>
  <c r="C39" i="232"/>
  <c r="M44" i="131"/>
  <c r="N44" i="131"/>
  <c r="M12" i="5"/>
  <c r="W12" i="5" s="1"/>
  <c r="X12" i="5" s="1"/>
  <c r="N16" i="214"/>
  <c r="K33" i="234"/>
  <c r="L33" i="234"/>
  <c r="D173" i="92"/>
  <c r="F11" i="192"/>
  <c r="S11" i="192" s="1"/>
  <c r="F36" i="151"/>
  <c r="N36" i="151" s="1"/>
  <c r="C14" i="235"/>
  <c r="C16" i="207"/>
  <c r="F63" i="151"/>
  <c r="F32" i="151"/>
  <c r="N32" i="151" s="1"/>
  <c r="H7" i="207"/>
  <c r="I18" i="15"/>
  <c r="L18" i="15" s="1"/>
  <c r="M18" i="15" s="1"/>
  <c r="C10" i="228"/>
  <c r="F10" i="228" s="1"/>
  <c r="G10" i="228" s="1"/>
  <c r="C29" i="228"/>
  <c r="F29" i="228" s="1"/>
  <c r="G29" i="228" s="1"/>
  <c r="CF21" i="170"/>
  <c r="H12" i="207"/>
  <c r="K21" i="139"/>
  <c r="CF20" i="170"/>
  <c r="I15" i="15"/>
  <c r="L15" i="15" s="1"/>
  <c r="M15" i="15" s="1"/>
  <c r="H22" i="212"/>
  <c r="J17" i="257" s="1"/>
  <c r="DB17" i="170"/>
  <c r="N8" i="227"/>
  <c r="H7" i="239"/>
  <c r="K31" i="139"/>
  <c r="L31" i="139" s="1"/>
  <c r="L26" i="233"/>
  <c r="D105" i="151"/>
  <c r="F26" i="189"/>
  <c r="F106" i="151"/>
  <c r="N106" i="151" s="1"/>
  <c r="C13" i="214"/>
  <c r="R8" i="170"/>
  <c r="A11" i="241"/>
  <c r="K7" i="238"/>
  <c r="K19" i="238" s="1"/>
  <c r="N7" i="228"/>
  <c r="K17" i="139"/>
  <c r="F35" i="189"/>
  <c r="DB10" i="170"/>
  <c r="BY8" i="170"/>
  <c r="O11" i="83"/>
  <c r="N11" i="83"/>
  <c r="F131" i="151"/>
  <c r="C11" i="227"/>
  <c r="F11" i="227" s="1"/>
  <c r="G11" i="227" s="1"/>
  <c r="F103" i="151"/>
  <c r="CQ20" i="170"/>
  <c r="C24" i="218"/>
  <c r="N14" i="232"/>
  <c r="G17" i="207"/>
  <c r="P17" i="207" s="1"/>
  <c r="Q17" i="207" s="1"/>
  <c r="L9" i="57"/>
  <c r="D32" i="92"/>
  <c r="K9" i="57"/>
  <c r="N34" i="131"/>
  <c r="M34" i="131"/>
  <c r="G21" i="212"/>
  <c r="P21" i="212" s="1"/>
  <c r="Q21" i="212" s="1"/>
  <c r="F11" i="151"/>
  <c r="F47" i="189"/>
  <c r="K15" i="6"/>
  <c r="V10" i="257" s="1"/>
  <c r="E60" i="189"/>
  <c r="G15" i="2"/>
  <c r="E37" i="189"/>
  <c r="A13" i="241"/>
  <c r="AG17" i="170"/>
  <c r="H8" i="229"/>
  <c r="J7" i="229"/>
  <c r="M7" i="229" s="1"/>
  <c r="H7" i="192"/>
  <c r="BJ9" i="170"/>
  <c r="F10" i="239"/>
  <c r="S10" i="239" s="1"/>
  <c r="H15" i="207"/>
  <c r="F39" i="189"/>
  <c r="H18" i="2"/>
  <c r="I13" i="257" s="1"/>
  <c r="E23" i="189"/>
  <c r="F89" i="151"/>
  <c r="F54" i="151"/>
  <c r="S6" i="229"/>
  <c r="G6" i="229"/>
  <c r="N6" i="227"/>
  <c r="J15" i="139"/>
  <c r="R15" i="139" s="1"/>
  <c r="S15" i="139" s="1"/>
  <c r="J18" i="6"/>
  <c r="R18" i="6" s="1"/>
  <c r="S18" i="6" s="1"/>
  <c r="AN14" i="170"/>
  <c r="J15" i="6"/>
  <c r="R15" i="6" s="1"/>
  <c r="S15" i="6" s="1"/>
  <c r="N13" i="226"/>
  <c r="M13" i="226"/>
  <c r="F8" i="192"/>
  <c r="S8" i="192" s="1"/>
  <c r="K34" i="235"/>
  <c r="L34" i="235"/>
  <c r="D174" i="151"/>
  <c r="N17" i="232"/>
  <c r="N7" i="232"/>
  <c r="AG13" i="170"/>
  <c r="C48" i="232"/>
  <c r="CJ13" i="170"/>
  <c r="F10" i="189"/>
  <c r="G8" i="209"/>
  <c r="P8" i="209" s="1"/>
  <c r="Q8" i="209" s="1"/>
  <c r="N9" i="232"/>
  <c r="F19" i="189"/>
  <c r="F54" i="189"/>
  <c r="H16" i="207"/>
  <c r="L32" i="233"/>
  <c r="D111" i="151"/>
  <c r="L25" i="57"/>
  <c r="D104" i="92"/>
  <c r="K25" i="57"/>
  <c r="M12" i="190"/>
  <c r="C43" i="228"/>
  <c r="F43" i="228" s="1"/>
  <c r="G43" i="228" s="1"/>
  <c r="H15" i="209"/>
  <c r="F102" i="151"/>
  <c r="O13" i="83"/>
  <c r="N13" i="83"/>
  <c r="F99" i="151"/>
  <c r="C32" i="233"/>
  <c r="H21" i="207"/>
  <c r="R21" i="207" s="1"/>
  <c r="S21" i="207" s="1"/>
  <c r="N9" i="238"/>
  <c r="AY9" i="170"/>
  <c r="L12" i="5"/>
  <c r="U12" i="5" s="1"/>
  <c r="V12" i="5" s="1"/>
  <c r="F166" i="151"/>
  <c r="C25" i="226"/>
  <c r="O16" i="83"/>
  <c r="N16" i="83"/>
  <c r="J37" i="6"/>
  <c r="M37" i="6" s="1"/>
  <c r="N37" i="6" s="1"/>
  <c r="J10" i="139"/>
  <c r="C27" i="235"/>
  <c r="K8" i="57"/>
  <c r="L8" i="57"/>
  <c r="D31" i="92"/>
  <c r="M8" i="238"/>
  <c r="M20" i="238" s="1"/>
  <c r="CU6" i="170"/>
  <c r="N43" i="131"/>
  <c r="M43" i="131"/>
  <c r="J6" i="190"/>
  <c r="S6" i="190" s="1"/>
  <c r="S18" i="190" s="1"/>
  <c r="F55" i="151"/>
  <c r="J42" i="6"/>
  <c r="M42" i="6" s="1"/>
  <c r="N42" i="6" s="1"/>
  <c r="BY12" i="170"/>
  <c r="F31" i="189"/>
  <c r="N38" i="131"/>
  <c r="M38" i="131"/>
  <c r="K12" i="170"/>
  <c r="C29" i="79"/>
  <c r="F12" i="151"/>
  <c r="J38" i="6"/>
  <c r="M38" i="6" s="1"/>
  <c r="N38" i="6" s="1"/>
  <c r="I16" i="15"/>
  <c r="L16" i="15" s="1"/>
  <c r="M16" i="15" s="1"/>
  <c r="H6" i="35"/>
  <c r="G12" i="207"/>
  <c r="P12" i="207" s="1"/>
  <c r="Q12" i="207" s="1"/>
  <c r="AY17" i="170"/>
  <c r="CJ22" i="170"/>
  <c r="E49" i="189"/>
  <c r="L35" i="235"/>
  <c r="K35" i="235"/>
  <c r="D175" i="151"/>
  <c r="V11" i="170"/>
  <c r="J21" i="139"/>
  <c r="R21" i="139" s="1"/>
  <c r="S21" i="139" s="1"/>
  <c r="K13" i="139"/>
  <c r="K43" i="6"/>
  <c r="C33" i="228"/>
  <c r="F33" i="228" s="1"/>
  <c r="G33" i="228" s="1"/>
  <c r="K13" i="235"/>
  <c r="L13" i="235"/>
  <c r="D67" i="151"/>
  <c r="BJ13" i="170"/>
  <c r="K45" i="139"/>
  <c r="O24" i="83"/>
  <c r="N24" i="83"/>
  <c r="O18" i="83"/>
  <c r="N18" i="83"/>
  <c r="E8" i="240"/>
  <c r="O8" i="240" s="1"/>
  <c r="C9" i="31"/>
  <c r="A17" i="109"/>
  <c r="N17" i="109" s="1"/>
  <c r="P7" i="238"/>
  <c r="F39" i="151"/>
  <c r="N39" i="151" s="1"/>
  <c r="I10" i="15"/>
  <c r="F13" i="240"/>
  <c r="C21" i="227"/>
  <c r="F21" i="227" s="1"/>
  <c r="G21" i="227" s="1"/>
  <c r="N25" i="131"/>
  <c r="M25" i="131"/>
  <c r="AY11" i="170"/>
  <c r="F31" i="151"/>
  <c r="N31" i="151" s="1"/>
  <c r="C11" i="109"/>
  <c r="F11" i="109" s="1"/>
  <c r="G11" i="109" s="1"/>
  <c r="N17" i="131"/>
  <c r="M17" i="131"/>
  <c r="G17" i="2"/>
  <c r="F110" i="151"/>
  <c r="N110" i="151" s="1"/>
  <c r="N18" i="219"/>
  <c r="K38" i="6"/>
  <c r="N31" i="228"/>
  <c r="C19" i="218"/>
  <c r="L19" i="218" s="1"/>
  <c r="F70" i="151"/>
  <c r="N70" i="151" s="1"/>
  <c r="N15" i="228"/>
  <c r="K23" i="139"/>
  <c r="G18" i="170"/>
  <c r="N24" i="226"/>
  <c r="I5" i="229"/>
  <c r="C13" i="79"/>
  <c r="BN10" i="170"/>
  <c r="C11" i="2"/>
  <c r="N49" i="131"/>
  <c r="M49" i="131"/>
  <c r="K14" i="215"/>
  <c r="C7" i="227"/>
  <c r="F7" i="227" s="1"/>
  <c r="G7" i="227" s="1"/>
  <c r="J46" i="6"/>
  <c r="M46" i="6" s="1"/>
  <c r="N46" i="6" s="1"/>
  <c r="M18" i="5"/>
  <c r="V13" i="170"/>
  <c r="C43" i="232"/>
  <c r="CF15" i="170"/>
  <c r="C20" i="109"/>
  <c r="F20" i="109" s="1"/>
  <c r="G20" i="109" s="1"/>
  <c r="O25" i="83"/>
  <c r="N25" i="83"/>
  <c r="F122" i="151"/>
  <c r="K28" i="57"/>
  <c r="D107" i="92"/>
  <c r="L28" i="57"/>
  <c r="A18" i="109"/>
  <c r="N18" i="109" s="1"/>
  <c r="F11" i="240"/>
  <c r="K22" i="139"/>
  <c r="T22" i="139" s="1"/>
  <c r="U22" i="139" s="1"/>
  <c r="K40" i="6"/>
  <c r="J6" i="229"/>
  <c r="M6" i="229" s="1"/>
  <c r="C14" i="218"/>
  <c r="BY14" i="170"/>
  <c r="N6" i="218"/>
  <c r="N22" i="227"/>
  <c r="AN20" i="170"/>
  <c r="CF8" i="170"/>
  <c r="H26" i="2"/>
  <c r="I21" i="257" s="1"/>
  <c r="E7" i="241"/>
  <c r="C29" i="232"/>
  <c r="M52" i="131"/>
  <c r="N52" i="131"/>
  <c r="F9" i="189"/>
  <c r="N25" i="214"/>
  <c r="F8" i="241"/>
  <c r="C32" i="235"/>
  <c r="N36" i="232"/>
  <c r="N23" i="214"/>
  <c r="N48" i="232"/>
  <c r="F111" i="151"/>
  <c r="N111" i="151" s="1"/>
  <c r="AY16" i="170"/>
  <c r="D117" i="151"/>
  <c r="L38" i="233"/>
  <c r="C23" i="83"/>
  <c r="K32" i="57"/>
  <c r="L32" i="57"/>
  <c r="D111" i="92"/>
  <c r="F121" i="151"/>
  <c r="J33" i="139"/>
  <c r="L29" i="57"/>
  <c r="D108" i="92"/>
  <c r="K29" i="57"/>
  <c r="K9" i="215"/>
  <c r="H4" i="257" s="1"/>
  <c r="C9" i="109"/>
  <c r="C31" i="233"/>
  <c r="D169" i="151"/>
  <c r="L29" i="235"/>
  <c r="K29" i="235"/>
  <c r="AN11" i="170"/>
  <c r="AY18" i="170"/>
  <c r="CQ16" i="170"/>
  <c r="F21" i="189"/>
  <c r="F98" i="151"/>
  <c r="DF20" i="170"/>
  <c r="DJ20" i="170"/>
  <c r="DL20" i="170" s="1"/>
  <c r="C23" i="226"/>
  <c r="C34" i="227"/>
  <c r="F34" i="227" s="1"/>
  <c r="G34" i="227" s="1"/>
  <c r="N12" i="83"/>
  <c r="O12" i="83"/>
  <c r="C10" i="232"/>
  <c r="K8" i="238"/>
  <c r="K20" i="238" s="1"/>
  <c r="F113" i="151"/>
  <c r="N113" i="151" s="1"/>
  <c r="N22" i="83"/>
  <c r="O22" i="83"/>
  <c r="C19" i="232"/>
  <c r="N45" i="232"/>
  <c r="G10" i="239"/>
  <c r="G19" i="207"/>
  <c r="P19" i="207" s="1"/>
  <c r="Q19" i="207" s="1"/>
  <c r="J23" i="6"/>
  <c r="R23" i="6" s="1"/>
  <c r="S23" i="6" s="1"/>
  <c r="O43" i="6"/>
  <c r="P43" i="6" s="1"/>
  <c r="I22" i="207"/>
  <c r="T22" i="207" s="1"/>
  <c r="L8" i="190"/>
  <c r="F13" i="83"/>
  <c r="G13" i="83" s="1"/>
  <c r="K12" i="257"/>
  <c r="F32" i="214"/>
  <c r="G32" i="214" s="1"/>
  <c r="I19" i="2"/>
  <c r="F28" i="235"/>
  <c r="G28" i="235" s="1"/>
  <c r="L18" i="109"/>
  <c r="N6" i="257"/>
  <c r="L22" i="214"/>
  <c r="F22" i="214"/>
  <c r="G22" i="214" s="1"/>
  <c r="J21" i="238"/>
  <c r="S9" i="238"/>
  <c r="S21" i="238" s="1"/>
  <c r="L14" i="214"/>
  <c r="F14" i="214"/>
  <c r="G14" i="214" s="1"/>
  <c r="V18" i="257"/>
  <c r="T23" i="6"/>
  <c r="O34" i="139"/>
  <c r="P34" i="139" s="1"/>
  <c r="L34" i="139"/>
  <c r="Q34" i="139" s="1"/>
  <c r="O38" i="139"/>
  <c r="P38" i="139" s="1"/>
  <c r="L38" i="139"/>
  <c r="Q38" i="139" s="1"/>
  <c r="F17" i="214"/>
  <c r="G17" i="214" s="1"/>
  <c r="L17" i="214"/>
  <c r="V11" i="257"/>
  <c r="T16" i="6"/>
  <c r="U16" i="6" s="1"/>
  <c r="J20" i="238"/>
  <c r="S8" i="238"/>
  <c r="S20" i="238" s="1"/>
  <c r="G11" i="257"/>
  <c r="T16" i="139"/>
  <c r="U16" i="139" s="1"/>
  <c r="P22" i="238"/>
  <c r="F6" i="214"/>
  <c r="G6" i="214" s="1"/>
  <c r="L6" i="214"/>
  <c r="H12" i="235"/>
  <c r="R17" i="207"/>
  <c r="S17" i="207" s="1"/>
  <c r="R23" i="207"/>
  <c r="S23" i="207" s="1"/>
  <c r="F9" i="235"/>
  <c r="G9" i="235" s="1"/>
  <c r="R8" i="207"/>
  <c r="S8" i="207" s="1"/>
  <c r="K17" i="257"/>
  <c r="T22" i="6"/>
  <c r="U22" i="6" s="1"/>
  <c r="K14" i="241"/>
  <c r="N12" i="257"/>
  <c r="F57" i="131"/>
  <c r="C58" i="131"/>
  <c r="F58" i="131" s="1"/>
  <c r="G58" i="131" s="1"/>
  <c r="H26" i="235"/>
  <c r="F26" i="235"/>
  <c r="G26" i="235" s="1"/>
  <c r="R16" i="209"/>
  <c r="S16" i="209" s="1"/>
  <c r="O47" i="6"/>
  <c r="P47" i="6" s="1"/>
  <c r="R20" i="212"/>
  <c r="S20" i="212" s="1"/>
  <c r="G11" i="241"/>
  <c r="M11" i="241" s="1"/>
  <c r="L11" i="241"/>
  <c r="F20" i="235"/>
  <c r="G20" i="235" s="1"/>
  <c r="H20" i="235"/>
  <c r="L8" i="109"/>
  <c r="F8" i="109"/>
  <c r="G8" i="109" s="1"/>
  <c r="AC188" i="35"/>
  <c r="AD188" i="35" s="1"/>
  <c r="F15" i="109"/>
  <c r="G15" i="109" s="1"/>
  <c r="L15" i="109"/>
  <c r="R7" i="2"/>
  <c r="I2" i="257"/>
  <c r="F23" i="218"/>
  <c r="G23" i="218" s="1"/>
  <c r="L23" i="218"/>
  <c r="M8" i="257"/>
  <c r="M17" i="83"/>
  <c r="F17" i="83"/>
  <c r="G17" i="83" s="1"/>
  <c r="F11" i="83"/>
  <c r="G11" i="83" s="1"/>
  <c r="M11" i="83"/>
  <c r="F21" i="133"/>
  <c r="H21" i="133" s="1"/>
  <c r="F23" i="214"/>
  <c r="G23" i="214" s="1"/>
  <c r="L23" i="214"/>
  <c r="G2" i="257"/>
  <c r="T7" i="139"/>
  <c r="U7" i="139" s="1"/>
  <c r="F15" i="83"/>
  <c r="G15" i="83" s="1"/>
  <c r="M15" i="83"/>
  <c r="O35" i="6"/>
  <c r="P35" i="6" s="1"/>
  <c r="L35" i="6"/>
  <c r="Q35" i="6" s="1"/>
  <c r="N23" i="238"/>
  <c r="L15" i="214"/>
  <c r="F15" i="214"/>
  <c r="G15" i="214" s="1"/>
  <c r="F32" i="83"/>
  <c r="G32" i="83" s="1"/>
  <c r="M32" i="83"/>
  <c r="G14" i="257"/>
  <c r="T19" i="139"/>
  <c r="U19" i="139" s="1"/>
  <c r="I22" i="212"/>
  <c r="T22" i="212" s="1"/>
  <c r="I20" i="207"/>
  <c r="T20" i="207" s="1"/>
  <c r="I8" i="207"/>
  <c r="N3" i="257"/>
  <c r="X22" i="207"/>
  <c r="F10" i="235"/>
  <c r="G10" i="235" s="1"/>
  <c r="T21" i="6"/>
  <c r="U21" i="6" s="1"/>
  <c r="F12" i="214"/>
  <c r="G12" i="214" s="1"/>
  <c r="L9" i="190"/>
  <c r="F17" i="235"/>
  <c r="G17" i="235" s="1"/>
  <c r="R13" i="207"/>
  <c r="S13" i="207" s="1"/>
  <c r="V3" i="257"/>
  <c r="T8" i="6"/>
  <c r="U8" i="6" s="1"/>
  <c r="L13" i="241"/>
  <c r="J18" i="257"/>
  <c r="R23" i="212"/>
  <c r="S23" i="212" s="1"/>
  <c r="F10" i="109"/>
  <c r="G10" i="109" s="1"/>
  <c r="L10" i="109"/>
  <c r="H34" i="235"/>
  <c r="F34" i="235"/>
  <c r="G34" i="235" s="1"/>
  <c r="I11" i="209"/>
  <c r="T11" i="209" s="1"/>
  <c r="M6" i="257"/>
  <c r="F7" i="235"/>
  <c r="G7" i="235" s="1"/>
  <c r="H7" i="235"/>
  <c r="J18" i="238"/>
  <c r="S6" i="238"/>
  <c r="S18" i="238" s="1"/>
  <c r="H36" i="235"/>
  <c r="F36" i="235"/>
  <c r="G36" i="235" s="1"/>
  <c r="O11" i="241"/>
  <c r="K11" i="241"/>
  <c r="L14" i="109"/>
  <c r="F14" i="109"/>
  <c r="G14" i="109" s="1"/>
  <c r="F8" i="129"/>
  <c r="G8" i="129" s="1"/>
  <c r="W13" i="5"/>
  <c r="X13" i="5" s="1"/>
  <c r="N8" i="257"/>
  <c r="T10" i="6"/>
  <c r="U10" i="6" s="1"/>
  <c r="V5" i="257"/>
  <c r="O13" i="190"/>
  <c r="L8" i="218"/>
  <c r="F8" i="218"/>
  <c r="G8" i="218" s="1"/>
  <c r="Y22" i="6"/>
  <c r="W23" i="207"/>
  <c r="A10" i="102"/>
  <c r="A11" i="102"/>
  <c r="A12" i="102"/>
  <c r="A13" i="102"/>
  <c r="A14" i="102"/>
  <c r="A15" i="102"/>
  <c r="A16" i="102"/>
  <c r="A17" i="102"/>
  <c r="A18" i="102"/>
  <c r="A19" i="102"/>
  <c r="A20" i="102"/>
  <c r="A21" i="102"/>
  <c r="A22" i="102"/>
  <c r="A23" i="102"/>
  <c r="A24" i="102"/>
  <c r="A25" i="102"/>
  <c r="A26" i="102"/>
  <c r="A27" i="102"/>
  <c r="A28" i="102"/>
  <c r="A29" i="102"/>
  <c r="A30" i="102"/>
  <c r="A31" i="102"/>
  <c r="A32" i="102"/>
  <c r="A33" i="102"/>
  <c r="A34" i="102"/>
  <c r="A35" i="102"/>
  <c r="A36" i="102"/>
  <c r="A37" i="102"/>
  <c r="A38" i="102"/>
  <c r="A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9" i="102"/>
  <c r="J10" i="102"/>
  <c r="J11" i="102"/>
  <c r="J12" i="102"/>
  <c r="J13" i="102"/>
  <c r="J14" i="102"/>
  <c r="J15" i="102"/>
  <c r="J16" i="102"/>
  <c r="J17" i="102"/>
  <c r="J18" i="102"/>
  <c r="J19" i="102"/>
  <c r="J20" i="102"/>
  <c r="J21" i="102"/>
  <c r="J22" i="102"/>
  <c r="J23" i="102"/>
  <c r="J24" i="102"/>
  <c r="J25" i="102"/>
  <c r="J26" i="102"/>
  <c r="J27" i="102"/>
  <c r="J28" i="102"/>
  <c r="J29" i="102"/>
  <c r="J30" i="102"/>
  <c r="J31" i="102"/>
  <c r="J32" i="102"/>
  <c r="J33" i="102"/>
  <c r="J34" i="102"/>
  <c r="J35" i="102"/>
  <c r="J36" i="102"/>
  <c r="J37" i="102"/>
  <c r="J38" i="102"/>
  <c r="J9" i="102"/>
  <c r="I15" i="209" l="1"/>
  <c r="T15" i="209" s="1"/>
  <c r="J15" i="257"/>
  <c r="AC116" i="35"/>
  <c r="AD116" i="35" s="1"/>
  <c r="N10" i="5"/>
  <c r="Y10" i="5" s="1"/>
  <c r="K10" i="241"/>
  <c r="F14" i="83"/>
  <c r="G14" i="83" s="1"/>
  <c r="G13" i="241"/>
  <c r="M13" i="241" s="1"/>
  <c r="N12" i="5"/>
  <c r="Y12" i="5" s="1"/>
  <c r="O13" i="241"/>
  <c r="R26" i="212"/>
  <c r="S26" i="212" s="1"/>
  <c r="F16" i="83"/>
  <c r="G16" i="83" s="1"/>
  <c r="F25" i="83"/>
  <c r="G25" i="83" s="1"/>
  <c r="I25" i="212"/>
  <c r="T25" i="212" s="1"/>
  <c r="F7" i="218"/>
  <c r="G7" i="218" s="1"/>
  <c r="L40" i="139"/>
  <c r="Q40" i="139" s="1"/>
  <c r="F20" i="214"/>
  <c r="G20" i="214" s="1"/>
  <c r="C21" i="133"/>
  <c r="E21" i="133" s="1"/>
  <c r="L20" i="109"/>
  <c r="K21" i="133"/>
  <c r="I23" i="207"/>
  <c r="T23" i="207" s="1"/>
  <c r="L13" i="218"/>
  <c r="L7" i="109"/>
  <c r="G6" i="257"/>
  <c r="I20" i="2"/>
  <c r="N5" i="257"/>
  <c r="N7" i="257"/>
  <c r="F18" i="214"/>
  <c r="G18" i="214" s="1"/>
  <c r="I16" i="209"/>
  <c r="T16" i="209" s="1"/>
  <c r="F9" i="218"/>
  <c r="G9" i="218" s="1"/>
  <c r="T19" i="6"/>
  <c r="U19" i="6" s="1"/>
  <c r="R7" i="209"/>
  <c r="S7" i="209" s="1"/>
  <c r="K23" i="133"/>
  <c r="L23" i="133"/>
  <c r="I14" i="2"/>
  <c r="C23" i="133"/>
  <c r="E23" i="133" s="1"/>
  <c r="L18" i="218"/>
  <c r="L22" i="218"/>
  <c r="AC114" i="35"/>
  <c r="AD114" i="35" s="1"/>
  <c r="F8" i="214"/>
  <c r="G8" i="214" s="1"/>
  <c r="W10" i="5"/>
  <c r="X10" i="5" s="1"/>
  <c r="L10" i="218"/>
  <c r="Q12" i="238"/>
  <c r="Q24" i="238" s="1"/>
  <c r="P24" i="238"/>
  <c r="L11" i="218"/>
  <c r="X7" i="2"/>
  <c r="F37" i="235"/>
  <c r="G37" i="235" s="1"/>
  <c r="N14" i="238"/>
  <c r="N26" i="238" s="1"/>
  <c r="C20" i="226"/>
  <c r="L5" i="229" s="1"/>
  <c r="AA5" i="229" s="1"/>
  <c r="AB5" i="229" s="1"/>
  <c r="AC134" i="35"/>
  <c r="AD134" i="35" s="1"/>
  <c r="I10" i="207"/>
  <c r="R14" i="207"/>
  <c r="S14" i="207" s="1"/>
  <c r="C22" i="235"/>
  <c r="F22" i="235" s="1"/>
  <c r="G22" i="235" s="1"/>
  <c r="AC7" i="35"/>
  <c r="AD7" i="35" s="1"/>
  <c r="R22" i="212"/>
  <c r="S22" i="212" s="1"/>
  <c r="L43" i="6"/>
  <c r="Q43" i="6" s="1"/>
  <c r="N15" i="5"/>
  <c r="Y15" i="5" s="1"/>
  <c r="AC98" i="35"/>
  <c r="AD98" i="35" s="1"/>
  <c r="H31" i="235"/>
  <c r="F22" i="83"/>
  <c r="G22" i="83" s="1"/>
  <c r="AC24" i="35"/>
  <c r="AD24" i="35" s="1"/>
  <c r="I7" i="2"/>
  <c r="T7" i="2" s="1"/>
  <c r="I13" i="207"/>
  <c r="W15" i="5"/>
  <c r="X15" i="5" s="1"/>
  <c r="Q8" i="238"/>
  <c r="Q20" i="238" s="1"/>
  <c r="J19" i="257"/>
  <c r="L41" i="6"/>
  <c r="Q41" i="6" s="1"/>
  <c r="I24" i="212"/>
  <c r="T24" i="212" s="1"/>
  <c r="AC132" i="35"/>
  <c r="AD132" i="35" s="1"/>
  <c r="L9" i="238"/>
  <c r="L21" i="238" s="1"/>
  <c r="I17" i="2"/>
  <c r="N18" i="5"/>
  <c r="Y18" i="5" s="1"/>
  <c r="L11" i="109"/>
  <c r="L23" i="6"/>
  <c r="V23" i="6" s="1"/>
  <c r="F6" i="109"/>
  <c r="G6" i="109" s="1"/>
  <c r="M4" i="257"/>
  <c r="AC42" i="35"/>
  <c r="AD42" i="35" s="1"/>
  <c r="G17" i="257"/>
  <c r="L37" i="6"/>
  <c r="Q37" i="6" s="1"/>
  <c r="AC150" i="35"/>
  <c r="AD150" i="35" s="1"/>
  <c r="I15" i="207"/>
  <c r="L42" i="6"/>
  <c r="Q42" i="6" s="1"/>
  <c r="I19" i="207"/>
  <c r="T19" i="207" s="1"/>
  <c r="Q11" i="238"/>
  <c r="Q23" i="238" s="1"/>
  <c r="Y23" i="6"/>
  <c r="I15" i="257"/>
  <c r="L49" i="6"/>
  <c r="Q49" i="6" s="1"/>
  <c r="L41" i="139"/>
  <c r="Q41" i="139" s="1"/>
  <c r="S94" i="35"/>
  <c r="S99" i="35" s="1"/>
  <c r="S10" i="190"/>
  <c r="S22" i="190" s="1"/>
  <c r="AC78" i="35"/>
  <c r="AD78" i="35" s="1"/>
  <c r="F29" i="235"/>
  <c r="G29" i="235" s="1"/>
  <c r="B14" i="79"/>
  <c r="Z22" i="6"/>
  <c r="Z21" i="6"/>
  <c r="AC44" i="35"/>
  <c r="AD44" i="35" s="1"/>
  <c r="M40" i="35"/>
  <c r="M45" i="35" s="1"/>
  <c r="N16" i="5"/>
  <c r="Y16" i="5" s="1"/>
  <c r="R10" i="209"/>
  <c r="S10" i="209" s="1"/>
  <c r="J22" i="238"/>
  <c r="L10" i="238"/>
  <c r="L22" i="238" s="1"/>
  <c r="T14" i="6"/>
  <c r="U14" i="6" s="1"/>
  <c r="V9" i="257"/>
  <c r="H6" i="257"/>
  <c r="L11" i="215"/>
  <c r="O44" i="6"/>
  <c r="P44" i="6" s="1"/>
  <c r="L44" i="6"/>
  <c r="Q44" i="6" s="1"/>
  <c r="F10" i="83"/>
  <c r="G10" i="83" s="1"/>
  <c r="M10" i="83"/>
  <c r="O42" i="139"/>
  <c r="P42" i="139" s="1"/>
  <c r="L42" i="139"/>
  <c r="Q42" i="139" s="1"/>
  <c r="J24" i="238"/>
  <c r="S12" i="238"/>
  <c r="S24" i="238" s="1"/>
  <c r="L12" i="238"/>
  <c r="L24" i="238" s="1"/>
  <c r="V4" i="257"/>
  <c r="T9" i="6"/>
  <c r="U9" i="6" s="1"/>
  <c r="T7" i="6"/>
  <c r="U7" i="6" s="1"/>
  <c r="V2" i="257"/>
  <c r="K12" i="241"/>
  <c r="I9" i="209"/>
  <c r="T9" i="209" s="1"/>
  <c r="B5" i="79"/>
  <c r="G12" i="241"/>
  <c r="M12" i="241" s="1"/>
  <c r="B27" i="79"/>
  <c r="B20" i="79"/>
  <c r="N9" i="5"/>
  <c r="I10" i="209"/>
  <c r="T10" i="209" s="1"/>
  <c r="I17" i="207"/>
  <c r="T17" i="207" s="1"/>
  <c r="F23" i="83"/>
  <c r="G23" i="83" s="1"/>
  <c r="M23" i="83"/>
  <c r="O40" i="6"/>
  <c r="P40" i="6" s="1"/>
  <c r="L40" i="6"/>
  <c r="Q40" i="6" s="1"/>
  <c r="R15" i="207"/>
  <c r="S15" i="207" s="1"/>
  <c r="K10" i="257"/>
  <c r="L19" i="214"/>
  <c r="F19" i="214"/>
  <c r="G19" i="214" s="1"/>
  <c r="M9" i="83"/>
  <c r="F9" i="83"/>
  <c r="G9" i="83" s="1"/>
  <c r="F17" i="218"/>
  <c r="G17" i="218" s="1"/>
  <c r="L17" i="218"/>
  <c r="T18" i="6"/>
  <c r="U18" i="6" s="1"/>
  <c r="V13" i="257"/>
  <c r="F19" i="235"/>
  <c r="G19" i="235" s="1"/>
  <c r="H19" i="235"/>
  <c r="F6" i="218"/>
  <c r="G6" i="218" s="1"/>
  <c r="L6" i="218"/>
  <c r="S13" i="190"/>
  <c r="S25" i="190" s="1"/>
  <c r="L13" i="190"/>
  <c r="F38" i="235"/>
  <c r="G38" i="235" s="1"/>
  <c r="H38" i="235"/>
  <c r="O37" i="139"/>
  <c r="P37" i="139" s="1"/>
  <c r="L37" i="139"/>
  <c r="Q37" i="139" s="1"/>
  <c r="F21" i="83"/>
  <c r="G21" i="83" s="1"/>
  <c r="M21" i="83"/>
  <c r="H16" i="235"/>
  <c r="F16" i="235"/>
  <c r="G16" i="235" s="1"/>
  <c r="I10" i="257"/>
  <c r="I15" i="2"/>
  <c r="AC62" i="35"/>
  <c r="AD62" i="35" s="1"/>
  <c r="L33" i="139"/>
  <c r="S76" i="35"/>
  <c r="S81" i="35" s="1"/>
  <c r="W9" i="5"/>
  <c r="X9" i="5" s="1"/>
  <c r="O8" i="238"/>
  <c r="O20" i="238" s="1"/>
  <c r="G8" i="257"/>
  <c r="T13" i="139"/>
  <c r="U13" i="139" s="1"/>
  <c r="F13" i="214"/>
  <c r="G13" i="214" s="1"/>
  <c r="L13" i="214"/>
  <c r="G16" i="257"/>
  <c r="T21" i="139"/>
  <c r="U21" i="139" s="1"/>
  <c r="F13" i="235"/>
  <c r="G13" i="235" s="1"/>
  <c r="H13" i="235"/>
  <c r="F24" i="235"/>
  <c r="G24" i="235" s="1"/>
  <c r="C39" i="235"/>
  <c r="F39" i="235" s="1"/>
  <c r="G39" i="235" s="1"/>
  <c r="H24" i="235"/>
  <c r="L16" i="218"/>
  <c r="F16" i="218"/>
  <c r="G16" i="218" s="1"/>
  <c r="F25" i="235"/>
  <c r="G25" i="235" s="1"/>
  <c r="H25" i="235"/>
  <c r="F12" i="83"/>
  <c r="G12" i="83" s="1"/>
  <c r="M12" i="83"/>
  <c r="F20" i="218"/>
  <c r="G20" i="218" s="1"/>
  <c r="L20" i="218"/>
  <c r="I14" i="207"/>
  <c r="M18" i="83"/>
  <c r="F18" i="83"/>
  <c r="G18" i="83" s="1"/>
  <c r="L12" i="109"/>
  <c r="F12" i="109"/>
  <c r="G12" i="109" s="1"/>
  <c r="I15" i="25"/>
  <c r="F15" i="25"/>
  <c r="G15" i="25" s="1"/>
  <c r="F33" i="235"/>
  <c r="G33" i="235" s="1"/>
  <c r="H33" i="235"/>
  <c r="H14" i="235"/>
  <c r="I7" i="209"/>
  <c r="L9" i="215"/>
  <c r="O11" i="238"/>
  <c r="O23" i="238" s="1"/>
  <c r="G112" i="35"/>
  <c r="G117" i="35" s="1"/>
  <c r="G76" i="35"/>
  <c r="G81" i="35" s="1"/>
  <c r="S5" i="35"/>
  <c r="L9" i="109"/>
  <c r="F9" i="109"/>
  <c r="G9" i="109" s="1"/>
  <c r="W18" i="5"/>
  <c r="X18" i="5" s="1"/>
  <c r="N13" i="257"/>
  <c r="G18" i="257"/>
  <c r="T23" i="139"/>
  <c r="U23" i="139" s="1"/>
  <c r="R12" i="207"/>
  <c r="S12" i="207" s="1"/>
  <c r="I12" i="207"/>
  <c r="K7" i="257"/>
  <c r="O35" i="139"/>
  <c r="P35" i="139" s="1"/>
  <c r="L35" i="139"/>
  <c r="Q35" i="139" s="1"/>
  <c r="AC168" i="35"/>
  <c r="AD168" i="35" s="1"/>
  <c r="I26" i="212"/>
  <c r="T26" i="212" s="1"/>
  <c r="F27" i="109"/>
  <c r="G27" i="109" s="1"/>
  <c r="L27" i="109"/>
  <c r="Q10" i="238"/>
  <c r="Q22" i="238" s="1"/>
  <c r="O45" i="6"/>
  <c r="P45" i="6" s="1"/>
  <c r="L45" i="6"/>
  <c r="Q45" i="6" s="1"/>
  <c r="L8" i="238"/>
  <c r="L20" i="238" s="1"/>
  <c r="O48" i="6"/>
  <c r="P48" i="6" s="1"/>
  <c r="L48" i="6"/>
  <c r="Q48" i="6" s="1"/>
  <c r="S7" i="190"/>
  <c r="S19" i="190" s="1"/>
  <c r="L7" i="190"/>
  <c r="L9" i="214"/>
  <c r="F9" i="214"/>
  <c r="G9" i="214" s="1"/>
  <c r="I23" i="212"/>
  <c r="T23" i="212" s="1"/>
  <c r="H5" i="257"/>
  <c r="L10" i="215"/>
  <c r="P21" i="238"/>
  <c r="Q9" i="238"/>
  <c r="Q21" i="238" s="1"/>
  <c r="N18" i="238"/>
  <c r="O6" i="238"/>
  <c r="O18" i="238" s="1"/>
  <c r="F21" i="235"/>
  <c r="G21" i="235" s="1"/>
  <c r="H21" i="235"/>
  <c r="K9" i="241"/>
  <c r="O9" i="241"/>
  <c r="B30" i="79"/>
  <c r="B31" i="79"/>
  <c r="B29" i="79"/>
  <c r="B28" i="79"/>
  <c r="B6" i="79"/>
  <c r="B24" i="79"/>
  <c r="B23" i="79"/>
  <c r="B12" i="79"/>
  <c r="B19" i="79"/>
  <c r="B16" i="79"/>
  <c r="B18" i="79"/>
  <c r="B25" i="79"/>
  <c r="B11" i="79"/>
  <c r="B26" i="79"/>
  <c r="G130" i="35"/>
  <c r="G135" i="35" s="1"/>
  <c r="M24" i="83"/>
  <c r="G148" i="35"/>
  <c r="G153" i="35" s="1"/>
  <c r="S58" i="35"/>
  <c r="O7" i="241"/>
  <c r="K7" i="241"/>
  <c r="E15" i="241"/>
  <c r="K15" i="241" s="1"/>
  <c r="M18" i="238"/>
  <c r="M14" i="238"/>
  <c r="M26" i="238" s="1"/>
  <c r="S11" i="190"/>
  <c r="S23" i="190" s="1"/>
  <c r="L11" i="190"/>
  <c r="M7" i="83"/>
  <c r="F7" i="83"/>
  <c r="G7" i="83" s="1"/>
  <c r="I7" i="257"/>
  <c r="I12" i="2"/>
  <c r="O8" i="241"/>
  <c r="K8" i="241"/>
  <c r="I20" i="257"/>
  <c r="I25" i="2"/>
  <c r="O10" i="190"/>
  <c r="M19" i="83"/>
  <c r="F19" i="83"/>
  <c r="G19" i="83" s="1"/>
  <c r="F25" i="214"/>
  <c r="G25" i="214" s="1"/>
  <c r="N21" i="238"/>
  <c r="O9" i="238"/>
  <c r="O21" i="238" s="1"/>
  <c r="N19" i="238"/>
  <c r="O7" i="238"/>
  <c r="O19" i="238" s="1"/>
  <c r="T17" i="6"/>
  <c r="U17" i="6" s="1"/>
  <c r="V12" i="257"/>
  <c r="R12" i="209"/>
  <c r="S12" i="209" s="1"/>
  <c r="M7" i="257"/>
  <c r="I12" i="209"/>
  <c r="T12" i="209" s="1"/>
  <c r="L10" i="214"/>
  <c r="F10" i="214"/>
  <c r="G10" i="214" s="1"/>
  <c r="N22" i="238"/>
  <c r="O10" i="238"/>
  <c r="O22" i="238" s="1"/>
  <c r="L7" i="214"/>
  <c r="F7" i="214"/>
  <c r="G7" i="214" s="1"/>
  <c r="H15" i="235"/>
  <c r="F15" i="235"/>
  <c r="G15" i="235" s="1"/>
  <c r="I19" i="25"/>
  <c r="F19" i="25"/>
  <c r="G19" i="25" s="1"/>
  <c r="F24" i="214"/>
  <c r="G24" i="214" s="1"/>
  <c r="L24" i="214"/>
  <c r="O44" i="139"/>
  <c r="P44" i="139" s="1"/>
  <c r="L44" i="139"/>
  <c r="Q44" i="139" s="1"/>
  <c r="I19" i="257"/>
  <c r="I24" i="2"/>
  <c r="F12" i="218"/>
  <c r="G12" i="218" s="1"/>
  <c r="L12" i="218"/>
  <c r="P22" i="207"/>
  <c r="Q22" i="207" s="1"/>
  <c r="AC170" i="35"/>
  <c r="AD170" i="35" s="1"/>
  <c r="R15" i="209"/>
  <c r="S15" i="209" s="1"/>
  <c r="M10" i="257"/>
  <c r="N6" i="109"/>
  <c r="M58" i="35"/>
  <c r="M63" i="35" s="1"/>
  <c r="M130" i="35"/>
  <c r="M135" i="35" s="1"/>
  <c r="G5" i="35"/>
  <c r="M184" i="35"/>
  <c r="M189" i="35" s="1"/>
  <c r="G94" i="35"/>
  <c r="G99" i="35" s="1"/>
  <c r="G58" i="35"/>
  <c r="G63" i="35" s="1"/>
  <c r="M148" i="35"/>
  <c r="M153" i="35" s="1"/>
  <c r="K6" i="257"/>
  <c r="M166" i="35"/>
  <c r="M171" i="35" s="1"/>
  <c r="F16" i="109"/>
  <c r="G16" i="109" s="1"/>
  <c r="L16" i="109"/>
  <c r="O43" i="139"/>
  <c r="P43" i="139" s="1"/>
  <c r="L43" i="139"/>
  <c r="Q43" i="139" s="1"/>
  <c r="I8" i="2"/>
  <c r="L19" i="109"/>
  <c r="F19" i="109"/>
  <c r="G19" i="109" s="1"/>
  <c r="F35" i="235"/>
  <c r="G35" i="235" s="1"/>
  <c r="H35" i="235"/>
  <c r="L29" i="139"/>
  <c r="F21" i="214"/>
  <c r="G21" i="214" s="1"/>
  <c r="L21" i="214"/>
  <c r="L15" i="218"/>
  <c r="F15" i="218"/>
  <c r="G15" i="218" s="1"/>
  <c r="F16" i="214"/>
  <c r="G16" i="214" s="1"/>
  <c r="L16" i="214"/>
  <c r="H2" i="257"/>
  <c r="L7" i="215"/>
  <c r="T15" i="139"/>
  <c r="U15" i="139" s="1"/>
  <c r="G10" i="257"/>
  <c r="F13" i="109"/>
  <c r="G13" i="109" s="1"/>
  <c r="L13" i="109"/>
  <c r="K13" i="257"/>
  <c r="R18" i="207"/>
  <c r="S18" i="207" s="1"/>
  <c r="I18" i="207"/>
  <c r="T18" i="207" s="1"/>
  <c r="G9" i="257"/>
  <c r="T14" i="139"/>
  <c r="U14" i="139" s="1"/>
  <c r="AC5" i="229"/>
  <c r="AD5" i="229" s="1"/>
  <c r="R21" i="212"/>
  <c r="S21" i="212" s="1"/>
  <c r="J16" i="257"/>
  <c r="I21" i="212"/>
  <c r="T21" i="212" s="1"/>
  <c r="M8" i="83"/>
  <c r="G40" i="35"/>
  <c r="G45" i="35" s="1"/>
  <c r="B9" i="79"/>
  <c r="I21" i="207"/>
  <c r="T21" i="207" s="1"/>
  <c r="G7" i="241"/>
  <c r="G184" i="35"/>
  <c r="G189" i="35" s="1"/>
  <c r="O45" i="139"/>
  <c r="P45" i="139" s="1"/>
  <c r="L45" i="139"/>
  <c r="Q45" i="139" s="1"/>
  <c r="AC6" i="229"/>
  <c r="AD6" i="229" s="1"/>
  <c r="AC60" i="35"/>
  <c r="AD60" i="35" s="1"/>
  <c r="W14" i="5"/>
  <c r="X14" i="5" s="1"/>
  <c r="N14" i="5"/>
  <c r="Y14" i="5" s="1"/>
  <c r="N9" i="257"/>
  <c r="N17" i="5"/>
  <c r="Y17" i="5" s="1"/>
  <c r="W17" i="5"/>
  <c r="X17" i="5" s="1"/>
  <c r="S12" i="190"/>
  <c r="S24" i="190" s="1"/>
  <c r="L12" i="190"/>
  <c r="H3" i="257"/>
  <c r="L8" i="215"/>
  <c r="I14" i="25"/>
  <c r="F14" i="25"/>
  <c r="G14" i="25" s="1"/>
  <c r="T18" i="139"/>
  <c r="U18" i="139" s="1"/>
  <c r="G13" i="257"/>
  <c r="F11" i="214"/>
  <c r="G11" i="214" s="1"/>
  <c r="L11" i="214"/>
  <c r="M3" i="257"/>
  <c r="I8" i="209"/>
  <c r="T8" i="209" s="1"/>
  <c r="R8" i="209"/>
  <c r="S8" i="209" s="1"/>
  <c r="L10" i="241"/>
  <c r="G10" i="241"/>
  <c r="M10" i="241" s="1"/>
  <c r="I10" i="2"/>
  <c r="P21" i="207"/>
  <c r="Q21" i="207" s="1"/>
  <c r="J19" i="238"/>
  <c r="L7" i="238"/>
  <c r="L19" i="238" s="1"/>
  <c r="S7" i="238"/>
  <c r="S19" i="238" s="1"/>
  <c r="AC26" i="35"/>
  <c r="AD26" i="35" s="1"/>
  <c r="AC80" i="35"/>
  <c r="AD80" i="35" s="1"/>
  <c r="N25" i="238"/>
  <c r="O13" i="238"/>
  <c r="O25" i="238" s="1"/>
  <c r="L36" i="139"/>
  <c r="Q36" i="139" s="1"/>
  <c r="O36" i="139"/>
  <c r="P36" i="139" s="1"/>
  <c r="T20" i="6"/>
  <c r="U20" i="6" s="1"/>
  <c r="V15" i="257"/>
  <c r="B10" i="79"/>
  <c r="M22" i="35"/>
  <c r="M27" i="35" s="1"/>
  <c r="L47" i="6"/>
  <c r="Q47" i="6" s="1"/>
  <c r="S166" i="35"/>
  <c r="O38" i="6"/>
  <c r="P38" i="6" s="1"/>
  <c r="L38" i="6"/>
  <c r="Q38" i="6" s="1"/>
  <c r="F27" i="235"/>
  <c r="G27" i="235" s="1"/>
  <c r="H27" i="235"/>
  <c r="K11" i="257"/>
  <c r="R16" i="207"/>
  <c r="S16" i="207" s="1"/>
  <c r="I16" i="207"/>
  <c r="I7" i="207"/>
  <c r="R7" i="207"/>
  <c r="S7" i="207" s="1"/>
  <c r="K2" i="257"/>
  <c r="F30" i="235"/>
  <c r="G30" i="235" s="1"/>
  <c r="H30" i="235"/>
  <c r="I19" i="212"/>
  <c r="T19" i="212" s="1"/>
  <c r="J14" i="257"/>
  <c r="R19" i="212"/>
  <c r="S19" i="212" s="1"/>
  <c r="F25" i="218"/>
  <c r="G25" i="218" s="1"/>
  <c r="L25" i="218"/>
  <c r="K14" i="257"/>
  <c r="R19" i="207"/>
  <c r="S19" i="207" s="1"/>
  <c r="R24" i="207"/>
  <c r="K19" i="257"/>
  <c r="R21" i="6"/>
  <c r="S21" i="6" s="1"/>
  <c r="N11" i="5"/>
  <c r="Y11" i="5" s="1"/>
  <c r="I18" i="2"/>
  <c r="L21" i="218"/>
  <c r="F21" i="218"/>
  <c r="G21" i="218" s="1"/>
  <c r="F14" i="235"/>
  <c r="G14" i="235" s="1"/>
  <c r="G22" i="35"/>
  <c r="G27" i="35" s="1"/>
  <c r="S184" i="35"/>
  <c r="H9" i="257"/>
  <c r="L14" i="215"/>
  <c r="T15" i="6"/>
  <c r="U15" i="6" s="1"/>
  <c r="F19" i="218"/>
  <c r="G19" i="218" s="1"/>
  <c r="B8" i="79"/>
  <c r="X21" i="207"/>
  <c r="B15" i="79"/>
  <c r="Q6" i="238"/>
  <c r="L46" i="6"/>
  <c r="Q46" i="6" s="1"/>
  <c r="I13" i="209"/>
  <c r="T13" i="209" s="1"/>
  <c r="M94" i="35"/>
  <c r="M99" i="35" s="1"/>
  <c r="H7" i="257"/>
  <c r="K5" i="257"/>
  <c r="H18" i="235"/>
  <c r="I26" i="2"/>
  <c r="M76" i="35"/>
  <c r="M81" i="35" s="1"/>
  <c r="F32" i="235"/>
  <c r="G32" i="235" s="1"/>
  <c r="H32" i="235"/>
  <c r="G12" i="257"/>
  <c r="T17" i="139"/>
  <c r="U17" i="139" s="1"/>
  <c r="AC7" i="229"/>
  <c r="AD7" i="229" s="1"/>
  <c r="H8" i="257"/>
  <c r="L13" i="215"/>
  <c r="K15" i="257"/>
  <c r="R20" i="207"/>
  <c r="S20" i="207" s="1"/>
  <c r="O12" i="190"/>
  <c r="O39" i="6"/>
  <c r="P39" i="6" s="1"/>
  <c r="L39" i="6"/>
  <c r="Q39" i="6" s="1"/>
  <c r="L17" i="109"/>
  <c r="F17" i="109"/>
  <c r="G17" i="109" s="1"/>
  <c r="O36" i="6"/>
  <c r="P36" i="6" s="1"/>
  <c r="L36" i="6"/>
  <c r="Q36" i="6" s="1"/>
  <c r="L6" i="238"/>
  <c r="K22" i="133"/>
  <c r="F22" i="133"/>
  <c r="H22" i="133" s="1"/>
  <c r="C22" i="133"/>
  <c r="E22" i="133" s="1"/>
  <c r="L22" i="133"/>
  <c r="M5" i="35"/>
  <c r="AC5" i="35" s="1"/>
  <c r="AD5" i="35" s="1"/>
  <c r="S112" i="35"/>
  <c r="S130" i="35"/>
  <c r="S135" i="35" s="1"/>
  <c r="B33" i="79"/>
  <c r="B17" i="79"/>
  <c r="J14" i="238"/>
  <c r="J26" i="238" s="1"/>
  <c r="M112" i="35"/>
  <c r="M117" i="35" s="1"/>
  <c r="L8" i="241"/>
  <c r="G8" i="241"/>
  <c r="M8" i="241" s="1"/>
  <c r="T13" i="6"/>
  <c r="U13" i="6" s="1"/>
  <c r="V8" i="257"/>
  <c r="V16" i="257"/>
  <c r="L21" i="6"/>
  <c r="V21" i="6" s="1"/>
  <c r="I4" i="257"/>
  <c r="I9" i="2"/>
  <c r="W16" i="5"/>
  <c r="X16" i="5" s="1"/>
  <c r="N11" i="257"/>
  <c r="V17" i="257"/>
  <c r="L22" i="6"/>
  <c r="V22" i="6" s="1"/>
  <c r="I13" i="2"/>
  <c r="I8" i="257"/>
  <c r="I16" i="257"/>
  <c r="I21" i="2"/>
  <c r="V6" i="257"/>
  <c r="T11" i="6"/>
  <c r="U11" i="6" s="1"/>
  <c r="O12" i="238"/>
  <c r="O24" i="238" s="1"/>
  <c r="N24" i="238"/>
  <c r="S11" i="238"/>
  <c r="S23" i="238" s="1"/>
  <c r="J23" i="238"/>
  <c r="L11" i="238"/>
  <c r="L23" i="238" s="1"/>
  <c r="T12" i="139"/>
  <c r="U12" i="139" s="1"/>
  <c r="G7" i="257"/>
  <c r="L14" i="241"/>
  <c r="G14" i="241"/>
  <c r="M14" i="241" s="1"/>
  <c r="I11" i="2"/>
  <c r="I6" i="257"/>
  <c r="O39" i="139"/>
  <c r="P39" i="139" s="1"/>
  <c r="L39" i="139"/>
  <c r="Q39" i="139" s="1"/>
  <c r="K4" i="257"/>
  <c r="I9" i="207"/>
  <c r="R9" i="207"/>
  <c r="S9" i="207" s="1"/>
  <c r="F8" i="235"/>
  <c r="G8" i="235" s="1"/>
  <c r="H8" i="235"/>
  <c r="S40" i="35"/>
  <c r="S22" i="35"/>
  <c r="R11" i="207"/>
  <c r="S11" i="207" s="1"/>
  <c r="X23" i="207"/>
  <c r="S148" i="35"/>
  <c r="K16" i="257"/>
  <c r="R10" i="207"/>
  <c r="S10" i="207" s="1"/>
  <c r="B7" i="79"/>
  <c r="B21" i="79"/>
  <c r="B13" i="79"/>
  <c r="B22" i="79"/>
  <c r="G166" i="35"/>
  <c r="G171" i="35" s="1"/>
  <c r="L14" i="218"/>
  <c r="F14" i="218"/>
  <c r="G14" i="218" s="1"/>
  <c r="P19" i="238"/>
  <c r="Q7" i="238"/>
  <c r="Q19" i="238" s="1"/>
  <c r="F24" i="218"/>
  <c r="G24" i="218" s="1"/>
  <c r="L24" i="218"/>
  <c r="P25" i="238"/>
  <c r="Q13" i="238"/>
  <c r="Q25" i="238" s="1"/>
  <c r="I23" i="2"/>
  <c r="H11" i="235"/>
  <c r="F11" i="235"/>
  <c r="G11" i="235" s="1"/>
  <c r="O50" i="6"/>
  <c r="P50" i="6" s="1"/>
  <c r="L50" i="6"/>
  <c r="Q50" i="6" s="1"/>
  <c r="I16" i="2"/>
  <c r="I11" i="257"/>
  <c r="W8" i="5"/>
  <c r="X8" i="5" s="1"/>
  <c r="N8" i="5"/>
  <c r="T12" i="6"/>
  <c r="U12" i="6" s="1"/>
  <c r="V7" i="257"/>
  <c r="P24" i="207"/>
  <c r="Q24" i="207" s="1"/>
  <c r="N13" i="5"/>
  <c r="Y13" i="5" s="1"/>
  <c r="M20" i="83"/>
  <c r="F20" i="83"/>
  <c r="G20" i="83" s="1"/>
  <c r="L9" i="241"/>
  <c r="G9" i="241"/>
  <c r="M9" i="241" s="1"/>
  <c r="I14" i="209"/>
  <c r="T14" i="209" s="1"/>
  <c r="M9" i="257"/>
  <c r="R14" i="209"/>
  <c r="S14" i="209" s="1"/>
  <c r="J20" i="257"/>
  <c r="R25" i="212"/>
  <c r="S25" i="212" s="1"/>
  <c r="T20" i="139"/>
  <c r="U20" i="139" s="1"/>
  <c r="G15" i="257"/>
  <c r="AC152" i="35"/>
  <c r="AD152" i="35" s="1"/>
  <c r="S13" i="238"/>
  <c r="S25" i="238" s="1"/>
  <c r="J25" i="238"/>
  <c r="L13" i="238"/>
  <c r="L25" i="238" s="1"/>
  <c r="W7" i="5"/>
  <c r="X7" i="5" s="1"/>
  <c r="N2" i="257"/>
  <c r="N7" i="5"/>
  <c r="G57" i="131"/>
  <c r="I57" i="131"/>
  <c r="Z23" i="6"/>
  <c r="U23" i="6"/>
  <c r="S7" i="2"/>
  <c r="Y7" i="2"/>
  <c r="AF8" i="102"/>
  <c r="R47" i="102"/>
  <c r="J47" i="102"/>
  <c r="C40" i="235" l="1"/>
  <c r="F40" i="235" s="1"/>
  <c r="G40" i="235" s="1"/>
  <c r="AC135" i="35"/>
  <c r="AD135" i="35" s="1"/>
  <c r="AC99" i="35"/>
  <c r="AD99" i="35" s="1"/>
  <c r="I22" i="257"/>
  <c r="I30" i="207"/>
  <c r="C7" i="135" s="1"/>
  <c r="N14" i="257"/>
  <c r="J22" i="257"/>
  <c r="M12" i="257"/>
  <c r="G19" i="257"/>
  <c r="K25" i="257"/>
  <c r="I27" i="2"/>
  <c r="C6" i="135" s="1"/>
  <c r="W21" i="207"/>
  <c r="S117" i="35"/>
  <c r="AC117" i="35" s="1"/>
  <c r="AD117" i="35" s="1"/>
  <c r="AC112" i="35"/>
  <c r="AD112" i="35" s="1"/>
  <c r="AC130" i="35"/>
  <c r="AD130" i="35" s="1"/>
  <c r="S171" i="35"/>
  <c r="AC171" i="35" s="1"/>
  <c r="AD171" i="35" s="1"/>
  <c r="AC166" i="35"/>
  <c r="AD166" i="35" s="1"/>
  <c r="S153" i="35"/>
  <c r="AC153" i="35" s="1"/>
  <c r="AD153" i="35" s="1"/>
  <c r="AC148" i="35"/>
  <c r="AD148" i="35" s="1"/>
  <c r="Y21" i="6"/>
  <c r="L58" i="6"/>
  <c r="H12" i="257"/>
  <c r="AC81" i="35"/>
  <c r="AD81" i="35" s="1"/>
  <c r="S27" i="35"/>
  <c r="AC27" i="35" s="1"/>
  <c r="AD27" i="35" s="1"/>
  <c r="AC22" i="35"/>
  <c r="AD22" i="35" s="1"/>
  <c r="S189" i="35"/>
  <c r="AC189" i="35" s="1"/>
  <c r="AD189" i="35" s="1"/>
  <c r="AC184" i="35"/>
  <c r="AD184" i="35" s="1"/>
  <c r="S24" i="207"/>
  <c r="X24" i="207"/>
  <c r="S45" i="35"/>
  <c r="AC45" i="35" s="1"/>
  <c r="AD45" i="35" s="1"/>
  <c r="AC40" i="35"/>
  <c r="AD40" i="35" s="1"/>
  <c r="AC76" i="35"/>
  <c r="AD76" i="35" s="1"/>
  <c r="AC94" i="35"/>
  <c r="AD94" i="35" s="1"/>
  <c r="L18" i="238"/>
  <c r="L14" i="238"/>
  <c r="Q18" i="238"/>
  <c r="Q14" i="238"/>
  <c r="M7" i="241"/>
  <c r="G15" i="241"/>
  <c r="I17" i="209"/>
  <c r="W22" i="207"/>
  <c r="S63" i="35"/>
  <c r="AC63" i="35" s="1"/>
  <c r="AD63" i="35" s="1"/>
  <c r="AC58" i="35"/>
  <c r="AD58" i="35" s="1"/>
  <c r="O14" i="238"/>
  <c r="O26" i="238" s="1"/>
  <c r="W24" i="207"/>
  <c r="V25" i="257"/>
  <c r="F9" i="45"/>
  <c r="G9" i="45" s="1"/>
  <c r="N49" i="99"/>
  <c r="K49" i="99"/>
  <c r="K14" i="238" l="1"/>
  <c r="K26" i="238" s="1"/>
  <c r="L26" i="238"/>
  <c r="F15" i="241"/>
  <c r="L15" i="241" s="1"/>
  <c r="M15" i="241"/>
  <c r="P14" i="238"/>
  <c r="P26" i="238" s="1"/>
  <c r="Q26" i="238"/>
  <c r="T49" i="99"/>
  <c r="F49" i="99"/>
  <c r="Q49" i="99"/>
  <c r="AB49" i="99" l="1"/>
  <c r="A1" i="242" l="1"/>
  <c r="G31" i="60"/>
  <c r="H31" i="60"/>
  <c r="I31" i="60"/>
  <c r="J31" i="60"/>
  <c r="N7" i="60"/>
  <c r="N8" i="60"/>
  <c r="N9" i="60"/>
  <c r="N10" i="60"/>
  <c r="N11" i="60"/>
  <c r="N15" i="60"/>
  <c r="K8" i="60"/>
  <c r="K9" i="60"/>
  <c r="K10" i="60"/>
  <c r="K11" i="60"/>
  <c r="K15" i="60"/>
  <c r="K7" i="60"/>
  <c r="J16" i="60"/>
  <c r="I16" i="60"/>
  <c r="A1" i="80" l="1"/>
  <c r="K16" i="60"/>
  <c r="A2" i="247" l="1"/>
  <c r="A2" i="246"/>
  <c r="A2" i="211"/>
  <c r="A2" i="213" l="1"/>
  <c r="A2" i="221" l="1"/>
  <c r="A1" i="216"/>
  <c r="A2" i="99"/>
  <c r="A2" i="102" s="1"/>
  <c r="A1" i="177"/>
  <c r="A2" i="220" l="1"/>
  <c r="A2" i="223" l="1"/>
  <c r="A2" i="222"/>
  <c r="A2" i="256"/>
  <c r="I9" i="135" l="1"/>
  <c r="B9" i="45"/>
  <c r="E9" i="45" l="1"/>
  <c r="J9" i="45"/>
  <c r="Y35" i="175"/>
  <c r="Y6" i="175"/>
  <c r="Y71" i="175"/>
  <c r="X53" i="210"/>
  <c r="W19" i="210"/>
  <c r="W29" i="210"/>
  <c r="W15" i="175"/>
  <c r="V25" i="210"/>
  <c r="X45" i="210"/>
  <c r="Y68" i="175"/>
  <c r="Y25" i="210"/>
  <c r="X16" i="175"/>
  <c r="X15" i="210"/>
  <c r="X28" i="210"/>
  <c r="X8" i="175"/>
  <c r="V38" i="210"/>
  <c r="V20" i="210"/>
  <c r="Y41" i="210"/>
  <c r="X41" i="175"/>
  <c r="X70" i="210"/>
  <c r="V23" i="210"/>
  <c r="W33" i="175"/>
  <c r="Y28" i="175"/>
  <c r="W53" i="175"/>
  <c r="Y50" i="175"/>
  <c r="Y50" i="210"/>
  <c r="Y53" i="175"/>
  <c r="V48" i="175"/>
  <c r="X17" i="210"/>
  <c r="Y64" i="175"/>
  <c r="X37" i="210"/>
  <c r="V24" i="175"/>
  <c r="W55" i="210"/>
  <c r="W70" i="175"/>
  <c r="X43" i="210"/>
  <c r="X60" i="210"/>
  <c r="W61" i="175"/>
  <c r="W32" i="175"/>
  <c r="Y59" i="175"/>
  <c r="X38" i="210"/>
  <c r="W69" i="210"/>
  <c r="X11" i="210"/>
  <c r="Y56" i="210"/>
  <c r="V25" i="175"/>
  <c r="Y66" i="210"/>
  <c r="V57" i="175"/>
  <c r="V37" i="175"/>
  <c r="X66" i="175"/>
  <c r="Y68" i="210"/>
  <c r="W59" i="210"/>
  <c r="X63" i="175"/>
  <c r="V35" i="210"/>
  <c r="W27" i="175"/>
  <c r="X53" i="175"/>
  <c r="X59" i="175"/>
  <c r="V69" i="175"/>
  <c r="V39" i="175"/>
  <c r="Y55" i="210"/>
  <c r="W48" i="210"/>
  <c r="Y40" i="210"/>
  <c r="X42" i="175"/>
  <c r="X13" i="210"/>
  <c r="W28" i="210"/>
  <c r="X36" i="210"/>
  <c r="W42" i="175"/>
  <c r="V34" i="175"/>
  <c r="X47" i="175"/>
  <c r="V30" i="210"/>
  <c r="Y52" i="175"/>
  <c r="Y44" i="175"/>
  <c r="X35" i="175"/>
  <c r="X49" i="210"/>
  <c r="W13" i="210"/>
  <c r="V32" i="175"/>
  <c r="Y8" i="175"/>
  <c r="Y18" i="175"/>
  <c r="V68" i="175"/>
  <c r="W28" i="175"/>
  <c r="W31" i="210"/>
  <c r="Y48" i="175"/>
  <c r="V36" i="175"/>
  <c r="W27" i="210"/>
  <c r="W38" i="175"/>
  <c r="Y58" i="175"/>
  <c r="V38" i="175"/>
  <c r="V55" i="175"/>
  <c r="W52" i="175"/>
  <c r="X26" i="210"/>
  <c r="V10" i="175"/>
  <c r="V39" i="210"/>
  <c r="W51" i="210"/>
  <c r="X15" i="175"/>
  <c r="V59" i="210"/>
  <c r="X51" i="210"/>
  <c r="Y32" i="210"/>
  <c r="Y32" i="175"/>
  <c r="W55" i="175"/>
  <c r="Y38" i="210"/>
  <c r="Y16" i="210"/>
  <c r="Y36" i="210"/>
  <c r="V35" i="175"/>
  <c r="X60" i="175"/>
  <c r="V18" i="175"/>
  <c r="V36" i="210"/>
  <c r="W47" i="175"/>
  <c r="Y57" i="210"/>
  <c r="Y30" i="175"/>
  <c r="W24" i="210"/>
  <c r="V68" i="210"/>
  <c r="V50" i="175"/>
  <c r="Y7" i="210"/>
  <c r="W43" i="210"/>
  <c r="Y62" i="210"/>
  <c r="W48" i="175"/>
  <c r="V58" i="175"/>
  <c r="W34" i="175"/>
  <c r="W31" i="175"/>
  <c r="W57" i="210"/>
  <c r="W39" i="175"/>
  <c r="W36" i="210"/>
  <c r="W39" i="210"/>
  <c r="X50" i="175"/>
  <c r="V60" i="210"/>
  <c r="V43" i="175"/>
  <c r="X58" i="210"/>
  <c r="Y10" i="175"/>
  <c r="V54" i="175"/>
  <c r="W14" i="175"/>
  <c r="X46" i="175"/>
  <c r="W62" i="175"/>
  <c r="X42" i="210"/>
  <c r="V49" i="175"/>
  <c r="W62" i="210"/>
  <c r="X17" i="175"/>
  <c r="Y34" i="175"/>
  <c r="X65" i="210"/>
  <c r="Y69" i="175"/>
  <c r="W33" i="210"/>
  <c r="X39" i="175"/>
  <c r="W25" i="175"/>
  <c r="X36" i="175"/>
  <c r="W26" i="175"/>
  <c r="Y55" i="175"/>
  <c r="X54" i="210"/>
  <c r="W50" i="175"/>
  <c r="Y47" i="175"/>
  <c r="Y63" i="210"/>
  <c r="V44" i="175"/>
  <c r="X51" i="175"/>
  <c r="X62" i="175"/>
  <c r="V60" i="175"/>
  <c r="V52" i="210"/>
  <c r="X57" i="175"/>
  <c r="Y39" i="210"/>
  <c r="X35" i="210"/>
  <c r="W44" i="175"/>
  <c r="V37" i="210"/>
  <c r="W8" i="175"/>
  <c r="W56" i="210"/>
  <c r="X41" i="210"/>
  <c r="Y61" i="210"/>
  <c r="W41" i="210"/>
  <c r="V42" i="210"/>
  <c r="V61" i="175"/>
  <c r="V6" i="210"/>
  <c r="Y54" i="210"/>
  <c r="V51" i="175"/>
  <c r="V63" i="210"/>
  <c r="W12" i="175"/>
  <c r="X70" i="175"/>
  <c r="V14" i="210"/>
  <c r="X57" i="210"/>
  <c r="Y33" i="210"/>
  <c r="Y51" i="175"/>
  <c r="W11" i="175"/>
  <c r="V66" i="210"/>
  <c r="V50" i="210"/>
  <c r="Y52" i="210"/>
  <c r="Y31" i="175"/>
  <c r="W30" i="210"/>
  <c r="X38" i="175"/>
  <c r="X32" i="175"/>
  <c r="V44" i="210"/>
  <c r="Y57" i="175"/>
  <c r="W21" i="210"/>
  <c r="V65" i="175"/>
  <c r="W34" i="210"/>
  <c r="W29" i="175"/>
  <c r="X55" i="210"/>
  <c r="Y54" i="175"/>
  <c r="V64" i="210"/>
  <c r="Y21" i="210"/>
  <c r="X64" i="175"/>
  <c r="W23" i="175"/>
  <c r="V40" i="175"/>
  <c r="V22" i="210"/>
  <c r="X48" i="175"/>
  <c r="Y62" i="175"/>
  <c r="V58" i="210"/>
  <c r="Y63" i="175"/>
  <c r="W35" i="175"/>
  <c r="Y19" i="175"/>
  <c r="V62" i="175"/>
  <c r="X67" i="175"/>
  <c r="X23" i="210"/>
  <c r="V70" i="210"/>
  <c r="V65" i="210"/>
  <c r="V41" i="210"/>
  <c r="V11" i="210"/>
  <c r="X43" i="175"/>
  <c r="X48" i="210"/>
  <c r="V30" i="175"/>
  <c r="W49" i="210"/>
  <c r="W67" i="175"/>
  <c r="Y24" i="175"/>
  <c r="Y15" i="175"/>
  <c r="V55" i="210"/>
  <c r="X62" i="210"/>
  <c r="Y42" i="210"/>
  <c r="X10" i="175"/>
  <c r="W57" i="175"/>
  <c r="X33" i="210"/>
  <c r="V13" i="175"/>
  <c r="V7" i="210"/>
  <c r="X49" i="175"/>
  <c r="Y53" i="210"/>
  <c r="W68" i="210"/>
  <c r="V57" i="210"/>
  <c r="W64" i="210"/>
  <c r="W51" i="175"/>
  <c r="W26" i="210"/>
  <c r="W49" i="175"/>
  <c r="Y42" i="175"/>
  <c r="Y14" i="175"/>
  <c r="V10" i="210"/>
  <c r="W56" i="175"/>
  <c r="X63" i="210"/>
  <c r="W16" i="210"/>
  <c r="X30" i="210"/>
  <c r="Y6" i="210"/>
  <c r="Y26" i="210"/>
  <c r="V7" i="175"/>
  <c r="X50" i="210"/>
  <c r="Y67" i="210"/>
  <c r="X40" i="175"/>
  <c r="Y49" i="175"/>
  <c r="X25" i="210"/>
  <c r="Y20" i="210"/>
  <c r="X46" i="210"/>
  <c r="W69" i="175"/>
  <c r="W63" i="175"/>
  <c r="X29" i="175"/>
  <c r="W40" i="210"/>
  <c r="X26" i="175"/>
  <c r="Y46" i="175"/>
  <c r="Y47" i="210"/>
  <c r="V62" i="210"/>
  <c r="W24" i="175"/>
  <c r="Y65" i="175"/>
  <c r="V34" i="210"/>
  <c r="Y48" i="210"/>
  <c r="Y39" i="175"/>
  <c r="X52" i="175"/>
  <c r="Y64" i="210"/>
  <c r="V71" i="175"/>
  <c r="V6" i="175"/>
  <c r="Y60" i="210"/>
  <c r="X25" i="175"/>
  <c r="Y56" i="175"/>
  <c r="X9" i="175"/>
  <c r="X69" i="210"/>
  <c r="W68" i="175"/>
  <c r="X47" i="210"/>
  <c r="X52" i="210"/>
  <c r="Y51" i="210"/>
  <c r="Y60" i="175"/>
  <c r="Y43" i="210"/>
  <c r="W60" i="210"/>
  <c r="Y70" i="210"/>
  <c r="W42" i="210"/>
  <c r="V31" i="175"/>
  <c r="V17" i="210"/>
  <c r="V51" i="210"/>
  <c r="Y69" i="210"/>
  <c r="X20" i="210"/>
  <c r="V61" i="210"/>
  <c r="X14" i="210"/>
  <c r="X34" i="210"/>
  <c r="Y30" i="210"/>
  <c r="V67" i="175"/>
  <c r="W63" i="210"/>
  <c r="Y31" i="210"/>
  <c r="Y49" i="210"/>
  <c r="Y65" i="210"/>
  <c r="V66" i="175"/>
  <c r="X56" i="175"/>
  <c r="X64" i="210"/>
  <c r="Y23" i="175"/>
  <c r="W17" i="175"/>
  <c r="W67" i="210"/>
  <c r="X31" i="210"/>
  <c r="Y29" i="175"/>
  <c r="V49" i="210"/>
  <c r="V54" i="210"/>
  <c r="X30" i="175"/>
  <c r="W59" i="175"/>
  <c r="X61" i="175"/>
  <c r="V63" i="175"/>
  <c r="W16" i="175"/>
  <c r="X24" i="210"/>
  <c r="X65" i="175"/>
  <c r="Y12" i="210"/>
  <c r="X6" i="210"/>
  <c r="V67" i="210"/>
  <c r="X7" i="210"/>
  <c r="Y43" i="175"/>
  <c r="W45" i="175"/>
  <c r="W50" i="210"/>
  <c r="X31" i="175"/>
  <c r="W38" i="210"/>
  <c r="X56" i="210"/>
  <c r="W46" i="210"/>
  <c r="V9" i="210"/>
  <c r="V70" i="175"/>
  <c r="W58" i="175"/>
  <c r="Y67" i="175"/>
  <c r="W10" i="210"/>
  <c r="Y27" i="210"/>
  <c r="Y25" i="175"/>
  <c r="W54" i="210"/>
  <c r="X32" i="210"/>
  <c r="W66" i="210"/>
  <c r="V47" i="175"/>
  <c r="V21" i="175"/>
  <c r="Y66" i="175"/>
  <c r="Y40" i="175"/>
  <c r="V53" i="210"/>
  <c r="V46" i="210"/>
  <c r="V59" i="175"/>
  <c r="X24" i="175"/>
  <c r="W66" i="175"/>
  <c r="V46" i="175"/>
  <c r="W45" i="210"/>
  <c r="V27" i="175"/>
  <c r="Y46" i="210"/>
  <c r="V56" i="210"/>
  <c r="V28" i="210"/>
  <c r="W58" i="210"/>
  <c r="V33" i="175"/>
  <c r="Y21" i="175"/>
  <c r="Y12" i="175"/>
  <c r="X55" i="175"/>
  <c r="Y35" i="210"/>
  <c r="W15" i="210"/>
  <c r="W11" i="210"/>
  <c r="V45" i="175"/>
  <c r="V32" i="210"/>
  <c r="V19" i="210"/>
  <c r="V33" i="210"/>
  <c r="V12" i="175"/>
  <c r="W36" i="175"/>
  <c r="V64" i="175"/>
  <c r="Y33" i="175"/>
  <c r="X61" i="210"/>
  <c r="V40" i="210"/>
  <c r="W41" i="175"/>
  <c r="Y16" i="175"/>
  <c r="W61" i="210"/>
  <c r="V69" i="210"/>
  <c r="X39" i="210"/>
  <c r="Y8" i="210"/>
  <c r="W12" i="210"/>
  <c r="V45" i="210"/>
  <c r="Y28" i="210"/>
  <c r="W8" i="210"/>
  <c r="V15" i="175"/>
  <c r="X54" i="175"/>
  <c r="V42" i="175"/>
  <c r="X27" i="175"/>
  <c r="Y20" i="175"/>
  <c r="X12" i="175"/>
  <c r="V53" i="175"/>
  <c r="W53" i="210"/>
  <c r="X68" i="175"/>
  <c r="V43" i="210"/>
  <c r="X34" i="175"/>
  <c r="X33" i="175"/>
  <c r="Y23" i="210"/>
  <c r="V28" i="175"/>
  <c r="V8" i="175"/>
  <c r="X10" i="210"/>
  <c r="W6" i="175"/>
  <c r="V8" i="210"/>
  <c r="Y17" i="175"/>
  <c r="X28" i="175"/>
  <c r="V17" i="175"/>
  <c r="Y9" i="210"/>
  <c r="W9" i="175"/>
  <c r="X29" i="210"/>
  <c r="V14" i="175"/>
  <c r="Y11" i="210"/>
  <c r="X12" i="210"/>
  <c r="X58" i="175"/>
  <c r="V27" i="210"/>
  <c r="Y41" i="175"/>
  <c r="Y27" i="175"/>
  <c r="Y15" i="210"/>
  <c r="W54" i="175"/>
  <c r="Y22" i="210"/>
  <c r="W40" i="175"/>
  <c r="V56" i="175"/>
  <c r="V48" i="210"/>
  <c r="X69" i="175"/>
  <c r="X19" i="210"/>
  <c r="Y37" i="175"/>
  <c r="V18" i="210"/>
  <c r="W22" i="175"/>
  <c r="Y14" i="210"/>
  <c r="X21" i="175"/>
  <c r="W47" i="210"/>
  <c r="Y26" i="175"/>
  <c r="Y13" i="175"/>
  <c r="X37" i="175"/>
  <c r="W25" i="210"/>
  <c r="W60" i="175"/>
  <c r="Y37" i="210"/>
  <c r="V29" i="175"/>
  <c r="X6" i="175"/>
  <c r="X71" i="175"/>
  <c r="X44" i="210"/>
  <c r="X68" i="210"/>
  <c r="W22" i="210"/>
  <c r="W37" i="210"/>
  <c r="W20" i="175"/>
  <c r="W46" i="175"/>
  <c r="V19" i="175"/>
  <c r="W9" i="210"/>
  <c r="W32" i="210"/>
  <c r="V26" i="210"/>
  <c r="V9" i="175"/>
  <c r="V24" i="210"/>
  <c r="X21" i="210"/>
  <c r="Y13" i="210"/>
  <c r="V26" i="175"/>
  <c r="V21" i="210"/>
  <c r="X59" i="210"/>
  <c r="Y45" i="210"/>
  <c r="W43" i="175"/>
  <c r="X11" i="175"/>
  <c r="Y44" i="210"/>
  <c r="X22" i="175"/>
  <c r="X13" i="175"/>
  <c r="Y36" i="175"/>
  <c r="W35" i="210"/>
  <c r="W65" i="210"/>
  <c r="V41" i="175"/>
  <c r="W65" i="175"/>
  <c r="X16" i="210"/>
  <c r="X27" i="210"/>
  <c r="X7" i="175"/>
  <c r="X40" i="210"/>
  <c r="V52" i="175"/>
  <c r="V16" i="210"/>
  <c r="V13" i="210"/>
  <c r="Y18" i="210"/>
  <c r="W10" i="175"/>
  <c r="W70" i="210"/>
  <c r="W7" i="175"/>
  <c r="W6" i="210"/>
  <c r="V47" i="210"/>
  <c r="Y19" i="210"/>
  <c r="W18" i="175"/>
  <c r="X9" i="210"/>
  <c r="Y58" i="210"/>
  <c r="W44" i="210"/>
  <c r="W14" i="210"/>
  <c r="W23" i="210"/>
  <c r="X67" i="210"/>
  <c r="Y9" i="175"/>
  <c r="V22" i="175"/>
  <c r="Y11" i="175"/>
  <c r="V23" i="175"/>
  <c r="Y22" i="175"/>
  <c r="W52" i="210"/>
  <c r="Y17" i="210"/>
  <c r="W30" i="175"/>
  <c r="V29" i="210"/>
  <c r="X14" i="175"/>
  <c r="M20" i="247"/>
  <c r="X18" i="210"/>
  <c r="W19" i="175"/>
  <c r="V20" i="175"/>
  <c r="W18" i="210"/>
  <c r="X23" i="175"/>
  <c r="X44" i="175"/>
  <c r="W17" i="210"/>
  <c r="X66" i="210"/>
  <c r="Y34" i="210"/>
  <c r="Y7" i="175"/>
  <c r="Y29" i="210"/>
  <c r="V16" i="175"/>
  <c r="V15" i="210"/>
  <c r="X18" i="175"/>
  <c r="W7" i="210"/>
  <c r="X20" i="175"/>
  <c r="V12" i="210"/>
  <c r="Y59" i="210"/>
  <c r="Y70" i="175"/>
  <c r="W37" i="175"/>
  <c r="X8" i="210"/>
  <c r="X22" i="210"/>
  <c r="W20" i="210"/>
  <c r="Y10" i="210"/>
  <c r="V11" i="175"/>
  <c r="Y38" i="175"/>
  <c r="W21" i="175"/>
  <c r="Y61" i="175"/>
  <c r="W64" i="175"/>
  <c r="Y24" i="210"/>
  <c r="V31" i="210"/>
  <c r="X19" i="175"/>
  <c r="L9" i="177" l="1"/>
  <c r="N9" i="177"/>
  <c r="F9" i="100"/>
  <c r="D9" i="212" s="1"/>
  <c r="F9" i="212" s="1"/>
  <c r="B78" i="175"/>
  <c r="G78" i="175" s="1"/>
  <c r="W71" i="175"/>
  <c r="B77" i="175"/>
  <c r="G77" i="175" s="1"/>
  <c r="B79" i="175"/>
  <c r="G79" i="175" s="1"/>
  <c r="B80" i="175"/>
  <c r="H80" i="175" s="1"/>
  <c r="B79" i="210"/>
  <c r="X71" i="210"/>
  <c r="B78" i="210"/>
  <c r="W71" i="210"/>
  <c r="B77" i="210"/>
  <c r="V71" i="210"/>
  <c r="B80" i="210"/>
  <c r="Y71" i="210"/>
  <c r="H77" i="175" l="1"/>
  <c r="F15" i="100"/>
  <c r="D15" i="212" s="1"/>
  <c r="F15" i="212" s="1"/>
  <c r="O15" i="212" s="1"/>
  <c r="N18" i="177"/>
  <c r="L18" i="177"/>
  <c r="F14" i="100"/>
  <c r="D14" i="212" s="1"/>
  <c r="M14" i="212" s="1"/>
  <c r="N17" i="177"/>
  <c r="L17" i="177"/>
  <c r="F12" i="100"/>
  <c r="D12" i="212" s="1"/>
  <c r="F12" i="212" s="1"/>
  <c r="O12" i="212" s="1"/>
  <c r="N13" i="177"/>
  <c r="L13" i="177"/>
  <c r="L5" i="177"/>
  <c r="N5" i="177"/>
  <c r="L10" i="177"/>
  <c r="N10" i="177"/>
  <c r="M15" i="212"/>
  <c r="F10" i="100"/>
  <c r="D10" i="212" s="1"/>
  <c r="F7" i="100"/>
  <c r="D7" i="212" s="1"/>
  <c r="F7" i="212" s="1"/>
  <c r="H78" i="175"/>
  <c r="H79" i="175"/>
  <c r="G80" i="175"/>
  <c r="G80" i="210"/>
  <c r="H80" i="210"/>
  <c r="H79" i="210"/>
  <c r="G79" i="210"/>
  <c r="F13" i="100"/>
  <c r="D13" i="212" s="1"/>
  <c r="G77" i="210"/>
  <c r="H77" i="210"/>
  <c r="H78" i="210"/>
  <c r="G78" i="210"/>
  <c r="D11" i="25"/>
  <c r="M16" i="60"/>
  <c r="L16" i="60"/>
  <c r="N16" i="60" s="1"/>
  <c r="P10" i="35"/>
  <c r="O10" i="35"/>
  <c r="N10" i="35"/>
  <c r="F14" i="212" l="1"/>
  <c r="O14" i="212" s="1"/>
  <c r="M12" i="212"/>
  <c r="L15" i="177"/>
  <c r="N15" i="177"/>
  <c r="L8" i="177"/>
  <c r="N8" i="177"/>
  <c r="N16" i="177"/>
  <c r="L16" i="177"/>
  <c r="N7" i="177"/>
  <c r="L7" i="177"/>
  <c r="F10" i="212"/>
  <c r="O10" i="212" s="1"/>
  <c r="M10" i="212"/>
  <c r="M13" i="212"/>
  <c r="F13" i="212"/>
  <c r="O13" i="212" s="1"/>
  <c r="F8" i="100"/>
  <c r="D8" i="212" s="1"/>
  <c r="F8" i="212" s="1"/>
  <c r="V30" i="242"/>
  <c r="S10" i="35"/>
  <c r="V29" i="242"/>
  <c r="V28" i="242"/>
  <c r="D11" i="146"/>
  <c r="D14" i="146" s="1"/>
  <c r="F27" i="212" l="1"/>
  <c r="V31" i="242"/>
  <c r="D15" i="146"/>
  <c r="D16" i="146" s="1"/>
  <c r="F21" i="232" l="1"/>
  <c r="I36" i="228"/>
  <c r="F40" i="232"/>
  <c r="E23" i="232"/>
  <c r="L23" i="232"/>
  <c r="L39" i="227"/>
  <c r="L38" i="228"/>
  <c r="I18" i="228"/>
  <c r="L52" i="232"/>
  <c r="E52" i="232"/>
  <c r="I39" i="226"/>
  <c r="F27" i="222"/>
  <c r="I27" i="222" s="1"/>
  <c r="E41" i="232"/>
  <c r="L41" i="232"/>
  <c r="L50" i="232"/>
  <c r="E50" i="232"/>
  <c r="E40" i="232"/>
  <c r="L40" i="232"/>
  <c r="F24" i="222"/>
  <c r="I24" i="222" s="1"/>
  <c r="M31" i="139"/>
  <c r="N31" i="139" s="1"/>
  <c r="F19" i="222"/>
  <c r="I19" i="222" s="1"/>
  <c r="I184" i="92"/>
  <c r="F46" i="232"/>
  <c r="Q32" i="139"/>
  <c r="O32" i="139"/>
  <c r="P32" i="139" s="1"/>
  <c r="I36" i="226"/>
  <c r="F44" i="232"/>
  <c r="E25" i="232"/>
  <c r="L25" i="232"/>
  <c r="L19" i="232"/>
  <c r="E19" i="232"/>
  <c r="L22" i="222"/>
  <c r="E22" i="222"/>
  <c r="F48" i="232"/>
  <c r="I37" i="228"/>
  <c r="L21" i="232"/>
  <c r="E21" i="232"/>
  <c r="F31" i="222"/>
  <c r="I31" i="222" s="1"/>
  <c r="F29" i="222"/>
  <c r="I29" i="222" s="1"/>
  <c r="L37" i="226"/>
  <c r="F30" i="222"/>
  <c r="I30" i="222" s="1"/>
  <c r="I36" i="227"/>
  <c r="M32" i="139"/>
  <c r="N32" i="139" s="1"/>
  <c r="L18" i="227"/>
  <c r="I34" i="228"/>
  <c r="E47" i="232"/>
  <c r="L47" i="232"/>
  <c r="F33" i="222"/>
  <c r="I33" i="222" s="1"/>
  <c r="L49" i="232"/>
  <c r="E49" i="232"/>
  <c r="I17" i="227"/>
  <c r="L30" i="228"/>
  <c r="M30" i="139"/>
  <c r="N30" i="139" s="1"/>
  <c r="E51" i="232"/>
  <c r="L51" i="232"/>
  <c r="K8" i="15"/>
  <c r="F19" i="232"/>
  <c r="Q31" i="139"/>
  <c r="O31" i="139"/>
  <c r="P31" i="139" s="1"/>
  <c r="I40" i="228"/>
  <c r="L33" i="228"/>
  <c r="L37" i="227"/>
  <c r="L16" i="228"/>
  <c r="M10" i="246"/>
  <c r="F41" i="232"/>
  <c r="L19" i="222"/>
  <c r="E19" i="222"/>
  <c r="E24" i="232"/>
  <c r="L24" i="232"/>
  <c r="F35" i="222"/>
  <c r="I35" i="222" s="1"/>
  <c r="L34" i="222"/>
  <c r="E34" i="222"/>
  <c r="I30" i="228"/>
  <c r="F20" i="222"/>
  <c r="I20" i="222" s="1"/>
  <c r="I37" i="227"/>
  <c r="L24" i="222"/>
  <c r="E24" i="222"/>
  <c r="F49" i="232"/>
  <c r="I35" i="228"/>
  <c r="L19" i="228"/>
  <c r="I19" i="228"/>
  <c r="F45" i="232"/>
  <c r="E27" i="222"/>
  <c r="L27" i="222"/>
  <c r="L40" i="227"/>
  <c r="L44" i="232"/>
  <c r="E44" i="232"/>
  <c r="F25" i="222"/>
  <c r="I25" i="222" s="1"/>
  <c r="F20" i="232"/>
  <c r="L40" i="228"/>
  <c r="I32" i="228"/>
  <c r="E48" i="232"/>
  <c r="L48" i="232"/>
  <c r="L31" i="228"/>
  <c r="K9" i="15"/>
  <c r="E25" i="222"/>
  <c r="L25" i="222"/>
  <c r="L32" i="222"/>
  <c r="E32" i="222"/>
  <c r="F50" i="232"/>
  <c r="I40" i="226"/>
  <c r="L38" i="226"/>
  <c r="E42" i="232"/>
  <c r="L42" i="232"/>
  <c r="F34" i="222"/>
  <c r="I34" i="222" s="1"/>
  <c r="I38" i="228"/>
  <c r="F32" i="222"/>
  <c r="I32" i="222" s="1"/>
  <c r="F52" i="232"/>
  <c r="L36" i="228"/>
  <c r="L39" i="228"/>
  <c r="L20" i="232"/>
  <c r="E20" i="232"/>
  <c r="I40" i="227"/>
  <c r="L54" i="232"/>
  <c r="E54" i="232"/>
  <c r="K10" i="15"/>
  <c r="L28" i="222"/>
  <c r="E28" i="222"/>
  <c r="I18" i="227"/>
  <c r="F17" i="222"/>
  <c r="I17" i="222" s="1"/>
  <c r="L35" i="222"/>
  <c r="E35" i="222"/>
  <c r="I39" i="227"/>
  <c r="L37" i="228"/>
  <c r="L17" i="227"/>
  <c r="F23" i="222"/>
  <c r="I23" i="222" s="1"/>
  <c r="L22" i="232"/>
  <c r="E22" i="232"/>
  <c r="I31" i="228"/>
  <c r="E45" i="232"/>
  <c r="L45" i="232"/>
  <c r="E46" i="232"/>
  <c r="L46" i="232"/>
  <c r="L36" i="227"/>
  <c r="L39" i="226"/>
  <c r="E17" i="222"/>
  <c r="L17" i="222"/>
  <c r="F54" i="232"/>
  <c r="K7" i="15"/>
  <c r="E33" i="222"/>
  <c r="L33" i="222"/>
  <c r="E29" i="222"/>
  <c r="L29" i="222"/>
  <c r="L18" i="228"/>
  <c r="L20" i="222"/>
  <c r="E20" i="222"/>
  <c r="I33" i="228"/>
  <c r="H184" i="92"/>
  <c r="I17" i="228"/>
  <c r="E39" i="232"/>
  <c r="L39" i="232"/>
  <c r="Q29" i="139"/>
  <c r="O29" i="139"/>
  <c r="P29" i="139" s="1"/>
  <c r="L35" i="228"/>
  <c r="F24" i="232"/>
  <c r="L38" i="227"/>
  <c r="E21" i="222"/>
  <c r="L21" i="222"/>
  <c r="I37" i="226"/>
  <c r="I39" i="228"/>
  <c r="Q30" i="139"/>
  <c r="O30" i="139"/>
  <c r="P30" i="139" s="1"/>
  <c r="F42" i="232"/>
  <c r="L31" i="222"/>
  <c r="E31" i="222"/>
  <c r="F22" i="232"/>
  <c r="L36" i="226"/>
  <c r="F26" i="222"/>
  <c r="I26" i="222" s="1"/>
  <c r="F18" i="222"/>
  <c r="I18" i="222" s="1"/>
  <c r="E30" i="222"/>
  <c r="L30" i="222"/>
  <c r="M29" i="139"/>
  <c r="N29" i="139" s="1"/>
  <c r="L34" i="228"/>
  <c r="F53" i="232"/>
  <c r="M33" i="139"/>
  <c r="N33" i="139" s="1"/>
  <c r="F47" i="232"/>
  <c r="L43" i="232"/>
  <c r="E43" i="232"/>
  <c r="F25" i="232"/>
  <c r="F23" i="232"/>
  <c r="L40" i="226"/>
  <c r="E53" i="232"/>
  <c r="L53" i="232"/>
  <c r="I38" i="226"/>
  <c r="F22" i="222"/>
  <c r="I22" i="222" s="1"/>
  <c r="E18" i="222"/>
  <c r="L18" i="222"/>
  <c r="L26" i="222"/>
  <c r="E26" i="222"/>
  <c r="F43" i="232"/>
  <c r="F21" i="222"/>
  <c r="I21" i="222" s="1"/>
  <c r="E23" i="222"/>
  <c r="L23" i="222"/>
  <c r="I38" i="227"/>
  <c r="L17" i="228"/>
  <c r="I16" i="228"/>
  <c r="O33" i="139"/>
  <c r="P33" i="139" s="1"/>
  <c r="Q33" i="139"/>
  <c r="F28" i="222"/>
  <c r="I28" i="222" s="1"/>
  <c r="F39" i="232"/>
  <c r="L32" i="228"/>
  <c r="F51" i="232"/>
  <c r="I43" i="232" l="1"/>
  <c r="G43" i="232"/>
  <c r="I53" i="232"/>
  <c r="G53" i="232"/>
  <c r="I22" i="232"/>
  <c r="G22" i="232"/>
  <c r="I49" i="232"/>
  <c r="G49" i="232"/>
  <c r="I46" i="232"/>
  <c r="G46" i="232"/>
  <c r="I39" i="232"/>
  <c r="G39" i="232"/>
  <c r="I23" i="232"/>
  <c r="G23" i="232"/>
  <c r="I52" i="232"/>
  <c r="G52" i="232"/>
  <c r="I50" i="232"/>
  <c r="G50" i="232"/>
  <c r="I24" i="232"/>
  <c r="G24" i="232"/>
  <c r="I44" i="232"/>
  <c r="G44" i="232"/>
  <c r="I40" i="232"/>
  <c r="G40" i="232"/>
  <c r="I47" i="232"/>
  <c r="G47" i="232"/>
  <c r="I25" i="232"/>
  <c r="G25" i="232"/>
  <c r="I42" i="232"/>
  <c r="G42" i="232"/>
  <c r="I51" i="232"/>
  <c r="G51" i="232"/>
  <c r="I54" i="232"/>
  <c r="G54" i="232"/>
  <c r="I45" i="232"/>
  <c r="G45" i="232"/>
  <c r="I48" i="232"/>
  <c r="G48" i="232"/>
  <c r="I20" i="232"/>
  <c r="G20" i="232"/>
  <c r="I41" i="232"/>
  <c r="G41" i="232"/>
  <c r="I19" i="232"/>
  <c r="G19" i="232"/>
  <c r="I21" i="232"/>
  <c r="G21" i="232"/>
  <c r="D11" i="31"/>
  <c r="L46" i="139"/>
  <c r="Q46" i="139" s="1"/>
  <c r="F20" i="25"/>
  <c r="G20" i="25" s="1"/>
  <c r="F18" i="25"/>
  <c r="G18" i="25" s="1"/>
  <c r="F24" i="25"/>
  <c r="G24" i="25" s="1"/>
  <c r="F23" i="25"/>
  <c r="G23" i="25" s="1"/>
  <c r="V15" i="242" l="1"/>
  <c r="V17" i="242"/>
  <c r="D13" i="45"/>
  <c r="B15" i="257" s="1"/>
  <c r="H11" i="47"/>
  <c r="H26" i="47"/>
  <c r="H25" i="47"/>
  <c r="H24" i="47"/>
  <c r="F9" i="25" l="1"/>
  <c r="G9" i="25" s="1"/>
  <c r="F8" i="25"/>
  <c r="G8" i="25" s="1"/>
  <c r="H17" i="47"/>
  <c r="H8" i="47"/>
  <c r="H10" i="47"/>
  <c r="H19" i="47"/>
  <c r="H13" i="47"/>
  <c r="H15" i="47"/>
  <c r="H14" i="47"/>
  <c r="H22" i="47"/>
  <c r="H20" i="47"/>
  <c r="H12" i="47"/>
  <c r="H21" i="47"/>
  <c r="H18" i="47"/>
  <c r="H16" i="47"/>
  <c r="H9" i="47"/>
  <c r="H23" i="47"/>
  <c r="H34" i="43"/>
  <c r="D15" i="249" l="1"/>
  <c r="F15" i="249" l="1"/>
  <c r="G15" i="249" s="1"/>
  <c r="D16" i="249"/>
  <c r="A2" i="163"/>
  <c r="A1" i="232"/>
  <c r="F16" i="249" l="1"/>
  <c r="G16" i="249" s="1"/>
  <c r="M8" i="229"/>
  <c r="G8" i="229"/>
  <c r="S8" i="229"/>
  <c r="H7" i="47"/>
  <c r="D20" i="249"/>
  <c r="F20" i="249" l="1"/>
  <c r="G20" i="249" s="1"/>
  <c r="AC8" i="229"/>
  <c r="AD8" i="229" s="1"/>
  <c r="S9" i="229"/>
  <c r="D23" i="249"/>
  <c r="F23" i="249" l="1"/>
  <c r="G23" i="249" s="1"/>
  <c r="L19" i="227"/>
  <c r="I19" i="227" l="1"/>
  <c r="M7" i="209" l="1"/>
  <c r="I10" i="213"/>
  <c r="N7" i="207"/>
  <c r="B10" i="211"/>
  <c r="B10" i="163" s="1"/>
  <c r="N7" i="209"/>
  <c r="M10" i="247"/>
  <c r="E7" i="214" l="1"/>
  <c r="E9" i="221"/>
  <c r="E6" i="214"/>
  <c r="B23" i="216"/>
  <c r="E6" i="25"/>
  <c r="E6" i="226"/>
  <c r="E6" i="109"/>
  <c r="E8" i="214"/>
  <c r="O7" i="209"/>
  <c r="H16" i="92" l="1"/>
  <c r="H12" i="92"/>
  <c r="E10" i="233"/>
  <c r="H40" i="92"/>
  <c r="E25" i="233"/>
  <c r="E12" i="146"/>
  <c r="H7" i="151"/>
  <c r="K22" i="60" l="1"/>
  <c r="H13" i="92" l="1"/>
  <c r="H41" i="92"/>
  <c r="H18" i="92"/>
  <c r="H15" i="92"/>
  <c r="H17" i="92"/>
  <c r="H14" i="92"/>
  <c r="H19" i="92"/>
  <c r="B14" i="2"/>
  <c r="R49" i="242" s="1"/>
  <c r="B14" i="47"/>
  <c r="B17" i="246"/>
  <c r="B17" i="247"/>
  <c r="AP2" i="170"/>
  <c r="B12" i="137"/>
  <c r="B29" i="139"/>
  <c r="B6" i="170"/>
  <c r="CA6" i="170" s="1"/>
  <c r="B8" i="170"/>
  <c r="B31" i="139"/>
  <c r="B10" i="247"/>
  <c r="B5" i="137"/>
  <c r="B7" i="47"/>
  <c r="B10" i="246"/>
  <c r="B7" i="2"/>
  <c r="R42" i="242" s="1"/>
  <c r="E2" i="170"/>
  <c r="R97" i="242"/>
  <c r="B7" i="245"/>
  <c r="B30" i="139"/>
  <c r="B7" i="170"/>
  <c r="AT7" i="170" l="1"/>
  <c r="CA7" i="170"/>
  <c r="AT8" i="170"/>
  <c r="CA8" i="170"/>
  <c r="AI6" i="170"/>
  <c r="AT6" i="170"/>
  <c r="CL7" i="170"/>
  <c r="AI7" i="170"/>
  <c r="CL8" i="170"/>
  <c r="AI8" i="170"/>
  <c r="BE7" i="170"/>
  <c r="BP7" i="170"/>
  <c r="BP8" i="170"/>
  <c r="BE8" i="170"/>
  <c r="X7" i="170"/>
  <c r="X8" i="170"/>
  <c r="M7" i="170"/>
  <c r="M8" i="170"/>
  <c r="L6" i="226"/>
  <c r="F6" i="226"/>
  <c r="CW8" i="170"/>
  <c r="DH8" i="170"/>
  <c r="BE6" i="170"/>
  <c r="CW6" i="170"/>
  <c r="CL6" i="170"/>
  <c r="X6" i="170"/>
  <c r="DH6" i="170"/>
  <c r="BP6" i="170"/>
  <c r="M6" i="170"/>
  <c r="DH7" i="170"/>
  <c r="CW7" i="170"/>
  <c r="I6" i="226" l="1"/>
  <c r="G6" i="226"/>
  <c r="F6" i="31"/>
  <c r="G6" i="31" s="1"/>
  <c r="B23" i="212"/>
  <c r="O14" i="192"/>
  <c r="I44" i="189"/>
  <c r="J44" i="189" s="1"/>
  <c r="K6" i="189"/>
  <c r="L6" i="189" s="1"/>
  <c r="K44" i="189"/>
  <c r="L44" i="189" s="1"/>
  <c r="I19" i="223" l="1"/>
  <c r="R93" i="242"/>
  <c r="B23" i="134"/>
  <c r="L7" i="245" l="1"/>
  <c r="F6" i="25"/>
  <c r="G6" i="25" s="1"/>
  <c r="B26" i="109" l="1"/>
  <c r="F8" i="256"/>
  <c r="B31" i="214"/>
  <c r="D19" i="78"/>
  <c r="C63" i="78"/>
  <c r="A45" i="78"/>
  <c r="D59" i="78"/>
  <c r="B28" i="78"/>
  <c r="F25" i="78"/>
  <c r="B16" i="78"/>
  <c r="B20" i="78"/>
  <c r="C49" i="78"/>
  <c r="C25" i="78"/>
  <c r="C33" i="78"/>
  <c r="D45" i="78"/>
  <c r="E32" i="78"/>
  <c r="A54" i="78"/>
  <c r="A55" i="78"/>
  <c r="F32" i="78"/>
  <c r="A7" i="78"/>
  <c r="D42" i="78"/>
  <c r="A51" i="78"/>
  <c r="D54" i="78"/>
  <c r="B57" i="78"/>
  <c r="A61" i="78"/>
  <c r="A60" i="78"/>
  <c r="D39" i="78"/>
  <c r="F33" i="78"/>
  <c r="D15" i="78"/>
  <c r="D32" i="78"/>
  <c r="C58" i="78"/>
  <c r="D33" i="78"/>
  <c r="F31" i="78"/>
  <c r="E31" i="78"/>
  <c r="B43" i="78"/>
  <c r="D30" i="78"/>
  <c r="D20" i="78"/>
  <c r="B17" i="78"/>
  <c r="B63" i="78"/>
  <c r="B33" i="78"/>
  <c r="F30" i="78"/>
  <c r="A50" i="78"/>
  <c r="K13" i="216"/>
  <c r="A63" i="78"/>
  <c r="B11" i="78"/>
  <c r="B47" i="78"/>
  <c r="C38" i="78"/>
  <c r="F27" i="78"/>
  <c r="D47" i="78"/>
  <c r="C48" i="78"/>
  <c r="C45" i="78"/>
  <c r="C62" i="78"/>
  <c r="B52" i="78"/>
  <c r="A42" i="78"/>
  <c r="B61" i="78"/>
  <c r="K9" i="216"/>
  <c r="D44" i="78"/>
  <c r="D53" i="78"/>
  <c r="B64" i="78"/>
  <c r="J11" i="216"/>
  <c r="B54" i="78"/>
  <c r="D38" i="78"/>
  <c r="E25" i="78"/>
  <c r="D46" i="78"/>
  <c r="A66" i="78"/>
  <c r="C42" i="78"/>
  <c r="B29" i="78"/>
  <c r="B49" i="78"/>
  <c r="C60" i="78"/>
  <c r="C41" i="78"/>
  <c r="C31" i="78"/>
  <c r="C47" i="78"/>
  <c r="C26" i="78"/>
  <c r="A56" i="78"/>
  <c r="J9" i="216"/>
  <c r="D61" i="78"/>
  <c r="D60" i="78"/>
  <c r="A40" i="78"/>
  <c r="C32" i="78"/>
  <c r="B27" i="78"/>
  <c r="F34" i="78"/>
  <c r="C34" i="78"/>
  <c r="A58" i="78"/>
  <c r="C64" i="78"/>
  <c r="A62" i="78"/>
  <c r="F29" i="78"/>
  <c r="B39" i="78"/>
  <c r="C57" i="78"/>
  <c r="D11" i="78"/>
  <c r="D66" i="78"/>
  <c r="B58" i="78"/>
  <c r="A49" i="78"/>
  <c r="J13" i="216"/>
  <c r="C43" i="78"/>
  <c r="B46" i="78"/>
  <c r="B55" i="78"/>
  <c r="B65" i="78"/>
  <c r="A48" i="78"/>
  <c r="D26" i="78"/>
  <c r="D50" i="78"/>
  <c r="B30" i="78"/>
  <c r="A46" i="78"/>
  <c r="D25" i="78"/>
  <c r="K11" i="216"/>
  <c r="D55" i="78"/>
  <c r="B26" i="78"/>
  <c r="A57" i="78"/>
  <c r="C28" i="78"/>
  <c r="D34" i="78"/>
  <c r="C50" i="78"/>
  <c r="B66" i="78"/>
  <c r="B62" i="78"/>
  <c r="B41" i="78"/>
  <c r="C51" i="78"/>
  <c r="B50" i="78"/>
  <c r="A47" i="78"/>
  <c r="D40" i="78"/>
  <c r="C59" i="78"/>
  <c r="F26" i="78"/>
  <c r="D29" i="78"/>
  <c r="D14" i="78"/>
  <c r="C7" i="100"/>
  <c r="D31" i="78"/>
  <c r="B48" i="78"/>
  <c r="C46" i="78"/>
  <c r="B38" i="78"/>
  <c r="D13" i="78"/>
  <c r="C53" i="78"/>
  <c r="D52" i="78"/>
  <c r="E29" i="78"/>
  <c r="C61" i="78"/>
  <c r="B42" i="78"/>
  <c r="B44" i="78"/>
  <c r="B34" i="78"/>
  <c r="A39" i="78"/>
  <c r="D41" i="78"/>
  <c r="B12" i="78"/>
  <c r="D18" i="78"/>
  <c r="C66" i="78"/>
  <c r="C65" i="78"/>
  <c r="C56" i="78"/>
  <c r="D27" i="78"/>
  <c r="C44" i="78"/>
  <c r="K12" i="216"/>
  <c r="E26" i="78"/>
  <c r="E27" i="78"/>
  <c r="C30" i="78"/>
  <c r="E34" i="78"/>
  <c r="A43" i="78"/>
  <c r="D62" i="78"/>
  <c r="C39" i="78"/>
  <c r="B45" i="78"/>
  <c r="J12" i="216"/>
  <c r="B13" i="78"/>
  <c r="B14" i="78"/>
  <c r="K10" i="216"/>
  <c r="B7" i="100"/>
  <c r="J10" i="216"/>
  <c r="B40" i="78"/>
  <c r="B56" i="78"/>
  <c r="F28" i="78"/>
  <c r="D16" i="78"/>
  <c r="E28" i="78"/>
  <c r="B60" i="78"/>
  <c r="B19" i="78"/>
  <c r="B53" i="78"/>
  <c r="D56" i="78"/>
  <c r="D65" i="78"/>
  <c r="C55" i="78"/>
  <c r="D17" i="78"/>
  <c r="B25" i="78"/>
  <c r="B32" i="78"/>
  <c r="A44" i="78"/>
  <c r="B59" i="78"/>
  <c r="D51" i="78"/>
  <c r="A52" i="78"/>
  <c r="D12" i="78"/>
  <c r="D28" i="78"/>
  <c r="A65" i="78"/>
  <c r="E30" i="78"/>
  <c r="A64" i="78"/>
  <c r="C52" i="78"/>
  <c r="D48" i="78"/>
  <c r="A41" i="78"/>
  <c r="B31" i="78"/>
  <c r="A38" i="78"/>
  <c r="D64" i="78"/>
  <c r="B15" i="78"/>
  <c r="C40" i="78"/>
  <c r="A53" i="78"/>
  <c r="C29" i="78"/>
  <c r="E33" i="78"/>
  <c r="B51" i="78"/>
  <c r="C27" i="78"/>
  <c r="C54" i="78"/>
  <c r="D49" i="78"/>
  <c r="D58" i="78"/>
  <c r="B18" i="78"/>
  <c r="D57" i="78"/>
  <c r="D63" i="78"/>
  <c r="D43" i="78"/>
  <c r="A59" i="78"/>
  <c r="F23" i="35" l="1"/>
  <c r="F167" i="35"/>
  <c r="F77" i="35"/>
  <c r="F149" i="35"/>
  <c r="F95" i="35"/>
  <c r="F41" i="35"/>
  <c r="F131" i="35"/>
  <c r="F185" i="35"/>
  <c r="F113" i="35"/>
  <c r="F59" i="35"/>
  <c r="M26" i="109"/>
  <c r="M21" i="109"/>
  <c r="M22" i="109"/>
  <c r="M23" i="109"/>
  <c r="M25" i="109"/>
  <c r="M24" i="109"/>
  <c r="M17" i="109"/>
  <c r="M10" i="109"/>
  <c r="M15" i="109"/>
  <c r="M11" i="109"/>
  <c r="M14" i="109"/>
  <c r="M12" i="109"/>
  <c r="M6" i="109"/>
  <c r="M13" i="109"/>
  <c r="M8" i="109"/>
  <c r="M9" i="109"/>
  <c r="M20" i="109"/>
  <c r="M19" i="109"/>
  <c r="M7" i="109"/>
  <c r="M18" i="109"/>
  <c r="M16" i="109"/>
  <c r="F6" i="35"/>
  <c r="M28" i="214"/>
  <c r="M24" i="214"/>
  <c r="M20" i="214"/>
  <c r="M16" i="214"/>
  <c r="M12" i="214"/>
  <c r="M8" i="214"/>
  <c r="M27" i="214"/>
  <c r="M23" i="214"/>
  <c r="M19" i="214"/>
  <c r="M15" i="214"/>
  <c r="M11" i="214"/>
  <c r="M7" i="214"/>
  <c r="M30" i="214"/>
  <c r="M26" i="214"/>
  <c r="M22" i="214"/>
  <c r="M18" i="214"/>
  <c r="M14" i="214"/>
  <c r="M10" i="214"/>
  <c r="M6" i="214"/>
  <c r="M29" i="214"/>
  <c r="M25" i="214"/>
  <c r="M21" i="214"/>
  <c r="M17" i="214"/>
  <c r="M13" i="214"/>
  <c r="M9" i="214"/>
  <c r="B4" i="79"/>
  <c r="E20" i="226"/>
  <c r="B31" i="219"/>
  <c r="E31" i="219" s="1"/>
  <c r="E21" i="221"/>
  <c r="L21" i="221"/>
  <c r="E40" i="221"/>
  <c r="L40" i="221"/>
  <c r="C23" i="47"/>
  <c r="E23" i="47" s="1"/>
  <c r="P11" i="216"/>
  <c r="E19" i="214"/>
  <c r="E36" i="221"/>
  <c r="L36" i="221"/>
  <c r="L18" i="226"/>
  <c r="H45" i="92"/>
  <c r="I63" i="151"/>
  <c r="N63" i="151"/>
  <c r="H116" i="92"/>
  <c r="H77" i="92"/>
  <c r="F16" i="222"/>
  <c r="I16" i="222" s="1"/>
  <c r="E8" i="25"/>
  <c r="I119" i="92"/>
  <c r="E179" i="92"/>
  <c r="H145" i="92"/>
  <c r="D11" i="240"/>
  <c r="N149" i="151"/>
  <c r="I149" i="151"/>
  <c r="I17" i="247"/>
  <c r="R17" i="247" s="1"/>
  <c r="Q17" i="247"/>
  <c r="W17" i="247" s="1"/>
  <c r="I93" i="92"/>
  <c r="I25" i="100"/>
  <c r="E11" i="232"/>
  <c r="L11" i="232"/>
  <c r="X11" i="209"/>
  <c r="P16" i="247"/>
  <c r="V16" i="247" s="1"/>
  <c r="H16" i="151"/>
  <c r="E5" i="229"/>
  <c r="F28" i="246"/>
  <c r="O28" i="246" s="1"/>
  <c r="N28" i="246"/>
  <c r="E10" i="192"/>
  <c r="F43" i="220"/>
  <c r="I43" i="220" s="1"/>
  <c r="I178" i="92"/>
  <c r="H13" i="151"/>
  <c r="F30" i="233"/>
  <c r="G30" i="233" s="1"/>
  <c r="F11" i="220"/>
  <c r="I11" i="220" s="1"/>
  <c r="I51" i="92"/>
  <c r="I40" i="151"/>
  <c r="N40" i="151"/>
  <c r="I158" i="92"/>
  <c r="H149" i="92"/>
  <c r="I82" i="151"/>
  <c r="N82" i="151"/>
  <c r="H123" i="151"/>
  <c r="H162" i="92"/>
  <c r="H154" i="92"/>
  <c r="I79" i="92"/>
  <c r="I49" i="92"/>
  <c r="I17" i="100"/>
  <c r="I18" i="247"/>
  <c r="R18" i="247" s="1"/>
  <c r="Q18" i="247"/>
  <c r="W18" i="247" s="1"/>
  <c r="H35" i="151"/>
  <c r="C9" i="134"/>
  <c r="E9" i="134" s="1"/>
  <c r="O9" i="212"/>
  <c r="N9" i="212"/>
  <c r="C8" i="134"/>
  <c r="E8" i="134" s="1"/>
  <c r="N8" i="212"/>
  <c r="O8" i="212"/>
  <c r="F20" i="247"/>
  <c r="O20" i="247" s="1"/>
  <c r="N20" i="247"/>
  <c r="F22" i="246"/>
  <c r="O22" i="246" s="1"/>
  <c r="N22" i="246"/>
  <c r="H40" i="151"/>
  <c r="F16" i="221"/>
  <c r="I16" i="221" s="1"/>
  <c r="F36" i="232"/>
  <c r="I175" i="92"/>
  <c r="I104" i="151"/>
  <c r="N104" i="151"/>
  <c r="H143" i="92"/>
  <c r="B14" i="190"/>
  <c r="D6" i="190"/>
  <c r="F38" i="233"/>
  <c r="G38" i="233" s="1"/>
  <c r="L27" i="232"/>
  <c r="E27" i="232"/>
  <c r="N97" i="151"/>
  <c r="I97" i="151"/>
  <c r="H153" i="92"/>
  <c r="P14" i="247"/>
  <c r="V14" i="247" s="1"/>
  <c r="F11" i="221"/>
  <c r="I11" i="221" s="1"/>
  <c r="I137" i="92"/>
  <c r="F35" i="220"/>
  <c r="I35" i="220" s="1"/>
  <c r="L38" i="220"/>
  <c r="E38" i="220"/>
  <c r="E8" i="226"/>
  <c r="E10" i="239"/>
  <c r="V11" i="35"/>
  <c r="W11" i="35" s="1"/>
  <c r="H32" i="233"/>
  <c r="E32" i="233"/>
  <c r="E20" i="214"/>
  <c r="H36" i="151"/>
  <c r="C12" i="134"/>
  <c r="E12" i="134" s="1"/>
  <c r="H113" i="151"/>
  <c r="M16" i="207"/>
  <c r="I44" i="92"/>
  <c r="I22" i="247"/>
  <c r="R22" i="247" s="1"/>
  <c r="Q22" i="247"/>
  <c r="W22" i="247" s="1"/>
  <c r="E20" i="220"/>
  <c r="L20" i="220"/>
  <c r="V8" i="229"/>
  <c r="W8" i="229" s="1"/>
  <c r="L45" i="220"/>
  <c r="E45" i="220"/>
  <c r="H69" i="92"/>
  <c r="N66" i="151"/>
  <c r="I66" i="151"/>
  <c r="H124" i="151"/>
  <c r="F19" i="247"/>
  <c r="O19" i="247" s="1"/>
  <c r="N19" i="247"/>
  <c r="H120" i="151"/>
  <c r="L38" i="232"/>
  <c r="E38" i="232"/>
  <c r="H10" i="92"/>
  <c r="H63" i="92"/>
  <c r="H92" i="151"/>
  <c r="F24" i="246"/>
  <c r="O24" i="246" s="1"/>
  <c r="N24" i="246"/>
  <c r="E38" i="221"/>
  <c r="L38" i="221"/>
  <c r="F27" i="233"/>
  <c r="G27" i="233" s="1"/>
  <c r="L14" i="232"/>
  <c r="E14" i="232"/>
  <c r="I72" i="151"/>
  <c r="E11" i="192"/>
  <c r="I55" i="151"/>
  <c r="N55" i="151"/>
  <c r="P23" i="247"/>
  <c r="V23" i="247" s="1"/>
  <c r="H103" i="92"/>
  <c r="N140" i="151"/>
  <c r="I140" i="151"/>
  <c r="E7" i="226"/>
  <c r="L29" i="220"/>
  <c r="E29" i="220"/>
  <c r="L10" i="232"/>
  <c r="E10" i="232"/>
  <c r="F57" i="232"/>
  <c r="L29" i="232"/>
  <c r="E29" i="232"/>
  <c r="L16" i="226"/>
  <c r="I29" i="218"/>
  <c r="R8" i="5"/>
  <c r="G13" i="190"/>
  <c r="H127" i="92"/>
  <c r="M13" i="247"/>
  <c r="D13" i="190"/>
  <c r="I23" i="214"/>
  <c r="E34" i="233"/>
  <c r="H34" i="233"/>
  <c r="H166" i="151"/>
  <c r="F44" i="220"/>
  <c r="I44" i="220" s="1"/>
  <c r="F20" i="220"/>
  <c r="I20" i="220" s="1"/>
  <c r="F17" i="246"/>
  <c r="O17" i="246" s="1"/>
  <c r="N17" i="246"/>
  <c r="I29" i="247"/>
  <c r="R29" i="247" s="1"/>
  <c r="Q29" i="247"/>
  <c r="W29" i="247" s="1"/>
  <c r="O17" i="207"/>
  <c r="N17" i="207"/>
  <c r="X6" i="229"/>
  <c r="Y6" i="229" s="1"/>
  <c r="N146" i="151"/>
  <c r="I146" i="151"/>
  <c r="H97" i="92"/>
  <c r="L11" i="216"/>
  <c r="R11" i="216" s="1"/>
  <c r="Q11" i="216"/>
  <c r="H57" i="151"/>
  <c r="R7" i="5"/>
  <c r="H105" i="151"/>
  <c r="F30" i="221"/>
  <c r="I30" i="221" s="1"/>
  <c r="H27" i="151"/>
  <c r="M17" i="246"/>
  <c r="E22" i="214"/>
  <c r="F18" i="221"/>
  <c r="I18" i="221" s="1"/>
  <c r="H133" i="151"/>
  <c r="H20" i="223"/>
  <c r="I22" i="246"/>
  <c r="R22" i="246" s="1"/>
  <c r="Q22" i="246"/>
  <c r="W22" i="246" s="1"/>
  <c r="I110" i="92"/>
  <c r="I12" i="92"/>
  <c r="M9" i="207"/>
  <c r="I46" i="151"/>
  <c r="F76" i="151"/>
  <c r="I76" i="151" s="1"/>
  <c r="N46" i="151"/>
  <c r="P10" i="247"/>
  <c r="V10" i="247" s="1"/>
  <c r="B11" i="2"/>
  <c r="R46" i="242" s="1"/>
  <c r="B9" i="137"/>
  <c r="F9" i="137" s="1"/>
  <c r="K31" i="257" s="1"/>
  <c r="AA2" i="170"/>
  <c r="B14" i="247"/>
  <c r="B11" i="47"/>
  <c r="K11" i="47" s="1"/>
  <c r="B14" i="246"/>
  <c r="H36" i="92"/>
  <c r="H26" i="233"/>
  <c r="E26" i="233"/>
  <c r="B20" i="216"/>
  <c r="E22" i="237"/>
  <c r="E24" i="237" s="1"/>
  <c r="P13" i="216"/>
  <c r="C15" i="245"/>
  <c r="E15" i="245" s="1"/>
  <c r="I12" i="246"/>
  <c r="R12" i="246" s="1"/>
  <c r="Q12" i="246"/>
  <c r="W12" i="246" s="1"/>
  <c r="L11" i="222"/>
  <c r="E11" i="222"/>
  <c r="L45" i="221"/>
  <c r="E45" i="221"/>
  <c r="F26" i="246"/>
  <c r="O26" i="246" s="1"/>
  <c r="N26" i="246"/>
  <c r="H10" i="15"/>
  <c r="E52" i="221"/>
  <c r="L52" i="221"/>
  <c r="C13" i="211"/>
  <c r="F29" i="233"/>
  <c r="G29" i="233" s="1"/>
  <c r="F14" i="247"/>
  <c r="O14" i="247" s="1"/>
  <c r="N14" i="247"/>
  <c r="M27" i="247"/>
  <c r="F13" i="220"/>
  <c r="I13" i="220" s="1"/>
  <c r="H118" i="151"/>
  <c r="H6" i="15"/>
  <c r="I10" i="190"/>
  <c r="E12" i="109"/>
  <c r="E49" i="221"/>
  <c r="L49" i="221"/>
  <c r="H58" i="92"/>
  <c r="I12" i="213"/>
  <c r="J26" i="83"/>
  <c r="J17" i="83"/>
  <c r="I10" i="100"/>
  <c r="F34" i="220"/>
  <c r="I34" i="220" s="1"/>
  <c r="H92" i="92"/>
  <c r="I170" i="92"/>
  <c r="F28" i="221"/>
  <c r="I28" i="221" s="1"/>
  <c r="L14" i="221"/>
  <c r="E14" i="221"/>
  <c r="I145" i="92"/>
  <c r="I179" i="92"/>
  <c r="F34" i="233"/>
  <c r="G34" i="233" s="1"/>
  <c r="M17" i="207"/>
  <c r="E16" i="214"/>
  <c r="H42" i="92"/>
  <c r="E14" i="239"/>
  <c r="F9" i="221"/>
  <c r="I9" i="221" s="1"/>
  <c r="C53" i="221"/>
  <c r="L12" i="256" s="1"/>
  <c r="X12" i="256" s="1"/>
  <c r="L9" i="221"/>
  <c r="E10" i="226"/>
  <c r="N10" i="151"/>
  <c r="I10" i="151"/>
  <c r="L22" i="221"/>
  <c r="E22" i="221"/>
  <c r="H180" i="151"/>
  <c r="I107" i="92"/>
  <c r="I132" i="92"/>
  <c r="B19" i="216"/>
  <c r="H33" i="233"/>
  <c r="E33" i="233"/>
  <c r="I23" i="218"/>
  <c r="I29" i="151"/>
  <c r="P11" i="211"/>
  <c r="U11" i="211" s="1"/>
  <c r="H22" i="92"/>
  <c r="I112" i="151"/>
  <c r="I20" i="151"/>
  <c r="N20" i="151"/>
  <c r="I61" i="92"/>
  <c r="N14" i="151"/>
  <c r="I14" i="151"/>
  <c r="I11" i="100"/>
  <c r="F48" i="92"/>
  <c r="I6" i="92"/>
  <c r="E10" i="220"/>
  <c r="L10" i="220"/>
  <c r="E10" i="31"/>
  <c r="M18" i="207"/>
  <c r="F24" i="220"/>
  <c r="I24" i="220" s="1"/>
  <c r="H67" i="151"/>
  <c r="N52" i="151"/>
  <c r="I52" i="151"/>
  <c r="D9" i="229"/>
  <c r="G9" i="229" s="1"/>
  <c r="I164" i="151"/>
  <c r="N164" i="151"/>
  <c r="I24" i="214"/>
  <c r="E10" i="109"/>
  <c r="F51" i="220"/>
  <c r="I51" i="220" s="1"/>
  <c r="H161" i="151"/>
  <c r="H139" i="151"/>
  <c r="I14" i="213"/>
  <c r="I23" i="217"/>
  <c r="N143" i="151"/>
  <c r="I143" i="151"/>
  <c r="L13" i="216"/>
  <c r="R13" i="216" s="1"/>
  <c r="Q13" i="216"/>
  <c r="H170" i="151"/>
  <c r="H147" i="151"/>
  <c r="H140" i="151"/>
  <c r="E34" i="220"/>
  <c r="L34" i="220"/>
  <c r="H70" i="92"/>
  <c r="I67" i="151"/>
  <c r="N67" i="151"/>
  <c r="E14" i="226"/>
  <c r="H104" i="92"/>
  <c r="M16" i="247"/>
  <c r="I91" i="92"/>
  <c r="F50" i="220"/>
  <c r="I50" i="220" s="1"/>
  <c r="N80" i="151"/>
  <c r="I80" i="151"/>
  <c r="H28" i="92"/>
  <c r="I157" i="92"/>
  <c r="E49" i="220"/>
  <c r="L49" i="220"/>
  <c r="N103" i="151"/>
  <c r="I103" i="151"/>
  <c r="H108" i="92"/>
  <c r="I19" i="226"/>
  <c r="P23" i="246"/>
  <c r="V23" i="246" s="1"/>
  <c r="N118" i="151"/>
  <c r="I118" i="151"/>
  <c r="F19" i="221"/>
  <c r="I19" i="221" s="1"/>
  <c r="I41" i="92"/>
  <c r="H86" i="151"/>
  <c r="I69" i="92"/>
  <c r="D7" i="190"/>
  <c r="H183" i="151"/>
  <c r="P9" i="215"/>
  <c r="Q9" i="215" s="1"/>
  <c r="I34" i="151"/>
  <c r="H83" i="151"/>
  <c r="V7" i="229"/>
  <c r="W7" i="229" s="1"/>
  <c r="H126" i="92"/>
  <c r="E22" i="25"/>
  <c r="H37" i="92"/>
  <c r="H115" i="92"/>
  <c r="H52" i="92"/>
  <c r="F29" i="221"/>
  <c r="I29" i="221" s="1"/>
  <c r="J24" i="83"/>
  <c r="E25" i="214"/>
  <c r="M14" i="207"/>
  <c r="C11" i="211"/>
  <c r="H52" i="151"/>
  <c r="H21" i="15"/>
  <c r="C7" i="47"/>
  <c r="E7" i="47" s="1"/>
  <c r="X9" i="209"/>
  <c r="I20" i="214"/>
  <c r="I18" i="100"/>
  <c r="H76" i="92"/>
  <c r="L15" i="220"/>
  <c r="E15" i="220"/>
  <c r="I112" i="92"/>
  <c r="H16" i="15"/>
  <c r="G10" i="190"/>
  <c r="H167" i="151"/>
  <c r="H89" i="92"/>
  <c r="J12" i="213"/>
  <c r="M12" i="213" s="1"/>
  <c r="L18" i="220"/>
  <c r="E18" i="220"/>
  <c r="I94" i="151"/>
  <c r="N94" i="151"/>
  <c r="E34" i="221"/>
  <c r="L34" i="221"/>
  <c r="H131" i="92"/>
  <c r="E47" i="221"/>
  <c r="L47" i="221"/>
  <c r="L9" i="216"/>
  <c r="R9" i="216" s="1"/>
  <c r="Q9" i="216"/>
  <c r="N23" i="246"/>
  <c r="F23" i="246"/>
  <c r="O23" i="246" s="1"/>
  <c r="I144" i="92"/>
  <c r="I82" i="92"/>
  <c r="H22" i="237"/>
  <c r="H24" i="237" s="1"/>
  <c r="H168" i="92"/>
  <c r="E7" i="109"/>
  <c r="E23" i="221"/>
  <c r="L23" i="221"/>
  <c r="P14" i="246"/>
  <c r="V14" i="246" s="1"/>
  <c r="I126" i="92"/>
  <c r="C18" i="245"/>
  <c r="E18" i="245" s="1"/>
  <c r="F50" i="221"/>
  <c r="I50" i="221" s="1"/>
  <c r="H107" i="92"/>
  <c r="I26" i="100"/>
  <c r="H61" i="92"/>
  <c r="N9" i="207"/>
  <c r="O9" i="207"/>
  <c r="L37" i="222"/>
  <c r="E37" i="222"/>
  <c r="I62" i="151"/>
  <c r="N62" i="151"/>
  <c r="E7" i="129"/>
  <c r="H128" i="92"/>
  <c r="N61" i="151"/>
  <c r="I61" i="151"/>
  <c r="I28" i="92"/>
  <c r="E6" i="232"/>
  <c r="E26" i="232"/>
  <c r="L6" i="232"/>
  <c r="C16" i="245"/>
  <c r="E16" i="245" s="1"/>
  <c r="I23" i="246"/>
  <c r="R23" i="246" s="1"/>
  <c r="Q23" i="246"/>
  <c r="W23" i="246" s="1"/>
  <c r="M17" i="247"/>
  <c r="H165" i="151"/>
  <c r="B31" i="217"/>
  <c r="C18" i="134"/>
  <c r="E18" i="134" s="1"/>
  <c r="E9" i="232"/>
  <c r="L9" i="232"/>
  <c r="I116" i="151"/>
  <c r="C19" i="134"/>
  <c r="E19" i="134" s="1"/>
  <c r="I135" i="151"/>
  <c r="N135" i="151"/>
  <c r="L33" i="227"/>
  <c r="H94" i="92"/>
  <c r="E27" i="109"/>
  <c r="I86" i="92"/>
  <c r="H129" i="92"/>
  <c r="I173" i="92"/>
  <c r="I14" i="92"/>
  <c r="E30" i="226"/>
  <c r="M15" i="207"/>
  <c r="H68" i="92"/>
  <c r="H177" i="92"/>
  <c r="X16" i="209"/>
  <c r="C11" i="245"/>
  <c r="E11" i="245" s="1"/>
  <c r="N91" i="151"/>
  <c r="I91" i="151"/>
  <c r="J16" i="83"/>
  <c r="I105" i="151"/>
  <c r="F12" i="220"/>
  <c r="I12" i="220" s="1"/>
  <c r="I135" i="92"/>
  <c r="H106" i="151"/>
  <c r="I25" i="217"/>
  <c r="H107" i="151"/>
  <c r="P20" i="247"/>
  <c r="V20" i="247" s="1"/>
  <c r="E7" i="229"/>
  <c r="E18" i="25"/>
  <c r="I115" i="151"/>
  <c r="M27" i="246"/>
  <c r="E57" i="232"/>
  <c r="X11" i="35"/>
  <c r="Y11" i="35" s="1"/>
  <c r="I47" i="92"/>
  <c r="H38" i="92"/>
  <c r="E7" i="232"/>
  <c r="L7" i="232"/>
  <c r="I37" i="92"/>
  <c r="E28" i="226"/>
  <c r="E13" i="233"/>
  <c r="H13" i="233"/>
  <c r="E16" i="222"/>
  <c r="L16" i="222"/>
  <c r="I9" i="92"/>
  <c r="F18" i="232"/>
  <c r="H19" i="15"/>
  <c r="I81" i="151"/>
  <c r="N81" i="151"/>
  <c r="H18" i="151"/>
  <c r="S8" i="5"/>
  <c r="T8" i="5"/>
  <c r="I180" i="92"/>
  <c r="I118" i="92"/>
  <c r="E32" i="221"/>
  <c r="L32" i="221"/>
  <c r="H7" i="15"/>
  <c r="H9" i="92"/>
  <c r="C20" i="47"/>
  <c r="E20" i="47" s="1"/>
  <c r="L37" i="221"/>
  <c r="E37" i="221"/>
  <c r="C15" i="134"/>
  <c r="E15" i="134" s="1"/>
  <c r="I183" i="151"/>
  <c r="F31" i="220"/>
  <c r="I31" i="220" s="1"/>
  <c r="I165" i="151"/>
  <c r="N165" i="151"/>
  <c r="E33" i="226"/>
  <c r="L33" i="226"/>
  <c r="I106" i="92"/>
  <c r="I111" i="151"/>
  <c r="I133" i="151"/>
  <c r="N133" i="151"/>
  <c r="H62" i="92"/>
  <c r="H171" i="151"/>
  <c r="M12" i="211"/>
  <c r="H153" i="151"/>
  <c r="E52" i="220"/>
  <c r="L52" i="220"/>
  <c r="H147" i="92"/>
  <c r="E29" i="226"/>
  <c r="I18" i="92"/>
  <c r="E17" i="223"/>
  <c r="G17" i="223"/>
  <c r="F17" i="223"/>
  <c r="F38" i="220"/>
  <c r="I38" i="220" s="1"/>
  <c r="H91" i="151"/>
  <c r="H11" i="92"/>
  <c r="H24" i="92"/>
  <c r="E23" i="226"/>
  <c r="J30" i="83"/>
  <c r="I157" i="151"/>
  <c r="N157" i="151"/>
  <c r="I124" i="151"/>
  <c r="N124" i="151"/>
  <c r="H9" i="151"/>
  <c r="F30" i="220"/>
  <c r="I30" i="220" s="1"/>
  <c r="H55" i="151"/>
  <c r="H42" i="151"/>
  <c r="F14" i="222"/>
  <c r="I14" i="222" s="1"/>
  <c r="M24" i="247"/>
  <c r="I89" i="92"/>
  <c r="F32" i="221"/>
  <c r="I32" i="221" s="1"/>
  <c r="F15" i="232"/>
  <c r="I9" i="229"/>
  <c r="V5" i="229"/>
  <c r="W5" i="229" s="1"/>
  <c r="I152" i="92"/>
  <c r="H21" i="92"/>
  <c r="M20" i="246"/>
  <c r="H19" i="151"/>
  <c r="E20" i="25"/>
  <c r="H19" i="233"/>
  <c r="E19" i="233"/>
  <c r="M15" i="246"/>
  <c r="L14" i="220"/>
  <c r="E14" i="220"/>
  <c r="E54" i="220"/>
  <c r="F12" i="221"/>
  <c r="I12" i="221" s="1"/>
  <c r="H109" i="92"/>
  <c r="F7" i="232"/>
  <c r="H12" i="15"/>
  <c r="E29" i="221"/>
  <c r="L29" i="221"/>
  <c r="I9" i="223"/>
  <c r="H172" i="92"/>
  <c r="T6" i="229"/>
  <c r="U6" i="229" s="1"/>
  <c r="K6" i="229"/>
  <c r="Z6" i="229" s="1"/>
  <c r="I25" i="247"/>
  <c r="R25" i="247" s="1"/>
  <c r="Q25" i="247"/>
  <c r="W25" i="247" s="1"/>
  <c r="N139" i="151"/>
  <c r="I139" i="151"/>
  <c r="I156" i="151"/>
  <c r="N156" i="151"/>
  <c r="Q13" i="247"/>
  <c r="W13" i="247" s="1"/>
  <c r="I13" i="247"/>
  <c r="R13" i="247" s="1"/>
  <c r="F26" i="221"/>
  <c r="I26" i="221" s="1"/>
  <c r="I50" i="151"/>
  <c r="N50" i="151"/>
  <c r="E7" i="192"/>
  <c r="N169" i="151"/>
  <c r="I169" i="151"/>
  <c r="I111" i="92"/>
  <c r="B13" i="211"/>
  <c r="B13" i="163" s="1"/>
  <c r="H32" i="92"/>
  <c r="F27" i="232"/>
  <c r="C55" i="232"/>
  <c r="F55" i="232" s="1"/>
  <c r="G55" i="232" s="1"/>
  <c r="I24" i="217"/>
  <c r="F17" i="247"/>
  <c r="O17" i="247" s="1"/>
  <c r="N17" i="247"/>
  <c r="P12" i="246"/>
  <c r="V12" i="246" s="1"/>
  <c r="I27" i="246"/>
  <c r="R27" i="246" s="1"/>
  <c r="Q27" i="246"/>
  <c r="W27" i="246" s="1"/>
  <c r="H158" i="151"/>
  <c r="H132" i="151"/>
  <c r="H141" i="92"/>
  <c r="F28" i="220"/>
  <c r="I28" i="220" s="1"/>
  <c r="M7" i="207"/>
  <c r="O7" i="207"/>
  <c r="C7" i="245"/>
  <c r="E7" i="245" s="1"/>
  <c r="H64" i="92"/>
  <c r="C7" i="134"/>
  <c r="E7" i="134" s="1"/>
  <c r="O7" i="212"/>
  <c r="N7" i="212"/>
  <c r="C11" i="134"/>
  <c r="E11" i="134" s="1"/>
  <c r="F36" i="220"/>
  <c r="I36" i="220" s="1"/>
  <c r="H32" i="151"/>
  <c r="E9" i="192"/>
  <c r="M13" i="211"/>
  <c r="L14" i="222"/>
  <c r="E14" i="222"/>
  <c r="C14" i="163"/>
  <c r="E14" i="163" s="1"/>
  <c r="F14" i="211"/>
  <c r="N14" i="211"/>
  <c r="F13" i="222"/>
  <c r="I13" i="222" s="1"/>
  <c r="N130" i="151"/>
  <c r="I130" i="151"/>
  <c r="I151" i="92"/>
  <c r="I169" i="92"/>
  <c r="H98" i="92"/>
  <c r="I20" i="100"/>
  <c r="I160" i="92"/>
  <c r="I6" i="190"/>
  <c r="I43" i="151"/>
  <c r="N43" i="151"/>
  <c r="E36" i="232"/>
  <c r="L36" i="232"/>
  <c r="I177" i="151"/>
  <c r="N177" i="151"/>
  <c r="I36" i="92"/>
  <c r="C25" i="47"/>
  <c r="E25" i="47" s="1"/>
  <c r="I176" i="151"/>
  <c r="N176" i="151"/>
  <c r="D13" i="240"/>
  <c r="I75" i="92"/>
  <c r="N158" i="151"/>
  <c r="I158" i="151"/>
  <c r="E8" i="129"/>
  <c r="I27" i="214"/>
  <c r="F33" i="233"/>
  <c r="G33" i="233" s="1"/>
  <c r="J20" i="83"/>
  <c r="N126" i="151"/>
  <c r="I126" i="151"/>
  <c r="L46" i="221"/>
  <c r="E46" i="221"/>
  <c r="M19" i="247"/>
  <c r="H51" i="151"/>
  <c r="H82" i="92"/>
  <c r="E144" i="92"/>
  <c r="H144" i="92" s="1"/>
  <c r="C14" i="134"/>
  <c r="E14" i="134" s="1"/>
  <c r="F34" i="226"/>
  <c r="G34" i="226" s="1"/>
  <c r="N11" i="246"/>
  <c r="F11" i="246"/>
  <c r="O11" i="246" s="1"/>
  <c r="I162" i="92"/>
  <c r="E24" i="214"/>
  <c r="E41" i="220"/>
  <c r="L41" i="220"/>
  <c r="L11" i="221"/>
  <c r="E11" i="221"/>
  <c r="H156" i="92"/>
  <c r="N16" i="207"/>
  <c r="O16" i="207"/>
  <c r="F32" i="220"/>
  <c r="I32" i="220" s="1"/>
  <c r="F33" i="220"/>
  <c r="I33" i="220" s="1"/>
  <c r="E20" i="109"/>
  <c r="N18" i="246"/>
  <c r="F18" i="246"/>
  <c r="O18" i="246" s="1"/>
  <c r="I84" i="151"/>
  <c r="N84" i="151"/>
  <c r="I168" i="92"/>
  <c r="L50" i="220"/>
  <c r="E50" i="220"/>
  <c r="I70" i="92"/>
  <c r="H26" i="151"/>
  <c r="H129" i="151"/>
  <c r="F11" i="222"/>
  <c r="I11" i="222" s="1"/>
  <c r="H90" i="92"/>
  <c r="H35" i="92"/>
  <c r="H161" i="92"/>
  <c r="H137" i="92"/>
  <c r="L42" i="221"/>
  <c r="E42" i="221"/>
  <c r="F12" i="222"/>
  <c r="I12" i="222" s="1"/>
  <c r="F33" i="232"/>
  <c r="I138" i="92"/>
  <c r="I104" i="92"/>
  <c r="N51" i="151"/>
  <c r="I51" i="151"/>
  <c r="H180" i="92"/>
  <c r="H141" i="151"/>
  <c r="M18" i="247"/>
  <c r="N172" i="151"/>
  <c r="I172" i="151"/>
  <c r="I48" i="151"/>
  <c r="N48" i="151"/>
  <c r="F41" i="220"/>
  <c r="I41" i="220" s="1"/>
  <c r="X12" i="209"/>
  <c r="D10" i="35"/>
  <c r="G10" i="35" s="1"/>
  <c r="E18" i="109"/>
  <c r="M28" i="246"/>
  <c r="I12" i="100"/>
  <c r="I178" i="151"/>
  <c r="N178" i="151"/>
  <c r="C26" i="134"/>
  <c r="E26" i="134" s="1"/>
  <c r="I127" i="151"/>
  <c r="N127" i="151"/>
  <c r="H156" i="151"/>
  <c r="M11" i="247"/>
  <c r="H47" i="92"/>
  <c r="C15" i="239"/>
  <c r="P26" i="247"/>
  <c r="V26" i="247" s="1"/>
  <c r="J23" i="83"/>
  <c r="I83" i="151"/>
  <c r="N83" i="151"/>
  <c r="M12" i="207"/>
  <c r="G8" i="190"/>
  <c r="H9" i="15"/>
  <c r="I74" i="92"/>
  <c r="P26" i="246"/>
  <c r="V26" i="246" s="1"/>
  <c r="L48" i="221"/>
  <c r="E48" i="221"/>
  <c r="N21" i="247"/>
  <c r="F21" i="247"/>
  <c r="O21" i="247" s="1"/>
  <c r="I164" i="92"/>
  <c r="F36" i="221"/>
  <c r="I36" i="221" s="1"/>
  <c r="H55" i="92"/>
  <c r="I28" i="217"/>
  <c r="F31" i="232"/>
  <c r="M18" i="246"/>
  <c r="F21" i="220"/>
  <c r="I21" i="220" s="1"/>
  <c r="M26" i="247"/>
  <c r="J25" i="83"/>
  <c r="P13" i="246"/>
  <c r="V13" i="246" s="1"/>
  <c r="E16" i="221"/>
  <c r="L16" i="221"/>
  <c r="H26" i="92"/>
  <c r="P24" i="246"/>
  <c r="V24" i="246" s="1"/>
  <c r="I59" i="92"/>
  <c r="H49" i="92"/>
  <c r="E79" i="92"/>
  <c r="H79" i="92" s="1"/>
  <c r="I60" i="151"/>
  <c r="N60" i="151"/>
  <c r="H50" i="151"/>
  <c r="F52" i="221"/>
  <c r="I52" i="221" s="1"/>
  <c r="M19" i="207"/>
  <c r="H138" i="92"/>
  <c r="Q24" i="246"/>
  <c r="W24" i="246" s="1"/>
  <c r="I24" i="246"/>
  <c r="R24" i="246" s="1"/>
  <c r="I76" i="92"/>
  <c r="L26" i="221"/>
  <c r="E26" i="221"/>
  <c r="I146" i="92"/>
  <c r="H183" i="92"/>
  <c r="F48" i="221"/>
  <c r="I48" i="221" s="1"/>
  <c r="V6" i="229"/>
  <c r="W6" i="229" s="1"/>
  <c r="F45" i="221"/>
  <c r="I45" i="221" s="1"/>
  <c r="F40" i="220"/>
  <c r="I40" i="220" s="1"/>
  <c r="H99" i="151"/>
  <c r="I15" i="246"/>
  <c r="R15" i="246" s="1"/>
  <c r="Q15" i="246"/>
  <c r="W15" i="246" s="1"/>
  <c r="M12" i="246"/>
  <c r="I30" i="217"/>
  <c r="F19" i="233"/>
  <c r="G19" i="233" s="1"/>
  <c r="I108" i="151"/>
  <c r="I151" i="151"/>
  <c r="N151" i="151"/>
  <c r="I123" i="92"/>
  <c r="C25" i="134"/>
  <c r="E25" i="134" s="1"/>
  <c r="E11" i="233"/>
  <c r="H11" i="233"/>
  <c r="I19" i="217"/>
  <c r="H60" i="151"/>
  <c r="E29" i="233"/>
  <c r="H29" i="233"/>
  <c r="I15" i="214"/>
  <c r="C10" i="134"/>
  <c r="E10" i="134" s="1"/>
  <c r="F24" i="233"/>
  <c r="G24" i="233" s="1"/>
  <c r="C39" i="233"/>
  <c r="C10" i="146" s="1"/>
  <c r="F10" i="146" s="1"/>
  <c r="G10" i="146" s="1"/>
  <c r="N59" i="151"/>
  <c r="I59" i="151"/>
  <c r="H93" i="151"/>
  <c r="I156" i="92"/>
  <c r="F32" i="232"/>
  <c r="L39" i="220"/>
  <c r="E39" i="220"/>
  <c r="I106" i="151"/>
  <c r="L32" i="232"/>
  <c r="E32" i="232"/>
  <c r="D12" i="190"/>
  <c r="C19" i="216"/>
  <c r="H124" i="92"/>
  <c r="H34" i="151"/>
  <c r="F11" i="232"/>
  <c r="H123" i="92"/>
  <c r="I17" i="226"/>
  <c r="M11" i="211"/>
  <c r="P10" i="246"/>
  <c r="V10" i="246" s="1"/>
  <c r="I105" i="92"/>
  <c r="I66" i="92"/>
  <c r="H157" i="92"/>
  <c r="E179" i="151"/>
  <c r="H179" i="151" s="1"/>
  <c r="H145" i="151"/>
  <c r="I14" i="211"/>
  <c r="R14" i="211" s="1"/>
  <c r="Q14" i="211"/>
  <c r="V14" i="211" s="1"/>
  <c r="N41" i="151"/>
  <c r="I41" i="151"/>
  <c r="E10" i="221"/>
  <c r="L10" i="221"/>
  <c r="B53" i="221"/>
  <c r="F12" i="256" s="1"/>
  <c r="H174" i="92"/>
  <c r="H80" i="151"/>
  <c r="H50" i="92"/>
  <c r="I11" i="213"/>
  <c r="I128" i="92"/>
  <c r="C8" i="47"/>
  <c r="E8" i="47" s="1"/>
  <c r="I25" i="218"/>
  <c r="F42" i="220"/>
  <c r="I42" i="220" s="1"/>
  <c r="I21" i="217"/>
  <c r="L13" i="222"/>
  <c r="E13" i="222"/>
  <c r="F27" i="247"/>
  <c r="O27" i="247" s="1"/>
  <c r="N27" i="247"/>
  <c r="F22" i="237"/>
  <c r="F24" i="237" s="1"/>
  <c r="H88" i="151"/>
  <c r="E7" i="31"/>
  <c r="F16" i="232"/>
  <c r="I25" i="151"/>
  <c r="N25" i="151"/>
  <c r="H73" i="92"/>
  <c r="E13" i="192"/>
  <c r="F43" i="221"/>
  <c r="I43" i="221" s="1"/>
  <c r="I16" i="226"/>
  <c r="I15" i="100"/>
  <c r="E21" i="220"/>
  <c r="L21" i="220"/>
  <c r="P22" i="247"/>
  <c r="V22" i="247" s="1"/>
  <c r="E8" i="192"/>
  <c r="N9" i="151"/>
  <c r="I9" i="151"/>
  <c r="J29" i="83"/>
  <c r="C12" i="211"/>
  <c r="I34" i="92"/>
  <c r="I133" i="92"/>
  <c r="H14" i="151"/>
  <c r="H33" i="151"/>
  <c r="I63" i="92"/>
  <c r="B20" i="227"/>
  <c r="E20" i="227" s="1"/>
  <c r="C10" i="47"/>
  <c r="E10" i="47" s="1"/>
  <c r="L37" i="232"/>
  <c r="E37" i="232"/>
  <c r="E30" i="232"/>
  <c r="L30" i="232"/>
  <c r="Q24" i="247"/>
  <c r="W24" i="247" s="1"/>
  <c r="I24" i="247"/>
  <c r="R24" i="247" s="1"/>
  <c r="N8" i="151"/>
  <c r="I8" i="151"/>
  <c r="F6" i="232"/>
  <c r="C26" i="232"/>
  <c r="L8" i="229" s="1"/>
  <c r="C12" i="245"/>
  <c r="E12" i="245" s="1"/>
  <c r="H109" i="151"/>
  <c r="E30" i="221"/>
  <c r="L30" i="221"/>
  <c r="H114" i="92"/>
  <c r="I108" i="92"/>
  <c r="L35" i="221"/>
  <c r="E35" i="221"/>
  <c r="E13" i="109"/>
  <c r="H31" i="233"/>
  <c r="E31" i="233"/>
  <c r="Q26" i="246"/>
  <c r="W26" i="246" s="1"/>
  <c r="I26" i="246"/>
  <c r="R26" i="246" s="1"/>
  <c r="I148" i="92"/>
  <c r="I167" i="92"/>
  <c r="Q14" i="247"/>
  <c r="W14" i="247" s="1"/>
  <c r="I14" i="247"/>
  <c r="R14" i="247" s="1"/>
  <c r="C10" i="35"/>
  <c r="I29" i="92"/>
  <c r="I88" i="151"/>
  <c r="N88" i="151"/>
  <c r="F13" i="247"/>
  <c r="O13" i="247" s="1"/>
  <c r="N13" i="247"/>
  <c r="N68" i="151"/>
  <c r="I68" i="151"/>
  <c r="I22" i="92"/>
  <c r="I65" i="151"/>
  <c r="N65" i="151"/>
  <c r="E17" i="220"/>
  <c r="L17" i="220"/>
  <c r="B19" i="45"/>
  <c r="H24" i="15"/>
  <c r="H178" i="151"/>
  <c r="H74" i="92"/>
  <c r="N25" i="247"/>
  <c r="F25" i="247"/>
  <c r="O25" i="247" s="1"/>
  <c r="C21" i="216"/>
  <c r="H88" i="92"/>
  <c r="C13" i="47"/>
  <c r="E13" i="47" s="1"/>
  <c r="H59" i="92"/>
  <c r="H175" i="92"/>
  <c r="F33" i="226"/>
  <c r="G33" i="226" s="1"/>
  <c r="H21" i="151"/>
  <c r="L44" i="220"/>
  <c r="E44" i="220"/>
  <c r="I125" i="151"/>
  <c r="N125" i="151"/>
  <c r="E11" i="35"/>
  <c r="H150" i="151"/>
  <c r="H139" i="92"/>
  <c r="M14" i="211"/>
  <c r="E12" i="239"/>
  <c r="I30" i="214"/>
  <c r="F35" i="233"/>
  <c r="G35" i="233" s="1"/>
  <c r="I46" i="92"/>
  <c r="L19" i="221"/>
  <c r="E19" i="221"/>
  <c r="I176" i="92"/>
  <c r="Q11" i="246"/>
  <c r="W11" i="246" s="1"/>
  <c r="I11" i="246"/>
  <c r="R11" i="246" s="1"/>
  <c r="I102" i="151"/>
  <c r="N102" i="151"/>
  <c r="E7" i="25"/>
  <c r="E10" i="25"/>
  <c r="M29" i="247"/>
  <c r="L32" i="220"/>
  <c r="E32" i="220"/>
  <c r="I39" i="151"/>
  <c r="H169" i="151"/>
  <c r="N8" i="207"/>
  <c r="H95" i="151"/>
  <c r="I7" i="100"/>
  <c r="B10" i="35"/>
  <c r="E5" i="35"/>
  <c r="H24" i="151"/>
  <c r="P19" i="247"/>
  <c r="V19" i="247" s="1"/>
  <c r="H47" i="151"/>
  <c r="E9" i="31"/>
  <c r="E8" i="233"/>
  <c r="H8" i="233"/>
  <c r="I73" i="151"/>
  <c r="H100" i="151"/>
  <c r="H65" i="151"/>
  <c r="I21" i="151"/>
  <c r="N21" i="151"/>
  <c r="H93" i="92"/>
  <c r="P21" i="246"/>
  <c r="V21" i="246" s="1"/>
  <c r="E30" i="233"/>
  <c r="H30" i="233"/>
  <c r="X7" i="229"/>
  <c r="Y7" i="229" s="1"/>
  <c r="H176" i="151"/>
  <c r="E7" i="35"/>
  <c r="E8" i="229"/>
  <c r="E24" i="221"/>
  <c r="L24" i="221"/>
  <c r="I40" i="92"/>
  <c r="I8" i="100"/>
  <c r="I22" i="151"/>
  <c r="N22" i="151"/>
  <c r="H134" i="92"/>
  <c r="E27" i="221"/>
  <c r="L27" i="221"/>
  <c r="H66" i="92"/>
  <c r="I177" i="92"/>
  <c r="E16" i="109"/>
  <c r="H23" i="92"/>
  <c r="H175" i="151"/>
  <c r="H89" i="151"/>
  <c r="C14" i="47"/>
  <c r="E14" i="47" s="1"/>
  <c r="F13" i="232"/>
  <c r="N122" i="151"/>
  <c r="I122" i="151"/>
  <c r="E15" i="109"/>
  <c r="N137" i="151"/>
  <c r="I137" i="151"/>
  <c r="E76" i="151"/>
  <c r="H76" i="151" s="1"/>
  <c r="H46" i="151"/>
  <c r="H140" i="92"/>
  <c r="I113" i="92"/>
  <c r="I170" i="151"/>
  <c r="N170" i="151"/>
  <c r="C17" i="245"/>
  <c r="E17" i="245" s="1"/>
  <c r="F18" i="233"/>
  <c r="G18" i="233" s="1"/>
  <c r="L31" i="232"/>
  <c r="E31" i="232"/>
  <c r="H46" i="92"/>
  <c r="G7" i="190"/>
  <c r="I117" i="151"/>
  <c r="N117" i="151"/>
  <c r="H53" i="92"/>
  <c r="H130" i="92"/>
  <c r="C10" i="211"/>
  <c r="L16" i="227"/>
  <c r="I29" i="214"/>
  <c r="I62" i="92"/>
  <c r="I92" i="92"/>
  <c r="I16" i="151"/>
  <c r="N16" i="151"/>
  <c r="E35" i="232"/>
  <c r="L35" i="232"/>
  <c r="H87" i="92"/>
  <c r="F19" i="220"/>
  <c r="I19" i="220" s="1"/>
  <c r="J28" i="83"/>
  <c r="E13" i="232"/>
  <c r="L13" i="232"/>
  <c r="I13" i="92"/>
  <c r="I142" i="151"/>
  <c r="N142" i="151"/>
  <c r="N12" i="151"/>
  <c r="I12" i="151"/>
  <c r="H67" i="92"/>
  <c r="E23" i="214"/>
  <c r="H148" i="92"/>
  <c r="H12" i="223"/>
  <c r="F21" i="233"/>
  <c r="G21" i="233" s="1"/>
  <c r="H25" i="15"/>
  <c r="C16" i="47"/>
  <c r="E16" i="47" s="1"/>
  <c r="M15" i="247"/>
  <c r="I27" i="218"/>
  <c r="F10" i="222"/>
  <c r="I10" i="222" s="1"/>
  <c r="E14" i="109"/>
  <c r="L35" i="227"/>
  <c r="M21" i="246"/>
  <c r="I18" i="226"/>
  <c r="I143" i="92"/>
  <c r="C17" i="134"/>
  <c r="E17" i="134" s="1"/>
  <c r="I16" i="227"/>
  <c r="I20" i="218"/>
  <c r="L19" i="226"/>
  <c r="H152" i="151"/>
  <c r="E31" i="221"/>
  <c r="L31" i="221"/>
  <c r="H57" i="92"/>
  <c r="E25" i="221"/>
  <c r="L25" i="221"/>
  <c r="B39" i="233"/>
  <c r="E24" i="233"/>
  <c r="H24" i="233"/>
  <c r="I7" i="190"/>
  <c r="I85" i="92"/>
  <c r="N24" i="151"/>
  <c r="I24" i="151"/>
  <c r="H28" i="233"/>
  <c r="E28" i="233"/>
  <c r="H173" i="92"/>
  <c r="H27" i="92"/>
  <c r="L22" i="220"/>
  <c r="E22" i="220"/>
  <c r="E31" i="226"/>
  <c r="H23" i="15"/>
  <c r="I163" i="92"/>
  <c r="N152" i="151"/>
  <c r="I152" i="151"/>
  <c r="I38" i="92"/>
  <c r="I35" i="151"/>
  <c r="M22" i="247"/>
  <c r="E18" i="214"/>
  <c r="H63" i="151"/>
  <c r="X8" i="209"/>
  <c r="H68" i="151"/>
  <c r="E24" i="226"/>
  <c r="H56" i="92"/>
  <c r="I11" i="92"/>
  <c r="I150" i="92"/>
  <c r="I98" i="92"/>
  <c r="P10" i="211"/>
  <c r="U10" i="211" s="1"/>
  <c r="L43" i="220"/>
  <c r="E43" i="220"/>
  <c r="H25" i="92"/>
  <c r="B20" i="228"/>
  <c r="E20" i="228" s="1"/>
  <c r="E28" i="232"/>
  <c r="L28" i="232"/>
  <c r="N161" i="151"/>
  <c r="I161" i="151"/>
  <c r="N138" i="151"/>
  <c r="I138" i="151"/>
  <c r="E12" i="221"/>
  <c r="L12" i="221"/>
  <c r="I64" i="92"/>
  <c r="B41" i="226"/>
  <c r="E21" i="226"/>
  <c r="I25" i="92"/>
  <c r="L18" i="232"/>
  <c r="E18" i="232"/>
  <c r="H58" i="151"/>
  <c r="H38" i="151"/>
  <c r="I34" i="227"/>
  <c r="F49" i="220"/>
  <c r="I49" i="220" s="1"/>
  <c r="H127" i="151"/>
  <c r="E13" i="220"/>
  <c r="L13" i="220"/>
  <c r="I26" i="217"/>
  <c r="I22" i="100"/>
  <c r="I153" i="92"/>
  <c r="H99" i="92"/>
  <c r="L20" i="221"/>
  <c r="E20" i="221"/>
  <c r="H17" i="15"/>
  <c r="L34" i="227"/>
  <c r="I15" i="92"/>
  <c r="F34" i="232"/>
  <c r="I84" i="92"/>
  <c r="I65" i="92"/>
  <c r="N17" i="151"/>
  <c r="I17" i="151"/>
  <c r="H78" i="92"/>
  <c r="H118" i="92"/>
  <c r="H128" i="151"/>
  <c r="I42" i="151"/>
  <c r="N42" i="151"/>
  <c r="I87" i="92"/>
  <c r="I142" i="92"/>
  <c r="I19" i="247"/>
  <c r="R19" i="247" s="1"/>
  <c r="Q19" i="247"/>
  <c r="W19" i="247" s="1"/>
  <c r="N28" i="247"/>
  <c r="F28" i="247"/>
  <c r="O28" i="247" s="1"/>
  <c r="C13" i="134"/>
  <c r="E13" i="134" s="1"/>
  <c r="N29" i="246"/>
  <c r="F29" i="246"/>
  <c r="O29" i="246" s="1"/>
  <c r="E12" i="233"/>
  <c r="H12" i="233"/>
  <c r="E21" i="45"/>
  <c r="I139" i="92"/>
  <c r="I110" i="151"/>
  <c r="F10" i="220"/>
  <c r="I10" i="220" s="1"/>
  <c r="I75" i="151"/>
  <c r="N75" i="151"/>
  <c r="H14" i="15"/>
  <c r="H94" i="151"/>
  <c r="F51" i="221"/>
  <c r="I51" i="221" s="1"/>
  <c r="E14" i="214"/>
  <c r="I98" i="151"/>
  <c r="N98" i="151"/>
  <c r="I113" i="151"/>
  <c r="H22" i="15"/>
  <c r="E15" i="214"/>
  <c r="I8" i="92"/>
  <c r="F15" i="220"/>
  <c r="I15" i="220" s="1"/>
  <c r="I54" i="92"/>
  <c r="N131" i="151"/>
  <c r="I131" i="151"/>
  <c r="H54" i="92"/>
  <c r="E35" i="233"/>
  <c r="H35" i="233"/>
  <c r="H28" i="151"/>
  <c r="Q21" i="246"/>
  <c r="W21" i="246" s="1"/>
  <c r="I21" i="246"/>
  <c r="R21" i="246" s="1"/>
  <c r="H9" i="229"/>
  <c r="T9" i="229" s="1"/>
  <c r="U9" i="229" s="1"/>
  <c r="K5" i="229"/>
  <c r="Z5" i="229" s="1"/>
  <c r="T5" i="229"/>
  <c r="U5" i="229" s="1"/>
  <c r="I23" i="100"/>
  <c r="H159" i="92"/>
  <c r="H21" i="233"/>
  <c r="E21" i="233"/>
  <c r="Q19" i="246"/>
  <c r="W19" i="246" s="1"/>
  <c r="I19" i="246"/>
  <c r="R19" i="246" s="1"/>
  <c r="E9" i="129"/>
  <c r="E39" i="221"/>
  <c r="L39" i="221"/>
  <c r="M13" i="246"/>
  <c r="N150" i="151"/>
  <c r="I150" i="151"/>
  <c r="H134" i="151"/>
  <c r="N11" i="247"/>
  <c r="F11" i="247"/>
  <c r="O11" i="247" s="1"/>
  <c r="M22" i="246"/>
  <c r="H9" i="223"/>
  <c r="E13" i="223"/>
  <c r="H13" i="223" s="1"/>
  <c r="L16" i="220"/>
  <c r="E16" i="220"/>
  <c r="H136" i="92"/>
  <c r="I95" i="151"/>
  <c r="N95" i="151"/>
  <c r="H77" i="151"/>
  <c r="H8" i="92"/>
  <c r="C10" i="163"/>
  <c r="E10" i="163" s="1"/>
  <c r="N10" i="211"/>
  <c r="F10" i="211"/>
  <c r="O10" i="211" s="1"/>
  <c r="K7" i="245"/>
  <c r="I45" i="92"/>
  <c r="H87" i="151"/>
  <c r="H146" i="92"/>
  <c r="S9" i="5"/>
  <c r="X13" i="209"/>
  <c r="I175" i="151"/>
  <c r="H83" i="92"/>
  <c r="I18" i="218"/>
  <c r="E11" i="226"/>
  <c r="H162" i="151"/>
  <c r="F45" i="220"/>
  <c r="I45" i="220" s="1"/>
  <c r="E18" i="233"/>
  <c r="H18" i="233"/>
  <c r="C24" i="47"/>
  <c r="E24" i="47" s="1"/>
  <c r="H74" i="151"/>
  <c r="I115" i="92"/>
  <c r="H152" i="92"/>
  <c r="G9" i="190"/>
  <c r="C19" i="47"/>
  <c r="E19" i="47" s="1"/>
  <c r="D7" i="240"/>
  <c r="B15" i="239"/>
  <c r="F27" i="220"/>
  <c r="I27" i="220" s="1"/>
  <c r="H43" i="92"/>
  <c r="H15" i="151"/>
  <c r="L50" i="221"/>
  <c r="E50" i="221"/>
  <c r="N74" i="151"/>
  <c r="I74" i="151"/>
  <c r="H33" i="92"/>
  <c r="H168" i="151"/>
  <c r="I96" i="92"/>
  <c r="I24" i="100"/>
  <c r="E31" i="220"/>
  <c r="L31" i="220"/>
  <c r="J9" i="229"/>
  <c r="M9" i="229" s="1"/>
  <c r="AC9" i="229" s="1"/>
  <c r="AD9" i="229" s="1"/>
  <c r="X5" i="229"/>
  <c r="Y5" i="229" s="1"/>
  <c r="H112" i="92"/>
  <c r="L11" i="220"/>
  <c r="E11" i="220"/>
  <c r="L37" i="220"/>
  <c r="E37" i="220"/>
  <c r="J10" i="213"/>
  <c r="M10" i="213" s="1"/>
  <c r="H167" i="92"/>
  <c r="F11" i="233"/>
  <c r="G11" i="233" s="1"/>
  <c r="J15" i="83"/>
  <c r="I20" i="247"/>
  <c r="R20" i="247" s="1"/>
  <c r="Q20" i="247"/>
  <c r="W20" i="247" s="1"/>
  <c r="C20" i="134"/>
  <c r="E20" i="134" s="1"/>
  <c r="C26" i="47"/>
  <c r="E26" i="47" s="1"/>
  <c r="L8" i="232"/>
  <c r="E8" i="232"/>
  <c r="I21" i="218"/>
  <c r="E9" i="226"/>
  <c r="F46" i="221"/>
  <c r="I46" i="221" s="1"/>
  <c r="I114" i="92"/>
  <c r="L41" i="221"/>
  <c r="E41" i="221"/>
  <c r="H102" i="92"/>
  <c r="N18" i="247"/>
  <c r="F18" i="247"/>
  <c r="O18" i="247" s="1"/>
  <c r="H84" i="92"/>
  <c r="M28" i="247"/>
  <c r="H97" i="151"/>
  <c r="F14" i="246"/>
  <c r="O14" i="246" s="1"/>
  <c r="N14" i="246"/>
  <c r="F47" i="220"/>
  <c r="I47" i="220" s="1"/>
  <c r="I121" i="92"/>
  <c r="H101" i="92"/>
  <c r="P25" i="246"/>
  <c r="V25" i="246" s="1"/>
  <c r="C24" i="134"/>
  <c r="E24" i="134" s="1"/>
  <c r="H108" i="151"/>
  <c r="F41" i="221"/>
  <c r="I41" i="221" s="1"/>
  <c r="F44" i="221"/>
  <c r="I44" i="221" s="1"/>
  <c r="O14" i="207"/>
  <c r="N14" i="207"/>
  <c r="N25" i="246"/>
  <c r="F25" i="246"/>
  <c r="O25" i="246" s="1"/>
  <c r="H101" i="151"/>
  <c r="H69" i="151"/>
  <c r="N64" i="151"/>
  <c r="I64" i="151"/>
  <c r="L51" i="220"/>
  <c r="E51" i="220"/>
  <c r="O19" i="207"/>
  <c r="N19" i="207"/>
  <c r="H135" i="151"/>
  <c r="I31" i="92"/>
  <c r="H75" i="151"/>
  <c r="H157" i="151"/>
  <c r="P21" i="247"/>
  <c r="V21" i="247" s="1"/>
  <c r="C13" i="245"/>
  <c r="E13" i="245" s="1"/>
  <c r="I16" i="92"/>
  <c r="H39" i="92"/>
  <c r="F35" i="232"/>
  <c r="P11" i="247"/>
  <c r="V11" i="247" s="1"/>
  <c r="I23" i="247"/>
  <c r="R23" i="247" s="1"/>
  <c r="Q23" i="247"/>
  <c r="W23" i="247" s="1"/>
  <c r="E12" i="220"/>
  <c r="L12" i="220"/>
  <c r="B31" i="218"/>
  <c r="I131" i="92"/>
  <c r="Q16" i="247"/>
  <c r="W16" i="247" s="1"/>
  <c r="I16" i="247"/>
  <c r="R16" i="247" s="1"/>
  <c r="E43" i="226"/>
  <c r="H120" i="92"/>
  <c r="F16" i="220"/>
  <c r="I16" i="220" s="1"/>
  <c r="N86" i="151"/>
  <c r="I86" i="151"/>
  <c r="N87" i="151"/>
  <c r="I87" i="151"/>
  <c r="L33" i="220"/>
  <c r="E33" i="220"/>
  <c r="E20" i="233"/>
  <c r="H20" i="233"/>
  <c r="I7" i="92"/>
  <c r="I28" i="151"/>
  <c r="H150" i="92"/>
  <c r="N10" i="247"/>
  <c r="F10" i="247"/>
  <c r="O10" i="247" s="1"/>
  <c r="I183" i="92"/>
  <c r="F37" i="232"/>
  <c r="E12" i="226"/>
  <c r="I29" i="217"/>
  <c r="F25" i="233"/>
  <c r="G25" i="233" s="1"/>
  <c r="H25" i="233"/>
  <c r="I10" i="92"/>
  <c r="H121" i="92"/>
  <c r="H160" i="151"/>
  <c r="I153" i="151"/>
  <c r="N153" i="151"/>
  <c r="T7" i="5"/>
  <c r="S7" i="5"/>
  <c r="H154" i="151"/>
  <c r="I43" i="92"/>
  <c r="Q12" i="216"/>
  <c r="L12" i="216"/>
  <c r="R12" i="216" s="1"/>
  <c r="H90" i="151"/>
  <c r="H95" i="92"/>
  <c r="I147" i="92"/>
  <c r="H151" i="151"/>
  <c r="B8" i="31"/>
  <c r="E6" i="31"/>
  <c r="H111" i="151"/>
  <c r="I11" i="190"/>
  <c r="I30" i="92"/>
  <c r="L18" i="221"/>
  <c r="E18" i="221"/>
  <c r="I149" i="92"/>
  <c r="H51" i="92"/>
  <c r="H48" i="151"/>
  <c r="E26" i="226"/>
  <c r="I54" i="151"/>
  <c r="N54" i="151"/>
  <c r="E14" i="190"/>
  <c r="I18" i="246"/>
  <c r="R18" i="246" s="1"/>
  <c r="Q18" i="246"/>
  <c r="W18" i="246" s="1"/>
  <c r="F38" i="221"/>
  <c r="I38" i="221" s="1"/>
  <c r="C9" i="229"/>
  <c r="F21" i="246"/>
  <c r="O21" i="246" s="1"/>
  <c r="N21" i="246"/>
  <c r="F17" i="233"/>
  <c r="G17" i="233" s="1"/>
  <c r="F23" i="247"/>
  <c r="O23" i="247" s="1"/>
  <c r="N23" i="247"/>
  <c r="H86" i="92"/>
  <c r="H43" i="151"/>
  <c r="C22" i="237"/>
  <c r="C24" i="237" s="1"/>
  <c r="F14" i="221"/>
  <c r="I14" i="221" s="1"/>
  <c r="I70" i="151"/>
  <c r="C20" i="216"/>
  <c r="M10" i="207"/>
  <c r="H116" i="151"/>
  <c r="H80" i="92"/>
  <c r="H71" i="92"/>
  <c r="E19" i="109"/>
  <c r="I88" i="92"/>
  <c r="H136" i="151"/>
  <c r="L35" i="220"/>
  <c r="E35" i="220"/>
  <c r="G11" i="190"/>
  <c r="E22" i="226"/>
  <c r="N145" i="151"/>
  <c r="I145" i="151"/>
  <c r="F179" i="151"/>
  <c r="I179" i="151" s="1"/>
  <c r="H10" i="151"/>
  <c r="M21" i="247"/>
  <c r="I60" i="92"/>
  <c r="I134" i="92"/>
  <c r="C16" i="134"/>
  <c r="E16" i="134" s="1"/>
  <c r="H75" i="92"/>
  <c r="I26" i="214"/>
  <c r="F37" i="222"/>
  <c r="D9" i="240"/>
  <c r="I30" i="218"/>
  <c r="I21" i="100"/>
  <c r="B12" i="211"/>
  <c r="B12" i="163" s="1"/>
  <c r="I166" i="92"/>
  <c r="B22" i="216"/>
  <c r="I174" i="92"/>
  <c r="P12" i="247"/>
  <c r="V12" i="247" s="1"/>
  <c r="I159" i="92"/>
  <c r="P15" i="246"/>
  <c r="V15" i="246" s="1"/>
  <c r="H122" i="151"/>
  <c r="I19" i="214"/>
  <c r="H72" i="92"/>
  <c r="I27" i="92"/>
  <c r="C9" i="245"/>
  <c r="E9" i="245" s="1"/>
  <c r="H7" i="92"/>
  <c r="I12" i="190"/>
  <c r="H34" i="92"/>
  <c r="E33" i="232"/>
  <c r="L33" i="232"/>
  <c r="I24" i="92"/>
  <c r="H171" i="92"/>
  <c r="N96" i="151"/>
  <c r="I96" i="151"/>
  <c r="L13" i="221"/>
  <c r="E13" i="221"/>
  <c r="F28" i="232"/>
  <c r="H11" i="151"/>
  <c r="F23" i="221"/>
  <c r="I23" i="221" s="1"/>
  <c r="B14" i="211"/>
  <c r="B14" i="163" s="1"/>
  <c r="E16" i="232"/>
  <c r="L16" i="232"/>
  <c r="I154" i="151"/>
  <c r="N154" i="151"/>
  <c r="F40" i="221"/>
  <c r="I40" i="221" s="1"/>
  <c r="I35" i="92"/>
  <c r="P27" i="247"/>
  <c r="V27" i="247" s="1"/>
  <c r="C15" i="47"/>
  <c r="E15" i="47" s="1"/>
  <c r="N121" i="151"/>
  <c r="I121" i="151"/>
  <c r="C14" i="211"/>
  <c r="F20" i="246"/>
  <c r="O20" i="246" s="1"/>
  <c r="N20" i="246"/>
  <c r="M14" i="246"/>
  <c r="F25" i="221"/>
  <c r="I25" i="221" s="1"/>
  <c r="R9" i="5"/>
  <c r="E28" i="220"/>
  <c r="L28" i="220"/>
  <c r="L47" i="220"/>
  <c r="E47" i="220"/>
  <c r="I159" i="151"/>
  <c r="N159" i="151"/>
  <c r="H110" i="151"/>
  <c r="H49" i="151"/>
  <c r="E15" i="226"/>
  <c r="H8" i="151"/>
  <c r="F47" i="221"/>
  <c r="I47" i="221" s="1"/>
  <c r="I21" i="214"/>
  <c r="L34" i="226"/>
  <c r="E34" i="226"/>
  <c r="E9" i="239"/>
  <c r="L32" i="227"/>
  <c r="E36" i="220"/>
  <c r="L36" i="220"/>
  <c r="E15" i="233"/>
  <c r="H15" i="233"/>
  <c r="I97" i="92"/>
  <c r="I30" i="151"/>
  <c r="I90" i="92"/>
  <c r="E14" i="233"/>
  <c r="H14" i="233"/>
  <c r="F12" i="232"/>
  <c r="E6" i="129"/>
  <c r="B10" i="129"/>
  <c r="E10" i="129" s="1"/>
  <c r="F10" i="221"/>
  <c r="I10" i="221" s="1"/>
  <c r="H29" i="151"/>
  <c r="E44" i="221"/>
  <c r="L44" i="221"/>
  <c r="I14" i="246"/>
  <c r="R14" i="246" s="1"/>
  <c r="Q14" i="246"/>
  <c r="W14" i="246" s="1"/>
  <c r="H37" i="151"/>
  <c r="H85" i="151"/>
  <c r="E11" i="109"/>
  <c r="F52" i="220"/>
  <c r="I52" i="220" s="1"/>
  <c r="C23" i="216"/>
  <c r="I165" i="92"/>
  <c r="E35" i="226"/>
  <c r="L35" i="226"/>
  <c r="E15" i="222"/>
  <c r="L15" i="222"/>
  <c r="I24" i="218"/>
  <c r="B11" i="211"/>
  <c r="B11" i="163" s="1"/>
  <c r="I20" i="92"/>
  <c r="M11" i="246"/>
  <c r="F26" i="220"/>
  <c r="I26" i="220" s="1"/>
  <c r="I28" i="246"/>
  <c r="R28" i="246" s="1"/>
  <c r="Q28" i="246"/>
  <c r="W28" i="246" s="1"/>
  <c r="H10" i="223"/>
  <c r="P13" i="247"/>
  <c r="V13" i="247" s="1"/>
  <c r="H23" i="151"/>
  <c r="H115" i="151"/>
  <c r="I58" i="92"/>
  <c r="M23" i="246"/>
  <c r="E48" i="92"/>
  <c r="H6" i="92"/>
  <c r="I6" i="151"/>
  <c r="F45" i="151"/>
  <c r="N11" i="151"/>
  <c r="I11" i="151"/>
  <c r="I35" i="227"/>
  <c r="F48" i="220"/>
  <c r="I48" i="220" s="1"/>
  <c r="B15" i="249"/>
  <c r="E15" i="249" s="1"/>
  <c r="H70" i="151"/>
  <c r="F17" i="220"/>
  <c r="I17" i="220" s="1"/>
  <c r="E48" i="220"/>
  <c r="L48" i="220"/>
  <c r="H79" i="151"/>
  <c r="E144" i="151"/>
  <c r="H144" i="151" s="1"/>
  <c r="N89" i="151"/>
  <c r="I89" i="151"/>
  <c r="E27" i="226"/>
  <c r="L30" i="220"/>
  <c r="E30" i="220"/>
  <c r="E14" i="192"/>
  <c r="N16" i="247"/>
  <c r="F16" i="247"/>
  <c r="O16" i="247" s="1"/>
  <c r="E32" i="214"/>
  <c r="I94" i="92"/>
  <c r="X10" i="209"/>
  <c r="N166" i="151"/>
  <c r="I166" i="151"/>
  <c r="F49" i="221"/>
  <c r="I49" i="221" s="1"/>
  <c r="I11" i="211"/>
  <c r="R11" i="211" s="1"/>
  <c r="Q11" i="211"/>
  <c r="V11" i="211" s="1"/>
  <c r="I20" i="217"/>
  <c r="F15" i="221"/>
  <c r="I15" i="221" s="1"/>
  <c r="H164" i="151"/>
  <c r="I168" i="151"/>
  <c r="N168" i="151"/>
  <c r="L10" i="216"/>
  <c r="R10" i="216" s="1"/>
  <c r="Q10" i="216"/>
  <c r="N90" i="151"/>
  <c r="I90" i="151"/>
  <c r="I31" i="151"/>
  <c r="K6" i="15"/>
  <c r="I80" i="92"/>
  <c r="E9" i="25"/>
  <c r="F20" i="221"/>
  <c r="I20" i="221" s="1"/>
  <c r="I72" i="92"/>
  <c r="F35" i="221"/>
  <c r="I35" i="221" s="1"/>
  <c r="D9" i="190"/>
  <c r="K8" i="229"/>
  <c r="Z8" i="229" s="1"/>
  <c r="T8" i="229"/>
  <c r="U8" i="229" s="1"/>
  <c r="F37" i="220"/>
  <c r="I37" i="220" s="1"/>
  <c r="P29" i="246"/>
  <c r="V29" i="246" s="1"/>
  <c r="M7" i="212"/>
  <c r="I161" i="92"/>
  <c r="H166" i="92"/>
  <c r="H8" i="15"/>
  <c r="F54" i="220"/>
  <c r="I54" i="220" s="1"/>
  <c r="I116" i="92"/>
  <c r="I16" i="214"/>
  <c r="N26" i="151"/>
  <c r="I26" i="151"/>
  <c r="I57" i="92"/>
  <c r="L17" i="226"/>
  <c r="N12" i="246"/>
  <c r="F12" i="246"/>
  <c r="O12" i="246" s="1"/>
  <c r="F35" i="226"/>
  <c r="G35" i="226" s="1"/>
  <c r="F29" i="220"/>
  <c r="I29" i="220" s="1"/>
  <c r="E6" i="229"/>
  <c r="I29" i="246"/>
  <c r="R29" i="246" s="1"/>
  <c r="Q29" i="246"/>
  <c r="W29" i="246" s="1"/>
  <c r="F15" i="233"/>
  <c r="G15" i="233" s="1"/>
  <c r="H98" i="151"/>
  <c r="I26" i="218"/>
  <c r="I73" i="92"/>
  <c r="F10" i="246"/>
  <c r="O10" i="246" s="1"/>
  <c r="N10" i="246"/>
  <c r="B15" i="192"/>
  <c r="N119" i="151"/>
  <c r="I119" i="151"/>
  <c r="P27" i="246"/>
  <c r="V27" i="246" s="1"/>
  <c r="E32" i="226"/>
  <c r="L19" i="220"/>
  <c r="E19" i="220"/>
  <c r="H149" i="151"/>
  <c r="Q28" i="247"/>
  <c r="W28" i="247" s="1"/>
  <c r="I28" i="247"/>
  <c r="R28" i="247" s="1"/>
  <c r="H110" i="92"/>
  <c r="M23" i="247"/>
  <c r="H72" i="151"/>
  <c r="C9" i="47"/>
  <c r="E9" i="47" s="1"/>
  <c r="H169" i="92"/>
  <c r="J21" i="83"/>
  <c r="E13" i="239"/>
  <c r="E8" i="35"/>
  <c r="F14" i="220"/>
  <c r="I14" i="220" s="1"/>
  <c r="I32" i="227"/>
  <c r="F31" i="221"/>
  <c r="I31" i="221" s="1"/>
  <c r="L40" i="220"/>
  <c r="E40" i="220"/>
  <c r="I52" i="92"/>
  <c r="I12" i="247"/>
  <c r="R12" i="247" s="1"/>
  <c r="Q12" i="247"/>
  <c r="W12" i="247" s="1"/>
  <c r="I9" i="190"/>
  <c r="C22" i="47"/>
  <c r="E22" i="47" s="1"/>
  <c r="E9" i="35"/>
  <c r="N136" i="151"/>
  <c r="I136" i="151"/>
  <c r="N15" i="246"/>
  <c r="F15" i="246"/>
  <c r="O15" i="246" s="1"/>
  <c r="I33" i="227"/>
  <c r="I16" i="100"/>
  <c r="H54" i="151"/>
  <c r="H62" i="151"/>
  <c r="I141" i="92"/>
  <c r="I9" i="100"/>
  <c r="F30" i="232"/>
  <c r="I123" i="151"/>
  <c r="N123" i="151"/>
  <c r="F23" i="220"/>
  <c r="I23" i="220" s="1"/>
  <c r="H114" i="151"/>
  <c r="I109" i="151"/>
  <c r="H65" i="92"/>
  <c r="H25" i="151"/>
  <c r="I8" i="190"/>
  <c r="C8" i="245"/>
  <c r="E8" i="245" s="1"/>
  <c r="F9" i="233"/>
  <c r="G9" i="233" s="1"/>
  <c r="F18" i="220"/>
  <c r="I18" i="220" s="1"/>
  <c r="I13" i="190"/>
  <c r="H163" i="92"/>
  <c r="B11" i="249"/>
  <c r="E11" i="249" s="1"/>
  <c r="I32" i="92"/>
  <c r="I127" i="92"/>
  <c r="P17" i="247"/>
  <c r="V17" i="247" s="1"/>
  <c r="F9" i="232"/>
  <c r="P20" i="246"/>
  <c r="V20" i="246" s="1"/>
  <c r="I39" i="92"/>
  <c r="I101" i="92"/>
  <c r="E17" i="109"/>
  <c r="H13" i="15"/>
  <c r="H27" i="233"/>
  <c r="E27" i="233"/>
  <c r="N12" i="247"/>
  <c r="F12" i="247"/>
  <c r="O12" i="247" s="1"/>
  <c r="H17" i="233"/>
  <c r="E17" i="233"/>
  <c r="H19" i="223"/>
  <c r="E54" i="221"/>
  <c r="H103" i="151"/>
  <c r="O12" i="207"/>
  <c r="N12" i="207"/>
  <c r="I122" i="92"/>
  <c r="H82" i="151"/>
  <c r="I155" i="151"/>
  <c r="N155" i="151"/>
  <c r="J27" i="83"/>
  <c r="F8" i="232"/>
  <c r="E9" i="109"/>
  <c r="Q17" i="246"/>
  <c r="W17" i="246" s="1"/>
  <c r="I17" i="246"/>
  <c r="R17" i="246" s="1"/>
  <c r="P14" i="211"/>
  <c r="U14" i="211" s="1"/>
  <c r="J18" i="83"/>
  <c r="C22" i="216"/>
  <c r="D14" i="240"/>
  <c r="I20" i="246"/>
  <c r="R20" i="246" s="1"/>
  <c r="Q20" i="246"/>
  <c r="W20" i="246" s="1"/>
  <c r="I28" i="214"/>
  <c r="F34" i="221"/>
  <c r="I34" i="221" s="1"/>
  <c r="F24" i="221"/>
  <c r="I24" i="221" s="1"/>
  <c r="B22" i="233"/>
  <c r="E7" i="233"/>
  <c r="H7" i="233"/>
  <c r="I17" i="92"/>
  <c r="P25" i="247"/>
  <c r="V25" i="247" s="1"/>
  <c r="F22" i="221"/>
  <c r="I22" i="221" s="1"/>
  <c r="L15" i="221"/>
  <c r="E15" i="221"/>
  <c r="D8" i="190"/>
  <c r="F20" i="233"/>
  <c r="G20" i="233" s="1"/>
  <c r="L7" i="15"/>
  <c r="M7" i="15" s="1"/>
  <c r="I33" i="92"/>
  <c r="E12" i="232"/>
  <c r="L12" i="232"/>
  <c r="I162" i="151"/>
  <c r="N162" i="151"/>
  <c r="F22" i="247"/>
  <c r="O22" i="247" s="1"/>
  <c r="N22" i="247"/>
  <c r="H61" i="151"/>
  <c r="P18" i="246"/>
  <c r="V18" i="246" s="1"/>
  <c r="O20" i="207"/>
  <c r="N20" i="207"/>
  <c r="I21" i="92"/>
  <c r="D10" i="240"/>
  <c r="Q10" i="211"/>
  <c r="V10" i="211" s="1"/>
  <c r="I10" i="211"/>
  <c r="R10" i="211" s="1"/>
  <c r="I141" i="151"/>
  <c r="N141" i="151"/>
  <c r="O15" i="207"/>
  <c r="N15" i="207"/>
  <c r="F31" i="233"/>
  <c r="G31" i="233" s="1"/>
  <c r="I71" i="151"/>
  <c r="I53" i="92"/>
  <c r="P15" i="247"/>
  <c r="V15" i="247" s="1"/>
  <c r="I56" i="92"/>
  <c r="I22" i="218"/>
  <c r="P11" i="246"/>
  <c r="V11" i="246" s="1"/>
  <c r="E12" i="222"/>
  <c r="L12" i="222"/>
  <c r="M24" i="246"/>
  <c r="H165" i="92"/>
  <c r="H85" i="92"/>
  <c r="K7" i="229"/>
  <c r="Z7" i="229" s="1"/>
  <c r="T7" i="229"/>
  <c r="U7" i="229" s="1"/>
  <c r="H176" i="92"/>
  <c r="F39" i="221"/>
  <c r="I39" i="221" s="1"/>
  <c r="F14" i="232"/>
  <c r="I28" i="218"/>
  <c r="H148" i="151"/>
  <c r="I100" i="92"/>
  <c r="H119" i="151"/>
  <c r="I19" i="151"/>
  <c r="N19" i="151"/>
  <c r="E6" i="35"/>
  <c r="I17" i="214"/>
  <c r="I125" i="92"/>
  <c r="P24" i="247"/>
  <c r="V24" i="247" s="1"/>
  <c r="H53" i="151"/>
  <c r="I155" i="92"/>
  <c r="F39" i="220"/>
  <c r="I39" i="220" s="1"/>
  <c r="H30" i="151"/>
  <c r="H160" i="92"/>
  <c r="H71" i="151"/>
  <c r="E23" i="220"/>
  <c r="L23" i="220"/>
  <c r="I180" i="151"/>
  <c r="N180" i="151"/>
  <c r="H59" i="151"/>
  <c r="F26" i="233"/>
  <c r="G26" i="233" s="1"/>
  <c r="H163" i="151"/>
  <c r="I99" i="92"/>
  <c r="Q10" i="246"/>
  <c r="W10" i="246" s="1"/>
  <c r="I10" i="246"/>
  <c r="R10" i="246" s="1"/>
  <c r="L10" i="222"/>
  <c r="E10" i="222"/>
  <c r="I27" i="217"/>
  <c r="E42" i="220"/>
  <c r="L42" i="220"/>
  <c r="E45" i="151"/>
  <c r="H45" i="151" s="1"/>
  <c r="E8" i="239"/>
  <c r="N15" i="151"/>
  <c r="I15" i="151"/>
  <c r="G12" i="190"/>
  <c r="N16" i="246"/>
  <c r="F16" i="246"/>
  <c r="O16" i="246" s="1"/>
  <c r="I20" i="223"/>
  <c r="I173" i="151"/>
  <c r="I77" i="151"/>
  <c r="P13" i="211"/>
  <c r="U13" i="211" s="1"/>
  <c r="H30" i="92"/>
  <c r="E16" i="233"/>
  <c r="H16" i="233"/>
  <c r="O10" i="207"/>
  <c r="N10" i="207"/>
  <c r="E13" i="226"/>
  <c r="F25" i="220"/>
  <c r="I25" i="220" s="1"/>
  <c r="H29" i="92"/>
  <c r="H117" i="151"/>
  <c r="I42" i="92"/>
  <c r="F28" i="233"/>
  <c r="G28" i="233" s="1"/>
  <c r="X15" i="209"/>
  <c r="N26" i="247"/>
  <c r="F26" i="247"/>
  <c r="O26" i="247" s="1"/>
  <c r="D22" i="237"/>
  <c r="D24" i="237" s="1"/>
  <c r="C36" i="222"/>
  <c r="C38" i="222" s="1"/>
  <c r="F16" i="223" s="1"/>
  <c r="I16" i="223" s="1"/>
  <c r="F9" i="222"/>
  <c r="I9" i="222" s="1"/>
  <c r="H64" i="151"/>
  <c r="I47" i="151"/>
  <c r="N47" i="151"/>
  <c r="H170" i="92"/>
  <c r="M29" i="246"/>
  <c r="I16" i="246"/>
  <c r="R16" i="246" s="1"/>
  <c r="Q16" i="246"/>
  <c r="W16" i="246" s="1"/>
  <c r="N120" i="151"/>
  <c r="I120" i="151"/>
  <c r="B41" i="228"/>
  <c r="E41" i="228" s="1"/>
  <c r="F54" i="221"/>
  <c r="I54" i="221" s="1"/>
  <c r="E21" i="214"/>
  <c r="F14" i="233"/>
  <c r="G14" i="233" s="1"/>
  <c r="N13" i="207"/>
  <c r="O13" i="207"/>
  <c r="I18" i="214"/>
  <c r="I25" i="246"/>
  <c r="R25" i="246" s="1"/>
  <c r="Q25" i="246"/>
  <c r="W25" i="246" s="1"/>
  <c r="H111" i="92"/>
  <c r="I171" i="92"/>
  <c r="H130" i="151"/>
  <c r="I114" i="151"/>
  <c r="L51" i="221"/>
  <c r="E51" i="221"/>
  <c r="I33" i="151"/>
  <c r="H174" i="151"/>
  <c r="L24" i="220"/>
  <c r="E24" i="220"/>
  <c r="E23" i="25"/>
  <c r="E17" i="214"/>
  <c r="Q10" i="247"/>
  <c r="W10" i="247" s="1"/>
  <c r="I10" i="247"/>
  <c r="R10" i="247" s="1"/>
  <c r="F7" i="233"/>
  <c r="G7" i="233" s="1"/>
  <c r="C22" i="233"/>
  <c r="F22" i="233" s="1"/>
  <c r="G22" i="233" s="1"/>
  <c r="H11" i="223"/>
  <c r="I32" i="151"/>
  <c r="I13" i="100"/>
  <c r="H112" i="151"/>
  <c r="I37" i="151"/>
  <c r="H143" i="151"/>
  <c r="L9" i="220"/>
  <c r="E9" i="220"/>
  <c r="B53" i="220"/>
  <c r="F11" i="256" s="1"/>
  <c r="C17" i="47"/>
  <c r="E17" i="47" s="1"/>
  <c r="M10" i="211"/>
  <c r="I85" i="151"/>
  <c r="N85" i="151"/>
  <c r="J14" i="213"/>
  <c r="M14" i="213" s="1"/>
  <c r="I167" i="151"/>
  <c r="N167" i="151"/>
  <c r="H41" i="151"/>
  <c r="L43" i="221"/>
  <c r="E43" i="221"/>
  <c r="I83" i="92"/>
  <c r="F8" i="233"/>
  <c r="G8" i="233" s="1"/>
  <c r="I68" i="92"/>
  <c r="E7" i="239"/>
  <c r="F27" i="221"/>
  <c r="I27" i="221" s="1"/>
  <c r="I25" i="214"/>
  <c r="N18" i="207"/>
  <c r="O18" i="207"/>
  <c r="E11" i="214"/>
  <c r="C12" i="47"/>
  <c r="E12" i="47" s="1"/>
  <c r="F13" i="211"/>
  <c r="O13" i="211" s="1"/>
  <c r="C13" i="163"/>
  <c r="E13" i="163" s="1"/>
  <c r="N13" i="211"/>
  <c r="I22" i="214"/>
  <c r="H146" i="151"/>
  <c r="X8" i="229"/>
  <c r="Y8" i="229" s="1"/>
  <c r="I107" i="151"/>
  <c r="H132" i="92"/>
  <c r="J19" i="83"/>
  <c r="I124" i="92"/>
  <c r="I58" i="151"/>
  <c r="N58" i="151"/>
  <c r="N15" i="247"/>
  <c r="F15" i="247"/>
  <c r="O15" i="247" s="1"/>
  <c r="M9" i="212"/>
  <c r="F16" i="233"/>
  <c r="G16" i="233" s="1"/>
  <c r="I53" i="151"/>
  <c r="N53" i="151"/>
  <c r="C11" i="47"/>
  <c r="E11" i="47" s="1"/>
  <c r="F19" i="246"/>
  <c r="O19" i="246" s="1"/>
  <c r="N19" i="246"/>
  <c r="H96" i="151"/>
  <c r="N24" i="247"/>
  <c r="F24" i="247"/>
  <c r="O24" i="247" s="1"/>
  <c r="P16" i="246"/>
  <c r="V16" i="246" s="1"/>
  <c r="I38" i="151"/>
  <c r="E25" i="220"/>
  <c r="L25" i="220"/>
  <c r="H91" i="92"/>
  <c r="P22" i="246"/>
  <c r="V22" i="246" s="1"/>
  <c r="M13" i="207"/>
  <c r="N56" i="151"/>
  <c r="I56" i="151"/>
  <c r="I71" i="92"/>
  <c r="H73" i="151"/>
  <c r="H172" i="151"/>
  <c r="L17" i="232"/>
  <c r="E17" i="232"/>
  <c r="I69" i="151"/>
  <c r="F14" i="190"/>
  <c r="G6" i="190"/>
  <c r="I129" i="92"/>
  <c r="F36" i="233"/>
  <c r="G36" i="233" s="1"/>
  <c r="I27" i="247"/>
  <c r="R27" i="247" s="1"/>
  <c r="Q27" i="247"/>
  <c r="W27" i="247" s="1"/>
  <c r="H178" i="92"/>
  <c r="P10" i="216"/>
  <c r="M12" i="247"/>
  <c r="E13" i="214"/>
  <c r="H44" i="151"/>
  <c r="K11" i="35"/>
  <c r="Z11" i="35" s="1"/>
  <c r="T11" i="35"/>
  <c r="U11" i="35" s="1"/>
  <c r="F15" i="222"/>
  <c r="I15" i="222" s="1"/>
  <c r="I147" i="151"/>
  <c r="N147" i="151"/>
  <c r="I19" i="100"/>
  <c r="I120" i="92"/>
  <c r="H142" i="151"/>
  <c r="H119" i="92"/>
  <c r="H125" i="151"/>
  <c r="P18" i="247"/>
  <c r="V18" i="247" s="1"/>
  <c r="Q11" i="247"/>
  <c r="W11" i="247" s="1"/>
  <c r="I11" i="247"/>
  <c r="R11" i="247" s="1"/>
  <c r="E36" i="233"/>
  <c r="H36" i="233"/>
  <c r="D12" i="240"/>
  <c r="L15" i="232"/>
  <c r="E15" i="232"/>
  <c r="C14" i="245"/>
  <c r="E14" i="245" s="1"/>
  <c r="I78" i="92"/>
  <c r="F17" i="232"/>
  <c r="J13" i="213"/>
  <c r="M13" i="213" s="1"/>
  <c r="H31" i="151"/>
  <c r="L28" i="221"/>
  <c r="E28" i="221"/>
  <c r="N49" i="151"/>
  <c r="I49" i="151"/>
  <c r="F10" i="232"/>
  <c r="I26" i="92"/>
  <c r="C10" i="245"/>
  <c r="E10" i="245" s="1"/>
  <c r="C23" i="134"/>
  <c r="E23" i="134" s="1"/>
  <c r="J11" i="213"/>
  <c r="M11" i="213" s="1"/>
  <c r="I22" i="217"/>
  <c r="P28" i="247"/>
  <c r="V28" i="247" s="1"/>
  <c r="P28" i="246"/>
  <c r="V28" i="246" s="1"/>
  <c r="F42" i="221"/>
  <c r="I42" i="221" s="1"/>
  <c r="E10" i="214"/>
  <c r="E12" i="214"/>
  <c r="H31" i="92"/>
  <c r="P19" i="246"/>
  <c r="V19" i="246" s="1"/>
  <c r="M20" i="207"/>
  <c r="F46" i="220"/>
  <c r="I46" i="220" s="1"/>
  <c r="H173" i="151"/>
  <c r="M11" i="207"/>
  <c r="F17" i="221"/>
  <c r="I17" i="221" s="1"/>
  <c r="I93" i="151"/>
  <c r="N93" i="151"/>
  <c r="I18" i="151"/>
  <c r="N18" i="151"/>
  <c r="E34" i="232"/>
  <c r="L34" i="232"/>
  <c r="L46" i="220"/>
  <c r="E46" i="220"/>
  <c r="P12" i="211"/>
  <c r="U12" i="211" s="1"/>
  <c r="C21" i="47"/>
  <c r="E21" i="47" s="1"/>
  <c r="N29" i="247"/>
  <c r="F29" i="247"/>
  <c r="O29" i="247" s="1"/>
  <c r="Q21" i="247"/>
  <c r="W21" i="247" s="1"/>
  <c r="I21" i="247"/>
  <c r="R21" i="247" s="1"/>
  <c r="H158" i="92"/>
  <c r="E17" i="221"/>
  <c r="L17" i="221"/>
  <c r="M8" i="207"/>
  <c r="H39" i="151"/>
  <c r="H20" i="92"/>
  <c r="F37" i="233"/>
  <c r="G37" i="233" s="1"/>
  <c r="I103" i="92"/>
  <c r="F13" i="233"/>
  <c r="G13" i="233" s="1"/>
  <c r="H142" i="92"/>
  <c r="H131" i="151"/>
  <c r="H102" i="151"/>
  <c r="H44" i="92"/>
  <c r="H18" i="15"/>
  <c r="D8" i="240"/>
  <c r="I12" i="211"/>
  <c r="R12" i="211" s="1"/>
  <c r="Q12" i="211"/>
  <c r="V12" i="211" s="1"/>
  <c r="H56" i="151"/>
  <c r="I100" i="151"/>
  <c r="N100" i="151"/>
  <c r="H106" i="92"/>
  <c r="B41" i="227"/>
  <c r="E41" i="227" s="1"/>
  <c r="F37" i="221"/>
  <c r="I37" i="221" s="1"/>
  <c r="H133" i="92"/>
  <c r="H138" i="151"/>
  <c r="I160" i="151"/>
  <c r="N160" i="151"/>
  <c r="I130" i="92"/>
  <c r="I23" i="92"/>
  <c r="I77" i="92"/>
  <c r="N163" i="151"/>
  <c r="I163" i="151"/>
  <c r="I14" i="100"/>
  <c r="I57" i="151"/>
  <c r="N57" i="151"/>
  <c r="I117" i="92"/>
  <c r="P9" i="216"/>
  <c r="C18" i="47"/>
  <c r="E18" i="47" s="1"/>
  <c r="H60" i="92"/>
  <c r="D11" i="190"/>
  <c r="H155" i="92"/>
  <c r="H9" i="233"/>
  <c r="E9" i="233"/>
  <c r="D10" i="190"/>
  <c r="I7" i="151"/>
  <c r="N7" i="151"/>
  <c r="H66" i="151"/>
  <c r="M16" i="246"/>
  <c r="H81" i="151"/>
  <c r="N11" i="207"/>
  <c r="O11" i="207"/>
  <c r="F33" i="221"/>
  <c r="I33" i="221" s="1"/>
  <c r="C11" i="163"/>
  <c r="E11" i="163" s="1"/>
  <c r="F11" i="211"/>
  <c r="O11" i="211" s="1"/>
  <c r="N11" i="211"/>
  <c r="H122" i="92"/>
  <c r="P12" i="216"/>
  <c r="H100" i="92"/>
  <c r="F21" i="221"/>
  <c r="I21" i="221" s="1"/>
  <c r="F22" i="220"/>
  <c r="I22" i="220" s="1"/>
  <c r="E8" i="109"/>
  <c r="H20" i="15"/>
  <c r="H121" i="151"/>
  <c r="I101" i="151"/>
  <c r="N101" i="151"/>
  <c r="H22" i="151"/>
  <c r="H151" i="92"/>
  <c r="I95" i="92"/>
  <c r="H155" i="151"/>
  <c r="F13" i="246"/>
  <c r="O13" i="246" s="1"/>
  <c r="N13" i="246"/>
  <c r="I132" i="151"/>
  <c r="N132" i="151"/>
  <c r="I13" i="213"/>
  <c r="C21" i="134"/>
  <c r="E21" i="134" s="1"/>
  <c r="J22" i="83"/>
  <c r="F32" i="233"/>
  <c r="G32" i="233" s="1"/>
  <c r="F38" i="232"/>
  <c r="H135" i="92"/>
  <c r="M25" i="247"/>
  <c r="H159" i="151"/>
  <c r="I67" i="92"/>
  <c r="H177" i="151"/>
  <c r="N128" i="151"/>
  <c r="I128" i="151"/>
  <c r="I13" i="211"/>
  <c r="R13" i="211" s="1"/>
  <c r="Q13" i="211"/>
  <c r="V13" i="211" s="1"/>
  <c r="N44" i="151"/>
  <c r="I44" i="151"/>
  <c r="I174" i="151"/>
  <c r="H12" i="151"/>
  <c r="E11" i="239"/>
  <c r="N27" i="151"/>
  <c r="I27" i="151"/>
  <c r="I19" i="218"/>
  <c r="F12" i="211"/>
  <c r="O12" i="211" s="1"/>
  <c r="C12" i="163"/>
  <c r="E12" i="163" s="1"/>
  <c r="N12" i="211"/>
  <c r="I15" i="247"/>
  <c r="R15" i="247" s="1"/>
  <c r="Q15" i="247"/>
  <c r="W15" i="247" s="1"/>
  <c r="H126" i="151"/>
  <c r="F12" i="233"/>
  <c r="G12" i="233" s="1"/>
  <c r="M25" i="246"/>
  <c r="L33" i="221"/>
  <c r="E33" i="221"/>
  <c r="G22" i="237"/>
  <c r="G24" i="237" s="1"/>
  <c r="E16" i="129"/>
  <c r="H84" i="151"/>
  <c r="P7" i="215"/>
  <c r="Q7" i="215" s="1"/>
  <c r="B21" i="216"/>
  <c r="I140" i="92"/>
  <c r="N129" i="151"/>
  <c r="I129" i="151"/>
  <c r="I154" i="92"/>
  <c r="I109" i="92"/>
  <c r="I36" i="151"/>
  <c r="H117" i="92"/>
  <c r="I99" i="151"/>
  <c r="N99" i="151"/>
  <c r="I13" i="246"/>
  <c r="R13" i="246" s="1"/>
  <c r="Q13" i="246"/>
  <c r="W13" i="246" s="1"/>
  <c r="E9" i="222"/>
  <c r="L9" i="222"/>
  <c r="B36" i="222"/>
  <c r="E36" i="222" s="1"/>
  <c r="H164" i="92"/>
  <c r="M19" i="246"/>
  <c r="E24" i="25"/>
  <c r="H15" i="15"/>
  <c r="F144" i="151"/>
  <c r="I144" i="151" s="1"/>
  <c r="N79" i="151"/>
  <c r="I79" i="151"/>
  <c r="F13" i="221"/>
  <c r="I13" i="221" s="1"/>
  <c r="H105" i="92"/>
  <c r="I13" i="151"/>
  <c r="N13" i="151"/>
  <c r="M8" i="212"/>
  <c r="H137" i="151"/>
  <c r="N171" i="151"/>
  <c r="I171" i="151"/>
  <c r="H17" i="151"/>
  <c r="E25" i="226"/>
  <c r="H38" i="233"/>
  <c r="E38" i="233"/>
  <c r="I50" i="92"/>
  <c r="E12" i="192"/>
  <c r="I148" i="151"/>
  <c r="N148" i="151"/>
  <c r="I55" i="92"/>
  <c r="C15" i="192"/>
  <c r="I12" i="223"/>
  <c r="H37" i="233"/>
  <c r="E37" i="233"/>
  <c r="L27" i="220"/>
  <c r="E27" i="220"/>
  <c r="I102" i="92"/>
  <c r="I172" i="92"/>
  <c r="M14" i="247"/>
  <c r="X14" i="209"/>
  <c r="F29" i="232"/>
  <c r="H104" i="151"/>
  <c r="I19" i="92"/>
  <c r="P17" i="246"/>
  <c r="V17" i="246" s="1"/>
  <c r="I26" i="247"/>
  <c r="R26" i="247" s="1"/>
  <c r="Q26" i="247"/>
  <c r="W26" i="247" s="1"/>
  <c r="L26" i="220"/>
  <c r="E26" i="220"/>
  <c r="H96" i="92"/>
  <c r="H11" i="15"/>
  <c r="H125" i="92"/>
  <c r="C22" i="134"/>
  <c r="E22" i="134" s="1"/>
  <c r="I92" i="151"/>
  <c r="N92" i="151"/>
  <c r="M26" i="246"/>
  <c r="I136" i="92"/>
  <c r="H113" i="92"/>
  <c r="F9" i="220"/>
  <c r="I9" i="220" s="1"/>
  <c r="C53" i="220"/>
  <c r="L11" i="256" s="1"/>
  <c r="X11" i="256" s="1"/>
  <c r="E9" i="214"/>
  <c r="N134" i="151"/>
  <c r="I134" i="151"/>
  <c r="P29" i="247"/>
  <c r="V29" i="247" s="1"/>
  <c r="F27" i="246"/>
  <c r="O27" i="246" s="1"/>
  <c r="N27" i="246"/>
  <c r="H10" i="233"/>
  <c r="F10" i="233"/>
  <c r="G10" i="233" s="1"/>
  <c r="I23" i="151"/>
  <c r="N23" i="151"/>
  <c r="F12" i="137"/>
  <c r="K34" i="257" s="1"/>
  <c r="L14" i="47"/>
  <c r="K14" i="47"/>
  <c r="T9" i="5"/>
  <c r="O8" i="207"/>
  <c r="O14" i="211"/>
  <c r="Q47" i="175"/>
  <c r="U47" i="175"/>
  <c r="X15" i="207"/>
  <c r="T70" i="242"/>
  <c r="Q70" i="242" s="1"/>
  <c r="U31" i="210"/>
  <c r="Q31" i="210"/>
  <c r="R10" i="139"/>
  <c r="S10" i="139" s="1"/>
  <c r="S36" i="175"/>
  <c r="O36" i="175"/>
  <c r="O62" i="175"/>
  <c r="S62" i="175"/>
  <c r="T15" i="210"/>
  <c r="P15" i="210"/>
  <c r="T14" i="210"/>
  <c r="P14" i="210"/>
  <c r="L22" i="226"/>
  <c r="F22" i="226"/>
  <c r="G22" i="226" s="1"/>
  <c r="T62" i="175"/>
  <c r="P62" i="175"/>
  <c r="I34" i="189"/>
  <c r="J34" i="189" s="1"/>
  <c r="I32" i="189"/>
  <c r="J32" i="189" s="1"/>
  <c r="L12" i="240"/>
  <c r="W16" i="207"/>
  <c r="B45" i="139"/>
  <c r="B22" i="170"/>
  <c r="Q17" i="175"/>
  <c r="U17" i="175"/>
  <c r="S56" i="210"/>
  <c r="O56" i="210"/>
  <c r="I29" i="219"/>
  <c r="S57" i="210"/>
  <c r="O57" i="210"/>
  <c r="L11" i="139"/>
  <c r="V11" i="139" s="1"/>
  <c r="S21" i="175"/>
  <c r="O21" i="175"/>
  <c r="R14" i="2"/>
  <c r="S58" i="175"/>
  <c r="O58" i="175"/>
  <c r="C26" i="2"/>
  <c r="C24" i="137"/>
  <c r="C29" i="246"/>
  <c r="C29" i="247"/>
  <c r="P60" i="210"/>
  <c r="T60" i="210"/>
  <c r="K21" i="189"/>
  <c r="L21" i="189" s="1"/>
  <c r="P12" i="175"/>
  <c r="T12" i="175"/>
  <c r="B20" i="207"/>
  <c r="B20" i="133" s="1"/>
  <c r="B48" i="6"/>
  <c r="T26" i="175"/>
  <c r="P26" i="175"/>
  <c r="C40" i="6"/>
  <c r="C12" i="207"/>
  <c r="L14" i="139"/>
  <c r="V14" i="139" s="1"/>
  <c r="AC9" i="5"/>
  <c r="T23" i="175"/>
  <c r="P23" i="175"/>
  <c r="P23" i="210"/>
  <c r="T23" i="210"/>
  <c r="S7" i="175"/>
  <c r="O7" i="175"/>
  <c r="L27" i="60"/>
  <c r="U44" i="175"/>
  <c r="Q44" i="175"/>
  <c r="Q41" i="210"/>
  <c r="U41" i="210"/>
  <c r="B20" i="212"/>
  <c r="T10" i="139"/>
  <c r="U10" i="139" s="1"/>
  <c r="L10" i="139"/>
  <c r="V10" i="139" s="1"/>
  <c r="T7" i="215"/>
  <c r="R7" i="215"/>
  <c r="S7" i="215" s="1"/>
  <c r="T10" i="215"/>
  <c r="R10" i="215"/>
  <c r="S10" i="215" s="1"/>
  <c r="I28" i="228"/>
  <c r="L28" i="228"/>
  <c r="P49" i="210"/>
  <c r="T49" i="210"/>
  <c r="C43" i="6"/>
  <c r="C15" i="207"/>
  <c r="L25" i="228"/>
  <c r="I25" i="228"/>
  <c r="R25" i="15"/>
  <c r="Q53" i="210"/>
  <c r="U53" i="210"/>
  <c r="I7" i="109"/>
  <c r="Q60" i="175"/>
  <c r="U60" i="175"/>
  <c r="I16" i="218"/>
  <c r="L12" i="226"/>
  <c r="F12" i="226"/>
  <c r="G12" i="226" s="1"/>
  <c r="L17" i="6"/>
  <c r="V17" i="6" s="1"/>
  <c r="Z17" i="6"/>
  <c r="P70" i="175"/>
  <c r="T70" i="175"/>
  <c r="Q65" i="210"/>
  <c r="U65" i="210"/>
  <c r="Q48" i="210"/>
  <c r="U48" i="210"/>
  <c r="C26" i="109"/>
  <c r="F26" i="109" s="1"/>
  <c r="G26" i="109" s="1"/>
  <c r="I6" i="109"/>
  <c r="N7" i="175"/>
  <c r="R7" i="175"/>
  <c r="O47" i="175"/>
  <c r="S47" i="175"/>
  <c r="O17" i="175"/>
  <c r="S17" i="175"/>
  <c r="C17" i="247"/>
  <c r="C14" i="2"/>
  <c r="C12" i="137"/>
  <c r="C17" i="246"/>
  <c r="K29" i="60"/>
  <c r="U70" i="175"/>
  <c r="Q70" i="175"/>
  <c r="W9" i="207"/>
  <c r="R55" i="210"/>
  <c r="N55" i="210"/>
  <c r="I56" i="189"/>
  <c r="J56" i="189" s="1"/>
  <c r="J13" i="83"/>
  <c r="N36" i="175"/>
  <c r="R36" i="175"/>
  <c r="P63" i="210"/>
  <c r="T63" i="210"/>
  <c r="M18" i="190"/>
  <c r="M14" i="190"/>
  <c r="M26" i="190" s="1"/>
  <c r="I13" i="214"/>
  <c r="I24" i="219"/>
  <c r="I13" i="227"/>
  <c r="L13" i="227"/>
  <c r="X9" i="35"/>
  <c r="Y9" i="35" s="1"/>
  <c r="D21" i="78"/>
  <c r="C14" i="78" s="1"/>
  <c r="P67" i="175"/>
  <c r="T67" i="175"/>
  <c r="I30" i="189"/>
  <c r="J30" i="189" s="1"/>
  <c r="W19" i="207"/>
  <c r="S50" i="210"/>
  <c r="O50" i="210"/>
  <c r="K9" i="35"/>
  <c r="Z9" i="35" s="1"/>
  <c r="T9" i="35"/>
  <c r="U9" i="35" s="1"/>
  <c r="R6" i="175"/>
  <c r="C77" i="175"/>
  <c r="N6" i="175"/>
  <c r="O46" i="175"/>
  <c r="S46" i="175"/>
  <c r="S69" i="175"/>
  <c r="O69" i="175"/>
  <c r="O6" i="175"/>
  <c r="S6" i="175"/>
  <c r="S71" i="175"/>
  <c r="Y8" i="209"/>
  <c r="O59" i="175"/>
  <c r="S59" i="175"/>
  <c r="T38" i="175"/>
  <c r="P38" i="175"/>
  <c r="P15" i="175"/>
  <c r="T15" i="175"/>
  <c r="K43" i="189"/>
  <c r="L43" i="189" s="1"/>
  <c r="M19" i="190"/>
  <c r="AC7" i="5"/>
  <c r="Y7" i="5"/>
  <c r="I11" i="217"/>
  <c r="P21" i="2"/>
  <c r="Q21" i="2" s="1"/>
  <c r="Q53" i="175"/>
  <c r="U53" i="175"/>
  <c r="B30" i="60"/>
  <c r="U65" i="175"/>
  <c r="Q65" i="175"/>
  <c r="P14" i="215"/>
  <c r="Q14" i="215" s="1"/>
  <c r="N25" i="60"/>
  <c r="G61" i="189"/>
  <c r="D61" i="189"/>
  <c r="F61" i="189"/>
  <c r="E61" i="189"/>
  <c r="H61" i="189"/>
  <c r="O54" i="175"/>
  <c r="S54" i="175"/>
  <c r="M29" i="60"/>
  <c r="R13" i="175"/>
  <c r="N13" i="175"/>
  <c r="N22" i="210"/>
  <c r="R22" i="210"/>
  <c r="N10" i="192"/>
  <c r="P37" i="175"/>
  <c r="T37" i="175"/>
  <c r="C19" i="170"/>
  <c r="C42" i="139"/>
  <c r="I10" i="177"/>
  <c r="U6" i="175"/>
  <c r="Q6" i="175"/>
  <c r="L8" i="227"/>
  <c r="I8" i="227"/>
  <c r="U27" i="210"/>
  <c r="Q27" i="210"/>
  <c r="N10" i="175"/>
  <c r="R10" i="175"/>
  <c r="B16" i="207"/>
  <c r="R71" i="242" s="1"/>
  <c r="B44" i="6"/>
  <c r="BU9" i="170"/>
  <c r="N11" i="192"/>
  <c r="R58" i="210"/>
  <c r="N58" i="210"/>
  <c r="O38" i="210"/>
  <c r="S38" i="210"/>
  <c r="P69" i="175"/>
  <c r="T69" i="175"/>
  <c r="C23" i="247"/>
  <c r="C18" i="137"/>
  <c r="C23" i="246"/>
  <c r="C20" i="2"/>
  <c r="A19" i="190"/>
  <c r="R34" i="210"/>
  <c r="N34" i="210"/>
  <c r="R37" i="210"/>
  <c r="N37" i="210"/>
  <c r="I60" i="189"/>
  <c r="J60" i="189" s="1"/>
  <c r="I45" i="189"/>
  <c r="J45" i="189" s="1"/>
  <c r="U34" i="175"/>
  <c r="Q34" i="175"/>
  <c r="X12" i="212"/>
  <c r="I54" i="189"/>
  <c r="J54" i="189" s="1"/>
  <c r="I10" i="189"/>
  <c r="J10" i="189" s="1"/>
  <c r="Q69" i="210"/>
  <c r="U69" i="210"/>
  <c r="Q50" i="210"/>
  <c r="U50" i="210"/>
  <c r="K51" i="189"/>
  <c r="L51" i="189" s="1"/>
  <c r="U30" i="175"/>
  <c r="Q30" i="175"/>
  <c r="N46" i="210"/>
  <c r="R46" i="210"/>
  <c r="T50" i="175"/>
  <c r="P50" i="175"/>
  <c r="AB12" i="5"/>
  <c r="M21" i="190"/>
  <c r="C21" i="170"/>
  <c r="C44" i="139"/>
  <c r="N45" i="210"/>
  <c r="R45" i="210"/>
  <c r="L25" i="190"/>
  <c r="J25" i="190"/>
  <c r="J19" i="100"/>
  <c r="U56" i="175"/>
  <c r="Q56" i="175"/>
  <c r="C11" i="212"/>
  <c r="Q66" i="175"/>
  <c r="U66" i="175"/>
  <c r="N14" i="210"/>
  <c r="R14" i="210"/>
  <c r="T39" i="210"/>
  <c r="P39" i="210"/>
  <c r="T7" i="207"/>
  <c r="X7" i="207"/>
  <c r="AB9" i="5"/>
  <c r="F30" i="226"/>
  <c r="G30" i="226" s="1"/>
  <c r="L30" i="226"/>
  <c r="X16" i="212"/>
  <c r="N45" i="175"/>
  <c r="R45" i="175"/>
  <c r="U20" i="175"/>
  <c r="Q20" i="175"/>
  <c r="AB8" i="5"/>
  <c r="I18" i="189"/>
  <c r="J18" i="189" s="1"/>
  <c r="I23" i="227"/>
  <c r="L23" i="227"/>
  <c r="U38" i="175"/>
  <c r="Q38" i="175"/>
  <c r="N63" i="175"/>
  <c r="R63" i="175"/>
  <c r="AC18" i="5"/>
  <c r="AC11" i="5"/>
  <c r="R32" i="175"/>
  <c r="N32" i="175"/>
  <c r="F15" i="226"/>
  <c r="G15" i="226" s="1"/>
  <c r="L15" i="226"/>
  <c r="O7" i="210"/>
  <c r="S7" i="210"/>
  <c r="C45" i="139"/>
  <c r="C22" i="170"/>
  <c r="A8" i="239"/>
  <c r="A8" i="240"/>
  <c r="R50" i="210"/>
  <c r="N50" i="210"/>
  <c r="Q52" i="175"/>
  <c r="U52" i="175"/>
  <c r="R65" i="210"/>
  <c r="N65" i="210"/>
  <c r="I22" i="219"/>
  <c r="I42" i="189"/>
  <c r="J42" i="189" s="1"/>
  <c r="N50" i="175"/>
  <c r="R50" i="175"/>
  <c r="I8" i="109"/>
  <c r="J14" i="190"/>
  <c r="J26" i="190" s="1"/>
  <c r="J18" i="190"/>
  <c r="L6" i="190"/>
  <c r="L18" i="190" s="1"/>
  <c r="C31" i="217"/>
  <c r="I6" i="217"/>
  <c r="O34" i="210"/>
  <c r="S34" i="210"/>
  <c r="R7" i="139"/>
  <c r="S7" i="139" s="1"/>
  <c r="O22" i="190"/>
  <c r="N22" i="190"/>
  <c r="Q46" i="210"/>
  <c r="U46" i="210"/>
  <c r="AR21" i="170"/>
  <c r="AC12" i="5"/>
  <c r="U23" i="210"/>
  <c r="Q23" i="210"/>
  <c r="L31" i="226"/>
  <c r="F31" i="226"/>
  <c r="G31" i="226" s="1"/>
  <c r="N26" i="210"/>
  <c r="R26" i="210"/>
  <c r="S37" i="175"/>
  <c r="O37" i="175"/>
  <c r="A10" i="240"/>
  <c r="A10" i="239"/>
  <c r="AB10" i="5"/>
  <c r="K32" i="189"/>
  <c r="L32" i="189" s="1"/>
  <c r="I24" i="228"/>
  <c r="L24" i="228"/>
  <c r="I27" i="189"/>
  <c r="J27" i="189" s="1"/>
  <c r="P25" i="2"/>
  <c r="Q25" i="2" s="1"/>
  <c r="N27" i="175"/>
  <c r="R27" i="175"/>
  <c r="J11" i="83"/>
  <c r="A11" i="239"/>
  <c r="A11" i="240"/>
  <c r="S6" i="210"/>
  <c r="C78" i="210"/>
  <c r="J78" i="210" s="1"/>
  <c r="O6" i="210"/>
  <c r="I15" i="109"/>
  <c r="C44" i="6"/>
  <c r="X18" i="212"/>
  <c r="I14" i="217"/>
  <c r="I37" i="189"/>
  <c r="J37" i="189" s="1"/>
  <c r="I46" i="189"/>
  <c r="J46" i="189" s="1"/>
  <c r="U10" i="175"/>
  <c r="Q10" i="175"/>
  <c r="S34" i="175"/>
  <c r="O34" i="175"/>
  <c r="P7" i="210"/>
  <c r="T7" i="210"/>
  <c r="L25" i="227"/>
  <c r="I25" i="227"/>
  <c r="P38" i="210"/>
  <c r="T38" i="210"/>
  <c r="B15" i="212"/>
  <c r="B15" i="134" s="1"/>
  <c r="P6" i="175"/>
  <c r="T6" i="175"/>
  <c r="AC11" i="170"/>
  <c r="U66" i="210"/>
  <c r="Q66" i="210"/>
  <c r="P66" i="175"/>
  <c r="T66" i="175"/>
  <c r="A23" i="190"/>
  <c r="T52" i="175"/>
  <c r="P52" i="175"/>
  <c r="A7" i="240"/>
  <c r="A7" i="239"/>
  <c r="T17" i="210"/>
  <c r="P17" i="210"/>
  <c r="S64" i="175"/>
  <c r="O64" i="175"/>
  <c r="C18" i="212"/>
  <c r="I18" i="219"/>
  <c r="U40" i="210"/>
  <c r="Q40" i="210"/>
  <c r="S53" i="175"/>
  <c r="O53" i="175"/>
  <c r="B7" i="212"/>
  <c r="R77" i="242" s="1"/>
  <c r="B9" i="212"/>
  <c r="B9" i="134" s="1"/>
  <c r="C20" i="227"/>
  <c r="F20" i="227" s="1"/>
  <c r="G20" i="227" s="1"/>
  <c r="I6" i="227"/>
  <c r="L6" i="227"/>
  <c r="S27" i="175"/>
  <c r="O27" i="175"/>
  <c r="C7" i="2"/>
  <c r="C10" i="247"/>
  <c r="C10" i="246"/>
  <c r="C5" i="137"/>
  <c r="U40" i="175"/>
  <c r="Q40" i="175"/>
  <c r="Q12" i="210"/>
  <c r="U12" i="210"/>
  <c r="R12" i="175"/>
  <c r="N12" i="175"/>
  <c r="U55" i="210"/>
  <c r="Q55" i="210"/>
  <c r="S15" i="175"/>
  <c r="O15" i="175"/>
  <c r="N10" i="210"/>
  <c r="R10" i="210"/>
  <c r="S23" i="175"/>
  <c r="O23" i="175"/>
  <c r="F23" i="226"/>
  <c r="G23" i="226" s="1"/>
  <c r="L23" i="226"/>
  <c r="L10" i="227"/>
  <c r="I10" i="227"/>
  <c r="Q8" i="190"/>
  <c r="Q20" i="190" s="1"/>
  <c r="P20" i="190"/>
  <c r="Q45" i="210"/>
  <c r="U45" i="210"/>
  <c r="O11" i="210"/>
  <c r="S11" i="210"/>
  <c r="BU17" i="170"/>
  <c r="U28" i="175"/>
  <c r="Q28" i="175"/>
  <c r="R8" i="210"/>
  <c r="N8" i="210"/>
  <c r="L9" i="226"/>
  <c r="F9" i="226"/>
  <c r="G9" i="226" s="1"/>
  <c r="K15" i="189"/>
  <c r="L15" i="189" s="1"/>
  <c r="AR11" i="170"/>
  <c r="C23" i="215"/>
  <c r="R19" i="175"/>
  <c r="N19" i="175"/>
  <c r="CJ6" i="170"/>
  <c r="R17" i="210"/>
  <c r="N17" i="210"/>
  <c r="R18" i="2"/>
  <c r="T53" i="242"/>
  <c r="Q53" i="242" s="1"/>
  <c r="U48" i="175"/>
  <c r="Q48" i="175"/>
  <c r="S12" i="175"/>
  <c r="O12" i="175"/>
  <c r="R9" i="210"/>
  <c r="N9" i="210"/>
  <c r="C36" i="139"/>
  <c r="C13" i="170"/>
  <c r="R51" i="175"/>
  <c r="N51" i="175"/>
  <c r="F16" i="129"/>
  <c r="G16" i="129" s="1"/>
  <c r="T35" i="175"/>
  <c r="P35" i="175"/>
  <c r="X11" i="207"/>
  <c r="T66" i="242"/>
  <c r="Q66" i="242" s="1"/>
  <c r="T30" i="175"/>
  <c r="P30" i="175"/>
  <c r="O12" i="192"/>
  <c r="O8" i="239"/>
  <c r="R19" i="15"/>
  <c r="O60" i="175"/>
  <c r="S60" i="175"/>
  <c r="Q59" i="175"/>
  <c r="U59" i="175"/>
  <c r="C13" i="207"/>
  <c r="C41" i="6"/>
  <c r="J14" i="83"/>
  <c r="I6" i="218"/>
  <c r="C31" i="218"/>
  <c r="P57" i="175"/>
  <c r="T57" i="175"/>
  <c r="K54" i="189"/>
  <c r="L54" i="189" s="1"/>
  <c r="S44" i="175"/>
  <c r="O44" i="175"/>
  <c r="W7" i="207"/>
  <c r="T11" i="215"/>
  <c r="R11" i="215"/>
  <c r="S11" i="215" s="1"/>
  <c r="O70" i="210"/>
  <c r="S70" i="210"/>
  <c r="I22" i="189"/>
  <c r="J22" i="189" s="1"/>
  <c r="W12" i="207"/>
  <c r="Y12" i="209"/>
  <c r="P69" i="210"/>
  <c r="T69" i="210"/>
  <c r="P12" i="215"/>
  <c r="Q12" i="215" s="1"/>
  <c r="R14" i="215"/>
  <c r="S14" i="215" s="1"/>
  <c r="T14" i="215"/>
  <c r="C26" i="215"/>
  <c r="O10" i="192"/>
  <c r="Q7" i="190"/>
  <c r="Q19" i="190" s="1"/>
  <c r="P19" i="190"/>
  <c r="L26" i="227"/>
  <c r="I26" i="227"/>
  <c r="I15" i="219"/>
  <c r="T21" i="175"/>
  <c r="P21" i="175"/>
  <c r="S40" i="210"/>
  <c r="O40" i="210"/>
  <c r="I47" i="189"/>
  <c r="J47" i="189" s="1"/>
  <c r="C17" i="212"/>
  <c r="C39" i="6"/>
  <c r="C11" i="207"/>
  <c r="N13" i="210"/>
  <c r="R13" i="210"/>
  <c r="Y13" i="6"/>
  <c r="AN6" i="170"/>
  <c r="P31" i="175"/>
  <c r="T31" i="175"/>
  <c r="Q59" i="210"/>
  <c r="U59" i="210"/>
  <c r="C17" i="207"/>
  <c r="C45" i="6"/>
  <c r="P48" i="210"/>
  <c r="T48" i="210"/>
  <c r="R23" i="15"/>
  <c r="T33" i="175"/>
  <c r="P33" i="175"/>
  <c r="K48" i="189"/>
  <c r="L48" i="189" s="1"/>
  <c r="F9" i="197"/>
  <c r="AR20" i="170"/>
  <c r="C9" i="212"/>
  <c r="I9" i="218"/>
  <c r="U29" i="175"/>
  <c r="Q29" i="175"/>
  <c r="BU13" i="170"/>
  <c r="O41" i="210"/>
  <c r="S41" i="210"/>
  <c r="A12" i="239"/>
  <c r="A12" i="240"/>
  <c r="T105" i="242"/>
  <c r="Q105" i="242" s="1"/>
  <c r="AC15" i="5"/>
  <c r="I8" i="189"/>
  <c r="J8" i="189" s="1"/>
  <c r="Q16" i="210"/>
  <c r="U16" i="210"/>
  <c r="P55" i="175"/>
  <c r="T55" i="175"/>
  <c r="V7" i="35"/>
  <c r="W7" i="35" s="1"/>
  <c r="I23" i="189"/>
  <c r="J23" i="189" s="1"/>
  <c r="Y19" i="6"/>
  <c r="K19" i="190"/>
  <c r="O11" i="239"/>
  <c r="O9" i="239"/>
  <c r="I12" i="219"/>
  <c r="K20" i="189"/>
  <c r="L20" i="189" s="1"/>
  <c r="F14" i="197"/>
  <c r="Y11" i="6"/>
  <c r="W18" i="212"/>
  <c r="R99" i="242"/>
  <c r="B9" i="245"/>
  <c r="L9" i="245" s="1"/>
  <c r="M25" i="190"/>
  <c r="C9" i="2"/>
  <c r="C12" i="246"/>
  <c r="C7" i="137"/>
  <c r="C12" i="247"/>
  <c r="U67" i="175"/>
  <c r="Q67" i="175"/>
  <c r="B10" i="2"/>
  <c r="R45" i="242" s="1"/>
  <c r="T2" i="170"/>
  <c r="B13" i="247"/>
  <c r="B10" i="47"/>
  <c r="L10" i="47" s="1"/>
  <c r="B8" i="137"/>
  <c r="F8" i="137" s="1"/>
  <c r="K30" i="257" s="1"/>
  <c r="B13" i="246"/>
  <c r="F12" i="146"/>
  <c r="G12" i="146" s="1"/>
  <c r="C27" i="215"/>
  <c r="AR10" i="170"/>
  <c r="L24" i="60"/>
  <c r="K45" i="189"/>
  <c r="L45" i="189" s="1"/>
  <c r="O14" i="210"/>
  <c r="S14" i="210"/>
  <c r="X12" i="207"/>
  <c r="X17" i="212"/>
  <c r="L14" i="226"/>
  <c r="F14" i="226"/>
  <c r="G14" i="226" s="1"/>
  <c r="L23" i="139"/>
  <c r="V23" i="139" s="1"/>
  <c r="N33" i="175"/>
  <c r="R33" i="175"/>
  <c r="AC9" i="170"/>
  <c r="J12" i="83"/>
  <c r="C41" i="227"/>
  <c r="F41" i="227" s="1"/>
  <c r="G41" i="227" s="1"/>
  <c r="I21" i="227"/>
  <c r="L21" i="227"/>
  <c r="N13" i="192"/>
  <c r="S8" i="210"/>
  <c r="O8" i="210"/>
  <c r="O19" i="175"/>
  <c r="S19" i="175"/>
  <c r="Q13" i="190"/>
  <c r="Q25" i="190" s="1"/>
  <c r="P25" i="190"/>
  <c r="R11" i="210"/>
  <c r="N11" i="210"/>
  <c r="Q62" i="210"/>
  <c r="U62" i="210"/>
  <c r="T56" i="175"/>
  <c r="P56" i="175"/>
  <c r="K25" i="190"/>
  <c r="R21" i="15"/>
  <c r="T13" i="207"/>
  <c r="X13" i="207"/>
  <c r="N27" i="210"/>
  <c r="R27" i="210"/>
  <c r="P25" i="210"/>
  <c r="T25" i="210"/>
  <c r="T58" i="175"/>
  <c r="P58" i="175"/>
  <c r="I11" i="214"/>
  <c r="BJ6" i="170"/>
  <c r="P52" i="210"/>
  <c r="T52" i="210"/>
  <c r="N24" i="60"/>
  <c r="Q56" i="210"/>
  <c r="U56" i="210"/>
  <c r="N69" i="175"/>
  <c r="R69" i="175"/>
  <c r="R20" i="15"/>
  <c r="I40" i="189"/>
  <c r="J40" i="189" s="1"/>
  <c r="B26" i="215"/>
  <c r="C10" i="207"/>
  <c r="C38" i="6"/>
  <c r="O13" i="192"/>
  <c r="N30" i="60"/>
  <c r="B34" i="139"/>
  <c r="B11" i="170"/>
  <c r="P13" i="215"/>
  <c r="Q13" i="215" s="1"/>
  <c r="N58" i="175"/>
  <c r="R58" i="175"/>
  <c r="F6" i="83"/>
  <c r="G6" i="83" s="1"/>
  <c r="C31" i="83"/>
  <c r="P23" i="190"/>
  <c r="Q11" i="190"/>
  <c r="Q23" i="190" s="1"/>
  <c r="Y10" i="6"/>
  <c r="K24" i="60"/>
  <c r="S20" i="175"/>
  <c r="O20" i="175"/>
  <c r="L6" i="228"/>
  <c r="I6" i="228"/>
  <c r="C20" i="228"/>
  <c r="F20" i="228" s="1"/>
  <c r="G20" i="228" s="1"/>
  <c r="I13" i="217"/>
  <c r="I23" i="219"/>
  <c r="I11" i="228"/>
  <c r="L11" i="228"/>
  <c r="B22" i="137"/>
  <c r="F22" i="137" s="1"/>
  <c r="K44" i="257" s="1"/>
  <c r="B24" i="47"/>
  <c r="L24" i="47" s="1"/>
  <c r="B24" i="2"/>
  <c r="R59" i="242" s="1"/>
  <c r="B27" i="246"/>
  <c r="CS2" i="170"/>
  <c r="B27" i="247"/>
  <c r="K50" i="189"/>
  <c r="L50" i="189" s="1"/>
  <c r="B18" i="247"/>
  <c r="B13" i="137"/>
  <c r="F13" i="137" s="1"/>
  <c r="K35" i="257" s="1"/>
  <c r="B15" i="47"/>
  <c r="K15" i="47" s="1"/>
  <c r="B15" i="2"/>
  <c r="R50" i="242" s="1"/>
  <c r="AW2" i="170"/>
  <c r="B18" i="246"/>
  <c r="B21" i="170"/>
  <c r="B44" i="139"/>
  <c r="C16" i="246"/>
  <c r="C11" i="137"/>
  <c r="C16" i="247"/>
  <c r="I48" i="189"/>
  <c r="J48" i="189" s="1"/>
  <c r="P34" i="175"/>
  <c r="T34" i="175"/>
  <c r="Q11" i="210"/>
  <c r="U11" i="210"/>
  <c r="B26" i="60"/>
  <c r="I19" i="189"/>
  <c r="J19" i="189" s="1"/>
  <c r="F17" i="197"/>
  <c r="K25" i="60"/>
  <c r="I10" i="214"/>
  <c r="T20" i="2"/>
  <c r="R20" i="2"/>
  <c r="U35" i="175"/>
  <c r="Q35" i="175"/>
  <c r="N18" i="190"/>
  <c r="N14" i="190"/>
  <c r="N26" i="190" s="1"/>
  <c r="O6" i="190"/>
  <c r="O18" i="190" s="1"/>
  <c r="F28" i="226"/>
  <c r="G28" i="226" s="1"/>
  <c r="L28" i="226"/>
  <c r="N17" i="175"/>
  <c r="R17" i="175"/>
  <c r="B25" i="215"/>
  <c r="I7" i="218"/>
  <c r="U58" i="175"/>
  <c r="Q58" i="175"/>
  <c r="T19" i="210"/>
  <c r="P19" i="210"/>
  <c r="T64" i="175"/>
  <c r="P64" i="175"/>
  <c r="R51" i="210"/>
  <c r="N51" i="210"/>
  <c r="O36" i="210"/>
  <c r="S36" i="210"/>
  <c r="N53" i="175"/>
  <c r="R53" i="175"/>
  <c r="U37" i="175"/>
  <c r="Q37" i="175"/>
  <c r="C23" i="212"/>
  <c r="B10" i="212"/>
  <c r="R80" i="242" s="1"/>
  <c r="AC19" i="170"/>
  <c r="M23" i="190"/>
  <c r="AR12" i="170"/>
  <c r="L11" i="6"/>
  <c r="V11" i="6" s="1"/>
  <c r="Z11" i="6"/>
  <c r="X17" i="207"/>
  <c r="T72" i="242"/>
  <c r="Q72" i="242" s="1"/>
  <c r="I21" i="189"/>
  <c r="J21" i="189" s="1"/>
  <c r="K27" i="189"/>
  <c r="L27" i="189" s="1"/>
  <c r="I12" i="217"/>
  <c r="X14" i="207"/>
  <c r="T14" i="207"/>
  <c r="T48" i="175"/>
  <c r="P48" i="175"/>
  <c r="Q11" i="175"/>
  <c r="U11" i="175"/>
  <c r="L29" i="228"/>
  <c r="I29" i="228"/>
  <c r="P16" i="2"/>
  <c r="Q16" i="2" s="1"/>
  <c r="J21" i="100"/>
  <c r="BU19" i="170"/>
  <c r="T98" i="242"/>
  <c r="Q98" i="242" s="1"/>
  <c r="AC8" i="5"/>
  <c r="F9" i="31"/>
  <c r="G9" i="31" s="1"/>
  <c r="X21" i="212"/>
  <c r="CF6" i="170"/>
  <c r="L8" i="240"/>
  <c r="K35" i="189"/>
  <c r="L35" i="189" s="1"/>
  <c r="P10" i="215"/>
  <c r="Q10" i="215" s="1"/>
  <c r="X11" i="212"/>
  <c r="Y14" i="209"/>
  <c r="BC6" i="170"/>
  <c r="P9" i="175"/>
  <c r="T9" i="175"/>
  <c r="T107" i="242"/>
  <c r="Q107" i="242" s="1"/>
  <c r="AC17" i="5"/>
  <c r="R65" i="175"/>
  <c r="N65" i="175"/>
  <c r="I38" i="189"/>
  <c r="J38" i="189" s="1"/>
  <c r="I23" i="109"/>
  <c r="J20" i="190"/>
  <c r="L20" i="190"/>
  <c r="O19" i="190"/>
  <c r="N19" i="190"/>
  <c r="C25" i="215"/>
  <c r="P53" i="175"/>
  <c r="T53" i="175"/>
  <c r="M26" i="60"/>
  <c r="P57" i="210"/>
  <c r="T57" i="210"/>
  <c r="B16" i="2"/>
  <c r="R51" i="242" s="1"/>
  <c r="BA2" i="170"/>
  <c r="B16" i="47"/>
  <c r="L16" i="47" s="1"/>
  <c r="B19" i="247"/>
  <c r="B14" i="137"/>
  <c r="F14" i="137" s="1"/>
  <c r="K36" i="257" s="1"/>
  <c r="B19" i="246"/>
  <c r="C41" i="139"/>
  <c r="C18" i="170"/>
  <c r="O20" i="190"/>
  <c r="N20" i="190"/>
  <c r="B24" i="212"/>
  <c r="R94" i="242" s="1"/>
  <c r="P23" i="2"/>
  <c r="Q23" i="2" s="1"/>
  <c r="O28" i="210"/>
  <c r="S28" i="210"/>
  <c r="K24" i="189"/>
  <c r="L24" i="189" s="1"/>
  <c r="K10" i="240"/>
  <c r="N10" i="239"/>
  <c r="B26" i="212"/>
  <c r="C25" i="212"/>
  <c r="Q25" i="175"/>
  <c r="U25" i="175"/>
  <c r="O9" i="210"/>
  <c r="S9" i="210"/>
  <c r="C41" i="226"/>
  <c r="F41" i="226" s="1"/>
  <c r="G41" i="226" s="1"/>
  <c r="L21" i="226"/>
  <c r="F21" i="226"/>
  <c r="G21" i="226" s="1"/>
  <c r="F10" i="197"/>
  <c r="T24" i="2"/>
  <c r="R24" i="2"/>
  <c r="C48" i="6"/>
  <c r="C20" i="207"/>
  <c r="A22" i="190"/>
  <c r="Y18" i="6"/>
  <c r="R8" i="215"/>
  <c r="S8" i="215" s="1"/>
  <c r="T8" i="215"/>
  <c r="L9" i="6"/>
  <c r="V9" i="6" s="1"/>
  <c r="Z9" i="6"/>
  <c r="N12" i="192"/>
  <c r="R52" i="175"/>
  <c r="N52" i="175"/>
  <c r="R28" i="210"/>
  <c r="N28" i="210"/>
  <c r="S44" i="210"/>
  <c r="O44" i="210"/>
  <c r="AC14" i="170"/>
  <c r="I12" i="192"/>
  <c r="Q12" i="192" s="1"/>
  <c r="P12" i="192"/>
  <c r="W18" i="207"/>
  <c r="S68" i="175"/>
  <c r="O68" i="175"/>
  <c r="B23" i="2"/>
  <c r="R58" i="242" s="1"/>
  <c r="B21" i="137"/>
  <c r="F21" i="137" s="1"/>
  <c r="K43" i="257" s="1"/>
  <c r="B26" i="246"/>
  <c r="B26" i="247"/>
  <c r="B23" i="47"/>
  <c r="L23" i="47" s="1"/>
  <c r="CO2" i="170"/>
  <c r="R24" i="15"/>
  <c r="I21" i="219"/>
  <c r="K24" i="190"/>
  <c r="K22" i="190"/>
  <c r="I25" i="189"/>
  <c r="J25" i="189" s="1"/>
  <c r="Y11" i="209"/>
  <c r="B27" i="60"/>
  <c r="R44" i="175"/>
  <c r="N44" i="175"/>
  <c r="C9" i="207"/>
  <c r="C37" i="6"/>
  <c r="U28" i="210"/>
  <c r="Q28" i="210"/>
  <c r="P11" i="210"/>
  <c r="T11" i="210"/>
  <c r="L20" i="139"/>
  <c r="V20" i="139" s="1"/>
  <c r="I11" i="192"/>
  <c r="Q11" i="192" s="1"/>
  <c r="P11" i="192"/>
  <c r="L22" i="190"/>
  <c r="J22" i="190"/>
  <c r="R59" i="175"/>
  <c r="N59" i="175"/>
  <c r="O10" i="210"/>
  <c r="S10" i="210"/>
  <c r="X23" i="212"/>
  <c r="O35" i="175"/>
  <c r="S35" i="175"/>
  <c r="S29" i="210"/>
  <c r="O29" i="210"/>
  <c r="I52" i="189"/>
  <c r="J52" i="189" s="1"/>
  <c r="CQ6" i="170"/>
  <c r="T18" i="210"/>
  <c r="P18" i="210"/>
  <c r="J25" i="100"/>
  <c r="N67" i="175"/>
  <c r="R67" i="175"/>
  <c r="K11" i="240"/>
  <c r="N11" i="239"/>
  <c r="B36" i="139"/>
  <c r="B13" i="170"/>
  <c r="P28" i="175"/>
  <c r="T28" i="175"/>
  <c r="T42" i="175"/>
  <c r="P42" i="175"/>
  <c r="B13" i="212"/>
  <c r="R83" i="242" s="1"/>
  <c r="K38" i="189"/>
  <c r="L38" i="189" s="1"/>
  <c r="B12" i="247"/>
  <c r="B9" i="47"/>
  <c r="L9" i="47" s="1"/>
  <c r="B7" i="137"/>
  <c r="F7" i="137" s="1"/>
  <c r="K29" i="257" s="1"/>
  <c r="B9" i="2"/>
  <c r="R44" i="242" s="1"/>
  <c r="P2" i="170"/>
  <c r="B12" i="246"/>
  <c r="C10" i="212"/>
  <c r="U42" i="210"/>
  <c r="Q42" i="210"/>
  <c r="F10" i="226"/>
  <c r="G10" i="226" s="1"/>
  <c r="L10" i="226"/>
  <c r="K29" i="189"/>
  <c r="L29" i="189" s="1"/>
  <c r="O31" i="210"/>
  <c r="S31" i="210"/>
  <c r="R11" i="2"/>
  <c r="T46" i="242"/>
  <c r="Q46" i="242" s="1"/>
  <c r="N13" i="239"/>
  <c r="K13" i="240"/>
  <c r="C12" i="170"/>
  <c r="C35" i="139"/>
  <c r="K30" i="60"/>
  <c r="P10" i="2"/>
  <c r="Q10" i="2" s="1"/>
  <c r="S59" i="210"/>
  <c r="O59" i="210"/>
  <c r="F8" i="226"/>
  <c r="L8" i="226"/>
  <c r="W21" i="212"/>
  <c r="L26" i="60"/>
  <c r="S16" i="210"/>
  <c r="O16" i="210"/>
  <c r="L30" i="60"/>
  <c r="P49" i="175"/>
  <c r="T49" i="175"/>
  <c r="C14" i="170"/>
  <c r="C37" i="139"/>
  <c r="X9" i="212"/>
  <c r="P68" i="175"/>
  <c r="T68" i="175"/>
  <c r="N44" i="210"/>
  <c r="R44" i="210"/>
  <c r="U21" i="210"/>
  <c r="Q21" i="210"/>
  <c r="K12" i="189"/>
  <c r="L12" i="189" s="1"/>
  <c r="P70" i="210"/>
  <c r="T70" i="210"/>
  <c r="R18" i="15"/>
  <c r="S26" i="210"/>
  <c r="O26" i="210"/>
  <c r="P32" i="210"/>
  <c r="T32" i="210"/>
  <c r="AC12" i="170"/>
  <c r="Y16" i="209"/>
  <c r="Y14" i="6"/>
  <c r="K26" i="189"/>
  <c r="L26" i="189" s="1"/>
  <c r="P13" i="2"/>
  <c r="Q13" i="2" s="1"/>
  <c r="I9" i="217"/>
  <c r="W20" i="212"/>
  <c r="R23" i="175"/>
  <c r="N23" i="175"/>
  <c r="R26" i="2"/>
  <c r="T26" i="2"/>
  <c r="X8" i="212"/>
  <c r="I12" i="189"/>
  <c r="J12" i="189" s="1"/>
  <c r="U35" i="210"/>
  <c r="Q35" i="210"/>
  <c r="X13" i="212"/>
  <c r="R24" i="210"/>
  <c r="N24" i="210"/>
  <c r="I57" i="189"/>
  <c r="J57" i="189" s="1"/>
  <c r="P36" i="210"/>
  <c r="T36" i="210"/>
  <c r="T54" i="210"/>
  <c r="P54" i="210"/>
  <c r="C13" i="212"/>
  <c r="C21" i="137"/>
  <c r="C26" i="246"/>
  <c r="C26" i="247"/>
  <c r="C23" i="2"/>
  <c r="S30" i="175"/>
  <c r="O30" i="175"/>
  <c r="F24" i="226"/>
  <c r="G24" i="226" s="1"/>
  <c r="L24" i="226"/>
  <c r="R30" i="175"/>
  <c r="N30" i="175"/>
  <c r="N24" i="175"/>
  <c r="R24" i="175"/>
  <c r="W16" i="212"/>
  <c r="L9" i="15"/>
  <c r="M9" i="15" s="1"/>
  <c r="T42" i="210"/>
  <c r="P42" i="210"/>
  <c r="S24" i="175"/>
  <c r="O24" i="175"/>
  <c r="L13" i="240"/>
  <c r="T40" i="210"/>
  <c r="P40" i="210"/>
  <c r="AB13" i="5"/>
  <c r="N26" i="60"/>
  <c r="B21" i="212"/>
  <c r="B21" i="134" s="1"/>
  <c r="K59" i="189"/>
  <c r="L59" i="189" s="1"/>
  <c r="B17" i="207"/>
  <c r="B17" i="133" s="1"/>
  <c r="B45" i="6"/>
  <c r="U26" i="210"/>
  <c r="Q26" i="210"/>
  <c r="K53" i="189"/>
  <c r="L53" i="189" s="1"/>
  <c r="T19" i="175"/>
  <c r="P19" i="175"/>
  <c r="L9" i="240"/>
  <c r="R54" i="175"/>
  <c r="N54" i="175"/>
  <c r="U49" i="175"/>
  <c r="Q49" i="175"/>
  <c r="P56" i="210"/>
  <c r="T56" i="210"/>
  <c r="P41" i="210"/>
  <c r="T41" i="210"/>
  <c r="S10" i="175"/>
  <c r="O10" i="175"/>
  <c r="C11" i="170"/>
  <c r="C34" i="139"/>
  <c r="C32" i="139"/>
  <c r="C9" i="170"/>
  <c r="O61" i="210"/>
  <c r="S61" i="210"/>
  <c r="L21" i="139"/>
  <c r="V21" i="139" s="1"/>
  <c r="S8" i="175"/>
  <c r="O8" i="175"/>
  <c r="N48" i="210"/>
  <c r="R48" i="210"/>
  <c r="N49" i="210"/>
  <c r="R49" i="210"/>
  <c r="AC20" i="170"/>
  <c r="L12" i="6"/>
  <c r="V12" i="6" s="1"/>
  <c r="Z12" i="6"/>
  <c r="AR22" i="170"/>
  <c r="L12" i="227"/>
  <c r="I12" i="227"/>
  <c r="O55" i="175"/>
  <c r="S55" i="175"/>
  <c r="X20" i="207"/>
  <c r="K25" i="189"/>
  <c r="L25" i="189" s="1"/>
  <c r="Q20" i="210"/>
  <c r="U20" i="210"/>
  <c r="L17" i="139"/>
  <c r="V17" i="139" s="1"/>
  <c r="U43" i="210"/>
  <c r="Q43" i="210"/>
  <c r="B38" i="139"/>
  <c r="B15" i="170"/>
  <c r="U70" i="210"/>
  <c r="Q70" i="210"/>
  <c r="C19" i="207"/>
  <c r="C47" i="6"/>
  <c r="K11" i="189"/>
  <c r="L11" i="189" s="1"/>
  <c r="O65" i="175"/>
  <c r="S65" i="175"/>
  <c r="S20" i="210"/>
  <c r="O20" i="210"/>
  <c r="L28" i="60"/>
  <c r="U10" i="210"/>
  <c r="Q10" i="210"/>
  <c r="L18" i="6"/>
  <c r="V18" i="6" s="1"/>
  <c r="Z18" i="6"/>
  <c r="I17" i="217"/>
  <c r="Y20" i="6"/>
  <c r="O53" i="210"/>
  <c r="S53" i="210"/>
  <c r="R9" i="2"/>
  <c r="T9" i="2"/>
  <c r="N62" i="175"/>
  <c r="R62" i="175"/>
  <c r="B29" i="215"/>
  <c r="K23" i="190"/>
  <c r="P9" i="239"/>
  <c r="I9" i="239"/>
  <c r="Q9" i="239" s="1"/>
  <c r="A13" i="239"/>
  <c r="A13" i="240"/>
  <c r="BY6" i="170"/>
  <c r="K28" i="60"/>
  <c r="I25" i="219"/>
  <c r="F8" i="197"/>
  <c r="L9" i="228"/>
  <c r="I9" i="228"/>
  <c r="I53" i="189"/>
  <c r="J53" i="189" s="1"/>
  <c r="P7" i="239"/>
  <c r="I7" i="239"/>
  <c r="Q7" i="239" s="1"/>
  <c r="I11" i="227"/>
  <c r="L11" i="227"/>
  <c r="L25" i="60"/>
  <c r="AR7" i="170"/>
  <c r="Q41" i="175"/>
  <c r="U41" i="175"/>
  <c r="T54" i="175"/>
  <c r="P54" i="175"/>
  <c r="W19" i="212"/>
  <c r="AB17" i="5"/>
  <c r="X6" i="35"/>
  <c r="Y6" i="35" s="1"/>
  <c r="Q62" i="175"/>
  <c r="U62" i="175"/>
  <c r="C7" i="212"/>
  <c r="Q63" i="175"/>
  <c r="U63" i="175"/>
  <c r="T39" i="175"/>
  <c r="P39" i="175"/>
  <c r="J24" i="100"/>
  <c r="I16" i="219"/>
  <c r="Z7" i="6"/>
  <c r="L7" i="6"/>
  <c r="V7" i="6" s="1"/>
  <c r="Z29" i="6"/>
  <c r="M25" i="60"/>
  <c r="I6" i="214"/>
  <c r="C31" i="214"/>
  <c r="S33" i="210"/>
  <c r="O33" i="210"/>
  <c r="I8" i="217"/>
  <c r="Q19" i="210"/>
  <c r="U19" i="210"/>
  <c r="J20" i="100"/>
  <c r="I28" i="219"/>
  <c r="T12" i="210"/>
  <c r="P12" i="210"/>
  <c r="B16" i="212"/>
  <c r="R86" i="242" s="1"/>
  <c r="O47" i="210"/>
  <c r="S47" i="210"/>
  <c r="O52" i="175"/>
  <c r="S52" i="175"/>
  <c r="Q36" i="175"/>
  <c r="U36" i="175"/>
  <c r="O66" i="210"/>
  <c r="S66" i="210"/>
  <c r="M24" i="60"/>
  <c r="J23" i="100"/>
  <c r="U6" i="210"/>
  <c r="Q6" i="210"/>
  <c r="Q71" i="210"/>
  <c r="BU10" i="170"/>
  <c r="N70" i="175"/>
  <c r="R70" i="175"/>
  <c r="P6" i="210"/>
  <c r="T6" i="210"/>
  <c r="T71" i="210"/>
  <c r="I30" i="219"/>
  <c r="C15" i="137"/>
  <c r="C20" i="247"/>
  <c r="C20" i="246"/>
  <c r="C17" i="2"/>
  <c r="R42" i="175"/>
  <c r="N42" i="175"/>
  <c r="O43" i="175"/>
  <c r="S43" i="175"/>
  <c r="P8" i="192"/>
  <c r="I8" i="192"/>
  <c r="Q8" i="192" s="1"/>
  <c r="I13" i="109"/>
  <c r="I12" i="218"/>
  <c r="K30" i="189"/>
  <c r="L30" i="189" s="1"/>
  <c r="U24" i="210"/>
  <c r="Q24" i="210"/>
  <c r="O68" i="210"/>
  <c r="S68" i="210"/>
  <c r="R105" i="242"/>
  <c r="B15" i="245"/>
  <c r="L15" i="245" s="1"/>
  <c r="B19" i="170"/>
  <c r="B42" i="139"/>
  <c r="T44" i="175"/>
  <c r="P44" i="175"/>
  <c r="X25" i="212"/>
  <c r="O10" i="239"/>
  <c r="L19" i="190"/>
  <c r="J19" i="190"/>
  <c r="U49" i="210"/>
  <c r="Q49" i="210"/>
  <c r="R15" i="175"/>
  <c r="N15" i="175"/>
  <c r="S25" i="210"/>
  <c r="O25" i="210"/>
  <c r="I14" i="218"/>
  <c r="N47" i="210"/>
  <c r="R47" i="210"/>
  <c r="R57" i="175"/>
  <c r="N57" i="175"/>
  <c r="P43" i="175"/>
  <c r="T43" i="175"/>
  <c r="C14" i="212"/>
  <c r="R42" i="210"/>
  <c r="N42" i="210"/>
  <c r="N31" i="175"/>
  <c r="R31" i="175"/>
  <c r="I18" i="217"/>
  <c r="AC6" i="170"/>
  <c r="I23" i="228"/>
  <c r="L23" i="228"/>
  <c r="O38" i="175"/>
  <c r="S38" i="175"/>
  <c r="A21" i="190"/>
  <c r="I36" i="189"/>
  <c r="J36" i="189" s="1"/>
  <c r="N35" i="175"/>
  <c r="R35" i="175"/>
  <c r="L10" i="240"/>
  <c r="O49" i="175"/>
  <c r="S49" i="175"/>
  <c r="AR9" i="170"/>
  <c r="X18" i="207"/>
  <c r="Z20" i="6"/>
  <c r="L20" i="6"/>
  <c r="V20" i="6" s="1"/>
  <c r="I14" i="219"/>
  <c r="L14" i="6"/>
  <c r="V14" i="6" s="1"/>
  <c r="Z14" i="6"/>
  <c r="I16" i="189"/>
  <c r="J16" i="189" s="1"/>
  <c r="O23" i="190"/>
  <c r="N23" i="190"/>
  <c r="I22" i="228"/>
  <c r="L22" i="228"/>
  <c r="I10" i="218"/>
  <c r="U64" i="175"/>
  <c r="Q64" i="175"/>
  <c r="W14" i="207"/>
  <c r="U23" i="175"/>
  <c r="Q23" i="175"/>
  <c r="W23" i="212"/>
  <c r="T30" i="210"/>
  <c r="P30" i="210"/>
  <c r="N68" i="175"/>
  <c r="R68" i="175"/>
  <c r="L23" i="60"/>
  <c r="T65" i="175"/>
  <c r="P65" i="175"/>
  <c r="T20" i="175"/>
  <c r="P20" i="175"/>
  <c r="I9" i="227"/>
  <c r="L9" i="227"/>
  <c r="B17" i="170"/>
  <c r="B40" i="139"/>
  <c r="I8" i="214"/>
  <c r="F27" i="226"/>
  <c r="G27" i="226" s="1"/>
  <c r="L27" i="226"/>
  <c r="B43" i="139"/>
  <c r="B20" i="170"/>
  <c r="I10" i="217"/>
  <c r="S41" i="175"/>
  <c r="O41" i="175"/>
  <c r="I24" i="227"/>
  <c r="L24" i="227"/>
  <c r="W25" i="212"/>
  <c r="R49" i="175"/>
  <c r="N49" i="175"/>
  <c r="Q38" i="210"/>
  <c r="U38" i="210"/>
  <c r="X10" i="212"/>
  <c r="BU15" i="170"/>
  <c r="BU16" i="170"/>
  <c r="N57" i="210"/>
  <c r="R57" i="210"/>
  <c r="R11" i="15"/>
  <c r="B28" i="60"/>
  <c r="X19" i="207"/>
  <c r="Q44" i="210"/>
  <c r="U44" i="210"/>
  <c r="X20" i="212"/>
  <c r="O9" i="175"/>
  <c r="S9" i="175"/>
  <c r="T63" i="175"/>
  <c r="P63" i="175"/>
  <c r="A14" i="240"/>
  <c r="A14" i="239"/>
  <c r="N11" i="175"/>
  <c r="R11" i="175"/>
  <c r="P65" i="210"/>
  <c r="T65" i="210"/>
  <c r="B35" i="6"/>
  <c r="B7" i="207"/>
  <c r="R62" i="242" s="1"/>
  <c r="F15" i="197"/>
  <c r="W10" i="207"/>
  <c r="P45" i="175"/>
  <c r="T45" i="175"/>
  <c r="I55" i="189"/>
  <c r="J55" i="189" s="1"/>
  <c r="O64" i="210"/>
  <c r="S64" i="210"/>
  <c r="S65" i="210"/>
  <c r="O65" i="210"/>
  <c r="L7" i="240"/>
  <c r="R9" i="139"/>
  <c r="S9" i="139" s="1"/>
  <c r="X16" i="207"/>
  <c r="T71" i="242"/>
  <c r="Q71" i="242" s="1"/>
  <c r="BU8" i="170"/>
  <c r="J26" i="100"/>
  <c r="N31" i="210"/>
  <c r="R31" i="210"/>
  <c r="D31" i="60"/>
  <c r="L31" i="60" s="1"/>
  <c r="L22" i="60"/>
  <c r="Q27" i="175"/>
  <c r="U27" i="175"/>
  <c r="P31" i="210"/>
  <c r="T31" i="210"/>
  <c r="Q8" i="175"/>
  <c r="U8" i="175"/>
  <c r="L13" i="139"/>
  <c r="V13" i="139" s="1"/>
  <c r="N7" i="192"/>
  <c r="F15" i="192"/>
  <c r="N15" i="192" s="1"/>
  <c r="AC13" i="170"/>
  <c r="I43" i="228"/>
  <c r="Q17" i="210"/>
  <c r="U17" i="210"/>
  <c r="S15" i="210"/>
  <c r="O15" i="210"/>
  <c r="I14" i="228"/>
  <c r="L14" i="228"/>
  <c r="L12" i="139"/>
  <c r="V12" i="139" s="1"/>
  <c r="P18" i="2"/>
  <c r="Q18" i="2" s="1"/>
  <c r="N34" i="175"/>
  <c r="R34" i="175"/>
  <c r="I8" i="239"/>
  <c r="Q8" i="239" s="1"/>
  <c r="P8" i="239"/>
  <c r="T58" i="242"/>
  <c r="Q58" i="242" s="1"/>
  <c r="R23" i="2"/>
  <c r="Y12" i="6"/>
  <c r="I19" i="219"/>
  <c r="I9" i="219"/>
  <c r="O48" i="210"/>
  <c r="S48" i="210"/>
  <c r="B36" i="6"/>
  <c r="B8" i="207"/>
  <c r="B8" i="133" s="1"/>
  <c r="I14" i="214"/>
  <c r="T12" i="2"/>
  <c r="R12" i="2"/>
  <c r="N28" i="60"/>
  <c r="BU22" i="170"/>
  <c r="P61" i="175"/>
  <c r="T61" i="175"/>
  <c r="O45" i="210"/>
  <c r="S45" i="210"/>
  <c r="R76" i="242"/>
  <c r="T37" i="210"/>
  <c r="P37" i="210"/>
  <c r="S69" i="210"/>
  <c r="O69" i="210"/>
  <c r="P41" i="175"/>
  <c r="T41" i="175"/>
  <c r="AR15" i="170"/>
  <c r="C8" i="212"/>
  <c r="U52" i="210"/>
  <c r="Q52" i="210"/>
  <c r="L29" i="60"/>
  <c r="O11" i="192"/>
  <c r="N6" i="210"/>
  <c r="R6" i="210"/>
  <c r="I18" i="177"/>
  <c r="L26" i="226"/>
  <c r="F26" i="226"/>
  <c r="G26" i="226" s="1"/>
  <c r="L18" i="139"/>
  <c r="V18" i="139" s="1"/>
  <c r="P64" i="210"/>
  <c r="T64" i="210"/>
  <c r="W17" i="207"/>
  <c r="B38" i="6"/>
  <c r="B10" i="207"/>
  <c r="R65" i="242" s="1"/>
  <c r="B25" i="212"/>
  <c r="R95" i="242" s="1"/>
  <c r="Q21" i="175"/>
  <c r="U21" i="175"/>
  <c r="C9" i="137"/>
  <c r="C14" i="247"/>
  <c r="C14" i="246"/>
  <c r="U61" i="175"/>
  <c r="Q61" i="175"/>
  <c r="R19" i="2"/>
  <c r="T19" i="2"/>
  <c r="P20" i="2"/>
  <c r="Q20" i="2" s="1"/>
  <c r="M20" i="190"/>
  <c r="AR17" i="170"/>
  <c r="V8" i="35"/>
  <c r="W8" i="35" s="1"/>
  <c r="L7" i="139"/>
  <c r="Y15" i="6"/>
  <c r="I14" i="109"/>
  <c r="AB15" i="5"/>
  <c r="Q68" i="175"/>
  <c r="U68" i="175"/>
  <c r="O42" i="175"/>
  <c r="S42" i="175"/>
  <c r="N8" i="175"/>
  <c r="R8" i="175"/>
  <c r="K8" i="35"/>
  <c r="Z8" i="35" s="1"/>
  <c r="T8" i="35"/>
  <c r="U8" i="35" s="1"/>
  <c r="P29" i="210"/>
  <c r="T29" i="210"/>
  <c r="O21" i="210"/>
  <c r="S21" i="210"/>
  <c r="Z10" i="6"/>
  <c r="L10" i="6"/>
  <c r="V10" i="6" s="1"/>
  <c r="I29" i="189"/>
  <c r="J29" i="189" s="1"/>
  <c r="R52" i="210"/>
  <c r="N52" i="210"/>
  <c r="K31" i="189"/>
  <c r="L31" i="189" s="1"/>
  <c r="O58" i="210"/>
  <c r="S58" i="210"/>
  <c r="P68" i="210"/>
  <c r="T68" i="210"/>
  <c r="K12" i="240"/>
  <c r="N12" i="239"/>
  <c r="N40" i="175"/>
  <c r="R40" i="175"/>
  <c r="I15" i="228"/>
  <c r="L15" i="228"/>
  <c r="AR6" i="170"/>
  <c r="K14" i="189"/>
  <c r="L14" i="189" s="1"/>
  <c r="K23" i="60"/>
  <c r="C31" i="60"/>
  <c r="K31" i="60" s="1"/>
  <c r="Q42" i="175"/>
  <c r="U42" i="175"/>
  <c r="C16" i="2"/>
  <c r="C19" i="246"/>
  <c r="C19" i="247"/>
  <c r="C14" i="137"/>
  <c r="P17" i="2"/>
  <c r="Q17" i="2" s="1"/>
  <c r="AC22" i="170"/>
  <c r="N60" i="210"/>
  <c r="R60" i="210"/>
  <c r="C43" i="139"/>
  <c r="C20" i="170"/>
  <c r="I41" i="189"/>
  <c r="J41" i="189" s="1"/>
  <c r="C10" i="170"/>
  <c r="C33" i="139"/>
  <c r="A25" i="190"/>
  <c r="T58" i="210"/>
  <c r="P58" i="210"/>
  <c r="B23" i="60"/>
  <c r="I19" i="109"/>
  <c r="X8" i="35"/>
  <c r="Y8" i="35" s="1"/>
  <c r="W22" i="212"/>
  <c r="C22" i="247"/>
  <c r="C17" i="137"/>
  <c r="C19" i="2"/>
  <c r="C22" i="246"/>
  <c r="Q26" i="175"/>
  <c r="U26" i="175"/>
  <c r="P61" i="210"/>
  <c r="T61" i="210"/>
  <c r="I8" i="228"/>
  <c r="L8" i="228"/>
  <c r="Q18" i="175"/>
  <c r="U18" i="175"/>
  <c r="R25" i="175"/>
  <c r="N25" i="175"/>
  <c r="F11" i="226"/>
  <c r="G11" i="226" s="1"/>
  <c r="L11" i="226"/>
  <c r="N35" i="210"/>
  <c r="R35" i="210"/>
  <c r="J32" i="83"/>
  <c r="B18" i="137"/>
  <c r="F18" i="137" s="1"/>
  <c r="K40" i="257" s="1"/>
  <c r="B23" i="246"/>
  <c r="B20" i="2"/>
  <c r="R55" i="242" s="1"/>
  <c r="B20" i="47"/>
  <c r="L20" i="47" s="1"/>
  <c r="B23" i="247"/>
  <c r="BW2" i="170"/>
  <c r="AB14" i="5"/>
  <c r="T43" i="210"/>
  <c r="P43" i="210"/>
  <c r="S66" i="175"/>
  <c r="O66" i="175"/>
  <c r="AC8" i="170"/>
  <c r="I26" i="228"/>
  <c r="L26" i="228"/>
  <c r="I21" i="109"/>
  <c r="N18" i="210"/>
  <c r="R18" i="210"/>
  <c r="M22" i="60"/>
  <c r="E31" i="60"/>
  <c r="M31" i="60" s="1"/>
  <c r="O60" i="210"/>
  <c r="S60" i="210"/>
  <c r="N27" i="60"/>
  <c r="P24" i="2"/>
  <c r="Q24" i="2" s="1"/>
  <c r="P9" i="192"/>
  <c r="I9" i="192"/>
  <c r="Q9" i="192" s="1"/>
  <c r="C21" i="2"/>
  <c r="C19" i="137"/>
  <c r="C24" i="246"/>
  <c r="C24" i="247"/>
  <c r="K7" i="47"/>
  <c r="L7" i="47"/>
  <c r="F5" i="137"/>
  <c r="R98" i="242"/>
  <c r="B8" i="245"/>
  <c r="K8" i="245" s="1"/>
  <c r="I15" i="217"/>
  <c r="Q16" i="175"/>
  <c r="U16" i="175"/>
  <c r="I11" i="219"/>
  <c r="N33" i="210"/>
  <c r="R33" i="210"/>
  <c r="AC7" i="170"/>
  <c r="T59" i="210"/>
  <c r="P59" i="210"/>
  <c r="O23" i="210"/>
  <c r="S23" i="210"/>
  <c r="O33" i="175"/>
  <c r="S33" i="175"/>
  <c r="P13" i="175"/>
  <c r="T13" i="175"/>
  <c r="P60" i="175"/>
  <c r="T60" i="175"/>
  <c r="B29" i="60"/>
  <c r="R6" i="170"/>
  <c r="U33" i="210"/>
  <c r="Q33" i="210"/>
  <c r="P8" i="175"/>
  <c r="T8" i="175"/>
  <c r="I8" i="219"/>
  <c r="X15" i="212"/>
  <c r="C8" i="170"/>
  <c r="C31" i="139"/>
  <c r="X26" i="212"/>
  <c r="B22" i="215"/>
  <c r="C21" i="212"/>
  <c r="B22" i="60"/>
  <c r="I20" i="109"/>
  <c r="T10" i="2"/>
  <c r="R10" i="2"/>
  <c r="N36" i="210"/>
  <c r="R36" i="210"/>
  <c r="C17" i="170"/>
  <c r="C40" i="139"/>
  <c r="K40" i="189"/>
  <c r="L40" i="189" s="1"/>
  <c r="I10" i="192"/>
  <c r="Q10" i="192" s="1"/>
  <c r="P10" i="192"/>
  <c r="J11" i="100"/>
  <c r="T29" i="175"/>
  <c r="P29" i="175"/>
  <c r="X22" i="212"/>
  <c r="C28" i="246"/>
  <c r="C28" i="247"/>
  <c r="C25" i="2"/>
  <c r="C23" i="137"/>
  <c r="J10" i="83"/>
  <c r="AB16" i="5"/>
  <c r="G15" i="192"/>
  <c r="O15" i="192" s="1"/>
  <c r="O7" i="192"/>
  <c r="I25" i="109"/>
  <c r="K34" i="189"/>
  <c r="L34" i="189" s="1"/>
  <c r="B19" i="212"/>
  <c r="B19" i="134" s="1"/>
  <c r="P40" i="175"/>
  <c r="T40" i="175"/>
  <c r="S22" i="210"/>
  <c r="O22" i="210"/>
  <c r="R61" i="210"/>
  <c r="N61" i="210"/>
  <c r="R26" i="175"/>
  <c r="N26" i="175"/>
  <c r="Y7" i="209"/>
  <c r="O43" i="210"/>
  <c r="S43" i="210"/>
  <c r="I58" i="189"/>
  <c r="J58" i="189" s="1"/>
  <c r="R104" i="242"/>
  <c r="B14" i="245"/>
  <c r="L14" i="245" s="1"/>
  <c r="C22" i="215"/>
  <c r="AC10" i="5"/>
  <c r="U63" i="210"/>
  <c r="Q63" i="210"/>
  <c r="R61" i="175"/>
  <c r="N61" i="175"/>
  <c r="T16" i="175"/>
  <c r="P16" i="175"/>
  <c r="L22" i="139"/>
  <c r="V22" i="139" s="1"/>
  <c r="N29" i="210"/>
  <c r="R29" i="210"/>
  <c r="K46" i="189"/>
  <c r="L46" i="189" s="1"/>
  <c r="AC14" i="5"/>
  <c r="T104" i="242"/>
  <c r="Q104" i="242" s="1"/>
  <c r="K47" i="189"/>
  <c r="L47" i="189" s="1"/>
  <c r="Y13" i="209"/>
  <c r="K9" i="240"/>
  <c r="N9" i="239"/>
  <c r="P11" i="215"/>
  <c r="Q11" i="215" s="1"/>
  <c r="AR18" i="170"/>
  <c r="C31" i="219"/>
  <c r="I6" i="219"/>
  <c r="S67" i="210"/>
  <c r="O67" i="210"/>
  <c r="T13" i="215"/>
  <c r="R13" i="215"/>
  <c r="S13" i="215" s="1"/>
  <c r="W26" i="212"/>
  <c r="N56" i="210"/>
  <c r="R56" i="210"/>
  <c r="B10" i="245"/>
  <c r="L10" i="245" s="1"/>
  <c r="R100" i="242"/>
  <c r="N28" i="175"/>
  <c r="R28" i="175"/>
  <c r="I26" i="189"/>
  <c r="J26" i="189" s="1"/>
  <c r="K10" i="189"/>
  <c r="L10" i="189" s="1"/>
  <c r="S67" i="175"/>
  <c r="O67" i="175"/>
  <c r="I10" i="219"/>
  <c r="K7" i="35"/>
  <c r="Z7" i="35" s="1"/>
  <c r="T7" i="35"/>
  <c r="U7" i="35" s="1"/>
  <c r="C38" i="139"/>
  <c r="C15" i="170"/>
  <c r="A24" i="190"/>
  <c r="B11" i="212"/>
  <c r="B11" i="134" s="1"/>
  <c r="X7" i="212"/>
  <c r="K26" i="60"/>
  <c r="R47" i="175"/>
  <c r="N47" i="175"/>
  <c r="B24" i="60"/>
  <c r="I20" i="219"/>
  <c r="Q10" i="190"/>
  <c r="Q22" i="190" s="1"/>
  <c r="P22" i="190"/>
  <c r="P7" i="192"/>
  <c r="I7" i="192"/>
  <c r="Q7" i="192" s="1"/>
  <c r="K19" i="189"/>
  <c r="L19" i="189" s="1"/>
  <c r="S14" i="175"/>
  <c r="O14" i="175"/>
  <c r="S22" i="175"/>
  <c r="O22" i="175"/>
  <c r="I22" i="109"/>
  <c r="R66" i="210"/>
  <c r="N66" i="210"/>
  <c r="P19" i="2"/>
  <c r="Q19" i="2" s="1"/>
  <c r="U19" i="175"/>
  <c r="Q19" i="175"/>
  <c r="L8" i="15"/>
  <c r="M8" i="15" s="1"/>
  <c r="B46" i="6"/>
  <c r="B18" i="207"/>
  <c r="R73" i="242" s="1"/>
  <c r="L8" i="6"/>
  <c r="V8" i="6" s="1"/>
  <c r="Z8" i="6"/>
  <c r="X19" i="212"/>
  <c r="T46" i="210"/>
  <c r="P46" i="210"/>
  <c r="I43" i="189"/>
  <c r="J43" i="189" s="1"/>
  <c r="Y17" i="6"/>
  <c r="J22" i="100"/>
  <c r="P13" i="210"/>
  <c r="T13" i="210"/>
  <c r="B8" i="212"/>
  <c r="B8" i="134" s="1"/>
  <c r="F11" i="197"/>
  <c r="R102" i="242"/>
  <c r="B12" i="245"/>
  <c r="K12" i="245" s="1"/>
  <c r="Y9" i="6"/>
  <c r="N46" i="175"/>
  <c r="R46" i="175"/>
  <c r="F25" i="226"/>
  <c r="G25" i="226" s="1"/>
  <c r="L25" i="226"/>
  <c r="R108" i="242"/>
  <c r="B18" i="245"/>
  <c r="K18" i="245" s="1"/>
  <c r="S26" i="175"/>
  <c r="O26" i="175"/>
  <c r="C13" i="247"/>
  <c r="C8" i="137"/>
  <c r="C13" i="246"/>
  <c r="P14" i="192"/>
  <c r="I14" i="192"/>
  <c r="Q14" i="192" s="1"/>
  <c r="U60" i="210"/>
  <c r="Q60" i="210"/>
  <c r="R16" i="15"/>
  <c r="I15" i="218"/>
  <c r="L14" i="240"/>
  <c r="L29" i="227"/>
  <c r="I29" i="227"/>
  <c r="T48" i="242"/>
  <c r="Q48" i="242" s="1"/>
  <c r="R13" i="2"/>
  <c r="R22" i="15"/>
  <c r="U30" i="210"/>
  <c r="Q30" i="210"/>
  <c r="I14" i="189"/>
  <c r="J14" i="189" s="1"/>
  <c r="T44" i="210"/>
  <c r="P44" i="210"/>
  <c r="Q29" i="210"/>
  <c r="U29" i="210"/>
  <c r="P12" i="239"/>
  <c r="I12" i="239"/>
  <c r="Q12" i="239" s="1"/>
  <c r="C18" i="247"/>
  <c r="C18" i="246"/>
  <c r="C15" i="2"/>
  <c r="C13" i="137"/>
  <c r="K7" i="189"/>
  <c r="L7" i="189" s="1"/>
  <c r="R17" i="15"/>
  <c r="Y10" i="209"/>
  <c r="O56" i="175"/>
  <c r="S56" i="175"/>
  <c r="F7" i="197"/>
  <c r="W11" i="212"/>
  <c r="U14" i="210"/>
  <c r="Q14" i="210"/>
  <c r="U54" i="175"/>
  <c r="Q54" i="175"/>
  <c r="L8" i="139"/>
  <c r="V8" i="139" s="1"/>
  <c r="T8" i="139"/>
  <c r="U8" i="139" s="1"/>
  <c r="F16" i="197"/>
  <c r="K39" i="189"/>
  <c r="L39" i="189" s="1"/>
  <c r="U57" i="210"/>
  <c r="Q57" i="210"/>
  <c r="V6" i="170"/>
  <c r="T6" i="35"/>
  <c r="U6" i="35" s="1"/>
  <c r="K6" i="35"/>
  <c r="Z6" i="35" s="1"/>
  <c r="O55" i="210"/>
  <c r="S55" i="210"/>
  <c r="B37" i="139"/>
  <c r="B14" i="170"/>
  <c r="B41" i="6"/>
  <c r="B13" i="207"/>
  <c r="R68" i="242" s="1"/>
  <c r="Q58" i="210"/>
  <c r="U58" i="210"/>
  <c r="R9" i="175"/>
  <c r="N9" i="175"/>
  <c r="N23" i="60"/>
  <c r="N29" i="60"/>
  <c r="I10" i="35"/>
  <c r="V10" i="35" s="1"/>
  <c r="W10" i="35" s="1"/>
  <c r="V5" i="35"/>
  <c r="W5" i="35" s="1"/>
  <c r="BU7" i="170"/>
  <c r="R56" i="175"/>
  <c r="N56" i="175"/>
  <c r="R107" i="242"/>
  <c r="B17" i="245"/>
  <c r="K17" i="245" s="1"/>
  <c r="P8" i="215"/>
  <c r="Q8" i="215" s="1"/>
  <c r="B16" i="245"/>
  <c r="L16" i="245" s="1"/>
  <c r="R106" i="242"/>
  <c r="T18" i="175"/>
  <c r="P18" i="175"/>
  <c r="B14" i="212"/>
  <c r="R84" i="242" s="1"/>
  <c r="N21" i="190"/>
  <c r="O21" i="190"/>
  <c r="Q50" i="175"/>
  <c r="U50" i="175"/>
  <c r="P14" i="175"/>
  <c r="T14" i="175"/>
  <c r="I51" i="189"/>
  <c r="J51" i="189" s="1"/>
  <c r="N67" i="210"/>
  <c r="R67" i="210"/>
  <c r="G6" i="170"/>
  <c r="I24" i="109"/>
  <c r="T7" i="175"/>
  <c r="P7" i="175"/>
  <c r="F43" i="226"/>
  <c r="G43" i="226" s="1"/>
  <c r="P26" i="2"/>
  <c r="Q26" i="2" s="1"/>
  <c r="B21" i="215"/>
  <c r="C16" i="170"/>
  <c r="C39" i="139"/>
  <c r="F10" i="31"/>
  <c r="G10" i="31" s="1"/>
  <c r="O18" i="210"/>
  <c r="S18" i="210"/>
  <c r="Q9" i="210"/>
  <c r="U9" i="210"/>
  <c r="P32" i="175"/>
  <c r="T32" i="175"/>
  <c r="B15" i="247"/>
  <c r="AE2" i="170"/>
  <c r="B15" i="246"/>
  <c r="B12" i="2"/>
  <c r="R47" i="242" s="1"/>
  <c r="B10" i="137"/>
  <c r="F10" i="137" s="1"/>
  <c r="K32" i="257" s="1"/>
  <c r="B12" i="47"/>
  <c r="K12" i="47" s="1"/>
  <c r="I31" i="189"/>
  <c r="J31" i="189" s="1"/>
  <c r="B17" i="212"/>
  <c r="B17" i="134" s="1"/>
  <c r="L30" i="227"/>
  <c r="I30" i="227"/>
  <c r="F32" i="226"/>
  <c r="G32" i="226" s="1"/>
  <c r="L32" i="226"/>
  <c r="R8" i="139"/>
  <c r="S8" i="139" s="1"/>
  <c r="B22" i="247"/>
  <c r="B19" i="2"/>
  <c r="R54" i="242" s="1"/>
  <c r="B22" i="246"/>
  <c r="B17" i="137"/>
  <c r="F17" i="137" s="1"/>
  <c r="K39" i="257" s="1"/>
  <c r="BS2" i="170"/>
  <c r="B19" i="47"/>
  <c r="K19" i="47" s="1"/>
  <c r="T16" i="210"/>
  <c r="P16" i="210"/>
  <c r="R16" i="2"/>
  <c r="T16" i="2"/>
  <c r="B20" i="246"/>
  <c r="B17" i="47"/>
  <c r="K17" i="47" s="1"/>
  <c r="B17" i="2"/>
  <c r="R52" i="242" s="1"/>
  <c r="BH2" i="170"/>
  <c r="B15" i="137"/>
  <c r="F15" i="137" s="1"/>
  <c r="K37" i="257" s="1"/>
  <c r="B20" i="247"/>
  <c r="X7" i="209"/>
  <c r="W13" i="207"/>
  <c r="O61" i="175"/>
  <c r="S61" i="175"/>
  <c r="P14" i="2"/>
  <c r="Q14" i="2" s="1"/>
  <c r="AR14" i="170"/>
  <c r="L10" i="15"/>
  <c r="M10" i="15" s="1"/>
  <c r="I32" i="214"/>
  <c r="S50" i="175"/>
  <c r="O50" i="175"/>
  <c r="K21" i="190"/>
  <c r="N12" i="210"/>
  <c r="R12" i="210"/>
  <c r="C36" i="6"/>
  <c r="C8" i="207"/>
  <c r="T24" i="175"/>
  <c r="P24" i="175"/>
  <c r="AC10" i="170"/>
  <c r="R15" i="215"/>
  <c r="S15" i="215" s="1"/>
  <c r="T15" i="215"/>
  <c r="AR13" i="170"/>
  <c r="L24" i="190"/>
  <c r="J24" i="190"/>
  <c r="B27" i="215"/>
  <c r="T5" i="35"/>
  <c r="U5" i="35" s="1"/>
  <c r="H10" i="35"/>
  <c r="U28" i="242" s="1"/>
  <c r="K5" i="35"/>
  <c r="Z5" i="35" s="1"/>
  <c r="I26" i="219"/>
  <c r="A18" i="190"/>
  <c r="X10" i="207"/>
  <c r="C24" i="2"/>
  <c r="C27" i="247"/>
  <c r="C22" i="137"/>
  <c r="C27" i="246"/>
  <c r="I39" i="189"/>
  <c r="J39" i="189" s="1"/>
  <c r="O70" i="175"/>
  <c r="S70" i="175"/>
  <c r="N19" i="210"/>
  <c r="R19" i="210"/>
  <c r="K20" i="190"/>
  <c r="P22" i="210"/>
  <c r="T22" i="210"/>
  <c r="B25" i="47"/>
  <c r="L25" i="47" s="1"/>
  <c r="B25" i="2"/>
  <c r="R60" i="242" s="1"/>
  <c r="CZ2" i="170"/>
  <c r="B28" i="247"/>
  <c r="B28" i="246"/>
  <c r="B23" i="137"/>
  <c r="F23" i="137" s="1"/>
  <c r="K45" i="257" s="1"/>
  <c r="C28" i="215"/>
  <c r="C29" i="139"/>
  <c r="C6" i="170"/>
  <c r="O9" i="192"/>
  <c r="I15" i="189"/>
  <c r="J15" i="189" s="1"/>
  <c r="Q69" i="175"/>
  <c r="U69" i="175"/>
  <c r="P8" i="2"/>
  <c r="Q8" i="2" s="1"/>
  <c r="R17" i="2"/>
  <c r="T17" i="2"/>
  <c r="M28" i="60"/>
  <c r="R63" i="210"/>
  <c r="N63" i="210"/>
  <c r="I13" i="192"/>
  <c r="Q13" i="192" s="1"/>
  <c r="P13" i="192"/>
  <c r="A20" i="190"/>
  <c r="N7" i="210"/>
  <c r="R7" i="210"/>
  <c r="P10" i="239"/>
  <c r="I10" i="239"/>
  <c r="Q10" i="239" s="1"/>
  <c r="BN6" i="170"/>
  <c r="P59" i="175"/>
  <c r="T59" i="175"/>
  <c r="C26" i="212"/>
  <c r="I12" i="228"/>
  <c r="L12" i="228"/>
  <c r="K58" i="189"/>
  <c r="L58" i="189" s="1"/>
  <c r="I13" i="219"/>
  <c r="N24" i="190"/>
  <c r="O24" i="190"/>
  <c r="Q15" i="175"/>
  <c r="U15" i="175"/>
  <c r="Q15" i="210"/>
  <c r="U15" i="210"/>
  <c r="AG6" i="170"/>
  <c r="R59" i="210"/>
  <c r="N59" i="210"/>
  <c r="F13" i="197"/>
  <c r="C16" i="212"/>
  <c r="O51" i="175"/>
  <c r="S51" i="175"/>
  <c r="B37" i="6"/>
  <c r="B9" i="207"/>
  <c r="R64" i="242" s="1"/>
  <c r="R14" i="15"/>
  <c r="P45" i="210"/>
  <c r="T45" i="210"/>
  <c r="K56" i="189"/>
  <c r="L56" i="189" s="1"/>
  <c r="L16" i="139"/>
  <c r="V16" i="139" s="1"/>
  <c r="R40" i="210"/>
  <c r="N40" i="210"/>
  <c r="N7" i="239"/>
  <c r="K7" i="240"/>
  <c r="F15" i="239"/>
  <c r="N15" i="239" s="1"/>
  <c r="U22" i="210"/>
  <c r="Q22" i="210"/>
  <c r="Y7" i="6"/>
  <c r="I17" i="218"/>
  <c r="X14" i="212"/>
  <c r="X9" i="207"/>
  <c r="T64" i="242"/>
  <c r="Q64" i="242" s="1"/>
  <c r="I13" i="218"/>
  <c r="I9" i="109"/>
  <c r="B43" i="6"/>
  <c r="B15" i="207"/>
  <c r="B15" i="133" s="1"/>
  <c r="K9" i="189"/>
  <c r="L9" i="189" s="1"/>
  <c r="B16" i="247"/>
  <c r="B16" i="246"/>
  <c r="B13" i="2"/>
  <c r="R48" i="242" s="1"/>
  <c r="B11" i="137"/>
  <c r="F11" i="137" s="1"/>
  <c r="K33" i="257" s="1"/>
  <c r="AL2" i="170"/>
  <c r="B13" i="47"/>
  <c r="L13" i="47" s="1"/>
  <c r="T22" i="2"/>
  <c r="R22" i="2"/>
  <c r="B8" i="47"/>
  <c r="L8" i="47" s="1"/>
  <c r="B8" i="2"/>
  <c r="R43" i="242" s="1"/>
  <c r="B11" i="247"/>
  <c r="I2" i="170"/>
  <c r="B6" i="137"/>
  <c r="F6" i="137" s="1"/>
  <c r="K28" i="257" s="1"/>
  <c r="AB7" i="15"/>
  <c r="AD28" i="15" s="1"/>
  <c r="B11" i="246"/>
  <c r="N29" i="175"/>
  <c r="R29" i="175"/>
  <c r="T50" i="242"/>
  <c r="Q50" i="242" s="1"/>
  <c r="R15" i="2"/>
  <c r="N16" i="175"/>
  <c r="R16" i="175"/>
  <c r="T76" i="242"/>
  <c r="Q76" i="242" s="1"/>
  <c r="R70" i="210"/>
  <c r="N70" i="210"/>
  <c r="O28" i="175"/>
  <c r="S28" i="175"/>
  <c r="I13" i="228"/>
  <c r="L13" i="228"/>
  <c r="AC17" i="170"/>
  <c r="U51" i="210"/>
  <c r="Q51" i="210"/>
  <c r="K55" i="189"/>
  <c r="L55" i="189" s="1"/>
  <c r="F21" i="45"/>
  <c r="G21" i="45" s="1"/>
  <c r="B39" i="139"/>
  <c r="B16" i="170"/>
  <c r="U32" i="210"/>
  <c r="Q32" i="210"/>
  <c r="I28" i="227"/>
  <c r="L28" i="227"/>
  <c r="V9" i="35"/>
  <c r="W9" i="35" s="1"/>
  <c r="J16" i="100"/>
  <c r="W11" i="207"/>
  <c r="N14" i="192"/>
  <c r="O17" i="210"/>
  <c r="S17" i="210"/>
  <c r="C24" i="212"/>
  <c r="P10" i="175"/>
  <c r="T10" i="175"/>
  <c r="X7" i="35"/>
  <c r="Y7" i="35" s="1"/>
  <c r="F12" i="197"/>
  <c r="K14" i="240"/>
  <c r="N14" i="239"/>
  <c r="B24" i="246"/>
  <c r="B19" i="137"/>
  <c r="F19" i="137" s="1"/>
  <c r="K41" i="257" s="1"/>
  <c r="B24" i="247"/>
  <c r="CD2" i="170"/>
  <c r="B21" i="2"/>
  <c r="R56" i="242" s="1"/>
  <c r="B21" i="47"/>
  <c r="K21" i="47" s="1"/>
  <c r="R23" i="210"/>
  <c r="N23" i="210"/>
  <c r="K13" i="189"/>
  <c r="L13" i="189" s="1"/>
  <c r="C18" i="2"/>
  <c r="C16" i="137"/>
  <c r="C21" i="247"/>
  <c r="C21" i="246"/>
  <c r="B40" i="6"/>
  <c r="B12" i="207"/>
  <c r="B12" i="133" s="1"/>
  <c r="O7" i="239"/>
  <c r="G15" i="239"/>
  <c r="O15" i="239" s="1"/>
  <c r="AC16" i="170"/>
  <c r="I16" i="217"/>
  <c r="U39" i="210"/>
  <c r="Q39" i="210"/>
  <c r="B11" i="207"/>
  <c r="B11" i="133" s="1"/>
  <c r="B39" i="6"/>
  <c r="N8" i="239"/>
  <c r="K8" i="240"/>
  <c r="I18" i="109"/>
  <c r="I17" i="189"/>
  <c r="J17" i="189" s="1"/>
  <c r="T51" i="175"/>
  <c r="P51" i="175"/>
  <c r="T12" i="215"/>
  <c r="R12" i="215"/>
  <c r="S12" i="215" s="1"/>
  <c r="S13" i="210"/>
  <c r="O13" i="210"/>
  <c r="AB11" i="5"/>
  <c r="T66" i="210"/>
  <c r="P66" i="210"/>
  <c r="R62" i="210"/>
  <c r="N62" i="210"/>
  <c r="S32" i="210"/>
  <c r="O32" i="210"/>
  <c r="S40" i="175"/>
  <c r="O40" i="175"/>
  <c r="D24" i="197"/>
  <c r="F24" i="197" s="1"/>
  <c r="F6" i="197"/>
  <c r="I11" i="189"/>
  <c r="J11" i="189" s="1"/>
  <c r="BU21" i="170"/>
  <c r="Q51" i="175"/>
  <c r="U51" i="175"/>
  <c r="P9" i="210"/>
  <c r="T9" i="210"/>
  <c r="I20" i="189"/>
  <c r="J20" i="189" s="1"/>
  <c r="N68" i="210"/>
  <c r="R68" i="210"/>
  <c r="C29" i="215"/>
  <c r="K6" i="170"/>
  <c r="Q47" i="210"/>
  <c r="U47" i="210"/>
  <c r="N48" i="175"/>
  <c r="R48" i="175"/>
  <c r="C18" i="207"/>
  <c r="C46" i="6"/>
  <c r="P12" i="2"/>
  <c r="Q12" i="2" s="1"/>
  <c r="K42" i="189"/>
  <c r="L42" i="189" s="1"/>
  <c r="I10" i="228"/>
  <c r="L10" i="228"/>
  <c r="W17" i="212"/>
  <c r="I12" i="109"/>
  <c r="I8" i="218"/>
  <c r="S16" i="175"/>
  <c r="O16" i="175"/>
  <c r="P34" i="210"/>
  <c r="T34" i="210"/>
  <c r="S13" i="175"/>
  <c r="O13" i="175"/>
  <c r="I6" i="189"/>
  <c r="J6" i="189" s="1"/>
  <c r="P15" i="215"/>
  <c r="Q15" i="215" s="1"/>
  <c r="T51" i="210"/>
  <c r="P51" i="210"/>
  <c r="N9" i="192"/>
  <c r="W20" i="207"/>
  <c r="S54" i="210"/>
  <c r="O54" i="210"/>
  <c r="S35" i="210"/>
  <c r="O35" i="210"/>
  <c r="I50" i="189"/>
  <c r="J50" i="189" s="1"/>
  <c r="N43" i="175"/>
  <c r="R43" i="175"/>
  <c r="Q6" i="190"/>
  <c r="Q18" i="190" s="1"/>
  <c r="P18" i="190"/>
  <c r="K36" i="189"/>
  <c r="L36" i="189" s="1"/>
  <c r="AC18" i="170"/>
  <c r="T35" i="210"/>
  <c r="P35" i="210"/>
  <c r="U39" i="175"/>
  <c r="Q39" i="175"/>
  <c r="I7" i="217"/>
  <c r="L7" i="226"/>
  <c r="L8" i="256"/>
  <c r="F7" i="226"/>
  <c r="Q18" i="210"/>
  <c r="U18" i="210"/>
  <c r="K33" i="189"/>
  <c r="L33" i="189" s="1"/>
  <c r="N8" i="192"/>
  <c r="O19" i="210"/>
  <c r="S19" i="210"/>
  <c r="R39" i="210"/>
  <c r="N39" i="210"/>
  <c r="N37" i="175"/>
  <c r="R37" i="175"/>
  <c r="C22" i="2"/>
  <c r="C25" i="246"/>
  <c r="C25" i="247"/>
  <c r="C20" i="137"/>
  <c r="O11" i="175"/>
  <c r="S11" i="175"/>
  <c r="T22" i="175"/>
  <c r="P22" i="175"/>
  <c r="R21" i="2"/>
  <c r="T56" i="242"/>
  <c r="Q56" i="242" s="1"/>
  <c r="K16" i="189"/>
  <c r="L16" i="189" s="1"/>
  <c r="AR8" i="170"/>
  <c r="K41" i="189"/>
  <c r="L41" i="189" s="1"/>
  <c r="C14" i="207"/>
  <c r="C42" i="6"/>
  <c r="Q31" i="175"/>
  <c r="U31" i="175"/>
  <c r="Y9" i="209"/>
  <c r="P15" i="2"/>
  <c r="Q15" i="2" s="1"/>
  <c r="R21" i="210"/>
  <c r="N21" i="210"/>
  <c r="S32" i="175"/>
  <c r="O32" i="175"/>
  <c r="C15" i="212"/>
  <c r="O37" i="210"/>
  <c r="S37" i="210"/>
  <c r="R25" i="210"/>
  <c r="N25" i="210"/>
  <c r="Z13" i="6"/>
  <c r="L13" i="6"/>
  <c r="V13" i="6" s="1"/>
  <c r="B35" i="139"/>
  <c r="B12" i="170"/>
  <c r="W8" i="207"/>
  <c r="B22" i="2"/>
  <c r="R57" i="242" s="1"/>
  <c r="B22" i="47"/>
  <c r="K22" i="47" s="1"/>
  <c r="B25" i="246"/>
  <c r="B25" i="247"/>
  <c r="CH2" i="170"/>
  <c r="B20" i="137"/>
  <c r="F20" i="137" s="1"/>
  <c r="K42" i="257" s="1"/>
  <c r="R21" i="175"/>
  <c r="N21" i="175"/>
  <c r="L15" i="139"/>
  <c r="V15" i="139" s="1"/>
  <c r="Q9" i="175"/>
  <c r="U9" i="175"/>
  <c r="Q7" i="175"/>
  <c r="U7" i="175"/>
  <c r="O39" i="175"/>
  <c r="S39" i="175"/>
  <c r="K8" i="189"/>
  <c r="L8" i="189" s="1"/>
  <c r="T47" i="175"/>
  <c r="P47" i="175"/>
  <c r="P11" i="2"/>
  <c r="Q11" i="2" s="1"/>
  <c r="L15" i="6"/>
  <c r="V15" i="6" s="1"/>
  <c r="Z15" i="6"/>
  <c r="B12" i="212"/>
  <c r="R82" i="242" s="1"/>
  <c r="R69" i="210"/>
  <c r="N69" i="210"/>
  <c r="I49" i="189"/>
  <c r="J49" i="189" s="1"/>
  <c r="U57" i="175"/>
  <c r="Q57" i="175"/>
  <c r="I27" i="219"/>
  <c r="C6" i="137"/>
  <c r="C11" i="247"/>
  <c r="C11" i="246"/>
  <c r="C8" i="2"/>
  <c r="BU12" i="170"/>
  <c r="B24" i="215"/>
  <c r="B13" i="245"/>
  <c r="L13" i="245" s="1"/>
  <c r="R103" i="242"/>
  <c r="L11" i="240"/>
  <c r="U34" i="210"/>
  <c r="Q34" i="210"/>
  <c r="R38" i="175"/>
  <c r="N38" i="175"/>
  <c r="N41" i="175"/>
  <c r="R41" i="175"/>
  <c r="I7" i="219"/>
  <c r="S45" i="175"/>
  <c r="O45" i="175"/>
  <c r="I11" i="109"/>
  <c r="S49" i="210"/>
  <c r="O49" i="210"/>
  <c r="W24" i="212"/>
  <c r="C7" i="170"/>
  <c r="C30" i="139"/>
  <c r="B25" i="60"/>
  <c r="C21" i="215"/>
  <c r="Y29" i="6"/>
  <c r="L7" i="228"/>
  <c r="I7" i="228"/>
  <c r="X5" i="35"/>
  <c r="Y5" i="35" s="1"/>
  <c r="J10" i="35"/>
  <c r="M10" i="35" s="1"/>
  <c r="BU6" i="170"/>
  <c r="P53" i="210"/>
  <c r="T53" i="210"/>
  <c r="Y15" i="209"/>
  <c r="I9" i="189"/>
  <c r="J9" i="189" s="1"/>
  <c r="I12" i="214"/>
  <c r="O42" i="210"/>
  <c r="S42" i="210"/>
  <c r="F31" i="60"/>
  <c r="N31" i="60" s="1"/>
  <c r="N22" i="60"/>
  <c r="W15" i="207"/>
  <c r="N53" i="210"/>
  <c r="R53" i="210"/>
  <c r="O24" i="210"/>
  <c r="S24" i="210"/>
  <c r="P24" i="210"/>
  <c r="T24" i="210"/>
  <c r="B22" i="212"/>
  <c r="B22" i="134" s="1"/>
  <c r="R30" i="210"/>
  <c r="N30" i="210"/>
  <c r="Q13" i="210"/>
  <c r="U13" i="210"/>
  <c r="B47" i="6"/>
  <c r="B19" i="207"/>
  <c r="S63" i="210"/>
  <c r="O63" i="210"/>
  <c r="T67" i="210"/>
  <c r="P67" i="210"/>
  <c r="T10" i="210"/>
  <c r="P10" i="210"/>
  <c r="B28" i="215"/>
  <c r="O12" i="210"/>
  <c r="S12" i="210"/>
  <c r="M23" i="60"/>
  <c r="N43" i="210"/>
  <c r="R43" i="210"/>
  <c r="T27" i="210"/>
  <c r="P27" i="210"/>
  <c r="BU20" i="170"/>
  <c r="Y8" i="6"/>
  <c r="B21" i="247"/>
  <c r="R53" i="242"/>
  <c r="B18" i="47"/>
  <c r="L18" i="47" s="1"/>
  <c r="BL2" i="170"/>
  <c r="B16" i="137"/>
  <c r="F16" i="137" s="1"/>
  <c r="K38" i="257" s="1"/>
  <c r="B21" i="246"/>
  <c r="P21" i="210"/>
  <c r="T21" i="210"/>
  <c r="U55" i="175"/>
  <c r="Q55" i="175"/>
  <c r="U14" i="175"/>
  <c r="Q14" i="175"/>
  <c r="I9" i="214"/>
  <c r="K18" i="190"/>
  <c r="T9" i="215"/>
  <c r="R9" i="215"/>
  <c r="S9" i="215" s="1"/>
  <c r="R55" i="175"/>
  <c r="N55" i="175"/>
  <c r="I17" i="109"/>
  <c r="Q25" i="210"/>
  <c r="U25" i="210"/>
  <c r="I35" i="189"/>
  <c r="J35" i="189" s="1"/>
  <c r="U32" i="175"/>
  <c r="Q32" i="175"/>
  <c r="Q33" i="175"/>
  <c r="U33" i="175"/>
  <c r="R25" i="2"/>
  <c r="T25" i="2"/>
  <c r="I24" i="189"/>
  <c r="J24" i="189" s="1"/>
  <c r="K27" i="60"/>
  <c r="T28" i="210"/>
  <c r="P28" i="210"/>
  <c r="L32" i="219"/>
  <c r="Q8" i="210"/>
  <c r="U8" i="210"/>
  <c r="Q22" i="175"/>
  <c r="U22" i="175"/>
  <c r="X24" i="212"/>
  <c r="T94" i="242"/>
  <c r="Q94" i="242" s="1"/>
  <c r="O52" i="210"/>
  <c r="S52" i="210"/>
  <c r="R13" i="15"/>
  <c r="I16" i="109"/>
  <c r="U46" i="175"/>
  <c r="Q46" i="175"/>
  <c r="L15" i="227"/>
  <c r="I15" i="227"/>
  <c r="R14" i="175"/>
  <c r="N14" i="175"/>
  <c r="R15" i="15"/>
  <c r="T46" i="175"/>
  <c r="P46" i="175"/>
  <c r="I59" i="189"/>
  <c r="J59" i="189" s="1"/>
  <c r="L27" i="228"/>
  <c r="I27" i="228"/>
  <c r="I7" i="214"/>
  <c r="N54" i="210"/>
  <c r="R54" i="210"/>
  <c r="K18" i="189"/>
  <c r="L18" i="189" s="1"/>
  <c r="I33" i="189"/>
  <c r="J33" i="189" s="1"/>
  <c r="K17" i="189"/>
  <c r="L17" i="189" s="1"/>
  <c r="I11" i="218"/>
  <c r="K52" i="189"/>
  <c r="L52" i="189" s="1"/>
  <c r="Q9" i="190"/>
  <c r="Q21" i="190" s="1"/>
  <c r="P21" i="190"/>
  <c r="O39" i="210"/>
  <c r="S39" i="210"/>
  <c r="P17" i="175"/>
  <c r="T17" i="175"/>
  <c r="L9" i="139"/>
  <c r="V9" i="139" s="1"/>
  <c r="T9" i="139"/>
  <c r="U9" i="139" s="1"/>
  <c r="P11" i="239"/>
  <c r="I11" i="239"/>
  <c r="Q11" i="239" s="1"/>
  <c r="R64" i="210"/>
  <c r="N64" i="210"/>
  <c r="O8" i="192"/>
  <c r="N22" i="175"/>
  <c r="R22" i="175"/>
  <c r="C15" i="247"/>
  <c r="C10" i="137"/>
  <c r="C15" i="246"/>
  <c r="Q43" i="175"/>
  <c r="U43" i="175"/>
  <c r="S25" i="175"/>
  <c r="O25" i="175"/>
  <c r="U45" i="175"/>
  <c r="Q45" i="175"/>
  <c r="P62" i="210"/>
  <c r="T62" i="210"/>
  <c r="J18" i="100"/>
  <c r="O18" i="175"/>
  <c r="S18" i="175"/>
  <c r="C24" i="215"/>
  <c r="I32" i="217"/>
  <c r="C20" i="212"/>
  <c r="O12" i="239"/>
  <c r="S29" i="175"/>
  <c r="O29" i="175"/>
  <c r="O46" i="210"/>
  <c r="S46" i="210"/>
  <c r="S31" i="175"/>
  <c r="O31" i="175"/>
  <c r="I13" i="189"/>
  <c r="J13" i="189" s="1"/>
  <c r="L19" i="139"/>
  <c r="V19" i="139" s="1"/>
  <c r="O13" i="239"/>
  <c r="AR19" i="170"/>
  <c r="T20" i="210"/>
  <c r="P20" i="210"/>
  <c r="N60" i="175"/>
  <c r="R60" i="175"/>
  <c r="Q68" i="210"/>
  <c r="U68" i="210"/>
  <c r="T112" i="242"/>
  <c r="Q112" i="242" s="1"/>
  <c r="B23" i="215"/>
  <c r="S48" i="175"/>
  <c r="O48" i="175"/>
  <c r="C7" i="207"/>
  <c r="C35" i="6"/>
  <c r="R41" i="210"/>
  <c r="N41" i="210"/>
  <c r="I28" i="189"/>
  <c r="J28" i="189" s="1"/>
  <c r="BU11" i="170"/>
  <c r="B11" i="245"/>
  <c r="L11" i="245" s="1"/>
  <c r="R101" i="242"/>
  <c r="I7" i="189"/>
  <c r="J7" i="189" s="1"/>
  <c r="N64" i="175"/>
  <c r="R64" i="175"/>
  <c r="AC21" i="170"/>
  <c r="R39" i="175"/>
  <c r="N39" i="175"/>
  <c r="K37" i="189"/>
  <c r="L37" i="189" s="1"/>
  <c r="T33" i="210"/>
  <c r="P33" i="210"/>
  <c r="AB7" i="5"/>
  <c r="BU14" i="170"/>
  <c r="Q24" i="175"/>
  <c r="U24" i="175"/>
  <c r="O51" i="210"/>
  <c r="S51" i="210"/>
  <c r="B9" i="170"/>
  <c r="B32" i="139"/>
  <c r="N18" i="175"/>
  <c r="R18" i="175"/>
  <c r="T50" i="210"/>
  <c r="P50" i="210"/>
  <c r="R15" i="210"/>
  <c r="N15" i="210"/>
  <c r="K60" i="189"/>
  <c r="L60" i="189" s="1"/>
  <c r="Z16" i="6"/>
  <c r="L16" i="6"/>
  <c r="V16" i="6" s="1"/>
  <c r="C19" i="212"/>
  <c r="M24" i="190"/>
  <c r="B18" i="170"/>
  <c r="B41" i="139"/>
  <c r="C16" i="25"/>
  <c r="D16" i="25"/>
  <c r="D17" i="25" s="1"/>
  <c r="D21" i="25" s="1"/>
  <c r="T25" i="175"/>
  <c r="P25" i="175"/>
  <c r="N38" i="210"/>
  <c r="R38" i="210"/>
  <c r="R20" i="175"/>
  <c r="N20" i="175"/>
  <c r="O63" i="175"/>
  <c r="S63" i="175"/>
  <c r="U67" i="210"/>
  <c r="Q67" i="210"/>
  <c r="R8" i="2"/>
  <c r="T43" i="242"/>
  <c r="Q43" i="242" s="1"/>
  <c r="O62" i="210"/>
  <c r="S62" i="210"/>
  <c r="M30" i="60"/>
  <c r="K23" i="189"/>
  <c r="L23" i="189" s="1"/>
  <c r="R20" i="210"/>
  <c r="N20" i="210"/>
  <c r="BU18" i="170"/>
  <c r="I27" i="227"/>
  <c r="L27" i="227"/>
  <c r="I14" i="227"/>
  <c r="L14" i="227"/>
  <c r="K49" i="189"/>
  <c r="L49" i="189" s="1"/>
  <c r="U7" i="210"/>
  <c r="Q7" i="210"/>
  <c r="L21" i="228"/>
  <c r="I21" i="228"/>
  <c r="C41" i="228"/>
  <c r="F41" i="228" s="1"/>
  <c r="G41" i="228" s="1"/>
  <c r="J21" i="190"/>
  <c r="L21" i="190"/>
  <c r="M27" i="60"/>
  <c r="I22" i="227"/>
  <c r="L22" i="227"/>
  <c r="P47" i="210"/>
  <c r="T47" i="210"/>
  <c r="J23" i="190"/>
  <c r="L23" i="190"/>
  <c r="J17" i="100"/>
  <c r="O30" i="210"/>
  <c r="S30" i="210"/>
  <c r="P9" i="2"/>
  <c r="Q9" i="2" s="1"/>
  <c r="R16" i="210"/>
  <c r="N16" i="210"/>
  <c r="T11" i="175"/>
  <c r="P11" i="175"/>
  <c r="Q36" i="210"/>
  <c r="U36" i="210"/>
  <c r="N66" i="175"/>
  <c r="R66" i="175"/>
  <c r="M22" i="190"/>
  <c r="P13" i="239"/>
  <c r="I13" i="239"/>
  <c r="Q13" i="239" s="1"/>
  <c r="L7" i="227"/>
  <c r="I7" i="227"/>
  <c r="K28" i="189"/>
  <c r="L28" i="189" s="1"/>
  <c r="O57" i="175"/>
  <c r="S57" i="175"/>
  <c r="P27" i="175"/>
  <c r="T27" i="175"/>
  <c r="O27" i="210"/>
  <c r="S27" i="210"/>
  <c r="B18" i="212"/>
  <c r="Y16" i="6"/>
  <c r="AY6" i="170"/>
  <c r="B10" i="170"/>
  <c r="B33" i="139"/>
  <c r="P36" i="175"/>
  <c r="T36" i="175"/>
  <c r="A9" i="239"/>
  <c r="A9" i="240"/>
  <c r="I43" i="227"/>
  <c r="K57" i="189"/>
  <c r="L57" i="189" s="1"/>
  <c r="L6" i="15"/>
  <c r="M6" i="15" s="1"/>
  <c r="L13" i="226"/>
  <c r="F13" i="226"/>
  <c r="G13" i="226" s="1"/>
  <c r="I31" i="227"/>
  <c r="L31" i="227"/>
  <c r="K22" i="189"/>
  <c r="L22" i="189" s="1"/>
  <c r="U64" i="210"/>
  <c r="Q64" i="210"/>
  <c r="AC16" i="5"/>
  <c r="I32" i="218"/>
  <c r="L29" i="226"/>
  <c r="F29" i="226"/>
  <c r="G29" i="226" s="1"/>
  <c r="P22" i="2"/>
  <c r="Q22" i="2" s="1"/>
  <c r="U54" i="210"/>
  <c r="Q54" i="210"/>
  <c r="T26" i="210"/>
  <c r="P26" i="210"/>
  <c r="Q12" i="190"/>
  <c r="Q24" i="190" s="1"/>
  <c r="P24" i="190"/>
  <c r="AC15" i="170"/>
  <c r="B14" i="207"/>
  <c r="R69" i="242" s="1"/>
  <c r="B42" i="6"/>
  <c r="R12" i="15"/>
  <c r="I14" i="239"/>
  <c r="Q14" i="239" s="1"/>
  <c r="P14" i="239"/>
  <c r="B29" i="246"/>
  <c r="DD2" i="170"/>
  <c r="B24" i="137"/>
  <c r="F24" i="137" s="1"/>
  <c r="K46" i="257" s="1"/>
  <c r="B26" i="2"/>
  <c r="R61" i="242" s="1"/>
  <c r="B29" i="247"/>
  <c r="B26" i="47"/>
  <c r="K26" i="47" s="1"/>
  <c r="O25" i="190"/>
  <c r="N25" i="190"/>
  <c r="AC13" i="5"/>
  <c r="T103" i="242"/>
  <c r="Q103" i="242" s="1"/>
  <c r="AB18" i="5"/>
  <c r="P55" i="210"/>
  <c r="T55" i="210"/>
  <c r="P8" i="210"/>
  <c r="T8" i="210"/>
  <c r="Q12" i="175"/>
  <c r="U12" i="175"/>
  <c r="U13" i="175"/>
  <c r="Q13" i="175"/>
  <c r="I17" i="219"/>
  <c r="I10" i="109"/>
  <c r="V6" i="35"/>
  <c r="W6" i="35" s="1"/>
  <c r="U37" i="210"/>
  <c r="Q37" i="210"/>
  <c r="R32" i="210"/>
  <c r="N32" i="210"/>
  <c r="X8" i="207"/>
  <c r="U61" i="210"/>
  <c r="Q61" i="210"/>
  <c r="Z19" i="6"/>
  <c r="L19" i="6"/>
  <c r="V19" i="6" s="1"/>
  <c r="AR16" i="170"/>
  <c r="O14" i="239"/>
  <c r="B11" i="25"/>
  <c r="F53" i="221"/>
  <c r="C55" i="221"/>
  <c r="B33" i="214"/>
  <c r="E31" i="214"/>
  <c r="B18" i="45"/>
  <c r="B28" i="109"/>
  <c r="E26" i="109"/>
  <c r="E53" i="220"/>
  <c r="E18" i="78"/>
  <c r="E14" i="78"/>
  <c r="E16" i="78"/>
  <c r="E15" i="78"/>
  <c r="E11" i="78"/>
  <c r="E17" i="78"/>
  <c r="E20" i="78"/>
  <c r="E12" i="78"/>
  <c r="E19" i="78"/>
  <c r="E13" i="78"/>
  <c r="F186" i="35" l="1"/>
  <c r="F114" i="35"/>
  <c r="F78" i="35"/>
  <c r="F96" i="35"/>
  <c r="F60" i="35"/>
  <c r="F132" i="35"/>
  <c r="F135" i="35" s="1"/>
  <c r="F168" i="35"/>
  <c r="F150" i="35"/>
  <c r="F42" i="35"/>
  <c r="F187" i="35"/>
  <c r="F115" i="35"/>
  <c r="F79" i="35"/>
  <c r="F133" i="35"/>
  <c r="F61" i="35"/>
  <c r="F151" i="35"/>
  <c r="F169" i="35"/>
  <c r="F97" i="35"/>
  <c r="F43" i="35"/>
  <c r="F99" i="35"/>
  <c r="B33" i="219"/>
  <c r="E33" i="219" s="1"/>
  <c r="F171" i="35"/>
  <c r="B33" i="217"/>
  <c r="E33" i="217" s="1"/>
  <c r="L166" i="35"/>
  <c r="AA166" i="35" s="1"/>
  <c r="AB166" i="35" s="1"/>
  <c r="L184" i="35"/>
  <c r="AA184" i="35" s="1"/>
  <c r="AB184" i="35" s="1"/>
  <c r="L148" i="35"/>
  <c r="AA148" i="35" s="1"/>
  <c r="AB148" i="35" s="1"/>
  <c r="L112" i="35"/>
  <c r="AA112" i="35" s="1"/>
  <c r="AB112" i="35" s="1"/>
  <c r="L130" i="35"/>
  <c r="AA130" i="35" s="1"/>
  <c r="AB130" i="35" s="1"/>
  <c r="L168" i="35"/>
  <c r="AA168" i="35" s="1"/>
  <c r="AB168" i="35" s="1"/>
  <c r="L186" i="35"/>
  <c r="AA186" i="35" s="1"/>
  <c r="AB186" i="35" s="1"/>
  <c r="L132" i="35"/>
  <c r="AA132" i="35" s="1"/>
  <c r="AB132" i="35" s="1"/>
  <c r="L114" i="35"/>
  <c r="AA114" i="35" s="1"/>
  <c r="AB114" i="35" s="1"/>
  <c r="L150" i="35"/>
  <c r="AA150" i="35" s="1"/>
  <c r="AB150" i="35" s="1"/>
  <c r="L185" i="35"/>
  <c r="L113" i="35"/>
  <c r="L149" i="35"/>
  <c r="L167" i="35"/>
  <c r="L131" i="35"/>
  <c r="L151" i="35"/>
  <c r="AA151" i="35" s="1"/>
  <c r="AB151" i="35" s="1"/>
  <c r="L169" i="35"/>
  <c r="AA169" i="35" s="1"/>
  <c r="AB169" i="35" s="1"/>
  <c r="L187" i="35"/>
  <c r="AA187" i="35" s="1"/>
  <c r="AB187" i="35" s="1"/>
  <c r="L133" i="35"/>
  <c r="AA133" i="35" s="1"/>
  <c r="AB133" i="35" s="1"/>
  <c r="L115" i="35"/>
  <c r="AA115" i="35" s="1"/>
  <c r="AB115" i="35" s="1"/>
  <c r="L76" i="35"/>
  <c r="AA76" i="35" s="1"/>
  <c r="AB76" i="35" s="1"/>
  <c r="L94" i="35"/>
  <c r="AA94" i="35" s="1"/>
  <c r="AB94" i="35" s="1"/>
  <c r="L78" i="35"/>
  <c r="AA78" i="35" s="1"/>
  <c r="AB78" i="35" s="1"/>
  <c r="L96" i="35"/>
  <c r="AA96" i="35" s="1"/>
  <c r="AB96" i="35" s="1"/>
  <c r="L77" i="35"/>
  <c r="AA77" i="35" s="1"/>
  <c r="AB77" i="35" s="1"/>
  <c r="L95" i="35"/>
  <c r="L79" i="35"/>
  <c r="AA79" i="35" s="1"/>
  <c r="AB79" i="35" s="1"/>
  <c r="L97" i="35"/>
  <c r="AA97" i="35" s="1"/>
  <c r="AB97" i="35" s="1"/>
  <c r="L40" i="35"/>
  <c r="AA40" i="35" s="1"/>
  <c r="AB40" i="35" s="1"/>
  <c r="L58" i="35"/>
  <c r="AA58" i="35" s="1"/>
  <c r="AB58" i="35" s="1"/>
  <c r="L42" i="35"/>
  <c r="AA42" i="35" s="1"/>
  <c r="AB42" i="35" s="1"/>
  <c r="L60" i="35"/>
  <c r="AA60" i="35" s="1"/>
  <c r="AB60" i="35" s="1"/>
  <c r="L41" i="35"/>
  <c r="AA41" i="35" s="1"/>
  <c r="AB41" i="35" s="1"/>
  <c r="L59" i="35"/>
  <c r="L43" i="35"/>
  <c r="AA43" i="35" s="1"/>
  <c r="AB43" i="35" s="1"/>
  <c r="L61" i="35"/>
  <c r="AA61" i="35" s="1"/>
  <c r="AB61" i="35" s="1"/>
  <c r="G7" i="100"/>
  <c r="I7" i="177"/>
  <c r="I8" i="177"/>
  <c r="I5" i="177"/>
  <c r="G15" i="100"/>
  <c r="G10" i="100"/>
  <c r="B42" i="226"/>
  <c r="B44" i="226" s="1"/>
  <c r="E44" i="226" s="1"/>
  <c r="M37" i="226"/>
  <c r="M40" i="226"/>
  <c r="M39" i="226"/>
  <c r="M36" i="226"/>
  <c r="M38" i="226"/>
  <c r="M22" i="226"/>
  <c r="M33" i="226"/>
  <c r="M25" i="226"/>
  <c r="M23" i="226"/>
  <c r="M30" i="226"/>
  <c r="M35" i="226"/>
  <c r="M21" i="226"/>
  <c r="M26" i="226"/>
  <c r="M27" i="226"/>
  <c r="M34" i="226"/>
  <c r="M32" i="226"/>
  <c r="M24" i="226"/>
  <c r="M31" i="226"/>
  <c r="M29" i="226"/>
  <c r="M28" i="226"/>
  <c r="B38" i="222"/>
  <c r="F25" i="35"/>
  <c r="E31" i="218"/>
  <c r="AB13" i="177"/>
  <c r="AB9" i="177"/>
  <c r="E31" i="217"/>
  <c r="F24" i="35"/>
  <c r="F31" i="214"/>
  <c r="G31" i="214" s="1"/>
  <c r="L23" i="35"/>
  <c r="F31" i="218"/>
  <c r="G31" i="218" s="1"/>
  <c r="L25" i="35"/>
  <c r="AA25" i="35" s="1"/>
  <c r="AB25" i="35" s="1"/>
  <c r="F31" i="83"/>
  <c r="G31" i="83" s="1"/>
  <c r="L22" i="35"/>
  <c r="AA22" i="35" s="1"/>
  <c r="AB22" i="35" s="1"/>
  <c r="F31" i="217"/>
  <c r="G31" i="217" s="1"/>
  <c r="L24" i="35"/>
  <c r="AA24" i="35" s="1"/>
  <c r="AB24" i="35" s="1"/>
  <c r="K39" i="233"/>
  <c r="K30" i="233"/>
  <c r="K38" i="233"/>
  <c r="K28" i="233"/>
  <c r="K24" i="233"/>
  <c r="K36" i="233"/>
  <c r="K26" i="233"/>
  <c r="K35" i="233"/>
  <c r="K33" i="233"/>
  <c r="K29" i="233"/>
  <c r="K34" i="233"/>
  <c r="K32" i="233"/>
  <c r="K37" i="233"/>
  <c r="K25" i="233"/>
  <c r="K27" i="233"/>
  <c r="K31" i="233"/>
  <c r="K19" i="233"/>
  <c r="K11" i="233"/>
  <c r="K10" i="233"/>
  <c r="K8" i="233"/>
  <c r="K9" i="233"/>
  <c r="K13" i="233"/>
  <c r="K20" i="233"/>
  <c r="K7" i="233"/>
  <c r="K17" i="233"/>
  <c r="K18" i="233"/>
  <c r="K16" i="233"/>
  <c r="K15" i="233"/>
  <c r="K21" i="233"/>
  <c r="K14" i="233"/>
  <c r="K12" i="233"/>
  <c r="F8" i="229"/>
  <c r="M26" i="232"/>
  <c r="M15" i="232"/>
  <c r="M24" i="232"/>
  <c r="M10" i="232"/>
  <c r="M9" i="232"/>
  <c r="M12" i="232"/>
  <c r="M16" i="232"/>
  <c r="M14" i="232"/>
  <c r="M11" i="232"/>
  <c r="M18" i="232"/>
  <c r="M6" i="232"/>
  <c r="M20" i="232"/>
  <c r="M21" i="232"/>
  <c r="M23" i="232"/>
  <c r="M25" i="232"/>
  <c r="M13" i="232"/>
  <c r="M8" i="232"/>
  <c r="M19" i="232"/>
  <c r="M7" i="232"/>
  <c r="M17" i="232"/>
  <c r="M22" i="232"/>
  <c r="I6" i="232"/>
  <c r="G6" i="232"/>
  <c r="I11" i="232"/>
  <c r="G11" i="232"/>
  <c r="I7" i="232"/>
  <c r="G7" i="232"/>
  <c r="I15" i="232"/>
  <c r="G15" i="232"/>
  <c r="I36" i="232"/>
  <c r="G36" i="232"/>
  <c r="I12" i="232"/>
  <c r="G12" i="232"/>
  <c r="I13" i="232"/>
  <c r="G13" i="232"/>
  <c r="I31" i="232"/>
  <c r="G31" i="232"/>
  <c r="I18" i="232"/>
  <c r="G18" i="232"/>
  <c r="I17" i="232"/>
  <c r="G17" i="232"/>
  <c r="I35" i="232"/>
  <c r="G35" i="232"/>
  <c r="I32" i="232"/>
  <c r="G32" i="232"/>
  <c r="I57" i="232"/>
  <c r="G57" i="232"/>
  <c r="I10" i="232"/>
  <c r="G10" i="232"/>
  <c r="I14" i="232"/>
  <c r="G14" i="232"/>
  <c r="I9" i="232"/>
  <c r="G9" i="232"/>
  <c r="I29" i="232"/>
  <c r="G29" i="232"/>
  <c r="I33" i="232"/>
  <c r="G33" i="232"/>
  <c r="I38" i="232"/>
  <c r="G38" i="232"/>
  <c r="I8" i="232"/>
  <c r="G8" i="232"/>
  <c r="I30" i="232"/>
  <c r="G30" i="232"/>
  <c r="I28" i="232"/>
  <c r="G28" i="232"/>
  <c r="I34" i="232"/>
  <c r="G34" i="232"/>
  <c r="I37" i="232"/>
  <c r="G37" i="232"/>
  <c r="I16" i="232"/>
  <c r="G16" i="232"/>
  <c r="I27" i="232"/>
  <c r="G27" i="232"/>
  <c r="E55" i="232"/>
  <c r="M30" i="232"/>
  <c r="M48" i="232"/>
  <c r="M54" i="232"/>
  <c r="M53" i="232"/>
  <c r="M28" i="232"/>
  <c r="M49" i="232"/>
  <c r="M37" i="232"/>
  <c r="M43" i="232"/>
  <c r="M33" i="232"/>
  <c r="M35" i="232"/>
  <c r="M40" i="232"/>
  <c r="M38" i="232"/>
  <c r="M36" i="232"/>
  <c r="M42" i="232"/>
  <c r="M34" i="232"/>
  <c r="M32" i="232"/>
  <c r="M46" i="232"/>
  <c r="M45" i="232"/>
  <c r="M29" i="232"/>
  <c r="M41" i="232"/>
  <c r="M52" i="232"/>
  <c r="M39" i="232"/>
  <c r="M47" i="232"/>
  <c r="M31" i="232"/>
  <c r="M51" i="232"/>
  <c r="M50" i="232"/>
  <c r="M44" i="232"/>
  <c r="M27" i="232"/>
  <c r="I32" i="226"/>
  <c r="I33" i="226"/>
  <c r="I21" i="226"/>
  <c r="I30" i="226"/>
  <c r="I25" i="226"/>
  <c r="I24" i="226"/>
  <c r="I9" i="226"/>
  <c r="I31" i="226"/>
  <c r="I11" i="226"/>
  <c r="I10" i="226"/>
  <c r="I28" i="226"/>
  <c r="I14" i="226"/>
  <c r="I23" i="226"/>
  <c r="I12" i="226"/>
  <c r="I26" i="226"/>
  <c r="I35" i="226"/>
  <c r="I22" i="226"/>
  <c r="I13" i="226"/>
  <c r="I43" i="226"/>
  <c r="I29" i="226"/>
  <c r="I27" i="226"/>
  <c r="I15" i="226"/>
  <c r="I34" i="226"/>
  <c r="I7" i="226"/>
  <c r="G7" i="226"/>
  <c r="I8" i="226"/>
  <c r="G8" i="226"/>
  <c r="C33" i="219"/>
  <c r="C13" i="129" s="1"/>
  <c r="F31" i="219"/>
  <c r="G31" i="219" s="1"/>
  <c r="N17" i="100"/>
  <c r="K17" i="100"/>
  <c r="N18" i="100"/>
  <c r="K18" i="100"/>
  <c r="N19" i="100"/>
  <c r="K19" i="100"/>
  <c r="N24" i="100"/>
  <c r="K24" i="100"/>
  <c r="N16" i="100"/>
  <c r="K16" i="100"/>
  <c r="N25" i="100"/>
  <c r="K25" i="100"/>
  <c r="N21" i="100"/>
  <c r="K21" i="100"/>
  <c r="N20" i="100"/>
  <c r="K20" i="100"/>
  <c r="N26" i="100"/>
  <c r="K26" i="100"/>
  <c r="N22" i="100"/>
  <c r="K22" i="100"/>
  <c r="N11" i="100"/>
  <c r="K11" i="100"/>
  <c r="N23" i="100"/>
  <c r="K23" i="100"/>
  <c r="J7" i="83"/>
  <c r="J8" i="83"/>
  <c r="J9" i="83"/>
  <c r="R9" i="15"/>
  <c r="R7" i="15"/>
  <c r="R10" i="15"/>
  <c r="R8" i="15"/>
  <c r="R6" i="15"/>
  <c r="Y17" i="2"/>
  <c r="S17" i="2"/>
  <c r="Y16" i="2"/>
  <c r="S16" i="2"/>
  <c r="Y20" i="2"/>
  <c r="S20" i="2"/>
  <c r="Y10" i="2"/>
  <c r="S10" i="2"/>
  <c r="Y12" i="2"/>
  <c r="S12" i="2"/>
  <c r="Y18" i="2"/>
  <c r="S18" i="2"/>
  <c r="Y19" i="2"/>
  <c r="S19" i="2"/>
  <c r="Y9" i="2"/>
  <c r="S9" i="2"/>
  <c r="Y25" i="2"/>
  <c r="S25" i="2"/>
  <c r="Y21" i="2"/>
  <c r="S21" i="2"/>
  <c r="Y15" i="2"/>
  <c r="S15" i="2"/>
  <c r="Y23" i="2"/>
  <c r="S23" i="2"/>
  <c r="Y8" i="2"/>
  <c r="S8" i="2"/>
  <c r="Y13" i="2"/>
  <c r="S13" i="2"/>
  <c r="Y11" i="2"/>
  <c r="S11" i="2"/>
  <c r="Y24" i="2"/>
  <c r="S24" i="2"/>
  <c r="Y14" i="2"/>
  <c r="S14" i="2"/>
  <c r="Y22" i="2"/>
  <c r="S22" i="2"/>
  <c r="Y26" i="2"/>
  <c r="S26" i="2"/>
  <c r="X19" i="2"/>
  <c r="X21" i="2"/>
  <c r="X26" i="2"/>
  <c r="X24" i="2"/>
  <c r="X20" i="2"/>
  <c r="X8" i="2"/>
  <c r="X18" i="2"/>
  <c r="X16" i="2"/>
  <c r="X17" i="2"/>
  <c r="X11" i="2"/>
  <c r="X12" i="2"/>
  <c r="X13" i="2"/>
  <c r="X15" i="2"/>
  <c r="X14" i="2"/>
  <c r="X22" i="2"/>
  <c r="X9" i="2"/>
  <c r="X10" i="2"/>
  <c r="X23" i="2"/>
  <c r="X25" i="2"/>
  <c r="M37" i="228"/>
  <c r="M33" i="228"/>
  <c r="M29" i="228"/>
  <c r="M25" i="228"/>
  <c r="M21" i="228"/>
  <c r="M40" i="228"/>
  <c r="M36" i="228"/>
  <c r="M32" i="228"/>
  <c r="M28" i="228"/>
  <c r="M24" i="228"/>
  <c r="M39" i="228"/>
  <c r="M35" i="228"/>
  <c r="M31" i="228"/>
  <c r="M27" i="228"/>
  <c r="M23" i="228"/>
  <c r="M38" i="228"/>
  <c r="M34" i="228"/>
  <c r="M30" i="228"/>
  <c r="M26" i="228"/>
  <c r="M22" i="228"/>
  <c r="F7" i="229"/>
  <c r="M17" i="228"/>
  <c r="M13" i="228"/>
  <c r="M9" i="228"/>
  <c r="M20" i="228"/>
  <c r="M16" i="228"/>
  <c r="M12" i="228"/>
  <c r="M8" i="228"/>
  <c r="M19" i="228"/>
  <c r="M15" i="228"/>
  <c r="M11" i="228"/>
  <c r="M7" i="228"/>
  <c r="M18" i="228"/>
  <c r="M14" i="228"/>
  <c r="M10" i="228"/>
  <c r="M6" i="228"/>
  <c r="M36" i="227"/>
  <c r="M40" i="227"/>
  <c r="M38" i="227"/>
  <c r="M39" i="227"/>
  <c r="M37" i="227"/>
  <c r="M32" i="227"/>
  <c r="M30" i="227"/>
  <c r="M29" i="227"/>
  <c r="M24" i="227"/>
  <c r="M28" i="227"/>
  <c r="M33" i="227"/>
  <c r="M34" i="227"/>
  <c r="M25" i="227"/>
  <c r="M31" i="227"/>
  <c r="M23" i="227"/>
  <c r="M22" i="227"/>
  <c r="M35" i="227"/>
  <c r="M27" i="227"/>
  <c r="M21" i="227"/>
  <c r="M26" i="227"/>
  <c r="M20" i="227"/>
  <c r="M16" i="227"/>
  <c r="M19" i="227"/>
  <c r="M17" i="227"/>
  <c r="M18" i="227"/>
  <c r="M14" i="227"/>
  <c r="M12" i="227"/>
  <c r="M11" i="227"/>
  <c r="M9" i="227"/>
  <c r="M10" i="227"/>
  <c r="M8" i="227"/>
  <c r="M7" i="227"/>
  <c r="M6" i="227"/>
  <c r="M13" i="227"/>
  <c r="M15" i="227"/>
  <c r="F6" i="229"/>
  <c r="M27" i="219"/>
  <c r="M23" i="219"/>
  <c r="M19" i="219"/>
  <c r="M15" i="219"/>
  <c r="M11" i="219"/>
  <c r="M7" i="219"/>
  <c r="M30" i="219"/>
  <c r="M26" i="219"/>
  <c r="M22" i="219"/>
  <c r="M18" i="219"/>
  <c r="M14" i="219"/>
  <c r="M10" i="219"/>
  <c r="M6" i="219"/>
  <c r="M29" i="219"/>
  <c r="M25" i="219"/>
  <c r="M21" i="219"/>
  <c r="M17" i="219"/>
  <c r="M13" i="219"/>
  <c r="M9" i="219"/>
  <c r="M28" i="219"/>
  <c r="M24" i="219"/>
  <c r="M20" i="219"/>
  <c r="M16" i="219"/>
  <c r="M12" i="219"/>
  <c r="M8" i="219"/>
  <c r="F8" i="35"/>
  <c r="M27" i="218"/>
  <c r="M23" i="218"/>
  <c r="M19" i="218"/>
  <c r="M15" i="218"/>
  <c r="M11" i="218"/>
  <c r="M7" i="218"/>
  <c r="M30" i="218"/>
  <c r="M26" i="218"/>
  <c r="M22" i="218"/>
  <c r="M18" i="218"/>
  <c r="M14" i="218"/>
  <c r="M10" i="218"/>
  <c r="M6" i="218"/>
  <c r="M29" i="218"/>
  <c r="M25" i="218"/>
  <c r="M21" i="218"/>
  <c r="M17" i="218"/>
  <c r="M13" i="218"/>
  <c r="M9" i="218"/>
  <c r="M28" i="218"/>
  <c r="M24" i="218"/>
  <c r="M20" i="218"/>
  <c r="M16" i="218"/>
  <c r="M12" i="218"/>
  <c r="M8" i="218"/>
  <c r="F7" i="35"/>
  <c r="M27" i="217"/>
  <c r="M23" i="217"/>
  <c r="M19" i="217"/>
  <c r="M15" i="217"/>
  <c r="M11" i="217"/>
  <c r="M7" i="217"/>
  <c r="M30" i="217"/>
  <c r="M26" i="217"/>
  <c r="M22" i="217"/>
  <c r="M18" i="217"/>
  <c r="M14" i="217"/>
  <c r="M10" i="217"/>
  <c r="M6" i="217"/>
  <c r="M29" i="217"/>
  <c r="M25" i="217"/>
  <c r="M21" i="217"/>
  <c r="M17" i="217"/>
  <c r="M13" i="217"/>
  <c r="M9" i="217"/>
  <c r="M28" i="217"/>
  <c r="M24" i="217"/>
  <c r="M20" i="217"/>
  <c r="M16" i="217"/>
  <c r="M12" i="217"/>
  <c r="M8" i="217"/>
  <c r="J6" i="83"/>
  <c r="E11" i="25"/>
  <c r="M31" i="83"/>
  <c r="F81" i="92"/>
  <c r="I81" i="92" s="1"/>
  <c r="L26" i="109"/>
  <c r="L31" i="214"/>
  <c r="G17" i="137"/>
  <c r="G19" i="137"/>
  <c r="G24" i="137"/>
  <c r="G15" i="137"/>
  <c r="G8" i="137"/>
  <c r="G6" i="137"/>
  <c r="G7" i="137"/>
  <c r="G22" i="137"/>
  <c r="G18" i="137"/>
  <c r="G5" i="137"/>
  <c r="K27" i="257"/>
  <c r="L6" i="35"/>
  <c r="AA6" i="35" s="1"/>
  <c r="AB6" i="35" s="1"/>
  <c r="L7" i="35"/>
  <c r="L8" i="35"/>
  <c r="L5" i="35"/>
  <c r="AA5" i="35" s="1"/>
  <c r="AB5" i="35" s="1"/>
  <c r="I48" i="92"/>
  <c r="X10" i="35"/>
  <c r="Y10" i="35" s="1"/>
  <c r="AC10" i="35"/>
  <c r="AD10" i="35" s="1"/>
  <c r="R9" i="229"/>
  <c r="L10" i="256"/>
  <c r="X10" i="256" s="1"/>
  <c r="L7" i="229"/>
  <c r="AA7" i="229" s="1"/>
  <c r="AB7" i="229" s="1"/>
  <c r="L9" i="256"/>
  <c r="X9" i="256" s="1"/>
  <c r="L6" i="229"/>
  <c r="X9" i="229"/>
  <c r="Y9" i="229" s="1"/>
  <c r="V9" i="229"/>
  <c r="W9" i="229" s="1"/>
  <c r="V7" i="139"/>
  <c r="L24" i="139"/>
  <c r="V24" i="139" s="1"/>
  <c r="T81" i="242"/>
  <c r="Q81" i="242" s="1"/>
  <c r="T69" i="242"/>
  <c r="Q69" i="242" s="1"/>
  <c r="T7" i="209"/>
  <c r="T17" i="209"/>
  <c r="T11" i="2"/>
  <c r="AA8" i="229"/>
  <c r="AB8" i="229" s="1"/>
  <c r="L13" i="256"/>
  <c r="X13" i="256" s="1"/>
  <c r="F13" i="256"/>
  <c r="E18" i="45"/>
  <c r="E19" i="45"/>
  <c r="F10" i="256"/>
  <c r="H14" i="129"/>
  <c r="F9" i="256"/>
  <c r="E41" i="226"/>
  <c r="X8" i="256"/>
  <c r="AT16" i="170"/>
  <c r="CA16" i="170"/>
  <c r="AU6" i="170"/>
  <c r="CB6" i="170"/>
  <c r="AT13" i="170"/>
  <c r="CA13" i="170"/>
  <c r="AU19" i="170"/>
  <c r="CB19" i="170"/>
  <c r="AT18" i="170"/>
  <c r="CA18" i="170"/>
  <c r="AU7" i="170"/>
  <c r="CB7" i="170"/>
  <c r="AU10" i="170"/>
  <c r="CB10" i="170"/>
  <c r="AT19" i="170"/>
  <c r="CA19" i="170"/>
  <c r="AU12" i="170"/>
  <c r="CB12" i="170"/>
  <c r="AU21" i="170"/>
  <c r="CB21" i="170"/>
  <c r="AU16" i="170"/>
  <c r="CB16" i="170"/>
  <c r="AU22" i="170"/>
  <c r="CB22" i="170"/>
  <c r="AT14" i="170"/>
  <c r="CA14" i="170"/>
  <c r="AU15" i="170"/>
  <c r="CB15" i="170"/>
  <c r="AU8" i="170"/>
  <c r="CB8" i="170"/>
  <c r="AU20" i="170"/>
  <c r="CB20" i="170"/>
  <c r="AU9" i="170"/>
  <c r="CB9" i="170"/>
  <c r="AT11" i="170"/>
  <c r="CA11" i="170"/>
  <c r="AT9" i="170"/>
  <c r="CA9" i="170"/>
  <c r="AT10" i="170"/>
  <c r="CA10" i="170"/>
  <c r="AU17" i="170"/>
  <c r="CB17" i="170"/>
  <c r="AT20" i="170"/>
  <c r="CA20" i="170"/>
  <c r="AU18" i="170"/>
  <c r="CB18" i="170"/>
  <c r="AT22" i="170"/>
  <c r="CA22" i="170"/>
  <c r="AT17" i="170"/>
  <c r="CA17" i="170"/>
  <c r="AU13" i="170"/>
  <c r="CB13" i="170"/>
  <c r="AT15" i="170"/>
  <c r="CA15" i="170"/>
  <c r="AU11" i="170"/>
  <c r="CB11" i="170"/>
  <c r="AU14" i="170"/>
  <c r="CB14" i="170"/>
  <c r="AT12" i="170"/>
  <c r="CA12" i="170"/>
  <c r="AT21" i="170"/>
  <c r="CA21" i="170"/>
  <c r="CL16" i="170"/>
  <c r="AI16" i="170"/>
  <c r="BQ6" i="170"/>
  <c r="AJ6" i="170"/>
  <c r="CL13" i="170"/>
  <c r="AI13" i="170"/>
  <c r="CM19" i="170"/>
  <c r="AJ19" i="170"/>
  <c r="CL10" i="170"/>
  <c r="AI10" i="170"/>
  <c r="CM10" i="170"/>
  <c r="AJ10" i="170"/>
  <c r="CL19" i="170"/>
  <c r="AI19" i="170"/>
  <c r="CM12" i="170"/>
  <c r="AJ12" i="170"/>
  <c r="CM21" i="170"/>
  <c r="AJ21" i="170"/>
  <c r="CL9" i="170"/>
  <c r="AI9" i="170"/>
  <c r="CM16" i="170"/>
  <c r="AJ16" i="170"/>
  <c r="CM22" i="170"/>
  <c r="AJ22" i="170"/>
  <c r="CL18" i="170"/>
  <c r="AI18" i="170"/>
  <c r="CM7" i="170"/>
  <c r="AJ7" i="170"/>
  <c r="CL14" i="170"/>
  <c r="AI14" i="170"/>
  <c r="CM15" i="170"/>
  <c r="AJ15" i="170"/>
  <c r="CM8" i="170"/>
  <c r="AJ8" i="170"/>
  <c r="CM20" i="170"/>
  <c r="AJ20" i="170"/>
  <c r="CM9" i="170"/>
  <c r="AJ9" i="170"/>
  <c r="CL11" i="170"/>
  <c r="AI11" i="170"/>
  <c r="CM17" i="170"/>
  <c r="AJ17" i="170"/>
  <c r="CL20" i="170"/>
  <c r="AI20" i="170"/>
  <c r="CM18" i="170"/>
  <c r="AJ18" i="170"/>
  <c r="CL22" i="170"/>
  <c r="AI22" i="170"/>
  <c r="CL17" i="170"/>
  <c r="AI17" i="170"/>
  <c r="CM13" i="170"/>
  <c r="AJ13" i="170"/>
  <c r="CL15" i="170"/>
  <c r="AI15" i="170"/>
  <c r="CM11" i="170"/>
  <c r="AJ11" i="170"/>
  <c r="CM14" i="170"/>
  <c r="AJ14" i="170"/>
  <c r="CL12" i="170"/>
  <c r="AI12" i="170"/>
  <c r="CL21" i="170"/>
  <c r="AI21" i="170"/>
  <c r="AE28" i="15"/>
  <c r="I16" i="25"/>
  <c r="T59" i="242"/>
  <c r="Q59" i="242" s="1"/>
  <c r="B33" i="218"/>
  <c r="E33" i="218" s="1"/>
  <c r="E53" i="221"/>
  <c r="C33" i="217"/>
  <c r="F33" i="217" s="1"/>
  <c r="G33" i="217" s="1"/>
  <c r="F181" i="151"/>
  <c r="I181" i="151" s="1"/>
  <c r="B42" i="228"/>
  <c r="C33" i="83"/>
  <c r="F33" i="83" s="1"/>
  <c r="G33" i="83" s="1"/>
  <c r="C33" i="218"/>
  <c r="F53" i="220"/>
  <c r="B55" i="220"/>
  <c r="E15" i="239"/>
  <c r="D15" i="239" s="1"/>
  <c r="E15" i="192"/>
  <c r="I14" i="190"/>
  <c r="H14" i="190" s="1"/>
  <c r="I181" i="92"/>
  <c r="G14" i="190"/>
  <c r="L11" i="47"/>
  <c r="C56" i="232"/>
  <c r="F56" i="232" s="1"/>
  <c r="G56" i="232" s="1"/>
  <c r="F26" i="232"/>
  <c r="G26" i="232" s="1"/>
  <c r="DH14" i="170"/>
  <c r="AA9" i="35"/>
  <c r="AB9" i="35" s="1"/>
  <c r="E9" i="229"/>
  <c r="R14" i="216"/>
  <c r="L14" i="216"/>
  <c r="F10" i="223" s="1"/>
  <c r="F13" i="223" s="1"/>
  <c r="L17" i="245"/>
  <c r="BP9" i="170"/>
  <c r="BE9" i="170"/>
  <c r="BF15" i="170"/>
  <c r="BQ15" i="170"/>
  <c r="BQ17" i="170"/>
  <c r="BF17" i="170"/>
  <c r="BQ8" i="170"/>
  <c r="BF8" i="170"/>
  <c r="BQ16" i="170"/>
  <c r="BF16" i="170"/>
  <c r="BP11" i="170"/>
  <c r="BE11" i="170"/>
  <c r="BF10" i="170"/>
  <c r="BQ10" i="170"/>
  <c r="BE20" i="170"/>
  <c r="BP20" i="170"/>
  <c r="BE15" i="170"/>
  <c r="BP15" i="170"/>
  <c r="BF21" i="170"/>
  <c r="BQ21" i="170"/>
  <c r="BE16" i="170"/>
  <c r="BP16" i="170"/>
  <c r="BP17" i="170"/>
  <c r="BE17" i="170"/>
  <c r="BP19" i="170"/>
  <c r="BE19" i="170"/>
  <c r="BQ9" i="170"/>
  <c r="BF9" i="170"/>
  <c r="BE13" i="170"/>
  <c r="BP13" i="170"/>
  <c r="BE22" i="170"/>
  <c r="BP22" i="170"/>
  <c r="BF7" i="170"/>
  <c r="BQ7" i="170"/>
  <c r="BF20" i="170"/>
  <c r="BQ20" i="170"/>
  <c r="BF12" i="170"/>
  <c r="BQ12" i="170"/>
  <c r="BE21" i="170"/>
  <c r="BP21" i="170"/>
  <c r="BE12" i="170"/>
  <c r="BP12" i="170"/>
  <c r="BQ18" i="170"/>
  <c r="BF18" i="170"/>
  <c r="BF19" i="170"/>
  <c r="BQ19" i="170"/>
  <c r="BF11" i="170"/>
  <c r="BQ11" i="170"/>
  <c r="BF13" i="170"/>
  <c r="BQ13" i="170"/>
  <c r="BP18" i="170"/>
  <c r="BE18" i="170"/>
  <c r="BP10" i="170"/>
  <c r="BE10" i="170"/>
  <c r="BE14" i="170"/>
  <c r="BP14" i="170"/>
  <c r="BF14" i="170"/>
  <c r="BQ14" i="170"/>
  <c r="BF22" i="170"/>
  <c r="BQ22" i="170"/>
  <c r="L15" i="47"/>
  <c r="X18" i="170"/>
  <c r="X9" i="170"/>
  <c r="Y15" i="170"/>
  <c r="Y17" i="170"/>
  <c r="Y8" i="170"/>
  <c r="Y16" i="170"/>
  <c r="X11" i="170"/>
  <c r="Y10" i="170"/>
  <c r="X20" i="170"/>
  <c r="X15" i="170"/>
  <c r="Y21" i="170"/>
  <c r="X16" i="170"/>
  <c r="X17" i="170"/>
  <c r="X19" i="170"/>
  <c r="Y9" i="170"/>
  <c r="X13" i="170"/>
  <c r="X22" i="170"/>
  <c r="Y7" i="170"/>
  <c r="Y20" i="170"/>
  <c r="Y12" i="170"/>
  <c r="X21" i="170"/>
  <c r="X12" i="170"/>
  <c r="Y18" i="170"/>
  <c r="Y19" i="170"/>
  <c r="Y11" i="170"/>
  <c r="Y13" i="170"/>
  <c r="X10" i="170"/>
  <c r="X14" i="170"/>
  <c r="Y14" i="170"/>
  <c r="Y22" i="170"/>
  <c r="M12" i="170"/>
  <c r="M16" i="170"/>
  <c r="N14" i="170"/>
  <c r="N20" i="170"/>
  <c r="N18" i="170"/>
  <c r="N19" i="170"/>
  <c r="M10" i="170"/>
  <c r="M15" i="170"/>
  <c r="M11" i="170"/>
  <c r="N22" i="170"/>
  <c r="M18" i="170"/>
  <c r="N17" i="170"/>
  <c r="N8" i="170"/>
  <c r="N9" i="170"/>
  <c r="N13" i="170"/>
  <c r="M22" i="170"/>
  <c r="N16" i="170"/>
  <c r="M14" i="170"/>
  <c r="N12" i="170"/>
  <c r="M13" i="170"/>
  <c r="M21" i="170"/>
  <c r="N21" i="170"/>
  <c r="M9" i="170"/>
  <c r="M20" i="170"/>
  <c r="N11" i="170"/>
  <c r="N7" i="170"/>
  <c r="N15" i="170"/>
  <c r="N10" i="170"/>
  <c r="M17" i="170"/>
  <c r="M19" i="170"/>
  <c r="DI7" i="170"/>
  <c r="CW14" i="170"/>
  <c r="DI13" i="170"/>
  <c r="CW22" i="170"/>
  <c r="DH9" i="170"/>
  <c r="DI14" i="170"/>
  <c r="E10" i="35"/>
  <c r="F78" i="151"/>
  <c r="I78" i="151" s="1"/>
  <c r="L12" i="245"/>
  <c r="K8" i="47"/>
  <c r="T111" i="242"/>
  <c r="Q111" i="242" s="1"/>
  <c r="L18" i="245"/>
  <c r="K16" i="47"/>
  <c r="C18" i="45"/>
  <c r="F18" i="45" s="1"/>
  <c r="G18" i="45" s="1"/>
  <c r="I17" i="223"/>
  <c r="P71" i="210"/>
  <c r="C13" i="146"/>
  <c r="F13" i="146" s="1"/>
  <c r="G13" i="146" s="1"/>
  <c r="DI21" i="170"/>
  <c r="K9" i="229"/>
  <c r="Z9" i="229" s="1"/>
  <c r="I45" i="151"/>
  <c r="C17" i="133"/>
  <c r="E17" i="133" s="1"/>
  <c r="C33" i="214"/>
  <c r="F33" i="214" s="1"/>
  <c r="G33" i="214" s="1"/>
  <c r="R71" i="175"/>
  <c r="T88" i="242"/>
  <c r="Q88" i="242" s="1"/>
  <c r="T86" i="242"/>
  <c r="Q86" i="242" s="1"/>
  <c r="CX9" i="170"/>
  <c r="DI9" i="170"/>
  <c r="R85" i="242"/>
  <c r="B16" i="249"/>
  <c r="E16" i="249" s="1"/>
  <c r="C28" i="109"/>
  <c r="DH13" i="170"/>
  <c r="D14" i="190"/>
  <c r="C14" i="190" s="1"/>
  <c r="DI12" i="170"/>
  <c r="CX12" i="170"/>
  <c r="T93" i="242"/>
  <c r="Q93" i="242" s="1"/>
  <c r="E181" i="151"/>
  <c r="H181" i="151" s="1"/>
  <c r="B7" i="133"/>
  <c r="DI19" i="170"/>
  <c r="T18" i="2"/>
  <c r="R71" i="210"/>
  <c r="T55" i="242"/>
  <c r="Q55" i="242" s="1"/>
  <c r="F38" i="222"/>
  <c r="T47" i="242"/>
  <c r="Q47" i="242" s="1"/>
  <c r="N71" i="210"/>
  <c r="S71" i="210"/>
  <c r="T87" i="242"/>
  <c r="Q87" i="242" s="1"/>
  <c r="C20" i="133"/>
  <c r="E20" i="133" s="1"/>
  <c r="F36" i="222"/>
  <c r="K20" i="133"/>
  <c r="C79" i="210"/>
  <c r="J79" i="210" s="1"/>
  <c r="CW15" i="170"/>
  <c r="B55" i="221"/>
  <c r="E55" i="221" s="1"/>
  <c r="F20" i="133"/>
  <c r="H20" i="133" s="1"/>
  <c r="R75" i="242"/>
  <c r="F39" i="233"/>
  <c r="G39" i="233" s="1"/>
  <c r="L20" i="133"/>
  <c r="DH15" i="170"/>
  <c r="T75" i="242"/>
  <c r="Q75" i="242" s="1"/>
  <c r="K3" i="79"/>
  <c r="I30" i="246"/>
  <c r="R30" i="246" s="1"/>
  <c r="U71" i="175"/>
  <c r="CX21" i="170"/>
  <c r="C80" i="175"/>
  <c r="J80" i="175" s="1"/>
  <c r="F27" i="2"/>
  <c r="B6" i="135" s="1"/>
  <c r="I15" i="211"/>
  <c r="R15" i="211" s="1"/>
  <c r="C40" i="233"/>
  <c r="F40" i="233" s="1"/>
  <c r="G40" i="233" s="1"/>
  <c r="D15" i="192"/>
  <c r="B42" i="227"/>
  <c r="E42" i="227" s="1"/>
  <c r="R72" i="242"/>
  <c r="E78" i="151"/>
  <c r="H78" i="151" s="1"/>
  <c r="K17" i="133"/>
  <c r="F15" i="211"/>
  <c r="B7" i="147" s="1"/>
  <c r="B9" i="146" s="1"/>
  <c r="E9" i="146" s="1"/>
  <c r="K19" i="5"/>
  <c r="B15" i="240"/>
  <c r="F30" i="246"/>
  <c r="O30" i="246" s="1"/>
  <c r="E22" i="233"/>
  <c r="B40" i="233"/>
  <c r="E40" i="233" s="1"/>
  <c r="F30" i="207"/>
  <c r="B7" i="135" s="1"/>
  <c r="E7" i="135" s="1"/>
  <c r="I30" i="247"/>
  <c r="R30" i="247" s="1"/>
  <c r="D15" i="240"/>
  <c r="C15" i="240" s="1"/>
  <c r="F30" i="247"/>
  <c r="O30" i="247" s="1"/>
  <c r="H48" i="92"/>
  <c r="E81" i="92"/>
  <c r="B11" i="31"/>
  <c r="E8" i="31"/>
  <c r="H179" i="92"/>
  <c r="E181" i="92"/>
  <c r="H181" i="92" s="1"/>
  <c r="F17" i="209"/>
  <c r="E39" i="233"/>
  <c r="B10" i="146"/>
  <c r="E10" i="146" s="1"/>
  <c r="F17" i="133"/>
  <c r="H17" i="133" s="1"/>
  <c r="L17" i="133"/>
  <c r="C55" i="220"/>
  <c r="H17" i="223"/>
  <c r="G18" i="223"/>
  <c r="G21" i="223" s="1"/>
  <c r="T10" i="35"/>
  <c r="U10" i="35" s="1"/>
  <c r="K9" i="245"/>
  <c r="K24" i="47"/>
  <c r="T54" i="242"/>
  <c r="Q54" i="242" s="1"/>
  <c r="B25" i="134"/>
  <c r="B10" i="134"/>
  <c r="C12" i="78"/>
  <c r="T102" i="242"/>
  <c r="Q102" i="242" s="1"/>
  <c r="BF6" i="170"/>
  <c r="R92" i="242"/>
  <c r="K14" i="245"/>
  <c r="L8" i="245"/>
  <c r="T9" i="207"/>
  <c r="T23" i="2"/>
  <c r="K10" i="245"/>
  <c r="CW19" i="170"/>
  <c r="CW9" i="170"/>
  <c r="K61" i="189"/>
  <c r="L61" i="189" s="1"/>
  <c r="B16" i="133"/>
  <c r="L16" i="133" s="1"/>
  <c r="R87" i="242"/>
  <c r="DI11" i="170"/>
  <c r="CX14" i="170"/>
  <c r="C20" i="78"/>
  <c r="C18" i="78"/>
  <c r="K9" i="47"/>
  <c r="G11" i="240"/>
  <c r="M11" i="240" s="1"/>
  <c r="U14" i="242"/>
  <c r="C13" i="78"/>
  <c r="C19" i="78"/>
  <c r="CX17" i="170"/>
  <c r="C17" i="78"/>
  <c r="C16" i="78"/>
  <c r="CX11" i="170"/>
  <c r="O71" i="175"/>
  <c r="C79" i="175"/>
  <c r="I79" i="175" s="1"/>
  <c r="C15" i="78"/>
  <c r="DH20" i="170"/>
  <c r="C11" i="78"/>
  <c r="C78" i="175"/>
  <c r="I78" i="175" s="1"/>
  <c r="I9" i="177"/>
  <c r="I61" i="189"/>
  <c r="J61" i="189" s="1"/>
  <c r="DH21" i="170"/>
  <c r="T11" i="207"/>
  <c r="R63" i="242"/>
  <c r="DH22" i="170"/>
  <c r="T89" i="242"/>
  <c r="Q89" i="242" s="1"/>
  <c r="T15" i="207"/>
  <c r="G10" i="137"/>
  <c r="U16" i="242"/>
  <c r="C19" i="45"/>
  <c r="F19" i="45" s="1"/>
  <c r="G19" i="45" s="1"/>
  <c r="DH17" i="170"/>
  <c r="G12" i="240"/>
  <c r="M12" i="240" s="1"/>
  <c r="G14" i="137"/>
  <c r="Y8" i="5"/>
  <c r="DH12" i="170"/>
  <c r="G21" i="137"/>
  <c r="L22" i="47"/>
  <c r="R66" i="242"/>
  <c r="B13" i="133"/>
  <c r="K13" i="133" s="1"/>
  <c r="CX13" i="170"/>
  <c r="G11" i="137"/>
  <c r="U29" i="242"/>
  <c r="CX16" i="170"/>
  <c r="K20" i="47"/>
  <c r="CW21" i="170"/>
  <c r="K15" i="245"/>
  <c r="CX20" i="170"/>
  <c r="CW17" i="170"/>
  <c r="DH16" i="170"/>
  <c r="DI20" i="170"/>
  <c r="T21" i="2"/>
  <c r="CW16" i="170"/>
  <c r="DI16" i="170"/>
  <c r="B14" i="134"/>
  <c r="G12" i="137"/>
  <c r="K10" i="47"/>
  <c r="T97" i="242"/>
  <c r="Q97" i="242" s="1"/>
  <c r="T62" i="242"/>
  <c r="Q62" i="242" s="1"/>
  <c r="T68" i="242"/>
  <c r="Q68" i="242" s="1"/>
  <c r="N71" i="175"/>
  <c r="F20" i="226"/>
  <c r="G20" i="226" s="1"/>
  <c r="G10" i="240"/>
  <c r="M10" i="240" s="1"/>
  <c r="T92" i="242"/>
  <c r="Q92" i="242" s="1"/>
  <c r="R78" i="242"/>
  <c r="B13" i="134"/>
  <c r="C42" i="226"/>
  <c r="C44" i="226" s="1"/>
  <c r="DI6" i="170"/>
  <c r="T57" i="242"/>
  <c r="Q57" i="242" s="1"/>
  <c r="O14" i="190"/>
  <c r="O26" i="190" s="1"/>
  <c r="I78" i="210"/>
  <c r="CX6" i="170"/>
  <c r="O71" i="210"/>
  <c r="U71" i="210"/>
  <c r="T44" i="242"/>
  <c r="Q44" i="242" s="1"/>
  <c r="R67" i="242"/>
  <c r="Y6" i="170"/>
  <c r="C80" i="210"/>
  <c r="J80" i="210" s="1"/>
  <c r="K25" i="47"/>
  <c r="G20" i="137"/>
  <c r="G8" i="240"/>
  <c r="M8" i="240" s="1"/>
  <c r="I17" i="177"/>
  <c r="T100" i="242"/>
  <c r="Q100" i="242" s="1"/>
  <c r="DI18" i="170"/>
  <c r="C42" i="228"/>
  <c r="T13" i="2"/>
  <c r="C42" i="227"/>
  <c r="CX10" i="170"/>
  <c r="C22" i="45"/>
  <c r="F22" i="45" s="1"/>
  <c r="G22" i="45" s="1"/>
  <c r="K10" i="35"/>
  <c r="Z10" i="35" s="1"/>
  <c r="T95" i="242"/>
  <c r="Q95" i="242" s="1"/>
  <c r="DI22" i="170"/>
  <c r="CW11" i="170"/>
  <c r="R89" i="242"/>
  <c r="L21" i="47"/>
  <c r="DH19" i="170"/>
  <c r="G9" i="240"/>
  <c r="M9" i="240" s="1"/>
  <c r="G13" i="240"/>
  <c r="M13" i="240" s="1"/>
  <c r="CX18" i="170"/>
  <c r="CX22" i="170"/>
  <c r="B10" i="133"/>
  <c r="C10" i="133" s="1"/>
  <c r="E10" i="133" s="1"/>
  <c r="R79" i="242"/>
  <c r="DH11" i="170"/>
  <c r="K23" i="47"/>
  <c r="K13" i="47"/>
  <c r="B18" i="133"/>
  <c r="L18" i="133" s="1"/>
  <c r="DI10" i="170"/>
  <c r="G13" i="137"/>
  <c r="N19" i="5"/>
  <c r="Y19" i="5" s="1"/>
  <c r="DH10" i="170"/>
  <c r="T51" i="242"/>
  <c r="Q51" i="242" s="1"/>
  <c r="T16" i="207"/>
  <c r="I15" i="192"/>
  <c r="Q15" i="192" s="1"/>
  <c r="B16" i="134"/>
  <c r="R91" i="242"/>
  <c r="DI17" i="170"/>
  <c r="Q71" i="175"/>
  <c r="T108" i="242"/>
  <c r="Q108" i="242" s="1"/>
  <c r="C77" i="210"/>
  <c r="J77" i="210" s="1"/>
  <c r="L14" i="190"/>
  <c r="L26" i="190" s="1"/>
  <c r="T61" i="242"/>
  <c r="Q61" i="242" s="1"/>
  <c r="L12" i="47"/>
  <c r="B24" i="134"/>
  <c r="CW20" i="170"/>
  <c r="K16" i="245"/>
  <c r="G16" i="137"/>
  <c r="DI8" i="170"/>
  <c r="CX8" i="170"/>
  <c r="B7" i="134"/>
  <c r="CX7" i="170"/>
  <c r="L16" i="215"/>
  <c r="T16" i="215" s="1"/>
  <c r="T96" i="242"/>
  <c r="Q96" i="242" s="1"/>
  <c r="T52" i="242"/>
  <c r="Q52" i="242" s="1"/>
  <c r="R81" i="242"/>
  <c r="T42" i="242"/>
  <c r="AP2" i="242" s="1"/>
  <c r="G9" i="137"/>
  <c r="DH18" i="170"/>
  <c r="B12" i="134"/>
  <c r="K18" i="47"/>
  <c r="T8" i="207"/>
  <c r="U30" i="242"/>
  <c r="K13" i="245"/>
  <c r="E16" i="25"/>
  <c r="T63" i="242"/>
  <c r="Q63" i="242" s="1"/>
  <c r="F14" i="129"/>
  <c r="G14" i="129" s="1"/>
  <c r="T8" i="2"/>
  <c r="L30" i="6"/>
  <c r="V30" i="6" s="1"/>
  <c r="I15" i="239"/>
  <c r="Q15" i="239" s="1"/>
  <c r="F16" i="25"/>
  <c r="G16" i="25" s="1"/>
  <c r="R70" i="242"/>
  <c r="G7" i="240"/>
  <c r="M7" i="240" s="1"/>
  <c r="B14" i="133"/>
  <c r="C14" i="133" s="1"/>
  <c r="E14" i="133" s="1"/>
  <c r="L17" i="47"/>
  <c r="T60" i="242"/>
  <c r="Q60" i="242" s="1"/>
  <c r="E15" i="240"/>
  <c r="K15" i="240" s="1"/>
  <c r="CW18" i="170"/>
  <c r="T45" i="242"/>
  <c r="Q45" i="242" s="1"/>
  <c r="B9" i="133"/>
  <c r="C9" i="133" s="1"/>
  <c r="E9" i="133" s="1"/>
  <c r="L19" i="47"/>
  <c r="L26" i="47"/>
  <c r="Q14" i="190"/>
  <c r="P14" i="190" s="1"/>
  <c r="P26" i="190" s="1"/>
  <c r="T27" i="2"/>
  <c r="CW10" i="170"/>
  <c r="T15" i="2"/>
  <c r="K11" i="245"/>
  <c r="G14" i="240"/>
  <c r="M14" i="240" s="1"/>
  <c r="E21" i="78"/>
  <c r="E16" i="223"/>
  <c r="H16" i="223" s="1"/>
  <c r="E38" i="222"/>
  <c r="B13" i="146"/>
  <c r="E13" i="146" s="1"/>
  <c r="B13" i="129"/>
  <c r="E13" i="129" s="1"/>
  <c r="R74" i="242"/>
  <c r="B19" i="133"/>
  <c r="T101" i="242"/>
  <c r="Q101" i="242" s="1"/>
  <c r="R90" i="242"/>
  <c r="B20" i="134"/>
  <c r="T99" i="242"/>
  <c r="Q99" i="242" s="1"/>
  <c r="Y9" i="5"/>
  <c r="F15" i="223"/>
  <c r="I15" i="223" s="1"/>
  <c r="F55" i="221"/>
  <c r="T10" i="207"/>
  <c r="T65" i="242"/>
  <c r="Q65" i="242" s="1"/>
  <c r="T90" i="242"/>
  <c r="Q90" i="242" s="1"/>
  <c r="CW13" i="170"/>
  <c r="T91" i="242"/>
  <c r="Q91" i="242" s="1"/>
  <c r="T67" i="242"/>
  <c r="Q67" i="242" s="1"/>
  <c r="T12" i="207"/>
  <c r="T71" i="175"/>
  <c r="P71" i="175"/>
  <c r="T49" i="242"/>
  <c r="Q49" i="242" s="1"/>
  <c r="T14" i="2"/>
  <c r="T106" i="242"/>
  <c r="Q106" i="242" s="1"/>
  <c r="B11" i="129"/>
  <c r="CW12" i="170"/>
  <c r="G23" i="137"/>
  <c r="CX15" i="170"/>
  <c r="DI15" i="170"/>
  <c r="R96" i="242"/>
  <c r="B26" i="134"/>
  <c r="CX19" i="170"/>
  <c r="E14" i="129"/>
  <c r="B13" i="25"/>
  <c r="E13" i="25" s="1"/>
  <c r="E28" i="109"/>
  <c r="E33" i="214"/>
  <c r="B12" i="25"/>
  <c r="E12" i="25" s="1"/>
  <c r="B18" i="134"/>
  <c r="R88" i="242"/>
  <c r="N6" i="170"/>
  <c r="CM6" i="170"/>
  <c r="T74" i="242"/>
  <c r="Q74" i="242" s="1"/>
  <c r="T73" i="242"/>
  <c r="Q73" i="242" s="1"/>
  <c r="F12" i="133"/>
  <c r="H12" i="133" s="1"/>
  <c r="L12" i="133"/>
  <c r="K12" i="133"/>
  <c r="C12" i="133"/>
  <c r="E12" i="133" s="1"/>
  <c r="J77" i="175"/>
  <c r="I77" i="175"/>
  <c r="C8" i="133"/>
  <c r="E8" i="133" s="1"/>
  <c r="K8" i="133"/>
  <c r="L8" i="133"/>
  <c r="F8" i="133"/>
  <c r="H8" i="133" s="1"/>
  <c r="L15" i="133"/>
  <c r="K15" i="133"/>
  <c r="C15" i="133"/>
  <c r="E15" i="133" s="1"/>
  <c r="F15" i="133"/>
  <c r="H15" i="133" s="1"/>
  <c r="C11" i="133"/>
  <c r="E11" i="133" s="1"/>
  <c r="F11" i="133"/>
  <c r="H11" i="133" s="1"/>
  <c r="L11" i="133"/>
  <c r="K11" i="133"/>
  <c r="F63" i="35" l="1"/>
  <c r="F117" i="35"/>
  <c r="F45" i="35"/>
  <c r="F81" i="35"/>
  <c r="F153" i="35"/>
  <c r="F189" i="35"/>
  <c r="E42" i="226"/>
  <c r="L45" i="35"/>
  <c r="AA45" i="35" s="1"/>
  <c r="AB45" i="35" s="1"/>
  <c r="L81" i="35"/>
  <c r="AA81" i="35" s="1"/>
  <c r="AB81" i="35" s="1"/>
  <c r="L117" i="35"/>
  <c r="AA117" i="35" s="1"/>
  <c r="AB117" i="35" s="1"/>
  <c r="AA113" i="35"/>
  <c r="AB113" i="35" s="1"/>
  <c r="L135" i="35"/>
  <c r="AA135" i="35" s="1"/>
  <c r="AB135" i="35" s="1"/>
  <c r="AA131" i="35"/>
  <c r="AB131" i="35" s="1"/>
  <c r="L189" i="35"/>
  <c r="AA189" i="35" s="1"/>
  <c r="AB189" i="35" s="1"/>
  <c r="AA185" i="35"/>
  <c r="AB185" i="35" s="1"/>
  <c r="L171" i="35"/>
  <c r="AA171" i="35" s="1"/>
  <c r="AB171" i="35" s="1"/>
  <c r="AA167" i="35"/>
  <c r="AB167" i="35" s="1"/>
  <c r="L153" i="35"/>
  <c r="AA153" i="35" s="1"/>
  <c r="AB153" i="35" s="1"/>
  <c r="AA149" i="35"/>
  <c r="AB149" i="35" s="1"/>
  <c r="L99" i="35"/>
  <c r="AA99" i="35" s="1"/>
  <c r="AB99" i="35" s="1"/>
  <c r="AA95" i="35"/>
  <c r="AB95" i="35" s="1"/>
  <c r="L63" i="35"/>
  <c r="AA63" i="35" s="1"/>
  <c r="AB63" i="35" s="1"/>
  <c r="AA59" i="35"/>
  <c r="AB59" i="35" s="1"/>
  <c r="F27" i="35"/>
  <c r="F10" i="35"/>
  <c r="I15" i="177"/>
  <c r="I16" i="177"/>
  <c r="I13" i="177"/>
  <c r="G7" i="212"/>
  <c r="I7" i="212" s="1"/>
  <c r="J7" i="100"/>
  <c r="G15" i="212"/>
  <c r="I15" i="212" s="1"/>
  <c r="J15" i="100"/>
  <c r="G14" i="100"/>
  <c r="G12" i="100"/>
  <c r="J79" i="175"/>
  <c r="G9" i="100"/>
  <c r="G10" i="212"/>
  <c r="I10" i="212" s="1"/>
  <c r="J10" i="100"/>
  <c r="G8" i="100"/>
  <c r="F9" i="229"/>
  <c r="AD7" i="177"/>
  <c r="AD8" i="177"/>
  <c r="AB5" i="177"/>
  <c r="AB18" i="177"/>
  <c r="AB10" i="177"/>
  <c r="AB17" i="177"/>
  <c r="AB15" i="177"/>
  <c r="AB16" i="177"/>
  <c r="L27" i="35"/>
  <c r="AA27" i="35" s="1"/>
  <c r="AB27" i="35" s="1"/>
  <c r="AA23" i="35"/>
  <c r="AB23" i="35" s="1"/>
  <c r="B44" i="228"/>
  <c r="E44" i="228" s="1"/>
  <c r="E42" i="228"/>
  <c r="C44" i="228"/>
  <c r="F44" i="228" s="1"/>
  <c r="G44" i="228" s="1"/>
  <c r="F42" i="228"/>
  <c r="G42" i="228" s="1"/>
  <c r="C44" i="227"/>
  <c r="F44" i="227" s="1"/>
  <c r="G44" i="227" s="1"/>
  <c r="F42" i="227"/>
  <c r="G42" i="227" s="1"/>
  <c r="F33" i="219"/>
  <c r="G33" i="219" s="1"/>
  <c r="C12" i="129"/>
  <c r="F12" i="129" s="1"/>
  <c r="G12" i="129" s="1"/>
  <c r="F33" i="218"/>
  <c r="G33" i="218" s="1"/>
  <c r="D11" i="129"/>
  <c r="D15" i="129" s="1"/>
  <c r="D17" i="129" s="1"/>
  <c r="D14" i="45" s="1"/>
  <c r="B18" i="257" s="1"/>
  <c r="R7" i="35"/>
  <c r="R10" i="35" s="1"/>
  <c r="V14" i="242"/>
  <c r="N30" i="217"/>
  <c r="N27" i="217"/>
  <c r="N28" i="217"/>
  <c r="N26" i="217"/>
  <c r="N29" i="217"/>
  <c r="N22" i="217"/>
  <c r="N20" i="217"/>
  <c r="N14" i="217"/>
  <c r="N12" i="217"/>
  <c r="N21" i="217"/>
  <c r="N18" i="217"/>
  <c r="N11" i="217"/>
  <c r="N17" i="217"/>
  <c r="N24" i="217"/>
  <c r="N9" i="217"/>
  <c r="N16" i="217"/>
  <c r="N13" i="217"/>
  <c r="N23" i="217"/>
  <c r="N25" i="217"/>
  <c r="N19" i="217"/>
  <c r="N15" i="217"/>
  <c r="N7" i="217"/>
  <c r="N8" i="217"/>
  <c r="N10" i="217"/>
  <c r="N6" i="217"/>
  <c r="F28" i="109"/>
  <c r="G28" i="109" s="1"/>
  <c r="C7" i="129"/>
  <c r="F7" i="129" s="1"/>
  <c r="G7" i="129" s="1"/>
  <c r="B17" i="25"/>
  <c r="B21" i="25" s="1"/>
  <c r="C7" i="25"/>
  <c r="C10" i="25" s="1"/>
  <c r="L28" i="109"/>
  <c r="C12" i="25"/>
  <c r="I12" i="25" s="1"/>
  <c r="L33" i="214"/>
  <c r="C11" i="25"/>
  <c r="I11" i="25" s="1"/>
  <c r="M33" i="83"/>
  <c r="E6" i="135"/>
  <c r="K47" i="257"/>
  <c r="B13" i="257"/>
  <c r="F23" i="257"/>
  <c r="B12" i="129"/>
  <c r="E12" i="129" s="1"/>
  <c r="L10" i="35"/>
  <c r="AA8" i="35"/>
  <c r="AB8" i="35" s="1"/>
  <c r="C58" i="232"/>
  <c r="F58" i="232" s="1"/>
  <c r="G58" i="232" s="1"/>
  <c r="L7" i="133"/>
  <c r="K7" i="133"/>
  <c r="L9" i="229"/>
  <c r="AA9" i="229" s="1"/>
  <c r="AB9" i="229" s="1"/>
  <c r="AA6" i="229"/>
  <c r="AB6" i="229" s="1"/>
  <c r="C11" i="129"/>
  <c r="F11" i="129" s="1"/>
  <c r="G11" i="129" s="1"/>
  <c r="F13" i="129"/>
  <c r="G13" i="129" s="1"/>
  <c r="H13" i="129"/>
  <c r="B6" i="147"/>
  <c r="B6" i="146" s="1"/>
  <c r="E6" i="146" s="1"/>
  <c r="O17" i="209"/>
  <c r="L14" i="256"/>
  <c r="X14" i="256" s="1"/>
  <c r="F14" i="256"/>
  <c r="J19" i="45"/>
  <c r="J18" i="45"/>
  <c r="E55" i="220"/>
  <c r="E14" i="223"/>
  <c r="H14" i="223" s="1"/>
  <c r="I10" i="223"/>
  <c r="E56" i="232"/>
  <c r="B22" i="45"/>
  <c r="B20" i="249"/>
  <c r="E20" i="249" s="1"/>
  <c r="F182" i="151"/>
  <c r="I182" i="151" s="1"/>
  <c r="C13" i="25"/>
  <c r="F7" i="133"/>
  <c r="H7" i="133" s="1"/>
  <c r="C7" i="133"/>
  <c r="E7" i="133" s="1"/>
  <c r="F182" i="92"/>
  <c r="F185" i="92" s="1"/>
  <c r="F16" i="133"/>
  <c r="H16" i="133" s="1"/>
  <c r="K16" i="133"/>
  <c r="C16" i="133"/>
  <c r="E16" i="133" s="1"/>
  <c r="E182" i="151"/>
  <c r="H182" i="151" s="1"/>
  <c r="T19" i="5"/>
  <c r="B10" i="135"/>
  <c r="I79" i="210"/>
  <c r="B8" i="135"/>
  <c r="B6" i="45"/>
  <c r="E15" i="223"/>
  <c r="H15" i="223" s="1"/>
  <c r="O27" i="2"/>
  <c r="O27" i="212"/>
  <c r="I80" i="175"/>
  <c r="O15" i="211"/>
  <c r="E7" i="147"/>
  <c r="C7" i="147"/>
  <c r="F7" i="147" s="1"/>
  <c r="O30" i="207"/>
  <c r="B7" i="45"/>
  <c r="E7" i="45" s="1"/>
  <c r="F55" i="220"/>
  <c r="F14" i="223"/>
  <c r="I14" i="223" s="1"/>
  <c r="E11" i="31"/>
  <c r="B13" i="45"/>
  <c r="B44" i="227"/>
  <c r="E44" i="227" s="1"/>
  <c r="H81" i="92"/>
  <c r="E182" i="92"/>
  <c r="C18" i="133"/>
  <c r="E18" i="133" s="1"/>
  <c r="L13" i="133"/>
  <c r="C21" i="78"/>
  <c r="U31" i="242"/>
  <c r="I80" i="210"/>
  <c r="J78" i="175"/>
  <c r="F13" i="133"/>
  <c r="H13" i="133" s="1"/>
  <c r="C13" i="133"/>
  <c r="E13" i="133" s="1"/>
  <c r="T30" i="207"/>
  <c r="H15" i="239"/>
  <c r="P15" i="239" s="1"/>
  <c r="K14" i="190"/>
  <c r="K26" i="190" s="1"/>
  <c r="L10" i="133"/>
  <c r="K10" i="133"/>
  <c r="F10" i="133"/>
  <c r="H10" i="133" s="1"/>
  <c r="H15" i="192"/>
  <c r="P15" i="192" s="1"/>
  <c r="Q42" i="242"/>
  <c r="C10" i="135"/>
  <c r="F18" i="133"/>
  <c r="H18" i="133" s="1"/>
  <c r="K18" i="133"/>
  <c r="F42" i="226"/>
  <c r="G42" i="226" s="1"/>
  <c r="G15" i="240"/>
  <c r="F15" i="240" s="1"/>
  <c r="L15" i="240" s="1"/>
  <c r="I77" i="210"/>
  <c r="C6" i="147"/>
  <c r="C7" i="31"/>
  <c r="Q26" i="190"/>
  <c r="L9" i="133"/>
  <c r="L14" i="133"/>
  <c r="F14" i="133"/>
  <c r="H14" i="133" s="1"/>
  <c r="F9" i="133"/>
  <c r="H9" i="133" s="1"/>
  <c r="K9" i="133"/>
  <c r="K14" i="133"/>
  <c r="K19" i="133"/>
  <c r="L19" i="133"/>
  <c r="C19" i="133"/>
  <c r="E19" i="133" s="1"/>
  <c r="F19" i="133"/>
  <c r="H19" i="133" s="1"/>
  <c r="E58" i="232"/>
  <c r="B8" i="146"/>
  <c r="I13" i="223"/>
  <c r="B15" i="129"/>
  <c r="D25" i="25"/>
  <c r="F44" i="226"/>
  <c r="G44" i="226" s="1"/>
  <c r="T10" i="212" l="1"/>
  <c r="T80" i="242"/>
  <c r="Q80" i="242" s="1"/>
  <c r="T15" i="212"/>
  <c r="T85" i="242"/>
  <c r="Q85" i="242" s="1"/>
  <c r="T77" i="242"/>
  <c r="Q77" i="242" s="1"/>
  <c r="T7" i="212"/>
  <c r="E18" i="223"/>
  <c r="E21" i="223" s="1"/>
  <c r="H21" i="223" s="1"/>
  <c r="P7" i="212"/>
  <c r="Q7" i="212" s="1"/>
  <c r="K7" i="100"/>
  <c r="N7" i="100"/>
  <c r="G13" i="100"/>
  <c r="G13" i="212" s="1"/>
  <c r="I13" i="212" s="1"/>
  <c r="G14" i="212"/>
  <c r="I14" i="212" s="1"/>
  <c r="J14" i="100"/>
  <c r="K14" i="100" s="1"/>
  <c r="G12" i="212"/>
  <c r="I12" i="212" s="1"/>
  <c r="J12" i="100"/>
  <c r="K12" i="100" s="1"/>
  <c r="N15" i="100"/>
  <c r="K15" i="100"/>
  <c r="P15" i="212"/>
  <c r="Q15" i="212" s="1"/>
  <c r="N10" i="100"/>
  <c r="K10" i="100"/>
  <c r="P10" i="212"/>
  <c r="Q10" i="212" s="1"/>
  <c r="G9" i="212"/>
  <c r="I9" i="212" s="1"/>
  <c r="J9" i="100"/>
  <c r="K9" i="100" s="1"/>
  <c r="G8" i="212"/>
  <c r="I8" i="212" s="1"/>
  <c r="J8" i="100"/>
  <c r="K8" i="100" s="1"/>
  <c r="B23" i="249"/>
  <c r="E23" i="249" s="1"/>
  <c r="AB8" i="177"/>
  <c r="AB7" i="177"/>
  <c r="C7" i="146"/>
  <c r="F7" i="146" s="1"/>
  <c r="G7" i="146" s="1"/>
  <c r="AA7" i="35"/>
  <c r="AB7" i="35" s="1"/>
  <c r="E11" i="129"/>
  <c r="C10" i="129"/>
  <c r="U15" i="242" s="1"/>
  <c r="H7" i="129"/>
  <c r="E13" i="45"/>
  <c r="A15" i="257"/>
  <c r="I7" i="25"/>
  <c r="F7" i="25"/>
  <c r="G7" i="25" s="1"/>
  <c r="B11" i="135"/>
  <c r="E11" i="135" s="1"/>
  <c r="F11" i="25"/>
  <c r="G11" i="25" s="1"/>
  <c r="F12" i="25"/>
  <c r="G12" i="25" s="1"/>
  <c r="F6" i="135"/>
  <c r="G6" i="135" s="1"/>
  <c r="H12" i="129"/>
  <c r="AA10" i="35"/>
  <c r="AB10" i="35" s="1"/>
  <c r="C8" i="146"/>
  <c r="F8" i="146" s="1"/>
  <c r="G8" i="146" s="1"/>
  <c r="C8" i="31"/>
  <c r="F8" i="31" s="1"/>
  <c r="G8" i="31" s="1"/>
  <c r="H11" i="129"/>
  <c r="F13" i="25"/>
  <c r="G13" i="25" s="1"/>
  <c r="I13" i="25"/>
  <c r="B10" i="45"/>
  <c r="E10" i="45" s="1"/>
  <c r="E10" i="135"/>
  <c r="E6" i="147"/>
  <c r="B8" i="147"/>
  <c r="E8" i="147" s="1"/>
  <c r="B8" i="45"/>
  <c r="E8" i="45" s="1"/>
  <c r="E8" i="135"/>
  <c r="C7" i="45"/>
  <c r="F7" i="45" s="1"/>
  <c r="G7" i="45" s="1"/>
  <c r="F7" i="135"/>
  <c r="G7" i="135" s="1"/>
  <c r="F10" i="135"/>
  <c r="G10" i="135" s="1"/>
  <c r="E22" i="45"/>
  <c r="J22" i="45"/>
  <c r="E6" i="45"/>
  <c r="B17" i="129"/>
  <c r="F10" i="25"/>
  <c r="G10" i="25" s="1"/>
  <c r="C17" i="25"/>
  <c r="C21" i="25" s="1"/>
  <c r="F184" i="151"/>
  <c r="E184" i="151"/>
  <c r="H184" i="151" s="1"/>
  <c r="I182" i="92"/>
  <c r="B17" i="45"/>
  <c r="E17" i="45" s="1"/>
  <c r="I10" i="135"/>
  <c r="F18" i="223"/>
  <c r="I18" i="223" s="1"/>
  <c r="C8" i="147"/>
  <c r="F8" i="147" s="1"/>
  <c r="C9" i="146"/>
  <c r="F9" i="146" s="1"/>
  <c r="G9" i="146" s="1"/>
  <c r="H182" i="92"/>
  <c r="E185" i="92"/>
  <c r="H185" i="92" s="1"/>
  <c r="B7" i="146"/>
  <c r="E7" i="146" s="1"/>
  <c r="M15" i="240"/>
  <c r="I7" i="135"/>
  <c r="C6" i="146"/>
  <c r="F6" i="146" s="1"/>
  <c r="G6" i="146" s="1"/>
  <c r="C10" i="45"/>
  <c r="F10" i="45" s="1"/>
  <c r="G10" i="45" s="1"/>
  <c r="F6" i="147"/>
  <c r="F7" i="31"/>
  <c r="G7" i="31" s="1"/>
  <c r="I6" i="135"/>
  <c r="C6" i="45"/>
  <c r="E8" i="146"/>
  <c r="C17" i="45"/>
  <c r="F17" i="45" s="1"/>
  <c r="G17" i="45" s="1"/>
  <c r="E15" i="129"/>
  <c r="I185" i="92"/>
  <c r="E17" i="25"/>
  <c r="D12" i="45"/>
  <c r="B12" i="257" s="1"/>
  <c r="T9" i="212" l="1"/>
  <c r="T79" i="242"/>
  <c r="Q79" i="242" s="1"/>
  <c r="T8" i="212"/>
  <c r="T78" i="242"/>
  <c r="Q78" i="242" s="1"/>
  <c r="H18" i="223"/>
  <c r="T14" i="212"/>
  <c r="T84" i="242"/>
  <c r="Q84" i="242" s="1"/>
  <c r="T13" i="212"/>
  <c r="T83" i="242"/>
  <c r="Q83" i="242" s="1"/>
  <c r="I27" i="212"/>
  <c r="C8" i="135" s="1"/>
  <c r="T12" i="212"/>
  <c r="T82" i="242"/>
  <c r="Q82" i="242" s="1"/>
  <c r="J13" i="100"/>
  <c r="K13" i="100" s="1"/>
  <c r="W7" i="212"/>
  <c r="W15" i="212"/>
  <c r="N12" i="100"/>
  <c r="P12" i="212"/>
  <c r="Q12" i="212" s="1"/>
  <c r="N14" i="100"/>
  <c r="P14" i="212"/>
  <c r="Q14" i="212" s="1"/>
  <c r="N9" i="100"/>
  <c r="N8" i="100"/>
  <c r="W10" i="212"/>
  <c r="P9" i="212"/>
  <c r="Q9" i="212" s="1"/>
  <c r="P13" i="212"/>
  <c r="Q13" i="212" s="1"/>
  <c r="P8" i="212"/>
  <c r="Q8" i="212" s="1"/>
  <c r="F30" i="257"/>
  <c r="C15" i="129"/>
  <c r="C17" i="129" s="1"/>
  <c r="F17" i="129" s="1"/>
  <c r="G17" i="129" s="1"/>
  <c r="F10" i="129"/>
  <c r="G10" i="129" s="1"/>
  <c r="J6" i="45"/>
  <c r="B11" i="45"/>
  <c r="E11" i="45" s="1"/>
  <c r="I184" i="151"/>
  <c r="F31" i="257"/>
  <c r="C11" i="31"/>
  <c r="U17" i="242" s="1"/>
  <c r="J7" i="45"/>
  <c r="F17" i="25"/>
  <c r="G17" i="25" s="1"/>
  <c r="B25" i="25"/>
  <c r="F21" i="223"/>
  <c r="I21" i="223" s="1"/>
  <c r="B11" i="146"/>
  <c r="B14" i="146" s="1"/>
  <c r="F21" i="25"/>
  <c r="G21" i="25" s="1"/>
  <c r="C11" i="146"/>
  <c r="C14" i="146" s="1"/>
  <c r="J10" i="45"/>
  <c r="F6" i="45"/>
  <c r="G6" i="45" s="1"/>
  <c r="E21" i="25"/>
  <c r="B14" i="45"/>
  <c r="A18" i="257" s="1"/>
  <c r="E17" i="129"/>
  <c r="D15" i="45"/>
  <c r="T27" i="212" l="1"/>
  <c r="I8" i="135"/>
  <c r="F8" i="135"/>
  <c r="G8" i="135" s="1"/>
  <c r="C11" i="135"/>
  <c r="C8" i="45"/>
  <c r="N13" i="100"/>
  <c r="W12" i="212"/>
  <c r="W14" i="212"/>
  <c r="W13" i="212"/>
  <c r="W8" i="212"/>
  <c r="W9" i="212"/>
  <c r="F15" i="129"/>
  <c r="G15" i="129" s="1"/>
  <c r="E14" i="45"/>
  <c r="F11" i="31"/>
  <c r="G11" i="31" s="1"/>
  <c r="C13" i="45"/>
  <c r="E11" i="146"/>
  <c r="C14" i="45"/>
  <c r="F11" i="146"/>
  <c r="G11" i="146" s="1"/>
  <c r="B12" i="45"/>
  <c r="A12" i="257" s="1"/>
  <c r="E25" i="25"/>
  <c r="E14" i="146"/>
  <c r="B15" i="146"/>
  <c r="E15" i="146" s="1"/>
  <c r="C15" i="146"/>
  <c r="F14" i="146"/>
  <c r="G14" i="146" s="1"/>
  <c r="T4" i="242"/>
  <c r="V18" i="242" s="1"/>
  <c r="D16" i="45"/>
  <c r="J8" i="45" l="1"/>
  <c r="F8" i="45"/>
  <c r="G8" i="45" s="1"/>
  <c r="C11" i="45"/>
  <c r="I11" i="135"/>
  <c r="F11" i="135"/>
  <c r="G11" i="135" s="1"/>
  <c r="J14" i="45"/>
  <c r="J13" i="45"/>
  <c r="F13" i="45"/>
  <c r="G13" i="45" s="1"/>
  <c r="F14" i="45"/>
  <c r="G14" i="45" s="1"/>
  <c r="B16" i="146"/>
  <c r="E16" i="146" s="1"/>
  <c r="B15" i="45"/>
  <c r="E12" i="45"/>
  <c r="D20" i="45"/>
  <c r="C16" i="146"/>
  <c r="F16" i="146" s="1"/>
  <c r="G16" i="146" s="1"/>
  <c r="F15" i="146"/>
  <c r="G15" i="146" s="1"/>
  <c r="U3" i="242" l="1"/>
  <c r="F11" i="45"/>
  <c r="G11" i="45" s="1"/>
  <c r="B16" i="45"/>
  <c r="E15" i="45"/>
  <c r="D23" i="45"/>
  <c r="B20" i="45" l="1"/>
  <c r="E16" i="45"/>
  <c r="T5" i="242"/>
  <c r="B23" i="45" l="1"/>
  <c r="E20" i="45"/>
  <c r="F22" i="25"/>
  <c r="G22" i="25" s="1"/>
  <c r="C25" i="25"/>
  <c r="C12" i="45" s="1"/>
  <c r="E23" i="45" l="1"/>
  <c r="F12" i="45"/>
  <c r="G12" i="45" s="1"/>
  <c r="J12" i="45"/>
  <c r="C15" i="45"/>
  <c r="F25" i="25"/>
  <c r="G25" i="25" s="1"/>
  <c r="F15" i="45" l="1"/>
  <c r="G15" i="45" s="1"/>
  <c r="C16" i="45"/>
  <c r="C20" i="45" s="1"/>
  <c r="U4" i="242"/>
  <c r="U18" i="242" s="1"/>
  <c r="F16" i="45" l="1"/>
  <c r="G16" i="45" s="1"/>
  <c r="F20" i="45" l="1"/>
  <c r="G20" i="45" s="1"/>
  <c r="C23" i="45"/>
  <c r="U5" i="242" l="1"/>
  <c r="F23" i="45"/>
  <c r="G23" i="45"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<sst xmlns="http://schemas.openxmlformats.org/spreadsheetml/2006/main" count="17254" uniqueCount="3314">
  <si>
    <t>شــــرح</t>
  </si>
  <si>
    <t>جمع</t>
  </si>
  <si>
    <t xml:space="preserve">جمــــع </t>
  </si>
  <si>
    <t xml:space="preserve"> بهاي متوسط به ريال </t>
  </si>
  <si>
    <t>مبالغ به ميليون ريال</t>
  </si>
  <si>
    <t>ردیف</t>
  </si>
  <si>
    <t>نام محصول</t>
  </si>
  <si>
    <t>واحدسنجش مقادیر</t>
  </si>
  <si>
    <t>مقدار</t>
  </si>
  <si>
    <t>بهاء متوسط</t>
  </si>
  <si>
    <t>مبلغ</t>
  </si>
  <si>
    <t xml:space="preserve">مقدار </t>
  </si>
  <si>
    <t xml:space="preserve">مبلغ </t>
  </si>
  <si>
    <t xml:space="preserve">جمـــــع </t>
  </si>
  <si>
    <t>نام کالای تجاری</t>
  </si>
  <si>
    <t>شــرح</t>
  </si>
  <si>
    <t xml:space="preserve">واحد سنجش </t>
  </si>
  <si>
    <t>کشور صادر شونده</t>
  </si>
  <si>
    <t>عملكرد 9 ماهه</t>
  </si>
  <si>
    <t>جمع فروش صادراتي</t>
  </si>
  <si>
    <t>ریف</t>
  </si>
  <si>
    <t>شرح</t>
  </si>
  <si>
    <t>واحد سنجش</t>
  </si>
  <si>
    <t xml:space="preserve">سهم نقدي </t>
  </si>
  <si>
    <t xml:space="preserve">جمع </t>
  </si>
  <si>
    <t xml:space="preserve">مبالغ به ميليون ريال   </t>
  </si>
  <si>
    <t>نوع ارز</t>
  </si>
  <si>
    <t>بسمه تعالی</t>
  </si>
  <si>
    <t xml:space="preserve">مقادير برحسب واحد سنجش  </t>
  </si>
  <si>
    <t xml:space="preserve">شرح محصول </t>
  </si>
  <si>
    <t>مبالغ به میلیون ریال</t>
  </si>
  <si>
    <t xml:space="preserve">جـمـع </t>
  </si>
  <si>
    <t>سهم نقدي</t>
  </si>
  <si>
    <t xml:space="preserve">موجودي مواد اوليه در ابتداي دوره </t>
  </si>
  <si>
    <t xml:space="preserve">مواد اوليه مصرفي </t>
  </si>
  <si>
    <t xml:space="preserve">بهاي توليد </t>
  </si>
  <si>
    <t xml:space="preserve">قيمت تمام شده محصول توليدي فروخته شده </t>
  </si>
  <si>
    <t xml:space="preserve">حقوق و دستمزد </t>
  </si>
  <si>
    <t xml:space="preserve">اضافه كار </t>
  </si>
  <si>
    <t xml:space="preserve">عيدي و پاداش و بهره وري </t>
  </si>
  <si>
    <t xml:space="preserve">كمكهاي غير نقدي </t>
  </si>
  <si>
    <t xml:space="preserve">حق بيمه سهم شركت </t>
  </si>
  <si>
    <t xml:space="preserve">عائله مندي ، كمك مسكن و خواربار </t>
  </si>
  <si>
    <t xml:space="preserve">اياب و ذهاب </t>
  </si>
  <si>
    <t xml:space="preserve">شبكاري و نوبتكاري </t>
  </si>
  <si>
    <t xml:space="preserve">بازخريد خدمت كاركنان </t>
  </si>
  <si>
    <t xml:space="preserve">بازخريد مرخصي كاركنان </t>
  </si>
  <si>
    <t xml:space="preserve">آموزش و سوادآموزي </t>
  </si>
  <si>
    <t>سلف سرويس ( رستوران )</t>
  </si>
  <si>
    <t xml:space="preserve">پوشاك و لوازم ايمني </t>
  </si>
  <si>
    <t xml:space="preserve">بهداشت و درمان </t>
  </si>
  <si>
    <t xml:space="preserve">ورزش </t>
  </si>
  <si>
    <t>اضافه (کسر ) مي شود : ساير</t>
  </si>
  <si>
    <t>بودجه</t>
  </si>
  <si>
    <t xml:space="preserve">موجودي كالای تجاری در ابتداي دوره </t>
  </si>
  <si>
    <t xml:space="preserve">کالای تجاری آماده فروش </t>
  </si>
  <si>
    <t>قیمت تمام شده کالای تجاری فروش رفته</t>
  </si>
  <si>
    <t>هزينه هاي پرسنل ارائه خدمات به مشتریان</t>
  </si>
  <si>
    <t xml:space="preserve">بهاي خدمات </t>
  </si>
  <si>
    <t>قیمت تمام شده خدمات ارائه شده</t>
  </si>
  <si>
    <t>رسمي</t>
  </si>
  <si>
    <t>موقت</t>
  </si>
  <si>
    <t>پرسنل پيمانكار</t>
  </si>
  <si>
    <t>حقوق مالکانه:</t>
  </si>
  <si>
    <t>سرمايه</t>
  </si>
  <si>
    <t xml:space="preserve">اندوخته قانوني </t>
  </si>
  <si>
    <t>منافع فاقد حق کنترل</t>
  </si>
  <si>
    <t>جمع حقوق مالکانه</t>
  </si>
  <si>
    <t xml:space="preserve">ذخيره مزاياي پايان خدمت كاركنان </t>
  </si>
  <si>
    <t>سود سهام پرداختنی</t>
  </si>
  <si>
    <t xml:space="preserve">قيمت تمام شده كالاي تجاری فروخته شده </t>
  </si>
  <si>
    <t xml:space="preserve">قيمت تمام شده خدمات ارائه شده </t>
  </si>
  <si>
    <t xml:space="preserve">ردیف </t>
  </si>
  <si>
    <t xml:space="preserve"> فروش </t>
  </si>
  <si>
    <t xml:space="preserve">بهای تمام شده </t>
  </si>
  <si>
    <t>سود ( زیان ) ناویژه</t>
  </si>
  <si>
    <t xml:space="preserve">شرح </t>
  </si>
  <si>
    <t>كل مبلغ</t>
  </si>
  <si>
    <t xml:space="preserve">افزایش </t>
  </si>
  <si>
    <t>کاهش</t>
  </si>
  <si>
    <t xml:space="preserve">زمين </t>
  </si>
  <si>
    <t xml:space="preserve">ساختمان و تاسيسات </t>
  </si>
  <si>
    <t xml:space="preserve">چاهها و قنوات </t>
  </si>
  <si>
    <t xml:space="preserve">وسائط نقليه </t>
  </si>
  <si>
    <t xml:space="preserve"> استهلاک انباشته دارایی ثابت مشهود</t>
  </si>
  <si>
    <t>رديف</t>
  </si>
  <si>
    <t>تسهیلات مطابق قرارداد</t>
  </si>
  <si>
    <t>تاریخ دریافت</t>
  </si>
  <si>
    <t>اصل تسهیلات</t>
  </si>
  <si>
    <t>نوع تسهیلات</t>
  </si>
  <si>
    <t>نرخ تسهیلات</t>
  </si>
  <si>
    <t>سر رسید</t>
  </si>
  <si>
    <t>مدت بازپرداخت</t>
  </si>
  <si>
    <t>اصل</t>
  </si>
  <si>
    <t>بهره</t>
  </si>
  <si>
    <t xml:space="preserve">اصل </t>
  </si>
  <si>
    <t xml:space="preserve">بهره </t>
  </si>
  <si>
    <t xml:space="preserve">              جمع </t>
  </si>
  <si>
    <t>جریمه</t>
  </si>
  <si>
    <t>پرداختی</t>
  </si>
  <si>
    <t>جمع کل</t>
  </si>
  <si>
    <t xml:space="preserve">جدول پرونده های حقوقی به ترتیب اولویت بیشترین تا کمترین میزان خواسته </t>
  </si>
  <si>
    <t>خواهان</t>
  </si>
  <si>
    <t>خوانده</t>
  </si>
  <si>
    <t>موضوع خواسته
(مالی/ غیرمالی)</t>
  </si>
  <si>
    <t>هزینه دادرسی
(ریال)</t>
  </si>
  <si>
    <t>مرجع قضائی
 شعبه رسیدگی کننده</t>
  </si>
  <si>
    <t>کلاسه پرونده</t>
  </si>
  <si>
    <t>تاریخ ثبت دادخواست</t>
  </si>
  <si>
    <t>مرحله رسیدگی</t>
  </si>
  <si>
    <t>جریانی</t>
  </si>
  <si>
    <t>مختومه</t>
  </si>
  <si>
    <t xml:space="preserve"> تصمیم مرجع قضائی</t>
  </si>
  <si>
    <t>نام وکیل/ شماره وکالتنامه
شماره قرارداد</t>
  </si>
  <si>
    <t>ـ شماره و تاریخ نامه
ـ نام نماینده قانونی</t>
  </si>
  <si>
    <t>الف- موضوع فعالیت</t>
  </si>
  <si>
    <t>نام سهامدار</t>
  </si>
  <si>
    <t>درصد سهام</t>
  </si>
  <si>
    <t>تعداد سهام</t>
  </si>
  <si>
    <t>مبلغ - ریال</t>
  </si>
  <si>
    <t>در صورت داشتن افزایش سرمایه جدول زیر تکمیل گردد:</t>
  </si>
  <si>
    <t>ج- جدول سرمایه گذاری در شرکت‏های زیرمجموعه:</t>
  </si>
  <si>
    <t>نام شرکت سرمایه پذیر</t>
  </si>
  <si>
    <t>درصد سرمایه گذاری</t>
  </si>
  <si>
    <t>بند تکلیف</t>
  </si>
  <si>
    <t>شرح تکلیف</t>
  </si>
  <si>
    <t xml:space="preserve">اقدامات انجام شده </t>
  </si>
  <si>
    <t>نتایج حاصله</t>
  </si>
  <si>
    <t>شرح عملکرد</t>
  </si>
  <si>
    <t>ب - سرمایه</t>
  </si>
  <si>
    <t>سرمایه شرکت منقسم به .....................  سهم با نام  .......................... ریالی تماماً پرداخت شده می باشد. اسامی سهامداران و میزان سرمایه آنان به شرح جدول ذیل می باشد.</t>
  </si>
  <si>
    <t>سرمایه جدید
 (میلیون ریال)</t>
  </si>
  <si>
    <t>محل 
افزایش سرمایه</t>
  </si>
  <si>
    <t>تاریخ
 روزنامه رسمی</t>
  </si>
  <si>
    <t>درصد
 افزایش سرمایه</t>
  </si>
  <si>
    <t>تاریخ
 افزایش سرمایه</t>
  </si>
  <si>
    <t>عنوان برنامه</t>
  </si>
  <si>
    <t>تعداد /
 مقدار</t>
  </si>
  <si>
    <t>واحد
 سنجش</t>
  </si>
  <si>
    <t>تاریخ شروع
 برنامه</t>
  </si>
  <si>
    <t>تاریخ پایان
 برنامه</t>
  </si>
  <si>
    <t>اطلاعات پرسنلی</t>
  </si>
  <si>
    <t xml:space="preserve">جریانات ورودی </t>
  </si>
  <si>
    <t>گروه</t>
  </si>
  <si>
    <t>سطح 1</t>
  </si>
  <si>
    <t>سطح 2</t>
  </si>
  <si>
    <t>عملیاتی</t>
  </si>
  <si>
    <t>وصول مطالبات</t>
  </si>
  <si>
    <t>سایر درآمدهای عملیاتی</t>
  </si>
  <si>
    <t>جمع ورودی عملیاتی</t>
  </si>
  <si>
    <t>غیر عملیاتی</t>
  </si>
  <si>
    <t>فروش دارایی ثابت</t>
  </si>
  <si>
    <t>دریافت تسهیلات</t>
  </si>
  <si>
    <t>درآمدهای غیرعملیاتی</t>
  </si>
  <si>
    <t>جمع ورودی غیرعملیاتی</t>
  </si>
  <si>
    <t>سایر ورودی‏ها</t>
  </si>
  <si>
    <t>جمع کل جریانات نقد ورودی</t>
  </si>
  <si>
    <t xml:space="preserve">جریانات خروجی </t>
  </si>
  <si>
    <t>خرید کالای تجاری</t>
  </si>
  <si>
    <t>هزینه حقوق و دستمزد</t>
  </si>
  <si>
    <t>پرداخت بدهی</t>
  </si>
  <si>
    <t>پیش پرداخت</t>
  </si>
  <si>
    <t>پرداخت مالیات</t>
  </si>
  <si>
    <t>جمع خروجی عملیاتی</t>
  </si>
  <si>
    <t>غیرعملیاتی</t>
  </si>
  <si>
    <t>خرید دارایی ثابت</t>
  </si>
  <si>
    <t>پرداخت تسهیلات</t>
  </si>
  <si>
    <t>سود سهام</t>
  </si>
  <si>
    <t>جمع خروجی غیر عملیاتی</t>
  </si>
  <si>
    <t>جمع کل جریانات نقد خروجی</t>
  </si>
  <si>
    <t xml:space="preserve">خالص جریان نقد طی دوره </t>
  </si>
  <si>
    <t xml:space="preserve">موجودی نقد پایان دوره </t>
  </si>
  <si>
    <t>سال قبل</t>
  </si>
  <si>
    <t>متوسط نرخ تسعیر</t>
  </si>
  <si>
    <t xml:space="preserve">بهاء متوسط: به ارز کشور صادر شونده </t>
  </si>
  <si>
    <t>درآمد حاصل از صادرات</t>
  </si>
  <si>
    <t xml:space="preserve"> فروش محصولات توليدي (داخلی)</t>
  </si>
  <si>
    <t xml:space="preserve"> فروش كالای تجاری (داخلی)</t>
  </si>
  <si>
    <t xml:space="preserve"> درآمد حاصل از ارائه خدمات (داخلی)</t>
  </si>
  <si>
    <t>متوسط نرخ تسعیر : به ریال</t>
  </si>
  <si>
    <t xml:space="preserve">زمان اجرای برنامه </t>
  </si>
  <si>
    <t>فروش طی دوره</t>
  </si>
  <si>
    <t>اقلام و نیازهای اولیه مصرفی</t>
  </si>
  <si>
    <t>هزينه هاي پرسنلي پشتیبانی خدمات</t>
  </si>
  <si>
    <t>صورت ريز هزينه هاي سربار خدمات</t>
  </si>
  <si>
    <t>خريد اقلام و نیاز های اوليه طي دوره</t>
  </si>
  <si>
    <t>بودجه سال جاری</t>
  </si>
  <si>
    <t>پایان سال قبل</t>
  </si>
  <si>
    <t xml:space="preserve">ساير درآمدهای عملياتي </t>
  </si>
  <si>
    <t xml:space="preserve">ساير هزينه‌هاي عملياتي </t>
  </si>
  <si>
    <t>شرح محصول</t>
  </si>
  <si>
    <t>مبالغ هر واحد به ریال</t>
  </si>
  <si>
    <t>گزارش مقایسه ای نرخهای فروش و بهای تمام شده خدمات</t>
  </si>
  <si>
    <t>عملکرد سال قبل</t>
  </si>
  <si>
    <t>بهای تمام شده پایان سال قبل</t>
  </si>
  <si>
    <t xml:space="preserve"> جمع ساير درآمدهاي عملياتي  </t>
  </si>
  <si>
    <t>گردش سهام</t>
  </si>
  <si>
    <t>نام شرکت (نماد سهم)</t>
  </si>
  <si>
    <t>تغییرات طی دوره</t>
  </si>
  <si>
    <t>نام شرکت</t>
  </si>
  <si>
    <t>تعداد</t>
  </si>
  <si>
    <t>بهای تمام شده</t>
  </si>
  <si>
    <t>خالص ارزش فروش</t>
  </si>
  <si>
    <t>خرید طی دوره</t>
  </si>
  <si>
    <t>قیمت بازار</t>
  </si>
  <si>
    <t>مبلغ فروش</t>
  </si>
  <si>
    <t>-</t>
  </si>
  <si>
    <t xml:space="preserve">جمع قیمت تمام شده </t>
  </si>
  <si>
    <t>سایر هزینه های عملیاتی</t>
  </si>
  <si>
    <t>صنعت</t>
  </si>
  <si>
    <t>تعداد
 سهم</t>
  </si>
  <si>
    <t>سود 
هر سهم</t>
  </si>
  <si>
    <t>سود نقدی
 هر سهم</t>
  </si>
  <si>
    <t>کل سود</t>
  </si>
  <si>
    <t>قیمت بازار به ريال</t>
  </si>
  <si>
    <t xml:space="preserve">بودجه </t>
  </si>
  <si>
    <t>عملکرد</t>
  </si>
  <si>
    <r>
      <t>بودجه</t>
    </r>
    <r>
      <rPr>
        <b/>
        <sz val="12"/>
        <rFont val="B Nazanin"/>
        <charset val="178"/>
      </rPr>
      <t xml:space="preserve"> </t>
    </r>
  </si>
  <si>
    <t>عملکرد سال جاری</t>
  </si>
  <si>
    <t>عنوان خدمت</t>
  </si>
  <si>
    <t>خرید / افزایش طی دوره</t>
  </si>
  <si>
    <t xml:space="preserve">حداکثر ظرفيت عملي تولید </t>
  </si>
  <si>
    <t>ظرفیت 
اسمی</t>
  </si>
  <si>
    <t>کل ساعات کارمفید تولید</t>
  </si>
  <si>
    <t>ارزش ضایعات</t>
  </si>
  <si>
    <t>ارزش
ضایعات</t>
  </si>
  <si>
    <t>مقدار تولید</t>
  </si>
  <si>
    <t>مقدار ضایعات</t>
  </si>
  <si>
    <t>موجودي پايان سال قبل</t>
  </si>
  <si>
    <t>خرید طی سال قبل</t>
  </si>
  <si>
    <t>درصد تحقق
 بودجه</t>
  </si>
  <si>
    <t>فروش محصول تولیدی</t>
  </si>
  <si>
    <t>محل های درآمدی شرکت</t>
  </si>
  <si>
    <t>فروش کالای تجاری</t>
  </si>
  <si>
    <t>درآمدها</t>
  </si>
  <si>
    <t>انبارهای عمومی و خدمات گمرکی ایران</t>
  </si>
  <si>
    <t>آپاداناسرام</t>
  </si>
  <si>
    <t>آرین پارسه کیش</t>
  </si>
  <si>
    <t>آزادراه شرق سپاهان</t>
  </si>
  <si>
    <t>بازرگانی پدیده نیکان صبا</t>
  </si>
  <si>
    <t>توسعه دهکده آبدرمانی محلات</t>
  </si>
  <si>
    <t>حمل و نقل جاده ای داخلی فجر جهاد</t>
  </si>
  <si>
    <t>خدمات مسافرت هوایی، گردشگری و زیارتی پرشین گلف</t>
  </si>
  <si>
    <t>خدمات هوایی کشور - آسمان</t>
  </si>
  <si>
    <t>سیمان یاسوج</t>
  </si>
  <si>
    <t>صدر معادن ایرانیان</t>
  </si>
  <si>
    <t>صنایع شیر ایران</t>
  </si>
  <si>
    <t>صنایع کاغذسازی قائمشهر</t>
  </si>
  <si>
    <t>کاوشگران بازار سرمایه</t>
  </si>
  <si>
    <t>گلف اجنسی ایران</t>
  </si>
  <si>
    <t>مجتمع معادن مس تکنار</t>
  </si>
  <si>
    <t>بازرگانی جبل دماوند صبا</t>
  </si>
  <si>
    <t>ارائه خدمات</t>
  </si>
  <si>
    <t>آزادراه</t>
  </si>
  <si>
    <t>سرمایه گذاری</t>
  </si>
  <si>
    <t>لیست نام شرکت</t>
  </si>
  <si>
    <t>صادرات</t>
  </si>
  <si>
    <t>192,0,0</t>
  </si>
  <si>
    <t>255,0,0</t>
  </si>
  <si>
    <t>255,192,0</t>
  </si>
  <si>
    <t>255,255,0</t>
  </si>
  <si>
    <t>0,176,80</t>
  </si>
  <si>
    <t>0,176,240</t>
  </si>
  <si>
    <t>رنگ</t>
  </si>
  <si>
    <t>شمارش محل</t>
  </si>
  <si>
    <t>کد3</t>
  </si>
  <si>
    <t>کد 2</t>
  </si>
  <si>
    <t>کد 1</t>
  </si>
  <si>
    <t>کد اصلی</t>
  </si>
  <si>
    <t>عمومی</t>
  </si>
  <si>
    <t xml:space="preserve">شرح خدمت </t>
  </si>
  <si>
    <t xml:space="preserve">حداکثر ظرفيت عملي ارائه خدمت </t>
  </si>
  <si>
    <t xml:space="preserve">موجودي اقلام و نیازهای اوليه خدمات در پایان دوره </t>
  </si>
  <si>
    <t xml:space="preserve">موجودي اقلام و نیازهای اوليه خدمات در ابتداي دوره </t>
  </si>
  <si>
    <t>کسر می شود: هزینه های جذب نشده در خدمات</t>
  </si>
  <si>
    <t>اضافه مي شود: ارزش خدمات در جریان ابتدای دوره</t>
  </si>
  <si>
    <t>كسر مي شود : ارزش خدمات در جریان پایان دوره</t>
  </si>
  <si>
    <t>متوسط تعداد پرسنل اداري، تشكيلاتي و فروش (نفر)</t>
  </si>
  <si>
    <t>پایان سال  قبل</t>
  </si>
  <si>
    <t xml:space="preserve"> جمع ساير درآمدهاي غیرعملياتي  </t>
  </si>
  <si>
    <t>جمع درآمد عملیاتی</t>
  </si>
  <si>
    <t>شرح خدمت</t>
  </si>
  <si>
    <t>موضوع فعالیت، سرمایه و جدول سهامداران شرکت</t>
  </si>
  <si>
    <t>اولویت برنامه</t>
  </si>
  <si>
    <t>نقد حاصل از عملیات</t>
  </si>
  <si>
    <t>دریافت های نقدی ناشی از فروش دارایی های ثابت مشهود</t>
  </si>
  <si>
    <t>پرداخت های نقدی برای خرید دارایی های ثابت مشهود</t>
  </si>
  <si>
    <t>پرداخت های نقدی برای خرید دارایی های نامشهود</t>
  </si>
  <si>
    <t>دریافت های نقدی حاصل از فروش سرمایه گذاری های بلند مدت</t>
  </si>
  <si>
    <t>پرداخت های نقدی برای تحصیل سرمایه گذاری بلند مدت</t>
  </si>
  <si>
    <t>دریافت های نقدی حاصل از فروش سرمایه گذاری های کوتاه مدت</t>
  </si>
  <si>
    <t>پرداخت های نقدی برای تحصیل سرمایه گذاری های کوتاه مدت</t>
  </si>
  <si>
    <t>دریافت های نقدی حاصل از سود سایر سرمایه گذاری ها</t>
  </si>
  <si>
    <t>پرداخت های نقدی بابت اصل تسهیلات</t>
  </si>
  <si>
    <t>پرداخت های نقدی بابت سود تسهیلات</t>
  </si>
  <si>
    <t>پرداخت های نقدی بابت سود سهام</t>
  </si>
  <si>
    <t>خالص افزایش (کاهش) در موجودی نقد</t>
  </si>
  <si>
    <t>مانده موجودی نقد در ابتدای دوره</t>
  </si>
  <si>
    <t>تاثیر تغییرات نرخ ارز</t>
  </si>
  <si>
    <t>مانده موجودی نقد در پایان دوره</t>
  </si>
  <si>
    <t>مالیات پرداختنی</t>
  </si>
  <si>
    <t>ذخایر</t>
  </si>
  <si>
    <t>افزایش سرمایه در جریان</t>
  </si>
  <si>
    <t>صرف سهام</t>
  </si>
  <si>
    <t>صرف سهام خزانه</t>
  </si>
  <si>
    <t>تفاوت تسعیر ارز عملیات خارجی</t>
  </si>
  <si>
    <t>سهام خزانه</t>
  </si>
  <si>
    <t>آثار معاملات با منافع فاقد حق کنترل</t>
  </si>
  <si>
    <t>سایر مشتریان</t>
  </si>
  <si>
    <t>سرفصل</t>
  </si>
  <si>
    <t>تسهیلات</t>
  </si>
  <si>
    <t>دریافتی از سهامداران</t>
  </si>
  <si>
    <t>کالای تجاری</t>
  </si>
  <si>
    <t>سایر هزینه اداری عمومی</t>
  </si>
  <si>
    <t>هر واحد محصول  ( فروش رفته)</t>
  </si>
  <si>
    <t>افزایش</t>
  </si>
  <si>
    <t>همخوانی سرانه پرسنلی با ریز جداول</t>
  </si>
  <si>
    <t>همخوانی وجه نقد صورت جریان و ترازنامه</t>
  </si>
  <si>
    <t>همخوانی بهای تمام شده تولید</t>
  </si>
  <si>
    <t>همخوانی بهای تمام شده کالای تجاری</t>
  </si>
  <si>
    <t>همخوانی بهای تمام شده خدمات</t>
  </si>
  <si>
    <t>برابر بودن نقل و انتقال بین شرح دارایی ها</t>
  </si>
  <si>
    <t>همخوانی دارایی و ترازنامه</t>
  </si>
  <si>
    <t>همخوانی نقد خرید و فروش دارایی</t>
  </si>
  <si>
    <t>خرید دریافت پرداخت</t>
  </si>
  <si>
    <t>فروش دریافت پرداخت</t>
  </si>
  <si>
    <t>خرید صورت جریان</t>
  </si>
  <si>
    <t>فروش صورت جریان</t>
  </si>
  <si>
    <t>مانده وجه نقد منفی در دریافت پرداخت</t>
  </si>
  <si>
    <t>تراز بودن ترازنامه</t>
  </si>
  <si>
    <t>خدمات</t>
  </si>
  <si>
    <t>سایر عملیاتی</t>
  </si>
  <si>
    <t>سایر غیرعملیاتی</t>
  </si>
  <si>
    <t>سایر</t>
  </si>
  <si>
    <t>در صورت تکمیل گزارش بر روی آیکون زیر کلیک فرمایید.</t>
  </si>
  <si>
    <t>نام شرکت خود را از جدول زیر انتخاب و تایید نمایید.</t>
  </si>
  <si>
    <t>کل درآمد</t>
  </si>
  <si>
    <t>کل هزینه</t>
  </si>
  <si>
    <t>سود (زیان) خالص</t>
  </si>
  <si>
    <t>مبلغ به میلیون ریال</t>
  </si>
  <si>
    <t>شرکت / شعبه</t>
  </si>
  <si>
    <t xml:space="preserve"> </t>
  </si>
  <si>
    <t>داخلی</t>
  </si>
  <si>
    <t>مشارکتی</t>
  </si>
  <si>
    <t>توضیحات و الزامات پروژه</t>
  </si>
  <si>
    <t>برآورد زمانی پروژه (کل اجرا)</t>
  </si>
  <si>
    <t>مدت انجام طرح (ماه)</t>
  </si>
  <si>
    <t>شروع طرح</t>
  </si>
  <si>
    <t xml:space="preserve">خاتمه طرح </t>
  </si>
  <si>
    <t>تا پایان 
سال قبل</t>
  </si>
  <si>
    <t>هزینه اجرای پروژه (میلیون ریال)</t>
  </si>
  <si>
    <t>منابع مالی پروژه</t>
  </si>
  <si>
    <t>انبار</t>
  </si>
  <si>
    <t>نسخه</t>
  </si>
  <si>
    <t>اول</t>
  </si>
  <si>
    <t>دوم</t>
  </si>
  <si>
    <t>سوم</t>
  </si>
  <si>
    <t>چهارم</t>
  </si>
  <si>
    <t>پنجم</t>
  </si>
  <si>
    <t>شرکت</t>
  </si>
  <si>
    <t>Row Labels</t>
  </si>
  <si>
    <t>Grand Total</t>
  </si>
  <si>
    <t>عدم درج موجودی محصول تولیدی در اول دوره در گردش محصول تولیدی</t>
  </si>
  <si>
    <t>نوع خودرو</t>
  </si>
  <si>
    <t>منافع حاصل از عوارض دریافتی</t>
  </si>
  <si>
    <t xml:space="preserve"> درآمد حاصل از ارائه خدمات</t>
  </si>
  <si>
    <t>خالص منافع حاصل از اجرای طرح</t>
  </si>
  <si>
    <t>استهلاک بهای تمام شده پروژه</t>
  </si>
  <si>
    <t>سربار خدمات</t>
  </si>
  <si>
    <t>سایر هزینه نگهداری</t>
  </si>
  <si>
    <t>سایر هزینه بهره برداری</t>
  </si>
  <si>
    <t>سایر هزینه بهسازی</t>
  </si>
  <si>
    <t>عمومی خاص</t>
  </si>
  <si>
    <t>همخوانی سرانه پرسنلی آزادراهی با ریز جداول</t>
  </si>
  <si>
    <t>همخوانی وجه نقد صورت جریان و ترازنامه آزادراهی</t>
  </si>
  <si>
    <t>همخوانی دارایی و ترازنامه آزادراهی</t>
  </si>
  <si>
    <t>مانده وجه نقد منفی در دریافت پرداخت آزادراهی</t>
  </si>
  <si>
    <t>تراز بودن ترازنامه آزادراهی</t>
  </si>
  <si>
    <t>جدول استهلاک سرمایه گذاری و سود مورد انتظار</t>
  </si>
  <si>
    <t>سال</t>
  </si>
  <si>
    <t>درآمد</t>
  </si>
  <si>
    <t>تردد سالیانه</t>
  </si>
  <si>
    <t>نرخ متوسط</t>
  </si>
  <si>
    <t>درآمد عوارض</t>
  </si>
  <si>
    <t>جمع هزینه ها</t>
  </si>
  <si>
    <t>خالص قابل پرداخت به سهامداران</t>
  </si>
  <si>
    <t>پرداخت شده طی سال به سهامداران</t>
  </si>
  <si>
    <t>مانده ابتدای دوره مشارکت</t>
  </si>
  <si>
    <t>سود مشارکت سالانه</t>
  </si>
  <si>
    <t>مانده مشارکت در پایان دوره</t>
  </si>
  <si>
    <t>سایر درآمدها</t>
  </si>
  <si>
    <t>تاریخ تکمیل:</t>
  </si>
  <si>
    <t>سود هر سهم به ریال</t>
  </si>
  <si>
    <t xml:space="preserve"> مقدار فروش</t>
  </si>
  <si>
    <t>مقادیر براساس واحد سنجش</t>
  </si>
  <si>
    <t>شرح مواد اوليه مصرفي</t>
  </si>
  <si>
    <t xml:space="preserve">مقدار توليد : </t>
  </si>
  <si>
    <t>مقدار مصرف در واحد</t>
  </si>
  <si>
    <t>1</t>
  </si>
  <si>
    <t>2</t>
  </si>
  <si>
    <t>3</t>
  </si>
  <si>
    <t>4</t>
  </si>
  <si>
    <t>5</t>
  </si>
  <si>
    <t>6</t>
  </si>
  <si>
    <t>7</t>
  </si>
  <si>
    <t>8</t>
  </si>
  <si>
    <t>9</t>
  </si>
  <si>
    <t>10</t>
  </si>
  <si>
    <t>11</t>
  </si>
  <si>
    <t>12</t>
  </si>
  <si>
    <t>13</t>
  </si>
  <si>
    <t>14</t>
  </si>
  <si>
    <t>15</t>
  </si>
  <si>
    <t>16</t>
  </si>
  <si>
    <t>مصرف واقعی سال جاری</t>
  </si>
  <si>
    <t>کل مصرف واقعی</t>
  </si>
  <si>
    <t xml:space="preserve"> محصول1: </t>
  </si>
  <si>
    <t xml:space="preserve"> محصول2: </t>
  </si>
  <si>
    <t xml:space="preserve"> محصول3: </t>
  </si>
  <si>
    <t xml:space="preserve"> محصول4: </t>
  </si>
  <si>
    <t xml:space="preserve"> محصول5: </t>
  </si>
  <si>
    <t xml:space="preserve"> محصول6: </t>
  </si>
  <si>
    <t xml:space="preserve"> محصول7: </t>
  </si>
  <si>
    <t xml:space="preserve"> محصول8: </t>
  </si>
  <si>
    <t xml:space="preserve"> محصول9: </t>
  </si>
  <si>
    <t xml:space="preserve"> محصول10: </t>
  </si>
  <si>
    <t xml:space="preserve"> محصول11: </t>
  </si>
  <si>
    <t xml:space="preserve"> محصول12: </t>
  </si>
  <si>
    <t xml:space="preserve"> محصول13: </t>
  </si>
  <si>
    <t xml:space="preserve"> محصول14: </t>
  </si>
  <si>
    <t xml:space="preserve"> محصول15: </t>
  </si>
  <si>
    <t xml:space="preserve"> محصول16: </t>
  </si>
  <si>
    <t xml:space="preserve"> محصول17: </t>
  </si>
  <si>
    <t xml:space="preserve"> محصول18: </t>
  </si>
  <si>
    <t xml:space="preserve"> محصول19: </t>
  </si>
  <si>
    <t xml:space="preserve"> محصول20: </t>
  </si>
  <si>
    <t>جمع کل هزینه</t>
  </si>
  <si>
    <t>جمع پرسنلی</t>
  </si>
  <si>
    <t>جمع پرسنلی و سایر</t>
  </si>
  <si>
    <t>عملکرد و برآورد سال جاری</t>
  </si>
  <si>
    <t xml:space="preserve">موجودی نقد اول دوره </t>
  </si>
  <si>
    <t>مبلغ کل طرح / پروژه</t>
  </si>
  <si>
    <t>شرح فعالیت(طرح/پروژه)</t>
  </si>
  <si>
    <t>پیشرفت فیزیکی پروژه (درصد)</t>
  </si>
  <si>
    <t>شرح مزایده انجام شده / در حال انجام</t>
  </si>
  <si>
    <t>شرح مناقصه انجام شده / در حال انجام</t>
  </si>
  <si>
    <t>توضیحات</t>
  </si>
  <si>
    <t>گزارش وضعیت سود سهام  دریافتی</t>
  </si>
  <si>
    <t>جمع (گروه)</t>
  </si>
  <si>
    <t>تعداد پرسنل شرکت اصلی</t>
  </si>
  <si>
    <t>واردات (تن)</t>
  </si>
  <si>
    <t>مقدار تغییرات عملکرد سال جاری به عملکرد سال قبل</t>
  </si>
  <si>
    <t xml:space="preserve">تخليه </t>
  </si>
  <si>
    <t>حمل يكسره</t>
  </si>
  <si>
    <t>بارگیری</t>
  </si>
  <si>
    <t>ترانشیپ</t>
  </si>
  <si>
    <t>جمع کل شرکت و شعب تابعه</t>
  </si>
  <si>
    <t>گزارش تحلیلی مقایسه عملکرد عملیاتی در رویه واردات</t>
  </si>
  <si>
    <t>عملیات</t>
  </si>
  <si>
    <t>تناژی</t>
  </si>
  <si>
    <t>درصد رشد</t>
  </si>
  <si>
    <t>درصدتحقق بودجه</t>
  </si>
  <si>
    <t>دریایی</t>
  </si>
  <si>
    <t>هوائی</t>
  </si>
  <si>
    <t>زمینی</t>
  </si>
  <si>
    <t>گزارش تحلیلی مقایسه عملکرد عملیاتی در رویه صادرات</t>
  </si>
  <si>
    <t>بخش</t>
  </si>
  <si>
    <t xml:space="preserve">شرح خدمات  </t>
  </si>
  <si>
    <t>عملکرد عملیاتی</t>
  </si>
  <si>
    <t>ارزش ریالی ارائه خدمات
(میلیون ریال)</t>
  </si>
  <si>
    <t>بودجه عملیاتی</t>
  </si>
  <si>
    <t>درصد تحقق بودجه
(عملیاتی)</t>
  </si>
  <si>
    <t>درصد تحقق بودجه
(ریالی)</t>
  </si>
  <si>
    <t>واردات</t>
  </si>
  <si>
    <t>انبارداری</t>
  </si>
  <si>
    <t>تن</t>
  </si>
  <si>
    <t>میانگین مدت ماندگاری کالا</t>
  </si>
  <si>
    <t>روز</t>
  </si>
  <si>
    <t>تن روز</t>
  </si>
  <si>
    <t>باربری</t>
  </si>
  <si>
    <t>حمل یکسره</t>
  </si>
  <si>
    <t>خدمات باربری</t>
  </si>
  <si>
    <t>بیمه</t>
  </si>
  <si>
    <t>حمل و نقل</t>
  </si>
  <si>
    <t>صدور بارنامه</t>
  </si>
  <si>
    <t>حمل بار</t>
  </si>
  <si>
    <t>بین المللی</t>
  </si>
  <si>
    <t>توضیحات تکمیلی (دلایل انحرافات 10%± عملکرد و بودجه):
1-
2-
3-
4-</t>
  </si>
  <si>
    <t>عملكرد
سال قبل</t>
  </si>
  <si>
    <t>تفاوت عملکرد سال جاری به عملکرد سال قبل</t>
  </si>
  <si>
    <t>تفاوت عملکرد به بودجه سال جاری</t>
  </si>
  <si>
    <t>مقدار تغییرات عملکرد به بودجه جاری</t>
  </si>
  <si>
    <t>1- جدول مربوطه به تفکیک شرکت اصلی و شعب تابعه و همچنین به صورت تجمیعی تکمیل گردد.
2- ارقام تناژ عملکردهای عملیاتی در سال های قبل و جاری باید با گزارشات ارسالی به معاونت عملیات و امور گمرکی شرکت مرکزی و جدول عملکرد و بودجه عملیاتی گزارش مطابقت داشته باشد.
3- جمع کل ریالی به عنوان درآمد عملیاتی با جداول مالی مطابقت داشته باشد.
4- نحوه محاسبه باربری در جدول در بخش عملیاتی برابر  با تناژ بارگیری * 2 می باشد و در بخش ریالی نیز فقط سرفصل درآمدی در حوزه باربری (بابت تخلیه و بارگیری کالاها) محاسبه می گردد.
5- نحوه محاسبه ترانشیپ در جدول در بخش عملیاتی برابر  با تناژ ترانشیپ می باشد و در بخش ریالی نیز فقط سرفصل درآمدی ترانشیپ محاسبه می گردد.
6- نحوه محاسبه خدمات باربری در جدول در بخش عملیاتی فاقد اطلاعات بوده (خط تیره) و در بخش ریالی نیز فقط سایر سرفصل های درآمدی در حوزه باربری (دیماند، صدور بیجک، باربری مضاعف، استریپ، استافینگ، خن کاری، تسمه کشی، تفکیک قبض و ...) محاسبه می‌گردد.
7- برخی از سرفصل های درآمدی در سیستم حسابداری مانند پارکینگ، خدمات رایانه، بازبینی، باسکول و ... در بخش سایر درآمدهای عملیاتی محاسبه و منظور می‌گردد.</t>
  </si>
  <si>
    <t>تغییرات مقداری سال جاری و سال قبل</t>
  </si>
  <si>
    <t>تغییرات درصدی سال جاری و سال قبل</t>
  </si>
  <si>
    <t xml:space="preserve"> ماشین آلات و تجهیزات عملیاتی</t>
  </si>
  <si>
    <t>جرثقیل</t>
  </si>
  <si>
    <t>لیفتراک (دیزلی)</t>
  </si>
  <si>
    <t>لیفتراک (برقی)</t>
  </si>
  <si>
    <t>ریج تراک</t>
  </si>
  <si>
    <t>تراک</t>
  </si>
  <si>
    <t>امپیتی‌استاکر</t>
  </si>
  <si>
    <t>ریچ‌استاکر</t>
  </si>
  <si>
    <t>تاپ لیفت</t>
  </si>
  <si>
    <t>کامیون</t>
  </si>
  <si>
    <t>تراکتور</t>
  </si>
  <si>
    <t>کشنده (تک مستر)</t>
  </si>
  <si>
    <t>بیل بکهولودر</t>
  </si>
  <si>
    <t>Mover 7.5 T</t>
  </si>
  <si>
    <t>چنگک</t>
  </si>
  <si>
    <t>کفی تریلر</t>
  </si>
  <si>
    <t>تسمه نقاله</t>
  </si>
  <si>
    <t>3 تن کامیونی</t>
  </si>
  <si>
    <t>12 تن کامیونی</t>
  </si>
  <si>
    <t>10 تن</t>
  </si>
  <si>
    <t>12 تن</t>
  </si>
  <si>
    <t>13 تن</t>
  </si>
  <si>
    <t>15 تن</t>
  </si>
  <si>
    <t>16 تن</t>
  </si>
  <si>
    <t>25 تن</t>
  </si>
  <si>
    <t>30 تن</t>
  </si>
  <si>
    <t>32 تن</t>
  </si>
  <si>
    <t>35 تن</t>
  </si>
  <si>
    <t>40 تن</t>
  </si>
  <si>
    <t>45 تن</t>
  </si>
  <si>
    <t>60 تن</t>
  </si>
  <si>
    <t>65 تن</t>
  </si>
  <si>
    <t>2 تن</t>
  </si>
  <si>
    <t>3 تن</t>
  </si>
  <si>
    <t>4 تن</t>
  </si>
  <si>
    <t>5 تن</t>
  </si>
  <si>
    <t>7 تن</t>
  </si>
  <si>
    <t>8 تن</t>
  </si>
  <si>
    <t>11 تن</t>
  </si>
  <si>
    <t>20 تن</t>
  </si>
  <si>
    <t>1.5 تن</t>
  </si>
  <si>
    <t>2.5 تن</t>
  </si>
  <si>
    <t>نام شرکت / شعبه</t>
  </si>
  <si>
    <t>نوع عملیات</t>
  </si>
  <si>
    <t>مسقف</t>
  </si>
  <si>
    <t>هانگار</t>
  </si>
  <si>
    <t>بارانداز</t>
  </si>
  <si>
    <t>متراژ</t>
  </si>
  <si>
    <t>تناژ رسوب</t>
  </si>
  <si>
    <t xml:space="preserve">تناژ تخلیه </t>
  </si>
  <si>
    <t>تناژ بارگیری</t>
  </si>
  <si>
    <t>ظرفیت اسمی</t>
  </si>
  <si>
    <t>ظرفیت خالی انبارها</t>
  </si>
  <si>
    <t>درصد ظرفیت خالی انبارها</t>
  </si>
  <si>
    <t>درصد استفاده شده از انبارها</t>
  </si>
  <si>
    <t xml:space="preserve">گمرکی </t>
  </si>
  <si>
    <t>غیر گمرکی</t>
  </si>
  <si>
    <t>غیرگمرکی</t>
  </si>
  <si>
    <t>توضیحات:</t>
  </si>
  <si>
    <t>درآمد حاصل از ارائه خدمات (عملیاتی)</t>
  </si>
  <si>
    <t>بهای تمام شده ارائه خدمات</t>
  </si>
  <si>
    <t>سود (زیان) ناخالص</t>
  </si>
  <si>
    <t xml:space="preserve">هزینه های اداری و عمومی </t>
  </si>
  <si>
    <t xml:space="preserve">سود ( زیان ) عملیاتی </t>
  </si>
  <si>
    <t>سایر درآمد (هزینه) غیر عملیاتی</t>
  </si>
  <si>
    <t>سود (زیان) خالص (قبل از مالیات)</t>
  </si>
  <si>
    <t>کل درآمد ها</t>
  </si>
  <si>
    <t>کل هزینه ها</t>
  </si>
  <si>
    <t>توضیحات تکمیلی (دلایل انحرافات 10%± عملکرد و بودجه):
1-
2-
3- 
4-</t>
  </si>
  <si>
    <t>درصد تحقق 
بودجه سال جاری</t>
  </si>
  <si>
    <t>درصد تغییرات عملکرد سال جاری به سال قبل</t>
  </si>
  <si>
    <t>نام واحد</t>
  </si>
  <si>
    <t>وضعیت (فعال/غیرفعال)</t>
  </si>
  <si>
    <t>درجه هتل</t>
  </si>
  <si>
    <t>تعداد اتاق</t>
  </si>
  <si>
    <t>تعداد تخت</t>
  </si>
  <si>
    <t>تعداد پرسنل</t>
  </si>
  <si>
    <t>درصد اشغال</t>
  </si>
  <si>
    <t>درآمد طی دوره</t>
  </si>
  <si>
    <t>هزینه طی دوره</t>
  </si>
  <si>
    <t>سود طی دوره</t>
  </si>
  <si>
    <t>ایرانگردی</t>
  </si>
  <si>
    <t>پس از کلیک بر روی آیکون زیر به کاربرگ اصلاحات مراجعه نمایید.</t>
  </si>
  <si>
    <t>لطفا پس از کلیک بر روی آیکون مربوطه در کاربرگ "پایان" به این صفحه مراجعه نمایید. (در صورت خالی بودن جدول زیر پس از کلیک، جهت رفع ایراد احتمالی فایل با هلدینگ آتیه صبا هماهنگی فرمایید)</t>
  </si>
  <si>
    <t>عنوان خطا/ابهام</t>
  </si>
  <si>
    <t>دوره گزارش</t>
  </si>
  <si>
    <t>کاربرگ های مرتبط</t>
  </si>
  <si>
    <t>اقدام پیشنهادی جهت رفع</t>
  </si>
  <si>
    <t>میزان عددی اختلاف / 
داده درج شده غلط / تعداد ابهام</t>
  </si>
  <si>
    <t>عدم تکمیل تکالیف کارگروه</t>
  </si>
  <si>
    <t>برابر بودن نقل و انتقال بین شرح دارایی ها آزادراهی</t>
  </si>
  <si>
    <t>شمارنده</t>
  </si>
  <si>
    <t>شمارنده برای ماکرو</t>
  </si>
  <si>
    <t>مقدار منفی پایان دوره محصول تولیدی</t>
  </si>
  <si>
    <t>متوسط بهاء خرید مواد تولید کمتر از سال قبل</t>
  </si>
  <si>
    <t>متوسط بهاء فروش تولیدی کمتر از سال قبل</t>
  </si>
  <si>
    <t>متوسط بهاء فروش خدماتی کمتر از سال قبل</t>
  </si>
  <si>
    <t>متوسط بهاء فروش تجاری کمتر از سال قبل</t>
  </si>
  <si>
    <t>متوسط بهاء فروش عوارض آزادراهی کمتر از سال قبل</t>
  </si>
  <si>
    <t>متوسط بهاء فروش صادرات کمتر از سال قبل</t>
  </si>
  <si>
    <t>تجاری</t>
  </si>
  <si>
    <t>تولیدی</t>
  </si>
  <si>
    <t>خدمات آزادراهی</t>
  </si>
  <si>
    <t xml:space="preserve">منفی بودن سود ناویژه محصول در عملکرد </t>
  </si>
  <si>
    <t>سایر درآمدهای غیرعملیاتی</t>
  </si>
  <si>
    <t>محاسبه پایان دوره منفی در  مواد تولید</t>
  </si>
  <si>
    <t>خلاصه وضعیت پروازی ناوگان</t>
  </si>
  <si>
    <t>تعداد روز</t>
  </si>
  <si>
    <t>تایپ هواپیما</t>
  </si>
  <si>
    <t>ساعت پرواز</t>
  </si>
  <si>
    <t>نرخ</t>
  </si>
  <si>
    <t>جمع كل ساعت پرواز</t>
  </si>
  <si>
    <t>میانگین ساعت پرواز  هر لگ</t>
  </si>
  <si>
    <t>تعداد پرواز</t>
  </si>
  <si>
    <t>تعداد صندلي عرضه شده</t>
  </si>
  <si>
    <t>تعداد مسافر حمل شده</t>
  </si>
  <si>
    <t>ميانگين نرخ</t>
  </si>
  <si>
    <t>میانگین نرخ به ریال</t>
  </si>
  <si>
    <t>ضریب اشغال</t>
  </si>
  <si>
    <t>درآمد فروش بلیط داخلی</t>
  </si>
  <si>
    <t>درآمد فروش بلیط خارجی</t>
  </si>
  <si>
    <t>رجیستر هواپیما</t>
  </si>
  <si>
    <t>لیتراژ مصرفي</t>
  </si>
  <si>
    <t>تعداد مسافر</t>
  </si>
  <si>
    <t>آسمان</t>
  </si>
  <si>
    <t>عنوان فروشگاه 
/ بستر اینترنتی</t>
  </si>
  <si>
    <t>ملی</t>
  </si>
  <si>
    <t>مس</t>
  </si>
  <si>
    <t xml:space="preserve"> مبالغ به ميليون ريال </t>
  </si>
  <si>
    <t>جمـــع</t>
  </si>
  <si>
    <t>سود خالص قبل از مالیات</t>
  </si>
  <si>
    <t>آیتم های درآمدی</t>
  </si>
  <si>
    <t>آیتم های هزینه</t>
  </si>
  <si>
    <t>پرسنلی</t>
  </si>
  <si>
    <t>مواد اولیه مصرفی</t>
  </si>
  <si>
    <t>سربار</t>
  </si>
  <si>
    <t>رسمی</t>
  </si>
  <si>
    <t>قراردادی</t>
  </si>
  <si>
    <t>پیمانکار</t>
  </si>
  <si>
    <t>سیمان</t>
  </si>
  <si>
    <t>شرکت سرمایه گذاری آتیه صبا</t>
  </si>
  <si>
    <t>صندوق بازنشستگی کشوری</t>
  </si>
  <si>
    <t>ریز افزایش و کاهش دارایی ها:</t>
  </si>
  <si>
    <t>شاخص برنامه</t>
  </si>
  <si>
    <t>عملکرد دوره مشابه سال قبل</t>
  </si>
  <si>
    <t>درصد اجرای برنامه طی دوره</t>
  </si>
  <si>
    <t>درصد تحقق</t>
  </si>
  <si>
    <t>دوره مورد رسیدگی سال جاری</t>
  </si>
  <si>
    <r>
      <t>درصد تحقق بودجه</t>
    </r>
    <r>
      <rPr>
        <b/>
        <sz val="12"/>
        <rFont val="B Nazanin"/>
        <charset val="178"/>
      </rPr>
      <t xml:space="preserve"> </t>
    </r>
  </si>
  <si>
    <t>محصولات تولیدی</t>
  </si>
  <si>
    <t>نام سهامداران</t>
  </si>
  <si>
    <t>شرکت بازرگانی بین‌المللی سانکو</t>
  </si>
  <si>
    <t>تعداد تکلیف بودجه</t>
  </si>
  <si>
    <t>مواد اولیه و لوازم تولید</t>
  </si>
  <si>
    <t>سربار تولید</t>
  </si>
  <si>
    <t>هزینه مالی</t>
  </si>
  <si>
    <t>پرسنلی اداری عمومی</t>
  </si>
  <si>
    <t>سایر اداری عمومی</t>
  </si>
  <si>
    <t>آموزش</t>
  </si>
  <si>
    <t>آبدارخانه و پذیرایی</t>
  </si>
  <si>
    <t>بهداشت و درمان</t>
  </si>
  <si>
    <t>شرکت سرمایه گذاری صندوق بازنشستگی کشوری</t>
  </si>
  <si>
    <t>شرکت بازرگانی صندوق بازنشستگی کشوری</t>
  </si>
  <si>
    <t>حمل یکسره واردات</t>
  </si>
  <si>
    <t>ترانشیپ واردات</t>
  </si>
  <si>
    <t>حمل یکسره صادرات</t>
  </si>
  <si>
    <t>ترانشیپ صادرات</t>
  </si>
  <si>
    <t>خدمات ارائه شده</t>
  </si>
  <si>
    <t>واحد سنجش محصولات تولیدی</t>
  </si>
  <si>
    <t>واحد سنجش خدمات ارائه شده</t>
  </si>
  <si>
    <t>واحد سنجش مواد اولیه و لوازم تولید</t>
  </si>
  <si>
    <t>میلیون ریال</t>
  </si>
  <si>
    <t>فروش ضایعات</t>
  </si>
  <si>
    <t xml:space="preserve">شرکت سرمایه گذاری آتیه صبا </t>
  </si>
  <si>
    <t>شرکت بازرگانی پدیده نیکان صبا</t>
  </si>
  <si>
    <t>مواد اولیه و لوازم خدمات</t>
  </si>
  <si>
    <t>واحد سنجش مواد اولیه و لوازم خدمات</t>
  </si>
  <si>
    <t>عنوان کالای تجاری</t>
  </si>
  <si>
    <t>واحد سنجش کالای تجاری</t>
  </si>
  <si>
    <t>بودجه دوره مورد رسیدگی سال جاری</t>
  </si>
  <si>
    <t>عملکرد دوره مورد رسیدگی سال جاری</t>
  </si>
  <si>
    <t>درصد تحقق بودجه سال جاری</t>
  </si>
  <si>
    <t>بودجه دوره رسیدگی سال جاری</t>
  </si>
  <si>
    <t>عملکرد دوره رسیدگی سال جاری</t>
  </si>
  <si>
    <t xml:space="preserve"> مقدار خدمات دوره مشابه سال قبل</t>
  </si>
  <si>
    <t>عنوان صادراتی</t>
  </si>
  <si>
    <t>نرخ تسعیر صادراتی</t>
  </si>
  <si>
    <t>کشور صادرشونده</t>
  </si>
  <si>
    <t>دوره مشابه سال قبل</t>
  </si>
  <si>
    <t>بودجه مصوب</t>
  </si>
  <si>
    <t>درصد انحراف از بودجه</t>
  </si>
  <si>
    <t>17</t>
  </si>
  <si>
    <t>درصد تحقق بودجه خرید</t>
  </si>
  <si>
    <t>خرید طی دوره مورد رسیدگی سال جاری</t>
  </si>
  <si>
    <t>فروش</t>
  </si>
  <si>
    <t>مصرف</t>
  </si>
  <si>
    <t>فروش و مصرف طی دوره مورد رسیدگی سال جاری</t>
  </si>
  <si>
    <t>موجودی پایان دوره</t>
  </si>
  <si>
    <t>عملكرد دوره مشابه
سال قبل</t>
  </si>
  <si>
    <t>مقدار مصرف واحد 1</t>
  </si>
  <si>
    <t>مقدار مصرف واحد 2</t>
  </si>
  <si>
    <t>مقدار مصرف واحد 3</t>
  </si>
  <si>
    <t>مقدار مصرف واحد 4</t>
  </si>
  <si>
    <t>مقدار مصرف واحد 5</t>
  </si>
  <si>
    <t>مقدار مصرف واحد 6</t>
  </si>
  <si>
    <t>مقدار مصرف واحد 7</t>
  </si>
  <si>
    <t>مقدار مصرف واحد 8</t>
  </si>
  <si>
    <t>مقدار مصرف واحد 9</t>
  </si>
  <si>
    <t>مقدار مصرف واحد 10</t>
  </si>
  <si>
    <t>مقدار مصرف واحد 11</t>
  </si>
  <si>
    <t>مقدار مصرف واحد 12</t>
  </si>
  <si>
    <t>مقدار مصرف واحد 13</t>
  </si>
  <si>
    <t>مقدار مصرف واحد 14</t>
  </si>
  <si>
    <t>مقدار مصرف واحد 15</t>
  </si>
  <si>
    <t>مقدار مصرف واحد 16</t>
  </si>
  <si>
    <t>مقدار مصرف واحد 17</t>
  </si>
  <si>
    <t>مقدار مصرف واحد 18</t>
  </si>
  <si>
    <t>مقدار مصرف واحد 19</t>
  </si>
  <si>
    <t>مقدار مصرف واحد 20</t>
  </si>
  <si>
    <t>فروش اقلام و نیازهای اولیه طی دوره</t>
  </si>
  <si>
    <t>هزينه هاي سربار خدمات ارائه شده</t>
  </si>
  <si>
    <t>عملكرد دوره مشابه سال قبل</t>
  </si>
  <si>
    <t>درصد تحقق بودجه</t>
  </si>
  <si>
    <t>پایان دوره مورد رسیدگی سال جاری</t>
  </si>
  <si>
    <t>شرکت خدمات مسافرت هوایی پرشین گلف</t>
  </si>
  <si>
    <t>دستگاه</t>
  </si>
  <si>
    <t>شرکت فرآورده های شیلاتی بندرعباس</t>
  </si>
  <si>
    <t>شرکت پیچک</t>
  </si>
  <si>
    <t>ملزومات مصرفی</t>
  </si>
  <si>
    <t>شرکت مجتمع طیور فارس</t>
  </si>
  <si>
    <t>شرکت آبزی فرایند بوشهر</t>
  </si>
  <si>
    <t>موسسه جهاد نصر</t>
  </si>
  <si>
    <t>شرکت جهاد دریا</t>
  </si>
  <si>
    <t>شرکت محراب عمران تهران</t>
  </si>
  <si>
    <t>شرکت جبل دماوند صبا</t>
  </si>
  <si>
    <t>شیلات بندر عباس</t>
  </si>
  <si>
    <t xml:space="preserve">سازمان بازنشستگی کشوری </t>
  </si>
  <si>
    <t xml:space="preserve">شرکت آزاد راه امیرکبیر </t>
  </si>
  <si>
    <t>کمیت شاخص برنامه</t>
  </si>
  <si>
    <t>سنجش شاخص برنامه</t>
  </si>
  <si>
    <t>تاریخ شروع برنامه</t>
  </si>
  <si>
    <t>تاریخ پایان برنامه</t>
  </si>
  <si>
    <t>تایپ هوایپما</t>
  </si>
  <si>
    <t>تایپ در فروش داخلی</t>
  </si>
  <si>
    <t>تایپ در فروش خارجی</t>
  </si>
  <si>
    <t>تایپ هواپیما در مصرف سوخت و کترینگ و هندلینگ و خدمات</t>
  </si>
  <si>
    <t>شرکت رفاه و گردشگری تامین</t>
  </si>
  <si>
    <t>گروه هتل های هما</t>
  </si>
  <si>
    <t>شرکت عمران و ساختمان تراز پی ریز</t>
  </si>
  <si>
    <t>شرکت حمل و نقل ریلی جمهوری اسلامی</t>
  </si>
  <si>
    <t>درصد</t>
  </si>
  <si>
    <t>آستان قدس رضوی</t>
  </si>
  <si>
    <t>شرکت انبارهای عمومی و خدمات گمرکی</t>
  </si>
  <si>
    <t>آگهی و تبلیغات</t>
  </si>
  <si>
    <t>مواد بسته بندی</t>
  </si>
  <si>
    <t>شیر خام</t>
  </si>
  <si>
    <t>مواد اولیه و کمکی</t>
  </si>
  <si>
    <t>حق مشاوره</t>
  </si>
  <si>
    <t>ساير</t>
  </si>
  <si>
    <t>شرکت انبارهای عمومی و خدمات گمرکی ایران</t>
  </si>
  <si>
    <t>سایر سهامداران</t>
  </si>
  <si>
    <t>محصول</t>
  </si>
  <si>
    <t>شرکت خدمات پشتیبان صندوق بازنشستگی کشوری</t>
  </si>
  <si>
    <t>شرکت خدمات مسافرت هوایی، گردشگری، زیارتی پرشین گلف</t>
  </si>
  <si>
    <t>شرکت عمران و ساختمان صندوق بازنشستگی کشوری صبا عمران</t>
  </si>
  <si>
    <t>سایر (کمتر از یک درصد)</t>
  </si>
  <si>
    <t>ظرفیت اسمی خدمات</t>
  </si>
  <si>
    <t>ظرفیت عملی خدمات</t>
  </si>
  <si>
    <t>شرکت تجارت الکترونیک پیشگامان آتیه صبا</t>
  </si>
  <si>
    <t>شرکت صبا عمران</t>
  </si>
  <si>
    <t>کارکنان شرکت خدمات هوایی کشور - آسمان</t>
  </si>
  <si>
    <t>شرکت طراحی مهندسی بهور</t>
  </si>
  <si>
    <t xml:space="preserve">شرکت انبارهای عمومی و خدمات گمرکی </t>
  </si>
  <si>
    <t>عملکرد دوره مشابه
 سال قبل</t>
  </si>
  <si>
    <t>بودجه تغییرات بهای تمام شده 6 ماهه اول سال جاری</t>
  </si>
  <si>
    <t>عملکرد تغییرات بهای تمام شده طی دوره مورد رسیدگی سال جاری</t>
  </si>
  <si>
    <t>شرح دارایی</t>
  </si>
  <si>
    <t>هواپيما-موتور و ملخ و قطعات سرمايه اي</t>
  </si>
  <si>
    <t>قطعات سرمايه اي و يدكي</t>
  </si>
  <si>
    <t>داراييهاي ثابت در جريان تكميل</t>
  </si>
  <si>
    <t>پيش پرداختهاي سرمايه اي</t>
  </si>
  <si>
    <t>مانده در پایان سال قبل</t>
  </si>
  <si>
    <t>مانده در پایان دوره مورد رسیدگی سال جاری</t>
  </si>
  <si>
    <t>سوخت</t>
  </si>
  <si>
    <t>برآورد سال جاری</t>
  </si>
  <si>
    <t>درصد پوشش بودجه سال جاری</t>
  </si>
  <si>
    <t>بودجه 6 ماهه اول سال جاری</t>
  </si>
  <si>
    <t>میزان موجودی کالا در پایان دوره (مبلغ)</t>
  </si>
  <si>
    <t>انحراف خدمات</t>
  </si>
  <si>
    <t>انحراف</t>
  </si>
  <si>
    <t>شمارنده ردیف انتهایی</t>
  </si>
  <si>
    <t>شمارنده ردیف ابتدایی</t>
  </si>
  <si>
    <t>تعداد ردیف شرکت در دیتابیس</t>
  </si>
  <si>
    <t>ردیف ابتدایی شرکت در دیتابیس</t>
  </si>
  <si>
    <t>کمکی مرتب سازی</t>
  </si>
  <si>
    <t>تعداد تکالیف ابلاغی</t>
  </si>
  <si>
    <t>محاسبه درآمد</t>
  </si>
  <si>
    <t>کمکی صفحه بندی</t>
  </si>
  <si>
    <t>درصد اختلاف با دوره مشابه سال قبل</t>
  </si>
  <si>
    <t>سربار خدمات آزادراهی</t>
  </si>
  <si>
    <t>مقدار فروش (داخلی و صادرات) قبل</t>
  </si>
  <si>
    <t>مقدار فروش (داخلی و صادرات) جاری</t>
  </si>
  <si>
    <t>تعداد عدم تکمیل</t>
  </si>
  <si>
    <t>تعداد عدم تکمیل درصد</t>
  </si>
  <si>
    <t>تعداد عدم تکمیل هزینه</t>
  </si>
  <si>
    <t>تعداد عدم تکمیل عملکرد</t>
  </si>
  <si>
    <t>متوسط بهاء خرید مواد خدمات کمتر از سال قبل</t>
  </si>
  <si>
    <t>منفی بودن سود ناویژه محصول در عملکرد سال قبل</t>
  </si>
  <si>
    <t>درصد اختلاف نسبت به دوره مشابه سال قبل</t>
  </si>
  <si>
    <t>درصد اختلاف با 
دوره مشابه سال قبل</t>
  </si>
  <si>
    <t>عنوان شیت</t>
  </si>
  <si>
    <t>تعداد سلول فرموله شده بودجه ای</t>
  </si>
  <si>
    <t>تعداد سلول فرموله شده کلی</t>
  </si>
  <si>
    <t>الف-ب-ج</t>
  </si>
  <si>
    <t>تعداد سلول اولیه</t>
  </si>
  <si>
    <t>اختلاف</t>
  </si>
  <si>
    <t>اقدامات تکالیف بودجه</t>
  </si>
  <si>
    <t>میزان اجرای برنامه</t>
  </si>
  <si>
    <t>عوارض</t>
  </si>
  <si>
    <t>مقادیر تولید</t>
  </si>
  <si>
    <t>کلیات</t>
  </si>
  <si>
    <t>بیشینه تعداد سلول نیاز به تکمیل</t>
  </si>
  <si>
    <t>اقدامات تکالیف مجمع</t>
  </si>
  <si>
    <t>مستندات تولید</t>
  </si>
  <si>
    <t>گردش محصول تولیدی</t>
  </si>
  <si>
    <t>خرید مواد تولید</t>
  </si>
  <si>
    <t>بهای تمام شده تولید</t>
  </si>
  <si>
    <t>مقادیر مصرف مواد</t>
  </si>
  <si>
    <t>مقادیر خدمات</t>
  </si>
  <si>
    <t>خرید اقلام خدمات</t>
  </si>
  <si>
    <t>بهای خدمات</t>
  </si>
  <si>
    <t>نگهداری</t>
  </si>
  <si>
    <t>بهره برداری</t>
  </si>
  <si>
    <t>بهسازی</t>
  </si>
  <si>
    <t>بهای تجاری</t>
  </si>
  <si>
    <t>پرسنلی آزادراه</t>
  </si>
  <si>
    <t>صورت وضعیت مالی آزادراه</t>
  </si>
  <si>
    <t>صورت وضعیت مالی</t>
  </si>
  <si>
    <t>اقلام عمده حسابها آزادراه</t>
  </si>
  <si>
    <t>اقلام عمده حسابها</t>
  </si>
  <si>
    <t>سود و زیان</t>
  </si>
  <si>
    <t>صورت جریان وجه نقد آزادراه</t>
  </si>
  <si>
    <t>صورت جریان وجه نقد</t>
  </si>
  <si>
    <t>دریافت پرداخت آزادراه</t>
  </si>
  <si>
    <t>دریافت پرداخت</t>
  </si>
  <si>
    <t>دارایی</t>
  </si>
  <si>
    <t>مزایده مناقصه</t>
  </si>
  <si>
    <t>استهلاک سرمایه گذاری</t>
  </si>
  <si>
    <t>روابط عمومی</t>
  </si>
  <si>
    <t>پروژه ها</t>
  </si>
  <si>
    <t>ماشین آلات</t>
  </si>
  <si>
    <t>کترینگ</t>
  </si>
  <si>
    <t>هندلینگ</t>
  </si>
  <si>
    <t>تعداد ابهام و اختلاف مورد رسیدگی</t>
  </si>
  <si>
    <t>تکالیف بودجه</t>
  </si>
  <si>
    <t>فروش و ضایعات</t>
  </si>
  <si>
    <t>بودجه مصرف طی دوره مورد رسیدگی سال جاری</t>
  </si>
  <si>
    <t>میزان</t>
  </si>
  <si>
    <t>جمع نهایی هزینه</t>
  </si>
  <si>
    <t xml:space="preserve">متوسط تعداد پرسنل بخش نگهداری </t>
  </si>
  <si>
    <t xml:space="preserve">متوسط تعداد پرسنل بخش بهره برداری </t>
  </si>
  <si>
    <t xml:space="preserve">متوسط تعداد پرسنل بخش بهسازی </t>
  </si>
  <si>
    <t xml:space="preserve">متوسط تعداد پرسنل مستقیم ارائه خدمات </t>
  </si>
  <si>
    <t xml:space="preserve">متوسط تعداد پرسنل غیرمستقیم ارائه خدمات </t>
  </si>
  <si>
    <t xml:space="preserve">متوسط تعداد پرسنل اداري، عمومی و فروش </t>
  </si>
  <si>
    <t>سال جاری</t>
  </si>
  <si>
    <t>شیر</t>
  </si>
  <si>
    <t>تلفیق</t>
  </si>
  <si>
    <t>خامه</t>
  </si>
  <si>
    <t>کره</t>
  </si>
  <si>
    <t>ماست</t>
  </si>
  <si>
    <t>پنیر</t>
  </si>
  <si>
    <t>دوغ</t>
  </si>
  <si>
    <t>محصولات پودری</t>
  </si>
  <si>
    <t>پایان دوره مورد رسیدگی</t>
  </si>
  <si>
    <t>مالیات</t>
  </si>
  <si>
    <t>نام بدهکار</t>
  </si>
  <si>
    <t>سایر بدهکاران</t>
  </si>
  <si>
    <t>نام مشتری</t>
  </si>
  <si>
    <t>نوع سرمایه گذاری</t>
  </si>
  <si>
    <t>عنوان دارایی</t>
  </si>
  <si>
    <t>سهامدار</t>
  </si>
  <si>
    <t>سایر کالاهای تجاری</t>
  </si>
  <si>
    <t>ماده اولیه و لوازم</t>
  </si>
  <si>
    <t>سایر مواد و لوازم</t>
  </si>
  <si>
    <t>سایر هزینه اداری و عمومی</t>
  </si>
  <si>
    <t>حقوق و دستمزد</t>
  </si>
  <si>
    <t>نام بستانکار</t>
  </si>
  <si>
    <t>سایر بستانکاران</t>
  </si>
  <si>
    <t>سود حاصل از سپرده های سرمایه گذاری بانکی</t>
  </si>
  <si>
    <t>هزينه هاي جذب نشده در توليد</t>
  </si>
  <si>
    <t>حمل و کارمزد توزیع محصولات</t>
  </si>
  <si>
    <t>استهلاک</t>
  </si>
  <si>
    <t>نگهداری و تعمیرات</t>
  </si>
  <si>
    <t>اجاره محل</t>
  </si>
  <si>
    <t>خدمات قراردادی</t>
  </si>
  <si>
    <t>خدمات کارمزد بانکی</t>
  </si>
  <si>
    <t>ماشين آلات و تجهیزات</t>
  </si>
  <si>
    <t xml:space="preserve">اثاثه و منصوبات </t>
  </si>
  <si>
    <t>ابزارآلات</t>
  </si>
  <si>
    <t>برگشت از فروش</t>
  </si>
  <si>
    <t>پروژه</t>
  </si>
  <si>
    <t xml:space="preserve">کاشی دیواری </t>
  </si>
  <si>
    <t>کاشی پرسلان</t>
  </si>
  <si>
    <t>مترمربع</t>
  </si>
  <si>
    <t>خاک</t>
  </si>
  <si>
    <t>کیلوگرم</t>
  </si>
  <si>
    <t>لعاب و فریت و..</t>
  </si>
  <si>
    <t>روانساز</t>
  </si>
  <si>
    <t>رنگ چاپ</t>
  </si>
  <si>
    <t>رنگ بدنه</t>
  </si>
  <si>
    <t>افزودنی چاپ</t>
  </si>
  <si>
    <t>گلوله</t>
  </si>
  <si>
    <t xml:space="preserve">فوق العاده سفر و ماموریت </t>
  </si>
  <si>
    <t>سایر مزایا</t>
  </si>
  <si>
    <t>سایر (فروش نیمه ساخته و ...)</t>
  </si>
  <si>
    <t>زیان تسعیر ارز تسهیلات ارزی</t>
  </si>
  <si>
    <t>هزینه اکتشاف تکمیلی معدن</t>
  </si>
  <si>
    <t>هزینه تجدید ارزیابی</t>
  </si>
  <si>
    <t>دستمزد و مزایا</t>
  </si>
  <si>
    <t>هزینه کارکنان</t>
  </si>
  <si>
    <t>تعمیر و نگهداری</t>
  </si>
  <si>
    <t>اثاثه و منصوبات</t>
  </si>
  <si>
    <t>حق عضویت</t>
  </si>
  <si>
    <t>عدد</t>
  </si>
  <si>
    <t>سواری</t>
  </si>
  <si>
    <t>لیتر</t>
  </si>
  <si>
    <t>حق بیمه سهم کارفرما</t>
  </si>
  <si>
    <t>بازخرید سنوات خدمت</t>
  </si>
  <si>
    <t>هزینه استهلاک</t>
  </si>
  <si>
    <t>تعمیرات و نگهداری</t>
  </si>
  <si>
    <t>کارمزد اخذ عوارض</t>
  </si>
  <si>
    <t>عیدی و پاداش</t>
  </si>
  <si>
    <t>وسایل نقلیه</t>
  </si>
  <si>
    <t>حسابرسی</t>
  </si>
  <si>
    <t>مزایای غیرنقدی</t>
  </si>
  <si>
    <t>ساختمان و تاسیسات</t>
  </si>
  <si>
    <t>زمین</t>
  </si>
  <si>
    <t>درصد پیشرفت</t>
  </si>
  <si>
    <t>اتوبوس</t>
  </si>
  <si>
    <t>سواری و تاکسی</t>
  </si>
  <si>
    <t>تریلی</t>
  </si>
  <si>
    <t>کامیونت</t>
  </si>
  <si>
    <t>مینی بوس</t>
  </si>
  <si>
    <t>وانت</t>
  </si>
  <si>
    <t>حق مسئولیت</t>
  </si>
  <si>
    <t>حق جذب</t>
  </si>
  <si>
    <t>بیمه پروژه</t>
  </si>
  <si>
    <t>ماموریت</t>
  </si>
  <si>
    <t>بیمه تکمیلی</t>
  </si>
  <si>
    <t>هزینه حسابرسی</t>
  </si>
  <si>
    <t>آب و برق</t>
  </si>
  <si>
    <t>ایاب و ذهاب</t>
  </si>
  <si>
    <t>پشتیبانی نرم افزار</t>
  </si>
  <si>
    <t>کارمزد بانکی</t>
  </si>
  <si>
    <t>سود سپرده بانکی</t>
  </si>
  <si>
    <t>فروش اسناد مزایده و مناقصه</t>
  </si>
  <si>
    <t>فروش بلیط داخلی</t>
  </si>
  <si>
    <t>فروش بلیط خارجی</t>
  </si>
  <si>
    <t>پروازهای چارتر داخلی</t>
  </si>
  <si>
    <t>پروازهای چارتر خارجی</t>
  </si>
  <si>
    <t>حمل بار و اضافه بار</t>
  </si>
  <si>
    <t>جرایم استرداد بلیط</t>
  </si>
  <si>
    <t>قراردادهای تعمیر نگهداری</t>
  </si>
  <si>
    <t>سفارشات خرید و تعمیر</t>
  </si>
  <si>
    <t>خدمات هندلینگ و فرودگاهی</t>
  </si>
  <si>
    <t>سوخت هواپیما</t>
  </si>
  <si>
    <t>عوارض فرودگاهي</t>
  </si>
  <si>
    <t>هندلینگ ترافیک و تجهیزات فرودگاهی</t>
  </si>
  <si>
    <t>کترینگ پروازی</t>
  </si>
  <si>
    <t>بیمه هواپیما</t>
  </si>
  <si>
    <t>قطعات و لوازم يدكي هواپيما</t>
  </si>
  <si>
    <t>هزینه تعمیر و نگهداری پشتیبانی</t>
  </si>
  <si>
    <t>هزینه های اجرایی</t>
  </si>
  <si>
    <t>درآمد اجاره</t>
  </si>
  <si>
    <t>سود سپرده های بانکی</t>
  </si>
  <si>
    <t>حقوق و دستمزد و مزایا</t>
  </si>
  <si>
    <t>بیمه سهم کارفرما</t>
  </si>
  <si>
    <t>هزینه سنوات خدمت و مرخصی کارکنان</t>
  </si>
  <si>
    <t>هزینه ایاب و ذهاب</t>
  </si>
  <si>
    <t>هزینه خوراک</t>
  </si>
  <si>
    <t>هزینه آموزش و آزمون</t>
  </si>
  <si>
    <t>کارمزد فروش بلیط</t>
  </si>
  <si>
    <t>هزینه استفاده از سیستم رزرو بلیط</t>
  </si>
  <si>
    <t>اجاره ساختمان ها</t>
  </si>
  <si>
    <t>هزینه تعمیر و نگهداری و پشتیبانی</t>
  </si>
  <si>
    <t>هزینه بهداری و بهداشت</t>
  </si>
  <si>
    <t>هزینه کارمزد و خدمات بانکی</t>
  </si>
  <si>
    <t>حق الزحمه حسابرسی</t>
  </si>
  <si>
    <t>هزینه مالیات</t>
  </si>
  <si>
    <t>ابزار و وسایل فنی</t>
  </si>
  <si>
    <t>ماشين آلات و تجهيزات</t>
  </si>
  <si>
    <t>وسايل زميني و وسائط نقليه</t>
  </si>
  <si>
    <t>اثاثه و منصوبات، ماشينهاي اداري و نرم افزار</t>
  </si>
  <si>
    <t>بوئینگ 737</t>
  </si>
  <si>
    <t>EP-APO</t>
  </si>
  <si>
    <t>EP-APP</t>
  </si>
  <si>
    <t>EP-APQ</t>
  </si>
  <si>
    <t>جمع تایپ</t>
  </si>
  <si>
    <t>فوکر 100</t>
  </si>
  <si>
    <t>EP-ASI</t>
  </si>
  <si>
    <t>EP-AST</t>
  </si>
  <si>
    <t>EP-ASK</t>
  </si>
  <si>
    <t>EP-ATC</t>
  </si>
  <si>
    <t>EP-ATE</t>
  </si>
  <si>
    <t>EP-ATF</t>
  </si>
  <si>
    <t>EP-ATG</t>
  </si>
  <si>
    <t>EP-ASR</t>
  </si>
  <si>
    <t>ایرباس 340</t>
  </si>
  <si>
    <t>EP-APA</t>
  </si>
  <si>
    <t>EP-APX4</t>
  </si>
  <si>
    <t>ایرباس 320</t>
  </si>
  <si>
    <t>EP-APG</t>
  </si>
  <si>
    <t>EP-APE</t>
  </si>
  <si>
    <t>EP-APJ</t>
  </si>
  <si>
    <t>EP-API</t>
  </si>
  <si>
    <t>ای تی آر</t>
  </si>
  <si>
    <t>ایرباس 340 مسیر جدید</t>
  </si>
  <si>
    <t>بوئینگ 737-داخلي</t>
  </si>
  <si>
    <t>بوئینگ 737-خارجي</t>
  </si>
  <si>
    <t>ایرباس 320 - داخلی</t>
  </si>
  <si>
    <t>ایرباس 320 - خارجی</t>
  </si>
  <si>
    <t>باب</t>
  </si>
  <si>
    <t xml:space="preserve">کلینکر </t>
  </si>
  <si>
    <t>سیمان فله تیپ 2</t>
  </si>
  <si>
    <t>سیمان پاکتی تیپ 2</t>
  </si>
  <si>
    <t>دلار</t>
  </si>
  <si>
    <t>سنگ گچ</t>
  </si>
  <si>
    <t>سنگ آهن</t>
  </si>
  <si>
    <t>خاک مارل</t>
  </si>
  <si>
    <t>سنگ آهک</t>
  </si>
  <si>
    <t>ادیتیو</t>
  </si>
  <si>
    <t>سیلیس</t>
  </si>
  <si>
    <t>پاکت</t>
  </si>
  <si>
    <t>سرباره آهن بالا</t>
  </si>
  <si>
    <t>بن کارگری</t>
  </si>
  <si>
    <t>سفر و اقامت</t>
  </si>
  <si>
    <t>آب، برق، گاز و مازوت</t>
  </si>
  <si>
    <t>مواد نسوز و سایشی</t>
  </si>
  <si>
    <t>ابزار و لوازم و قطعات مصرفی</t>
  </si>
  <si>
    <t>خرید خدمات قراردادی</t>
  </si>
  <si>
    <t>غذا و رستوران</t>
  </si>
  <si>
    <t>روغن و گریس</t>
  </si>
  <si>
    <t>پوشاک و لوازم ایمنی</t>
  </si>
  <si>
    <t>حقوق، دستمزد و مزایا</t>
  </si>
  <si>
    <t>مزایای پایان خدمت کارکنان</t>
  </si>
  <si>
    <t>سفر و فوق العاده ماموریت</t>
  </si>
  <si>
    <t>کارمزد فروش سیمان در بورس کالا</t>
  </si>
  <si>
    <t>ابزار و لوازم مصرفی</t>
  </si>
  <si>
    <t>آبدارخانه</t>
  </si>
  <si>
    <t>شروع فعالیت سامانه بازارگاه</t>
  </si>
  <si>
    <t>فروش غرفه (زنجان، بندرعباس، بوشهر) و فروش بندرامام</t>
  </si>
  <si>
    <t>ایجاد شعبه (اهواز، شیراز، البرز)</t>
  </si>
  <si>
    <t>تجدید ارزیابی دارایی از محل زمین</t>
  </si>
  <si>
    <t>خرید وسائط نقلیه (نوسازی ناوگان)</t>
  </si>
  <si>
    <t>ایجاد دفتر صدور بارنامه در شرکت های همگروه</t>
  </si>
  <si>
    <t>پیوستن به حمل و نقل بین المللی</t>
  </si>
  <si>
    <t>اجاره دارایی های غیرمولد</t>
  </si>
  <si>
    <t>تدوین برنامه استراتژیک 5 ساله شرکت</t>
  </si>
  <si>
    <t>غرفه / زمین</t>
  </si>
  <si>
    <t>شعبه</t>
  </si>
  <si>
    <t>کامیون های تملیکی</t>
  </si>
  <si>
    <t>کمیسیون حمل کالا</t>
  </si>
  <si>
    <t>قرارداد</t>
  </si>
  <si>
    <t>بارنامه</t>
  </si>
  <si>
    <t>عیدی و پاداش و بهره وری</t>
  </si>
  <si>
    <t>حق بیمه سهم شرکت</t>
  </si>
  <si>
    <t>عائله مندی، کمک مسکن و خواربار</t>
  </si>
  <si>
    <t>بازخرید خدمت کارکنان</t>
  </si>
  <si>
    <t>بازخرید مرخصی کارکنان</t>
  </si>
  <si>
    <t>فوق العاده سفر و ماموریت</t>
  </si>
  <si>
    <t>اضافه کار</t>
  </si>
  <si>
    <t>کمک های غیرنقدی</t>
  </si>
  <si>
    <t>شبکاری و نوبتکاری</t>
  </si>
  <si>
    <t>سایر مزایا و صندوق کارآموزی</t>
  </si>
  <si>
    <t>سلف سرویس</t>
  </si>
  <si>
    <t>لوازم یدکی و لاستیک مصرفی</t>
  </si>
  <si>
    <t>سفر و ماموریت ناوگان</t>
  </si>
  <si>
    <t>صدور بارنامه ناوگان ملکی</t>
  </si>
  <si>
    <t>عوارض راهداری و بین راهی</t>
  </si>
  <si>
    <t>تعمیرات و نگهداری وسائط نقلیه</t>
  </si>
  <si>
    <t>استهلاک دارایی ها</t>
  </si>
  <si>
    <t>بازاریابی</t>
  </si>
  <si>
    <t>کرایه حمل پرداختی به رانندگان</t>
  </si>
  <si>
    <t>وسایل نقلیه سبک و سنگین</t>
  </si>
  <si>
    <t>بیمه سهم کارفرما و بیمه بیکاری</t>
  </si>
  <si>
    <t>خوراک و رستوران و پوشاک</t>
  </si>
  <si>
    <t>حق الزحمه خرید خدمات</t>
  </si>
  <si>
    <t>استهلاک دارایی های ثابت مشهود</t>
  </si>
  <si>
    <t>تحقیقات در خصوص محصولات جدید</t>
  </si>
  <si>
    <t>بازاریابی و فروش نوار بهداشتی</t>
  </si>
  <si>
    <t xml:space="preserve">دستمال اقتصادی فول کات </t>
  </si>
  <si>
    <t xml:space="preserve">دستمال حوله و دلسی </t>
  </si>
  <si>
    <t>محصولات کارمزدی</t>
  </si>
  <si>
    <t>تخفیفات فروش</t>
  </si>
  <si>
    <t>نوار بهداشتی کارمزدی</t>
  </si>
  <si>
    <t>تیشو</t>
  </si>
  <si>
    <t>جعبه</t>
  </si>
  <si>
    <t>نایلون</t>
  </si>
  <si>
    <t>کارتن</t>
  </si>
  <si>
    <t>مواد اولیه نوار بهداشتی</t>
  </si>
  <si>
    <t xml:space="preserve">کیلو </t>
  </si>
  <si>
    <t>هزینه غذا</t>
  </si>
  <si>
    <t>پاداش بهره وری</t>
  </si>
  <si>
    <t>هزینه آب، برق، تلفن و پست</t>
  </si>
  <si>
    <t>سنوات خدمت کارکنان</t>
  </si>
  <si>
    <t>اضافه کاری</t>
  </si>
  <si>
    <t>هزینه حمل کالای فروش رفته</t>
  </si>
  <si>
    <t>حق حضور هیات مدیره</t>
  </si>
  <si>
    <t>هزینه بازاریابی و تبلیغات</t>
  </si>
  <si>
    <t>هزینه افزایش سرمایه</t>
  </si>
  <si>
    <t>تبلیغات و روابط عمومی و توسعه سایت اینترنتی</t>
  </si>
  <si>
    <t>هزینه آبدارخانه و پذیرایی</t>
  </si>
  <si>
    <t>حقوقی و ثبتی</t>
  </si>
  <si>
    <t>هزینه اجاره</t>
  </si>
  <si>
    <t>پرس</t>
  </si>
  <si>
    <t>کارمزد فروش بلیط قطار</t>
  </si>
  <si>
    <t>کارمزد فروش بلیط هوایی و ویزا</t>
  </si>
  <si>
    <t>درآمد فروش تور گردشگری</t>
  </si>
  <si>
    <t>طغری</t>
  </si>
  <si>
    <t>نفر</t>
  </si>
  <si>
    <t>هتل گردشگر (مخارج مستقیم تور)</t>
  </si>
  <si>
    <t>حمل و نقل گردشگر (مخارج مستقیم تور)</t>
  </si>
  <si>
    <t>سایر مخارج مستقیم تور</t>
  </si>
  <si>
    <t>اجاره</t>
  </si>
  <si>
    <t>تعمیر و نگهداری ساختمان</t>
  </si>
  <si>
    <t>تلفن</t>
  </si>
  <si>
    <t>پشتیبانی و نگهداری نرم افزار</t>
  </si>
  <si>
    <t>شبکه و اینترنت</t>
  </si>
  <si>
    <t>ملزومات اداری</t>
  </si>
  <si>
    <t>پست و مراسلات</t>
  </si>
  <si>
    <t>سایر هزینه های عمومی و عملیاتی و سربار</t>
  </si>
  <si>
    <t>حق الزحمه مشاوره</t>
  </si>
  <si>
    <t>حقوق پایه</t>
  </si>
  <si>
    <t>مرخصی استفاده نشده</t>
  </si>
  <si>
    <t>قوطی</t>
  </si>
  <si>
    <t>قالب</t>
  </si>
  <si>
    <t>خاویار</t>
  </si>
  <si>
    <t>میگو</t>
  </si>
  <si>
    <t>جو</t>
  </si>
  <si>
    <t>ذرت</t>
  </si>
  <si>
    <t>سویا</t>
  </si>
  <si>
    <t>مرغ</t>
  </si>
  <si>
    <t>مواد غیر مستقیم</t>
  </si>
  <si>
    <t>پلاستیک</t>
  </si>
  <si>
    <t>سایر لوازم مصرفی</t>
  </si>
  <si>
    <t xml:space="preserve">جعبه </t>
  </si>
  <si>
    <t>هزینه کارشناسی</t>
  </si>
  <si>
    <t>ملاس</t>
  </si>
  <si>
    <t>مکمل</t>
  </si>
  <si>
    <t>کیسه</t>
  </si>
  <si>
    <t>حق الزحمه بازرگانی</t>
  </si>
  <si>
    <t>خالص اضافات انبار</t>
  </si>
  <si>
    <t>سود ناشی از تسعیر دارایی های ارزی</t>
  </si>
  <si>
    <t>خالص کسری انبار</t>
  </si>
  <si>
    <t>هزینه حمل</t>
  </si>
  <si>
    <t>نفر شب</t>
  </si>
  <si>
    <t>تدوین برنامه استراتژیک</t>
  </si>
  <si>
    <t>هزینه آب، برق و انرژی</t>
  </si>
  <si>
    <t>سهم دوایر خدماتی</t>
  </si>
  <si>
    <t>عوارض و جرائم</t>
  </si>
  <si>
    <t xml:space="preserve">سایر </t>
  </si>
  <si>
    <t>تبلیغات و پذیرایی</t>
  </si>
  <si>
    <t>غذا</t>
  </si>
  <si>
    <t>مواد و لوازم مصرفی</t>
  </si>
  <si>
    <t>آب، برق، تلفن و سوخت</t>
  </si>
  <si>
    <t>صبحانه</t>
  </si>
  <si>
    <t>غرفه</t>
  </si>
  <si>
    <t>ملزومات و لوازم اداری</t>
  </si>
  <si>
    <t>هزینه غذای پرسنلی</t>
  </si>
  <si>
    <t>نرم افزار</t>
  </si>
  <si>
    <t>کنسانتره مس (فلوتاسیون)</t>
  </si>
  <si>
    <t>گلوله فلزی</t>
  </si>
  <si>
    <t>فرآوری کانسنگ مس (خدمات)</t>
  </si>
  <si>
    <t>آهک و نشاسته</t>
  </si>
  <si>
    <t>کنسانتره مس (لیچینگ)</t>
  </si>
  <si>
    <t>کلکتور</t>
  </si>
  <si>
    <t>کف ساز MIBC</t>
  </si>
  <si>
    <t>اسید سولفوریک / فسفات</t>
  </si>
  <si>
    <t>هیدرو سولفور سدیم</t>
  </si>
  <si>
    <t>انبارداری واردات</t>
  </si>
  <si>
    <t>حقوق و مزایای شغل</t>
  </si>
  <si>
    <t>درآمد اجاره انبار و فضای شرکت های غرب، تهران و بازرگان</t>
  </si>
  <si>
    <t>بهای تمام شده ساخت املاک سهلان</t>
  </si>
  <si>
    <t>سود حاصل از اوراق گواهی سپرده های بانکی</t>
  </si>
  <si>
    <t>باربری واردات</t>
  </si>
  <si>
    <t>درآمد پارکینگ</t>
  </si>
  <si>
    <t>اجاره دریافتی - دفاتر اداری و مخازن و کیوسک</t>
  </si>
  <si>
    <t>سهم گمرک بابت قرارداد فیمابین</t>
  </si>
  <si>
    <t xml:space="preserve">حق جذب و حق پست </t>
  </si>
  <si>
    <t>درآمد فروش املاک سهلان</t>
  </si>
  <si>
    <t>سود حاصل از فروش دارایی های ثابت مشهود</t>
  </si>
  <si>
    <t>محوطه</t>
  </si>
  <si>
    <t>لوازم مصرفی اداری</t>
  </si>
  <si>
    <t>درآمد حاصل از واگذاری قرارداد البرز</t>
  </si>
  <si>
    <t>آب، برق، سوخت پست و تلفن</t>
  </si>
  <si>
    <t>خدمات باربری واردات</t>
  </si>
  <si>
    <t>هزینه سنوات خدمت</t>
  </si>
  <si>
    <t>هزینه بیمه درمان</t>
  </si>
  <si>
    <t>باسکول- فتوکپی- خدمات رایانه - فوق العاده - بازبینی و...</t>
  </si>
  <si>
    <t>انبارداری صادرات</t>
  </si>
  <si>
    <t>آب، برق و سوخت</t>
  </si>
  <si>
    <t>درآمد حاصل از واگذاري انبارهاي بندر امام خميني (ره)</t>
  </si>
  <si>
    <t>باربری صادرات</t>
  </si>
  <si>
    <t>حق مسکن و حق اولاد</t>
  </si>
  <si>
    <t>جشن و پذیرایی</t>
  </si>
  <si>
    <t>درآمد ثبت كنترل آماري و نمونه برداري</t>
  </si>
  <si>
    <t>حق بیمه</t>
  </si>
  <si>
    <t>سوخت و تعمیر وسایل نقلیه</t>
  </si>
  <si>
    <t>درآمد نوبت دهي</t>
  </si>
  <si>
    <t>پست و تلفن</t>
  </si>
  <si>
    <t>سایر (چادر کشی و فک پلمپ و...)</t>
  </si>
  <si>
    <t>خدمات باربری صادرات</t>
  </si>
  <si>
    <t>کارمزد بانکی و ضمانتنامه</t>
  </si>
  <si>
    <t>انبارداری(تیوا)</t>
  </si>
  <si>
    <t>تن-روز</t>
  </si>
  <si>
    <t xml:space="preserve"> باربری(تیوا)</t>
  </si>
  <si>
    <t>غذای کارکنان و آبدارخانه</t>
  </si>
  <si>
    <t>مخازن</t>
  </si>
  <si>
    <t>مسافرت و فوق العاده ماموریت</t>
  </si>
  <si>
    <t xml:space="preserve"> نمایندگی کشتیرانی-ارزی</t>
  </si>
  <si>
    <t>فروند</t>
  </si>
  <si>
    <t>فروش سهام</t>
  </si>
  <si>
    <t>آب، برق و تلفن</t>
  </si>
  <si>
    <t>ابزار و تجهیزات مصرفی</t>
  </si>
  <si>
    <t>اجاره وسایل نقلیه و تجهیزات</t>
  </si>
  <si>
    <t xml:space="preserve"> فورواردری</t>
  </si>
  <si>
    <t>آب، برق، تلفن و گاز</t>
  </si>
  <si>
    <t>هزینه تبلیغات</t>
  </si>
  <si>
    <t>ساختمان</t>
  </si>
  <si>
    <t>فوق العاده شغل / جذب</t>
  </si>
  <si>
    <t>کارشناسی</t>
  </si>
  <si>
    <t>حق حضور هیات مدیره در جلسه</t>
  </si>
  <si>
    <t>پشتیبانی و خدمات کامپیوتری</t>
  </si>
  <si>
    <t>عیدی و کارانه و پاداش</t>
  </si>
  <si>
    <t>تعمیر و نگهداری ساختمان و اثاثه و منصوبات</t>
  </si>
  <si>
    <t>حق اولاد، خواربار و مسکن</t>
  </si>
  <si>
    <t>آژانس و پیک</t>
  </si>
  <si>
    <t>حق سرویس / ایاب ذهاب</t>
  </si>
  <si>
    <t>مشاوره</t>
  </si>
  <si>
    <t>برق</t>
  </si>
  <si>
    <t>تلفن و اینترنت</t>
  </si>
  <si>
    <t>غذای کارکنان</t>
  </si>
  <si>
    <t>تامین مالی کوتاه مدت طرح های نوآورانه جهت تنوع بخشی به پرتفوی سرمایه گذاری</t>
  </si>
  <si>
    <t>ورود به زنجیره ارزش افزوده شرکت های همگروه و ایجاد هم افزایی
(تامین مالی با استفاده از روش های نوین و ظرفیت های بازار سرمایه)</t>
  </si>
  <si>
    <t>گزارش عملکرد فصلی</t>
  </si>
  <si>
    <t>دوره</t>
  </si>
  <si>
    <t>سه ماهه</t>
  </si>
  <si>
    <t>شش ماهه</t>
  </si>
  <si>
    <t>آزادراه تبریز ارومیه</t>
  </si>
  <si>
    <t>هواپیمایی چابهار</t>
  </si>
  <si>
    <t>عملکرد دوره</t>
  </si>
  <si>
    <t>شماره
جلسه</t>
  </si>
  <si>
    <t>تاریخ
جلسه</t>
  </si>
  <si>
    <t>شماره بند مصوبه</t>
  </si>
  <si>
    <t>موضوع مصوبه</t>
  </si>
  <si>
    <t>خلاصه مصوبه</t>
  </si>
  <si>
    <t>توسعه</t>
  </si>
  <si>
    <t>اداری و مالی</t>
  </si>
  <si>
    <t>حقوقی</t>
  </si>
  <si>
    <t>پرداخت سود سهام/ بدهی</t>
  </si>
  <si>
    <t>تعیین سمت</t>
  </si>
  <si>
    <t>تعداد جلسات</t>
  </si>
  <si>
    <t>تعداد مصوبه</t>
  </si>
  <si>
    <t>موضوع</t>
  </si>
  <si>
    <t>خلاصه اقدام و نتایج حاصله</t>
  </si>
  <si>
    <t>ابلاغیات هیات مدیره آتیه صبا</t>
  </si>
  <si>
    <t>ابلاغیات هیات مدیره صندوق بازنشستگی کشوری</t>
  </si>
  <si>
    <t>مولدسازی دارایی‌ها</t>
  </si>
  <si>
    <t>ظرفیت اسمی تولیدی</t>
  </si>
  <si>
    <t>ظرفیت عملی تولیدی</t>
  </si>
  <si>
    <t xml:space="preserve">فروش داخلی محصول توليدي </t>
  </si>
  <si>
    <t>صادرات (تن)</t>
  </si>
  <si>
    <t>ارائه خدمات آزادراهی</t>
  </si>
  <si>
    <t>ارزش بازار</t>
  </si>
  <si>
    <t>ریز هزینه های پرسنلی مستقیم تولید</t>
  </si>
  <si>
    <t>ریز هزینه های پرسنلی غیرمستقیم تولید</t>
  </si>
  <si>
    <t>هزینه های سربار تولید</t>
  </si>
  <si>
    <t>مقادیر خدمات آزادراهی</t>
  </si>
  <si>
    <t>خريد اقلام و نیازهای اولیه خدمات آزادراهی</t>
  </si>
  <si>
    <t xml:space="preserve">صورت ريز هزينه هاي پرسنلي مستقیم ارائه خدمات </t>
  </si>
  <si>
    <t xml:space="preserve">صورت ريز هزينه هاي پرسنلي غیرمستقیم ارائه خدمات </t>
  </si>
  <si>
    <t xml:space="preserve">قيمت تمام شده  خدمات ارائه شده به مشتریان </t>
  </si>
  <si>
    <t>متوسط تعداد پرسنل مستقیم توليد (نفر)</t>
  </si>
  <si>
    <t>متوسط تعداد پرسنل غیرمستقیم توليد (نفر)</t>
  </si>
  <si>
    <t>متوسط تعداد پرسنل مستقیم ارائه خدمات (نفر)</t>
  </si>
  <si>
    <t>متوسط تعداد پرسنل غیرمستقیم خدمات (نفر)</t>
  </si>
  <si>
    <t>پرسنلی اداری عمومی آزادراهی</t>
  </si>
  <si>
    <t>1404/01/01</t>
  </si>
  <si>
    <t>1404/12/29</t>
  </si>
  <si>
    <t>حمل و نصب دستگاه نانو پوليش عرض 80</t>
  </si>
  <si>
    <t>کامیون دو محور</t>
  </si>
  <si>
    <t>کامیون سه محور</t>
  </si>
  <si>
    <t>ساخت و نصب تابلوهای هدایت مسیر در تبادلات</t>
  </si>
  <si>
    <t>پرداخت به مالکان معارضین ملکی پروژه</t>
  </si>
  <si>
    <t>خدمات نگهداری</t>
  </si>
  <si>
    <t>کیلو گرم</t>
  </si>
  <si>
    <t>گرم</t>
  </si>
  <si>
    <t>1404/05/01</t>
  </si>
  <si>
    <t>گوشت</t>
  </si>
  <si>
    <t>ماهی</t>
  </si>
  <si>
    <t>روغن</t>
  </si>
  <si>
    <t>ساخت استخر جدید</t>
  </si>
  <si>
    <t>1404/02/01</t>
  </si>
  <si>
    <t xml:space="preserve"> خدمات اقامتی آزاد</t>
  </si>
  <si>
    <t>خدمات اقامتی بازنشسته</t>
  </si>
  <si>
    <t>خدمات آبدرمانی آزاد</t>
  </si>
  <si>
    <t>نمایندگی پروازهای داخلی</t>
  </si>
  <si>
    <t>برگزاری تورهای بازنشستگی</t>
  </si>
  <si>
    <t>قرارداد هتل انزلی</t>
  </si>
  <si>
    <t>اتاق</t>
  </si>
  <si>
    <t>قرارداد هتل کیش</t>
  </si>
  <si>
    <t>کمسیون نمایندگی پروازهای خارجی</t>
  </si>
  <si>
    <t>نماینده انحصاری پروازهای داخلی</t>
  </si>
  <si>
    <t>فروش بلیط های چارتری</t>
  </si>
  <si>
    <t>نماینده انحصاری پروازهای اربعین</t>
  </si>
  <si>
    <t>درآمد تور اربعین</t>
  </si>
  <si>
    <t xml:space="preserve">نماینده انحصاری پروازهای خارجی </t>
  </si>
  <si>
    <t>تورهای بازنشستگی</t>
  </si>
  <si>
    <t>هتل انزلی</t>
  </si>
  <si>
    <t>هتل کیش</t>
  </si>
  <si>
    <t xml:space="preserve">کمسیون نماینده انحصاری پروازهای خارجی </t>
  </si>
  <si>
    <t>1404/10/01</t>
  </si>
  <si>
    <t>بازسازی هتل جهانگردی شیراز</t>
  </si>
  <si>
    <t>بازسازی مجتمع جهانگردی میگون</t>
  </si>
  <si>
    <t>فروشگاه</t>
  </si>
  <si>
    <t>طرح ایجاد نیروگاه خورشیدی</t>
  </si>
  <si>
    <t>ایستگاه</t>
  </si>
  <si>
    <t>خرید گیربکس</t>
  </si>
  <si>
    <t>خرید دنده پنیون آسیاب سیمان</t>
  </si>
  <si>
    <t xml:space="preserve">عراق </t>
  </si>
  <si>
    <t>تبلیغات و بازاریابی</t>
  </si>
  <si>
    <t>مقرر شد در خصوص هر یک از برنامه های پیش بینی شده جهت اجرا در سال 1404 ، مجوز های مربوطه از ارکان هلدینگ آتیه صبا و صندوق بازنشستگی کشوری اخذ شود.</t>
  </si>
  <si>
    <t>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گردد.</t>
  </si>
  <si>
    <t>استخدام و تغییر وضعیت نیروی انسانی ممنوع بوده و هرگونه انتصاب و بکارگیری نیروی انسانی مطابق بودجه  مصوب نیز می‌بایست پس از اخذ مجوز لازم از هلدینگ آتیه صبا، مورد اقدام قرار گیرد.</t>
  </si>
  <si>
    <t>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به‌منزله دریافت مجوز جهت انجام آن نخواهد بود و همچنین ارقام مندرج در جدول پیش‌بینی دریافت‏ها و پرداخت‏های نقدی صرفاً به عنوان چارچوب هزینه کرد منابع درج گردیده و حاکی از تأیید آن موضوعات برای شرکت و یا سایر اشخاص حقیقی و حقوقی نمی‏باشد.</t>
  </si>
  <si>
    <t xml:space="preserve">شرکت مکلف است گزارش­های میان دوره­ای و سالیانه برنامه و بودجه را مطابق دستورالعمل اجرایی افشای اطلاعات شرکت‌های تابعه هلدینگ آتیه صبا (ابلاغی مورخ 05/02/1401)، ظرف مهلت مقرر تهیه و افشاء نماید. </t>
  </si>
  <si>
    <t xml:space="preserve"> 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گردد.</t>
  </si>
  <si>
    <t>حمل و نقل عملیاتی و آرایش دپو</t>
  </si>
  <si>
    <t>درآمد ناشی از فروش ضایعات تولیدی</t>
  </si>
  <si>
    <t>درآمد ناشی از فروش ضایعات غیر تولیدی</t>
  </si>
  <si>
    <t xml:space="preserve">حمل و نقل و انبارداري </t>
  </si>
  <si>
    <t xml:space="preserve">ابزارقطعات و لوازم مصرفي </t>
  </si>
  <si>
    <t>متابی سولفیت</t>
  </si>
  <si>
    <t>چاپ و ملزومات</t>
  </si>
  <si>
    <t>هزینه های مشاوره و کارشناسی</t>
  </si>
  <si>
    <t>ضایعات محصول</t>
  </si>
  <si>
    <t>درآمد حاصل از اجاره سیلوها</t>
  </si>
  <si>
    <t>درآمد حمل جوجه یک روزه</t>
  </si>
  <si>
    <t>مقرر شد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گردد.</t>
  </si>
  <si>
    <t xml:space="preserve">سبوس  </t>
  </si>
  <si>
    <t xml:space="preserve">کنجاله آفتابگردان </t>
  </si>
  <si>
    <t>کنجاله کلزا</t>
  </si>
  <si>
    <t>ریز مغذی</t>
  </si>
  <si>
    <t>بازخرید سنوات خدمت کارکنان</t>
  </si>
  <si>
    <t>سایر هزینه های کارکنان</t>
  </si>
  <si>
    <t>اجاره محل و شارژ ساختمان</t>
  </si>
  <si>
    <t>مشاوره و حسابرسی</t>
  </si>
  <si>
    <t>سود حاصل از فروش ملک اقدسیه</t>
  </si>
  <si>
    <t>مواد غذایی و نوشیدنی</t>
  </si>
  <si>
    <t>خرید بلیط چارتری</t>
  </si>
  <si>
    <t>حق العمل کاری فروش آسمان</t>
  </si>
  <si>
    <t>حق المشاوره</t>
  </si>
  <si>
    <t>پوشاک</t>
  </si>
  <si>
    <t>اثاثیه و منصوبات</t>
  </si>
  <si>
    <t>درآمد رستوران و کترینگ</t>
  </si>
  <si>
    <t>سود ناشی از تسعیر دارایی های ارزی عملیاتی</t>
  </si>
  <si>
    <t>زیان ناشی از تسعیر بدهی های ارزی عملیاتی</t>
  </si>
  <si>
    <t>هزینه های جذب نشده در خدمات</t>
  </si>
  <si>
    <t>درآمد آموزش آزاد فراگیر</t>
  </si>
  <si>
    <t>بانک رفاه</t>
  </si>
  <si>
    <t>EP-NSM</t>
  </si>
  <si>
    <t>EP-NSN</t>
  </si>
  <si>
    <t>سایر درآمدهای غیر عملیاتی</t>
  </si>
  <si>
    <t>هزینه واحدهای غیر فعال</t>
  </si>
  <si>
    <t>حمل</t>
  </si>
  <si>
    <t>سایر موارد</t>
  </si>
  <si>
    <t>درآمد حاصل از اجاره شرکت مدیریت و توسعه ملی -  سایر اشخاص</t>
  </si>
  <si>
    <t>درآمد حاصل از اجاره شرکت مدیریت و توسعه ملی -  اشخاص وابسته</t>
  </si>
  <si>
    <t>درآمد اجاره - کفش ملی</t>
  </si>
  <si>
    <t>درآمد حاصل از مولدسازی دارایی ها - بازسازی و اجاره مجتمع چرم آذر</t>
  </si>
  <si>
    <t>درآمد حاصل از مولدسازی دارایی ها - اجاره مجتمع گلوبندک</t>
  </si>
  <si>
    <t>هزینه تجدید ارزیابی دارایی های گروه صنعتی ملی</t>
  </si>
  <si>
    <t>سود ناشی از فروش ضایعات</t>
  </si>
  <si>
    <t>سود حاصل از سپرده های دیداری بانکی</t>
  </si>
  <si>
    <t>سود حاصل از تسعیر ارز بانک های ارزی</t>
  </si>
  <si>
    <t xml:space="preserve">درآمد حاصل از اجاره دفتر تهران </t>
  </si>
  <si>
    <t xml:space="preserve"> سود ناشي از تسعير دارائي و بدهی  ارزي عملیاتی</t>
  </si>
  <si>
    <t>سود ناشی از فروش دارایی های ثابت مشهود</t>
  </si>
  <si>
    <t>فروش ضایعات تولیدی محصولات</t>
  </si>
  <si>
    <t>سود سپرده بانکی کوتاه مدت</t>
  </si>
  <si>
    <t>سود تسعیر ارز وجوه ارزی</t>
  </si>
  <si>
    <t>بانک ملت</t>
  </si>
  <si>
    <t>1402/10/01</t>
  </si>
  <si>
    <t>اجاره ساختمان و زمین</t>
  </si>
  <si>
    <t>سود تسعیر موجودی نقد و بانک</t>
  </si>
  <si>
    <t>تسعیر بدهی ارزی شرکت فولاد صنعت نور</t>
  </si>
  <si>
    <t>قطعات و لوازم یدکی</t>
  </si>
  <si>
    <t>کالای ساخته شده</t>
  </si>
  <si>
    <t>کالای در جریان ساخت</t>
  </si>
  <si>
    <t>کالای امانی</t>
  </si>
  <si>
    <t>کالای بازرگانی / تجاری</t>
  </si>
  <si>
    <t>بهای تمام شده انتسابی دارایی‌های زیستی مولد</t>
  </si>
  <si>
    <t>هزینه‌های سرمایه‌ای تخصیص یافته به دارایی‌های زیستی مولد</t>
  </si>
  <si>
    <t>کالای خریداری شده</t>
  </si>
  <si>
    <t>اضافه (کسر) می‌شود: سایر</t>
  </si>
  <si>
    <t>بهای تمام شده خدمات ارائه شده</t>
  </si>
  <si>
    <t>بهای تمام شده كالاي تجاری (بازرگانی) فروخته شده</t>
  </si>
  <si>
    <t>سرانه پرسنلی مستقیم</t>
  </si>
  <si>
    <t>سرانه پرسنلی پیمانکار</t>
  </si>
  <si>
    <t>دریافتنی‌های بلندمدت</t>
  </si>
  <si>
    <t>جمع دریافتنی‌های بلندمدت</t>
  </si>
  <si>
    <t>پیش‌پرداخت‌ها</t>
  </si>
  <si>
    <t>جمع پیش‌پرداخت‌ها</t>
  </si>
  <si>
    <t>دریافتنی‌های کوتاه‌مدت</t>
  </si>
  <si>
    <t>جمع دریافتنی‌های کوتاه‌مدت</t>
  </si>
  <si>
    <t>پرداختنی‌های بلندمدت</t>
  </si>
  <si>
    <t>جمع پرداختنی‌های بلندمدت</t>
  </si>
  <si>
    <t>پیش‌دریافت‌ها</t>
  </si>
  <si>
    <t>جمع پیش‌دریافت‌‌ها</t>
  </si>
  <si>
    <t>پرداختنی‌های کوتاه‌مدت</t>
  </si>
  <si>
    <t>جمع پرداختنی‌های کوتاه‌مدت</t>
  </si>
  <si>
    <t>وضعیت هزینه‌ای و مالی اجرای برنامه طی دوره</t>
  </si>
  <si>
    <t xml:space="preserve">خريد مواد اوليه طي دوره </t>
  </si>
  <si>
    <t>فروش و ضایعات مواد اولیه طی دوره</t>
  </si>
  <si>
    <t xml:space="preserve">موجودي مواد اوليه در پايان دوره </t>
  </si>
  <si>
    <t xml:space="preserve">بهای تمام شده محصول ساخته شده </t>
  </si>
  <si>
    <t xml:space="preserve">بهای تمام شده محصول توليدي فروخته شده </t>
  </si>
  <si>
    <t>هزينه‌هاي پرسنلي مستقیم توليد</t>
  </si>
  <si>
    <t>هزينه‌هاي پرسنلي غیرمستقیم توليد</t>
  </si>
  <si>
    <t>هزينه‌هاي سربار تولید</t>
  </si>
  <si>
    <t>هزينه‌هاي جذب نشده در تولید</t>
  </si>
  <si>
    <t xml:space="preserve">موجودي در جريان ساخت ابتداي دوره </t>
  </si>
  <si>
    <t xml:space="preserve">موجودي در جريان ساخت پايان دوره  </t>
  </si>
  <si>
    <t xml:space="preserve">موجودي محصول ساخته شده ابتداي دوره </t>
  </si>
  <si>
    <t xml:space="preserve">موجودي محصول ساخته شده پايان دوره </t>
  </si>
  <si>
    <t xml:space="preserve">اضافه (كسر) مي شود: ساير </t>
  </si>
  <si>
    <t>خريد اقلام و نیازهای اوليه طي دوره</t>
  </si>
  <si>
    <t>هزينه‌هاي پرسنلی مستقیم ارائه خدمات</t>
  </si>
  <si>
    <t>هزينه‌هاي پرسنلي غیرمستقیم ارائه خدمات</t>
  </si>
  <si>
    <t>هزينه‌هاي سربار خدمات ارائه شده</t>
  </si>
  <si>
    <t>هزینه‌های جذب نشده در خدمات</t>
  </si>
  <si>
    <t>جمع سایر هزینه‌ها</t>
  </si>
  <si>
    <t xml:space="preserve">خريد كالای تجاری طي دوره </t>
  </si>
  <si>
    <t xml:space="preserve">موجودي كالای تجاری در پايان دوره </t>
  </si>
  <si>
    <t>دارايي‌هاي غيرجاري:</t>
  </si>
  <si>
    <t xml:space="preserve">دارایي‌‎هاي ثابت مشهود </t>
  </si>
  <si>
    <t xml:space="preserve">دارایي‌هاي نامشهود </t>
  </si>
  <si>
    <t xml:space="preserve">سرمايه‌گذاري در املاک </t>
  </si>
  <si>
    <t xml:space="preserve">سرمايه‌گذاري‌هاي بلندمدت </t>
  </si>
  <si>
    <t xml:space="preserve">دریافتنی‌های بلندمدت </t>
  </si>
  <si>
    <t>مخارج قابل بازیافت از منافع بهره‌برداری</t>
  </si>
  <si>
    <t>دارایی‌های زیستی مولد</t>
  </si>
  <si>
    <t>سرمایه‌گذاری در شرکت‌های وابسته</t>
  </si>
  <si>
    <t>سایر دارایی‌ها</t>
  </si>
  <si>
    <t>جمع دارايي‌هاي غيرجاري</t>
  </si>
  <si>
    <t>دارايي‌هاي جاري:</t>
  </si>
  <si>
    <t xml:space="preserve"> پيش‌پرداخت‌ها </t>
  </si>
  <si>
    <t>موجودي مواد و کالا</t>
  </si>
  <si>
    <t>دريافتني‌های تجاري و سایر دریافتنی‌ها</t>
  </si>
  <si>
    <t xml:space="preserve">سرمايه گذاري‌هاي كوتاه مدت </t>
  </si>
  <si>
    <t>موجودي نقد و بانک</t>
  </si>
  <si>
    <t>دارایی‌‎های غیرجاری نگهداری شده برای فروش</t>
  </si>
  <si>
    <t>دارایی‌های زیستی غیرمولد</t>
  </si>
  <si>
    <t>جمع دارايي‌هاي جاري</t>
  </si>
  <si>
    <t>جمع دارايي‌ها</t>
  </si>
  <si>
    <t xml:space="preserve">ساير اندوخته‌ها </t>
  </si>
  <si>
    <t xml:space="preserve">سود (زیان) انباشته </t>
  </si>
  <si>
    <t>مازاد تجدید ارزیابی دارایی‌ها</t>
  </si>
  <si>
    <t>بدهي‌هاي غير‌جاري:</t>
  </si>
  <si>
    <t>تسهیلات مالی بلندمدت</t>
  </si>
  <si>
    <t>سهم‌الشرکه مشارکت</t>
  </si>
  <si>
    <t>جمع بدهي‌های غیرجاری</t>
  </si>
  <si>
    <t>بدهي‌هاي جاري:</t>
  </si>
  <si>
    <t xml:space="preserve">پرداختنی‌های تجاری و سایر پرداختنی‌ها  </t>
  </si>
  <si>
    <t xml:space="preserve">پيش‌دريافت‌ها </t>
  </si>
  <si>
    <t>تسهیلات مالی کوتاه‌مدت</t>
  </si>
  <si>
    <t>سهم‌الشرکه مشارکت حصه جاری</t>
  </si>
  <si>
    <t>بدهی‌های مرتبط با دارایی غیرجاری نگهداری شده برای فروش</t>
  </si>
  <si>
    <t>جمع بدهي‌های جاری</t>
  </si>
  <si>
    <t>جمع بدهی‌ها</t>
  </si>
  <si>
    <t>جمع بدهی‌ها و حقوق مالکانه</t>
  </si>
  <si>
    <t>هزینه نگهداری و بهره‌برداری</t>
  </si>
  <si>
    <t xml:space="preserve">هزينه‌هاي اداري ، توزيع و فروش </t>
  </si>
  <si>
    <t>خالص منافع بهره‌برداری عملیاتی</t>
  </si>
  <si>
    <t xml:space="preserve">هزينه‌هاي مالي </t>
  </si>
  <si>
    <t xml:space="preserve">خالص ساير درآمدهای (هزينه‌هاي) غيرعملياتي </t>
  </si>
  <si>
    <t xml:space="preserve">سود (زيان) عملياتي </t>
  </si>
  <si>
    <t xml:space="preserve">سود (زيان) ناويژه </t>
  </si>
  <si>
    <t xml:space="preserve">هزينه‌هاي اداري، توزيع و فروش </t>
  </si>
  <si>
    <t xml:space="preserve">خالص ساير درآمدهای (‌هزينه‌هاي) غيرعملياتي </t>
  </si>
  <si>
    <t>سود (زيان) خالص قبل از مالیات</t>
  </si>
  <si>
    <t>هر واحد محصول ( فروش رفته)</t>
  </si>
  <si>
    <t>سود (زیان) ناویژه</t>
  </si>
  <si>
    <t>هر واحد کالای تجاری (فروش رفته)</t>
  </si>
  <si>
    <t xml:space="preserve">بهای فروش </t>
  </si>
  <si>
    <t>هر واحد کالای صادراتی (فروش رفته)</t>
  </si>
  <si>
    <t>هر واحد خدمت (ارائه شده)</t>
  </si>
  <si>
    <t xml:space="preserve">دارايي‌هاي نامشهود </t>
  </si>
  <si>
    <t>جمع دارایی‌های ثابت مشهود</t>
  </si>
  <si>
    <t xml:space="preserve">1- سايردرآمدهاي عملياتي: </t>
  </si>
  <si>
    <t xml:space="preserve">2- ساير هزينه‌هاي عملياتي: </t>
  </si>
  <si>
    <t>جمع ساير هزينه‌هاي عملياتي</t>
  </si>
  <si>
    <t>جمع ساير هزينه‌هاي غیرعملياتي</t>
  </si>
  <si>
    <t>خالص درآمدهای / هزینه‌های غیرعملیاتی</t>
  </si>
  <si>
    <t>خالص درآمدهای / هزینه‌های عملیاتی</t>
  </si>
  <si>
    <t>نرخ متوسط به ریال</t>
  </si>
  <si>
    <t>هزینه‌های بهره‌برداری</t>
  </si>
  <si>
    <t>هزینه‌های نگهداری</t>
  </si>
  <si>
    <t>هزینه‌های بهسازی</t>
  </si>
  <si>
    <t>جمع هزینه‌ها</t>
  </si>
  <si>
    <t>سرمایه‌گذاری اولیه</t>
  </si>
  <si>
    <t>بودجه درصد اجرای 3 ماهه</t>
  </si>
  <si>
    <t>بودجه درصد اجرای 6 ماهه</t>
  </si>
  <si>
    <t>بودجه هزینه اجرای سه ماهه</t>
  </si>
  <si>
    <t>بودجه هزینه اجرای 6 ماهه</t>
  </si>
  <si>
    <t>درآمد حاصل از سرمایه‌گذاری سه ماهه</t>
  </si>
  <si>
    <t>درآمد حاصل از سرمایه‌گذاری 6 ماهه</t>
  </si>
  <si>
    <t>درآمد حاصل از سرمایه‌گذاری</t>
  </si>
  <si>
    <t>مقدار فروش داخلی تولیدی سه ماهه</t>
  </si>
  <si>
    <t>مقدار فروش داخلی تولیدی 6 ماهه</t>
  </si>
  <si>
    <t>نرخ فروش داخلی تولیدی سه ماهه</t>
  </si>
  <si>
    <t>نرخ فروش داخلی تولیدی 6 ماهه</t>
  </si>
  <si>
    <t>مقدار فروش داخلی تجاری سه ماهه</t>
  </si>
  <si>
    <t>مقدار فروش داخلی تجاری 6 ماهه</t>
  </si>
  <si>
    <t>نرخ فروش داخلی تجاری سه ماهه</t>
  </si>
  <si>
    <t>نرخ فروش داخلی تجاری 6 ماهه</t>
  </si>
  <si>
    <t>مقدار عوارض سه ماهه</t>
  </si>
  <si>
    <t>مقدار عوارض 6 ماهه</t>
  </si>
  <si>
    <t>نرخ عوارض سه ماهه</t>
  </si>
  <si>
    <t>نرخ عوارض 6 ماهه</t>
  </si>
  <si>
    <t>مقدار درآمد خدمات سه ماهه</t>
  </si>
  <si>
    <t>مقدار درآمد خدمات 6 ماهه</t>
  </si>
  <si>
    <t>نرخ درآمد خدمات سه ماهه</t>
  </si>
  <si>
    <t>نرخ درآمد خدمات 6 ماهه</t>
  </si>
  <si>
    <t>واحد سنجش صادراتی</t>
  </si>
  <si>
    <t>مقدار صادرات 3 ماهه</t>
  </si>
  <si>
    <t>مقدار صادرات 6 ماهه</t>
  </si>
  <si>
    <t>نرخ صادرات 3 ماهه</t>
  </si>
  <si>
    <t>نرخ صادرات 6 ماهه</t>
  </si>
  <si>
    <t>مقدار تولید 3 ماهه</t>
  </si>
  <si>
    <t>مقدار تولید 6 ماهه</t>
  </si>
  <si>
    <t>مقدار موجودی محصول درابتدای سال</t>
  </si>
  <si>
    <t>مقدار موجودی محصول در پایان دوره</t>
  </si>
  <si>
    <t>مقدار خرید مواد 3 ماهه</t>
  </si>
  <si>
    <t>مقدار خرید مواد 6 ماهه</t>
  </si>
  <si>
    <t>نرخ خرید مواد 3 ماهه</t>
  </si>
  <si>
    <t>نرخ خرید مواد 6 ماهه</t>
  </si>
  <si>
    <t>مقدار مصرف مواد 3 ماهه</t>
  </si>
  <si>
    <t>مقدار مصرف مواد 6 ماهه</t>
  </si>
  <si>
    <t>نرخ مصرف مواد 3 ماهه</t>
  </si>
  <si>
    <t>نرخ مصرف مواد 6 ماهه</t>
  </si>
  <si>
    <t>هزینه پرسنلی مستقیم تولید 3 ماهه</t>
  </si>
  <si>
    <t>هزینه پرسنلی مستقیم تولید 6 ماهه</t>
  </si>
  <si>
    <t>اضافه پرسنلی مستقیم تولید 3 ماهه</t>
  </si>
  <si>
    <t>اضافه پرسنلی مستقیم تولید 6 ماهه</t>
  </si>
  <si>
    <t>هزینه پرسنلی غیرمستقیم تولید 3 ماهه</t>
  </si>
  <si>
    <t>هزینه پرسنلی غیرمستقیم تولید 6 ماهه</t>
  </si>
  <si>
    <t>اضافه پرسنلی غیرمستقیم تولید 3 ماهه</t>
  </si>
  <si>
    <t>اضافه پرسنلی غیرمستقیم تولید 6 ماهه</t>
  </si>
  <si>
    <t>اضافه (کسر) مي‌شود: ساير</t>
  </si>
  <si>
    <t>هزینه سربار تولید 3 ماهه</t>
  </si>
  <si>
    <t>هزینه سربار تولید 6 ماهه</t>
  </si>
  <si>
    <t>اضافه سربار تولید 3 ماهه</t>
  </si>
  <si>
    <t>اضافه سربار تولید 6 ماهه</t>
  </si>
  <si>
    <t>موجودی مواد اول دوره تولید</t>
  </si>
  <si>
    <t>فروش مواد و پایان دوره تولید 3 ماهه</t>
  </si>
  <si>
    <t>فروش مواد و پایان دوره تولید 6 ماهه</t>
  </si>
  <si>
    <t>انتساب و سرمایه ای بهای تولید 3 ماهه</t>
  </si>
  <si>
    <t>انتساب و سرمایه ای بهای تولید 6 ماهه</t>
  </si>
  <si>
    <t>موجودی در جریان و کالای خریداری شده بهای تولید 3 ماهه</t>
  </si>
  <si>
    <t>موجودی در جریان و کالای خریداری شده بهای تولید 6 ماهه</t>
  </si>
  <si>
    <t>موجودی و اضافه بهای تولید 3 ماهه</t>
  </si>
  <si>
    <t>موجودی و اضافه بهای تولید 6 ماهه</t>
  </si>
  <si>
    <t>مقادیر خدمات 3 ماهه</t>
  </si>
  <si>
    <t>مقادیر خدمات 6 ماهه</t>
  </si>
  <si>
    <t>واحد 
سنجش</t>
  </si>
  <si>
    <t>مقدار خرید مواد اولیه خدمات 3 ماهه</t>
  </si>
  <si>
    <t>مقدار خرید مواد اولیه خدمات 6 ماهه</t>
  </si>
  <si>
    <t>نرخ خرید مواد اولیه خدمات 3 ماهه</t>
  </si>
  <si>
    <t>نرخ خرید مواد اولیه خدمات 6 ماهه</t>
  </si>
  <si>
    <t>شرح هزینه پرسنلی مستقیم خدمات</t>
  </si>
  <si>
    <t xml:space="preserve"> هزینه پرسنلی مستقیم خدمات 3 ماهه</t>
  </si>
  <si>
    <t xml:space="preserve"> هزینه پرسنلی مستقیم خدمات 6 ماهه</t>
  </si>
  <si>
    <t>اضافه مستقیم خدمات 3 ماهه</t>
  </si>
  <si>
    <t>اضافه مستقیم خدمات 6 ماهه</t>
  </si>
  <si>
    <t>شرح پرسنلی غیرمستقیم خدمات</t>
  </si>
  <si>
    <t xml:space="preserve"> پرسنلی غیرمستقیم خدمات 3 ماهه</t>
  </si>
  <si>
    <t xml:space="preserve"> پرسنلی غیرمستقیم خدمات 6 ماهه</t>
  </si>
  <si>
    <t>اضافه  پرسنلی غیرمستقیم خدمات 3 ماهه</t>
  </si>
  <si>
    <t>اضافه پرسنلی غیرمستقیم خدمات 6 ماهه</t>
  </si>
  <si>
    <t>شرح هزینه سربار خدمات</t>
  </si>
  <si>
    <t>هزینه سربار خدمات 3 ماهه</t>
  </si>
  <si>
    <t>هزینه سربار خدمات 6 ماهه</t>
  </si>
  <si>
    <t>اضافه هزینه سربار خدمات 3 ماهه</t>
  </si>
  <si>
    <t>اضافه هزینه سربار خدمات 6 ماهه</t>
  </si>
  <si>
    <t>موجودی اقلام اول دوه</t>
  </si>
  <si>
    <t>فروش و پایان دوره اقلام 3 ماهه</t>
  </si>
  <si>
    <t>فروش و پایان دوره اقلام 6 ماهه</t>
  </si>
  <si>
    <t>اضافه بهای خدمات  3 ماهه</t>
  </si>
  <si>
    <t>اضافه بهای خدمات  6 ماهه</t>
  </si>
  <si>
    <t>شرح پرسنلی نگهداری</t>
  </si>
  <si>
    <t>شرح سایر نگهداری</t>
  </si>
  <si>
    <t>پرسنلی نگهداری 3 ماهه</t>
  </si>
  <si>
    <t>پرسنلی نگهداری 6 ماهه</t>
  </si>
  <si>
    <t>سایر نگهداری 3 ماهه</t>
  </si>
  <si>
    <t>سایر نگهداری 6 ماهه</t>
  </si>
  <si>
    <t>اضافه نگهداری 3 ماهه</t>
  </si>
  <si>
    <t>اضافه نگهداری 6 ماهه</t>
  </si>
  <si>
    <t>شرح پرسنلی بهره برداری</t>
  </si>
  <si>
    <t>پرسنلی بهره برداری 3 ماهه</t>
  </si>
  <si>
    <t>پرسنلی بهره برداری 6 ماهه</t>
  </si>
  <si>
    <t>شرح سایر بهره برداری</t>
  </si>
  <si>
    <t>سایر بهره برداری 3 ماهه</t>
  </si>
  <si>
    <t>سایر بهره برداری 6 ماهه</t>
  </si>
  <si>
    <t>اضافه بهره برداری 3 ماهه</t>
  </si>
  <si>
    <t>اضافه بهره برداری 6 ماهه</t>
  </si>
  <si>
    <t>شرح پرسنلی بهسازی</t>
  </si>
  <si>
    <t>پرسنلی بهسازی 3 ماهه</t>
  </si>
  <si>
    <t>پرسنلی بهسازی 6 ماهه</t>
  </si>
  <si>
    <t>شرح سایر بهسازی</t>
  </si>
  <si>
    <t>سایر بهسازی 3 ماهه</t>
  </si>
  <si>
    <t>سایر بهسازی 6 ماهه</t>
  </si>
  <si>
    <t>اضافه بهسازی 3 ماهه</t>
  </si>
  <si>
    <t>اضافه بهسازی 6 ماهه</t>
  </si>
  <si>
    <t>مقدار خرید تجاری 3 ماهه</t>
  </si>
  <si>
    <t>مقدار خرید تجاری 6 ماهه</t>
  </si>
  <si>
    <t>نرخ خرید تجاری 3 ماهه</t>
  </si>
  <si>
    <t>نرخ خرید تجاری 6 ماهه</t>
  </si>
  <si>
    <t>مصرف داخلی و ضایعات</t>
  </si>
  <si>
    <t>بودجه فروش طی دوره مورد رسیدگی سال جاری</t>
  </si>
  <si>
    <t>مصرف و استفاده داخلی و ضایعات</t>
  </si>
  <si>
    <t>مقدار فروش تجاری (بهای تمام شده) 3 ماهه</t>
  </si>
  <si>
    <t>مقدار فروش تجاری (بهای تمام شده) 6 ماهه</t>
  </si>
  <si>
    <t>نرخ فروش تجاری (بهای تمام شده) 3 ماهه</t>
  </si>
  <si>
    <t>نرخ فروش تجاری (بهای تمام شده) 6 ماهه</t>
  </si>
  <si>
    <t>کالای تجاری اول دوره</t>
  </si>
  <si>
    <t>موجودی تجاری پایان دوره و مصرف داخلی 3 ماهه</t>
  </si>
  <si>
    <t>موجودی تجاری پایان دوره و مصرف داخلی 6 ماهه</t>
  </si>
  <si>
    <t>هزینه پرسنل پیمانکار</t>
  </si>
  <si>
    <t>رسمی آزادراه 3 ماهه</t>
  </si>
  <si>
    <t>قراردادی آزادراه 3 ماهه</t>
  </si>
  <si>
    <t>پیمانکار آزادراه 3 ماهه</t>
  </si>
  <si>
    <t>رسمی آزادراه 6 ماهه</t>
  </si>
  <si>
    <t>قراردادی آزادراه 6 ماهه</t>
  </si>
  <si>
    <t>پیمانکار آزادراه 6 ماهه</t>
  </si>
  <si>
    <t>رسمی  3 ماهه</t>
  </si>
  <si>
    <t>قراردادی  3 ماهه</t>
  </si>
  <si>
    <t>پیمانکار  3 ماهه</t>
  </si>
  <si>
    <t>رسمی  6 ماهه</t>
  </si>
  <si>
    <t>قراردادی  6 ماهه</t>
  </si>
  <si>
    <t>پیمانکار  6 ماهه</t>
  </si>
  <si>
    <t xml:space="preserve">سرمايه‌گذاري‌هاي كوتاه مدت </t>
  </si>
  <si>
    <t>شرح دریافتنی بلند مدت</t>
  </si>
  <si>
    <t>شرح پیش پرداخت ها</t>
  </si>
  <si>
    <t>شرح دریافتنی کوتاه مدت</t>
  </si>
  <si>
    <t>شرح پرداختنی بلند مدت</t>
  </si>
  <si>
    <t>شرح پیش دریافت ها</t>
  </si>
  <si>
    <t>شرح پرداختنی کوتاه مدت</t>
  </si>
  <si>
    <t>هزینه مالی آزادراه</t>
  </si>
  <si>
    <t>سود و زیان شرکت اصلی 3 ماهه</t>
  </si>
  <si>
    <t>سود و زیان شرکت اصلی 6 ماهه</t>
  </si>
  <si>
    <t>شرح دریافت پرداخت آزادراه</t>
  </si>
  <si>
    <t>دریافت پرداخت آزادراه 3 ماهه</t>
  </si>
  <si>
    <t>دریافت پرداخت آزادراه 6 ماهه</t>
  </si>
  <si>
    <t xml:space="preserve">حق دسترسی </t>
  </si>
  <si>
    <t>وزارت راه</t>
  </si>
  <si>
    <t>آتیه صبا</t>
  </si>
  <si>
    <t xml:space="preserve">اوراق مشارکت </t>
  </si>
  <si>
    <t>فروش حق دسترسی</t>
  </si>
  <si>
    <t>تجهیزات ایمنی</t>
  </si>
  <si>
    <t>تامین اجتماعی</t>
  </si>
  <si>
    <t>خرید تجهیزات</t>
  </si>
  <si>
    <t>مشاوران</t>
  </si>
  <si>
    <t>تملک</t>
  </si>
  <si>
    <t>تاسیسات</t>
  </si>
  <si>
    <t>طراحان البرز</t>
  </si>
  <si>
    <t>سایر پیمانکاران</t>
  </si>
  <si>
    <t>سایر کارهای باقیمانده</t>
  </si>
  <si>
    <t>اثاثه</t>
  </si>
  <si>
    <t>هزینه‌های پرسنلی</t>
  </si>
  <si>
    <t>هزینه‌های سربار</t>
  </si>
  <si>
    <t>حقوق و دستمزد و سایر هزینه‌های پرسنلی</t>
  </si>
  <si>
    <t>نام طلبکار</t>
  </si>
  <si>
    <t>درآمد حاصل از ارائه خدمات</t>
  </si>
  <si>
    <t>شرکت سرمایه‌گذاری آتیه صبا</t>
  </si>
  <si>
    <t>نوع سرمایه‌گذاری</t>
  </si>
  <si>
    <t>سایر هزینه بهره‌برداری</t>
  </si>
  <si>
    <t>پرداخت به سرمایه‌گذار</t>
  </si>
  <si>
    <t xml:space="preserve">سایر ورودی‌های عملیاتی </t>
  </si>
  <si>
    <t>فروش سرمایه‌گذاری</t>
  </si>
  <si>
    <t>دریافتی بابت درآمدهای اصلی</t>
  </si>
  <si>
    <t>سایر طلبکاران</t>
  </si>
  <si>
    <t xml:space="preserve">سایر پرداختی‌های عملیاتی </t>
  </si>
  <si>
    <t>سرمایه‌گذاری جدید</t>
  </si>
  <si>
    <t>ماشین‌آلات</t>
  </si>
  <si>
    <t>سایر هزینه‌های غیرعملیاتی</t>
  </si>
  <si>
    <t>سایر هزینه‌های عملیاتی</t>
  </si>
  <si>
    <t>سایر خروجی‌ها</t>
  </si>
  <si>
    <t>خرید مواد اولیه و
لوازم بسته‌بندی</t>
  </si>
  <si>
    <t xml:space="preserve">بابت مشتریان اجاره تابلوهای تبلیغاتی </t>
  </si>
  <si>
    <t>اجاره تابلوهای تبلیغاتی</t>
  </si>
  <si>
    <t>خودرو آریو</t>
  </si>
  <si>
    <t>سود ناشی از فروش دارایی ثابت</t>
  </si>
  <si>
    <t>سود ناشی از فروش سرمایه گذاری</t>
  </si>
  <si>
    <t>شرکت سرمایه گذاری گروه توسعه ملی</t>
  </si>
  <si>
    <t>بیمه نامه تکمیلی و ...</t>
  </si>
  <si>
    <t>مالیات حقوق 1401</t>
  </si>
  <si>
    <t>بابت سپرده سرمایه‌گذاری کوتاه‌مدت</t>
  </si>
  <si>
    <t>شرح دریافت پرداخت</t>
  </si>
  <si>
    <t>دریافت پرداخت 3 ماهه</t>
  </si>
  <si>
    <t>دریافت پرداخت 6 ماهه</t>
  </si>
  <si>
    <t>درآمد حاصل از سرمایه گذاری</t>
  </si>
  <si>
    <t>مازاد انبارگردانی</t>
  </si>
  <si>
    <t>سود تسعير صندوق و حساب های ارزی</t>
  </si>
  <si>
    <t>سود خالص از سایر اوراق بهادار و سپرده های سرمایه گذاری</t>
  </si>
  <si>
    <t>درآمد حاصل از مهمانسرا</t>
  </si>
  <si>
    <t>جرائم دریافتی از مشتریان</t>
  </si>
  <si>
    <t>درآمد حاصل از فروش املاک</t>
  </si>
  <si>
    <t>مواد اولیه ، قطعات و لوازم بسته بندی</t>
  </si>
  <si>
    <t>سربار تولید و خدمات</t>
  </si>
  <si>
    <t>زیان تسعیر حساب های پرداختنی ارزی</t>
  </si>
  <si>
    <t>هزینه ناشی از ضایعات تولیدی</t>
  </si>
  <si>
    <t>کسری انبارگردانی</t>
  </si>
  <si>
    <t>هزینه تنخواه‌ها، عملیات حقوقی ، حسابرس و ...</t>
  </si>
  <si>
    <t>انرژی</t>
  </si>
  <si>
    <t>پیمانکاران ، هزینه حمل و سایر</t>
  </si>
  <si>
    <t>هزینه سنوات طرح طبقه بندی + تسویه اقتصاد نوین</t>
  </si>
  <si>
    <t>عملکرد دوره مشابه
سال قبل</t>
  </si>
  <si>
    <t>سود حاصل از سپرده های بانکی</t>
  </si>
  <si>
    <t>سود حاصل از فروش ضایعات</t>
  </si>
  <si>
    <t>هزینه جرائم مالیات عملکرد سال 1396</t>
  </si>
  <si>
    <t>سپرده بانکی</t>
  </si>
  <si>
    <t>درآمد حاصل از ارائه خدمات به شرکت بیمه‌گر</t>
  </si>
  <si>
    <t>حق نظارت و محوطه</t>
  </si>
  <si>
    <t>سهم گروه از سود شرکت های وابسته</t>
  </si>
  <si>
    <t>تسهیلات - بانک ملی تسهیلات خرید تجهیزات</t>
  </si>
  <si>
    <t>حقوق و دستمزد کارکنان پارکینگ</t>
  </si>
  <si>
    <t>بیمه کارآفرین</t>
  </si>
  <si>
    <t>بیمه ملت</t>
  </si>
  <si>
    <t>بیمه رازی</t>
  </si>
  <si>
    <t>پیش پرداخت مشتریان</t>
  </si>
  <si>
    <t>دارایی ثابت مشهود</t>
  </si>
  <si>
    <t>دارایی نامشهود</t>
  </si>
  <si>
    <t>اصل و بهره - تسهیلات خرید تجهیزات</t>
  </si>
  <si>
    <t>هزینه‌های مرتبط با پرونده‌های حقوقی در جریان</t>
  </si>
  <si>
    <t>وسایط نقلیه</t>
  </si>
  <si>
    <t>وسائط نقلیه</t>
  </si>
  <si>
    <t>آذین آوران</t>
  </si>
  <si>
    <t>صرافی فرید</t>
  </si>
  <si>
    <t>پویا ساروی</t>
  </si>
  <si>
    <t>بازرگانی صندوق بازنشستگی کشوری(اشخاص وابسته)</t>
  </si>
  <si>
    <t>فروش ملک شیروان و استرداد مالیات1400</t>
  </si>
  <si>
    <t>کالای صادراتی</t>
  </si>
  <si>
    <t>هزینه ضایعات</t>
  </si>
  <si>
    <t xml:space="preserve"> الوان پرواز جوان قشم</t>
  </si>
  <si>
    <t>خرید پمپ دیگ بخار</t>
  </si>
  <si>
    <t>دستگاه کاروش</t>
  </si>
  <si>
    <t>اثاثه و منصوبات اداری</t>
  </si>
  <si>
    <t>بهره وام بانک رفاه</t>
  </si>
  <si>
    <t>خبرگزاری فارس و سایر</t>
  </si>
  <si>
    <t>پرشین گلف</t>
  </si>
  <si>
    <t>قرارداد بازنشستگان پرشین گلف</t>
  </si>
  <si>
    <t>شهرداری اراک</t>
  </si>
  <si>
    <t>پیش دریافت بابت احداث استخر جدید</t>
  </si>
  <si>
    <t>رهن دو باب ویلا</t>
  </si>
  <si>
    <t>تاکسی سهند</t>
  </si>
  <si>
    <t>مواد غذایی گلچین</t>
  </si>
  <si>
    <t>زلقی-پیمانکار رستوران</t>
  </si>
  <si>
    <t>نوشیدنی محمدعلی</t>
  </si>
  <si>
    <t>گوشت لرزاده</t>
  </si>
  <si>
    <t>نرم افزار و نامشهود</t>
  </si>
  <si>
    <t>اثاثیه</t>
  </si>
  <si>
    <t xml:space="preserve">شرکت راهسازی عمران </t>
  </si>
  <si>
    <t>آزاد را ه امیرکبیر</t>
  </si>
  <si>
    <t xml:space="preserve">شهرداری رباط کریم </t>
  </si>
  <si>
    <t xml:space="preserve">شرکت ملی ساختمان </t>
  </si>
  <si>
    <t>کسر و اضافه انبار</t>
  </si>
  <si>
    <t>درآمد اجاره قرارداد 4440</t>
  </si>
  <si>
    <t>درآمد اجاره قرارداد 4441</t>
  </si>
  <si>
    <t xml:space="preserve">سایر موارد </t>
  </si>
  <si>
    <t xml:space="preserve">شرکت آزادراه شرق سپاهان </t>
  </si>
  <si>
    <t>شرکت آزاد راه امیرکبیر</t>
  </si>
  <si>
    <t>حمل و بارگیری</t>
  </si>
  <si>
    <t>درآمد حاصل از سود سپرده های بانکی</t>
  </si>
  <si>
    <t>درآمد حاصل از سپرده شرکت در مناقصه سود حاصل از فروش داراییهای ثابت مشهود سایر</t>
  </si>
  <si>
    <t xml:space="preserve">فروش ضایعات </t>
  </si>
  <si>
    <t xml:space="preserve">هزینه اجاره مالیات </t>
  </si>
  <si>
    <t xml:space="preserve">سازمان تامین اجتماعی </t>
  </si>
  <si>
    <t xml:space="preserve">پرونده حقوقی آقای عموشاهی </t>
  </si>
  <si>
    <t>شرکت سازه گستر مدحت</t>
  </si>
  <si>
    <t xml:space="preserve"> سورنا برج آبتین</t>
  </si>
  <si>
    <t>شرکت توان تدبیر نقش جهان</t>
  </si>
  <si>
    <t xml:space="preserve">شرکت نگین نیرو </t>
  </si>
  <si>
    <t>شرکت آرمان تجارت آرون</t>
  </si>
  <si>
    <t>مؤسسه حسابرسی پیشداد اندیشه مهرگان</t>
  </si>
  <si>
    <t>سایر بستانکاران (فروشگاهها)</t>
  </si>
  <si>
    <t xml:space="preserve">شرکت آداک سازه </t>
  </si>
  <si>
    <t xml:space="preserve">شرکت بنیاد بتن </t>
  </si>
  <si>
    <t>شرکت رادین پیشرو رایکا</t>
  </si>
  <si>
    <t xml:space="preserve">تسویه حساب کارکنان </t>
  </si>
  <si>
    <t xml:space="preserve">تاسیسات </t>
  </si>
  <si>
    <t xml:space="preserve">ابزار آلات </t>
  </si>
  <si>
    <t xml:space="preserve">بانک ملت </t>
  </si>
  <si>
    <t xml:space="preserve">بانک اقتصاد نوین </t>
  </si>
  <si>
    <t xml:space="preserve">هزینه های دیرکرد و جرایم </t>
  </si>
  <si>
    <t>درآمد حاصل از ارائه خدمات (داخلی)</t>
  </si>
  <si>
    <t>فروش كالای تجاری (داخلی)</t>
  </si>
  <si>
    <t>فروش محصولات توليدي (داخلی)</t>
  </si>
  <si>
    <t>مالیات و عوارض فروش بلیط- واریزی سایر شرکتها</t>
  </si>
  <si>
    <t>درآمدخدمات فنی وهندلینگ</t>
  </si>
  <si>
    <t>سایربدهکاران</t>
  </si>
  <si>
    <t>پیش دریافت</t>
  </si>
  <si>
    <t>سایر درامدهای عملیاتی(اجاره لوازم یدکی وقطعات مصرفی)</t>
  </si>
  <si>
    <t>سپرده آژانس ها</t>
  </si>
  <si>
    <t>سایر ورودی‏های عملیاتی</t>
  </si>
  <si>
    <t>خسارت دریافتی از بیمه(مطابق با قراردادها)</t>
  </si>
  <si>
    <t>سایر درامدهای غیرعملیاتی</t>
  </si>
  <si>
    <t>استرداد وجه</t>
  </si>
  <si>
    <t>زیان کاهش ارزش دریافتنی‌ها</t>
  </si>
  <si>
    <t>شارژتنخواه گردانها بابت پرداخت به سایربستانکاران</t>
  </si>
  <si>
    <t>سپرده بیمه-حسن انجام کار</t>
  </si>
  <si>
    <t>عوارض مسافری</t>
  </si>
  <si>
    <t>خرید وتعمیرموتور ولندینگ گیر  هواپیما</t>
  </si>
  <si>
    <t>خرید وتعمیر قطعات فنی هواپیما</t>
  </si>
  <si>
    <t>خریداموال</t>
  </si>
  <si>
    <t>داراییهای ثابت درجریان تکمیل</t>
  </si>
  <si>
    <t>حقوق رییس ایستگاه استانبول-حق الوکاله پرونده سماتراول</t>
  </si>
  <si>
    <t>سایر کالای تجاری</t>
  </si>
  <si>
    <t>مواد اولیه و لوازم بسته‌بندی</t>
  </si>
  <si>
    <t>سایر مواد اولیه و لوازم بسته‌بندی</t>
  </si>
  <si>
    <t>سایر پرداختنی های عملیاتی</t>
  </si>
  <si>
    <t>سایر (کافی شاپ، لاندری و ...)</t>
  </si>
  <si>
    <t>سود  ناشی از فروش دارایی های ثابت مشهود</t>
  </si>
  <si>
    <t xml:space="preserve">سودحاصل از سپرده سرمايه‌گذاري بانکی </t>
  </si>
  <si>
    <t xml:space="preserve">سود تسعير داراییهای ارزی </t>
  </si>
  <si>
    <t>فروش هتل های کویر بیرجند و تفرش</t>
  </si>
  <si>
    <t xml:space="preserve">دارایی ثابت مشهود </t>
  </si>
  <si>
    <t>دارایی ثابت نامشهود</t>
  </si>
  <si>
    <t>هلدینگ آتیه صبا</t>
  </si>
  <si>
    <t>هلدینگ رفاه وگردشگری تامین</t>
  </si>
  <si>
    <t>وصول از محل فروش اعتباری</t>
  </si>
  <si>
    <t>وصول مطالبات اشخاص حقیقی</t>
  </si>
  <si>
    <t>ودیعه اجاره املاک گلوبندک و چرم آذر</t>
  </si>
  <si>
    <t>پیش دریافت فروش بن (حواله موسسات)</t>
  </si>
  <si>
    <t>اجاره ملک چرم آذر</t>
  </si>
  <si>
    <t>اجاره ملک گلوبندک</t>
  </si>
  <si>
    <t>سود سرمایه گذاری سهام</t>
  </si>
  <si>
    <t>سود صندوق درآمد ثابت</t>
  </si>
  <si>
    <t>سایر درآمد های عملیاتی</t>
  </si>
  <si>
    <t>سود سایر سرمایه گذاری ها</t>
  </si>
  <si>
    <t>مالیات بر ارزش افزوده</t>
  </si>
  <si>
    <t>سود ناشی از فروش دارایی ها</t>
  </si>
  <si>
    <t>سایر درآمدهای غیرعملیاتی- شرکت توسعه ملی</t>
  </si>
  <si>
    <t>ملزومات</t>
  </si>
  <si>
    <t>کارمزد خرید سهام و صندوق</t>
  </si>
  <si>
    <t>وصول اسناد پرداختنی</t>
  </si>
  <si>
    <t>تامین کنندگان</t>
  </si>
  <si>
    <t>سپرده گذاری بانکی</t>
  </si>
  <si>
    <t>سرمایه گذاری سهام</t>
  </si>
  <si>
    <t>صندوق درآمد ثابت</t>
  </si>
  <si>
    <t>بازسازی و نوسازی</t>
  </si>
  <si>
    <t>سود تسهیلات</t>
  </si>
  <si>
    <t>تسویه مالیات سنوات قبل (شرکت فرعی کفش ملی)</t>
  </si>
  <si>
    <t>سود ناشی از تسعیر دارایی های ارزی مرتبط با عملیات</t>
  </si>
  <si>
    <t xml:space="preserve">بانک تجارت </t>
  </si>
  <si>
    <t xml:space="preserve">تسهیلات بانک صنعت و معدن </t>
  </si>
  <si>
    <t xml:space="preserve">دریافتی از اتیه صبا </t>
  </si>
  <si>
    <t>کسر و اضافه انبار گردانی</t>
  </si>
  <si>
    <t xml:space="preserve">فروش وسایط نقلیه </t>
  </si>
  <si>
    <t xml:space="preserve">خرید مواد اولیه </t>
  </si>
  <si>
    <t>خرید مواد بسته بندی</t>
  </si>
  <si>
    <t xml:space="preserve">آتیه صبا </t>
  </si>
  <si>
    <t xml:space="preserve">کرایه حمل </t>
  </si>
  <si>
    <t xml:space="preserve">نیروگاه خورشیدی -گریبکس -ماشین الات سنگین--دنده پنینون </t>
  </si>
  <si>
    <t xml:space="preserve">بدهی به آتیه صبا </t>
  </si>
  <si>
    <t>عدم تصویب</t>
  </si>
  <si>
    <t>برگشت زیان کاهش ارزش سرمایه گذاری ها</t>
  </si>
  <si>
    <t>سود ناشی از فروش دارایی های ثابت مشهود و دارایی نگهداری شده برای فروش</t>
  </si>
  <si>
    <t>سود حاصل از فروش دارایی های زیستی مولد</t>
  </si>
  <si>
    <t>سود تسعیر ارز موجودی نقد</t>
  </si>
  <si>
    <t xml:space="preserve"> زیان  ناشي از تسعير دارائي و بدهی  ارزي عملیاتی</t>
  </si>
  <si>
    <t>زیان کاهش ارزش دارایی ها</t>
  </si>
  <si>
    <t>هزینه رفع تعهد ارزی</t>
  </si>
  <si>
    <t>پرداخت های نقدی بابت سایر دارایی ها</t>
  </si>
  <si>
    <t>پرداخت های نقدی بابت خرید دارایی زیستی مولد</t>
  </si>
  <si>
    <t>پرداخت های نقدی ناشی تغییرات منافع فاقد حق کنترل</t>
  </si>
  <si>
    <t>پرداخت های نقدی بابت اصل مشارکت (به سرمایه گذاران)</t>
  </si>
  <si>
    <t>زیان ناشی از تسعیر ارز شرکت جبل دماوند</t>
  </si>
  <si>
    <t>به شرح اقلام عمده</t>
  </si>
  <si>
    <t>سود ناشی از فروش مواد اولیه</t>
  </si>
  <si>
    <t>بانک توسعه تعاون</t>
  </si>
  <si>
    <t>شرکت حریر</t>
  </si>
  <si>
    <t>شرکت لطیف</t>
  </si>
  <si>
    <t>شرکت زرین برگ پرشیا</t>
  </si>
  <si>
    <t>دارایی های نامشهود</t>
  </si>
  <si>
    <t>بانک ملت سرمایه در گردش</t>
  </si>
  <si>
    <t>بهره بانک ملت</t>
  </si>
  <si>
    <t>فروش دارائی ثابت</t>
  </si>
  <si>
    <t>بازپرداخت دیون</t>
  </si>
  <si>
    <t>خرید دارائی های ثابت</t>
  </si>
  <si>
    <t>پرداخت سود سهام</t>
  </si>
  <si>
    <t>جریمه رسیدگی سازمان تامین اجتماعی</t>
  </si>
  <si>
    <t>دایره طلایی رفسنجان</t>
  </si>
  <si>
    <t>منصور ایوبی</t>
  </si>
  <si>
    <t>پایدار زرین فام</t>
  </si>
  <si>
    <t>هادی ناصری</t>
  </si>
  <si>
    <t>پی اکتشاف کویر</t>
  </si>
  <si>
    <t>مس کاوان</t>
  </si>
  <si>
    <t>علی مراد خزایی</t>
  </si>
  <si>
    <t>درآمد حاصل اجاره واحد لیچینگ</t>
  </si>
  <si>
    <t>درآمد حاصل از خدمات آزمایشگاه</t>
  </si>
  <si>
    <t>آوید پویان فرداد</t>
  </si>
  <si>
    <t>آورده نقدی سهام داران بابت افزایش سرمایه</t>
  </si>
  <si>
    <t>سود سپرده های سرمایه گذاری بانکی</t>
  </si>
  <si>
    <t>مازاد موجودی کالای تحویلی</t>
  </si>
  <si>
    <t>شرکتها وسازمانهای طرف قرارداد</t>
  </si>
  <si>
    <t>سازمان صمت</t>
  </si>
  <si>
    <t>کیان سنگ شکن</t>
  </si>
  <si>
    <t>بیمه تامین اجتماعی</t>
  </si>
  <si>
    <t>ناصر کریمی</t>
  </si>
  <si>
    <t>سدید تجارت</t>
  </si>
  <si>
    <t>تاسیسات و تعمیرات</t>
  </si>
  <si>
    <t>اکتشافات</t>
  </si>
  <si>
    <t>خرید تیکنر</t>
  </si>
  <si>
    <t>مشتریان</t>
  </si>
  <si>
    <t>پرسنلی اداری عمومی آزادراهی 3 ماهه</t>
  </si>
  <si>
    <t>پرسنلی اداری عمومی آزادراهی 6 ماهه</t>
  </si>
  <si>
    <t>سایر اداری عمومی آزادراهی 3 ماهه</t>
  </si>
  <si>
    <t>سایر اداری عمومی آزادراهی 6 ماهه</t>
  </si>
  <si>
    <t>اضافه اداری عمومی آزادراهی 6 ماهه</t>
  </si>
  <si>
    <t>اضافه اداری عمومی آزادراهی 3 ماهه</t>
  </si>
  <si>
    <t>شرح سایر اداری عمومی آزادراهی</t>
  </si>
  <si>
    <t>پرسنلی اداری عمومی 3 ماهه</t>
  </si>
  <si>
    <t>پرسنلی اداری عمومی 6 ماهه</t>
  </si>
  <si>
    <t>سایر اداری عمومی 3 ماهه</t>
  </si>
  <si>
    <t>سایر اداری عمومی 6 ماهه</t>
  </si>
  <si>
    <t>اضافه اداری عمومی 3 ماهه</t>
  </si>
  <si>
    <t>اضافه اداری عمومی 6 ماهه</t>
  </si>
  <si>
    <t>نقل وانتقالات
 بین ردیف دارایی‌ها</t>
  </si>
  <si>
    <t xml:space="preserve">کسر می‌شود: </t>
  </si>
  <si>
    <t xml:space="preserve"> ذخیره کاهش ارزش سرمایه‌گذاری</t>
  </si>
  <si>
    <t>جمع  استهلاک و ذخیره کاهش ارزش</t>
  </si>
  <si>
    <t>ارزش دفتری دارایی‌های غیرجاری</t>
  </si>
  <si>
    <t>ریز افزایش و کاهش دارایی‌‎ها:</t>
  </si>
  <si>
    <t>افزایش 6 ماهه</t>
  </si>
  <si>
    <t>افزایش نقدی 6 ماهه</t>
  </si>
  <si>
    <t>کاهش 6 ماهه</t>
  </si>
  <si>
    <t>کاهش نقدی 6 ماهه</t>
  </si>
  <si>
    <t>افزایش نقل و انتقال 6 ماهه</t>
  </si>
  <si>
    <t>کاهش نقل و انتقال 6 ماهه</t>
  </si>
  <si>
    <t>نامشهود</t>
  </si>
  <si>
    <t>جمع بهای تمام شده دارایی‌های غیرجاری</t>
  </si>
  <si>
    <t>مواد اولیه و بسته‌بندی و اقلام مصرفی</t>
  </si>
  <si>
    <t>شرح سایر درآمد عملیاتی</t>
  </si>
  <si>
    <t xml:space="preserve"> سایر درآمد عملیاتی 3 ماهه</t>
  </si>
  <si>
    <t xml:space="preserve"> سایر درآمد عملیاتی 6 ماهه</t>
  </si>
  <si>
    <t>شرح سایر هزینه عملیاتی</t>
  </si>
  <si>
    <t xml:space="preserve"> سایر هزینه عملیاتی 3 ماهه</t>
  </si>
  <si>
    <t xml:space="preserve"> سایر هزینه عملیاتی 6 ماهه</t>
  </si>
  <si>
    <t xml:space="preserve">1- سايردرآمدهاي غیرعملياتي: </t>
  </si>
  <si>
    <t xml:space="preserve">2- ساير هزينه‌هاي غیرعملياتي: </t>
  </si>
  <si>
    <t>سایر درآمد غیرعملیاتی 3 ماهه</t>
  </si>
  <si>
    <t>سایر درآمد غیرعملیاتی 6 ماهه</t>
  </si>
  <si>
    <t>شرح سایر درآمد غیرعملیاتی</t>
  </si>
  <si>
    <t>سایر هزینه غیرعملیاتی 3 ماهه</t>
  </si>
  <si>
    <t>سایر هزینه غیرعملیاتی 6 ماهه</t>
  </si>
  <si>
    <t>شرح سایر هزینه غیرعملیاتی</t>
  </si>
  <si>
    <t>سرفصل روابط عمومی</t>
  </si>
  <si>
    <t>مبلغ روابط عمومی</t>
  </si>
  <si>
    <t>شرکت / شعبه پروژه</t>
  </si>
  <si>
    <t>شرح پروژه</t>
  </si>
  <si>
    <t>مدت طرح</t>
  </si>
  <si>
    <t>خاتمه طرح</t>
  </si>
  <si>
    <t>برآورد پیشرفت</t>
  </si>
  <si>
    <t>مبلغ کل پروژه</t>
  </si>
  <si>
    <t>هزینه اجرای 6 ماهه</t>
  </si>
  <si>
    <t>تعداد روز 3 ماهه</t>
  </si>
  <si>
    <t>ساعت پرواز 3 ماهه</t>
  </si>
  <si>
    <t>تعداد روز 6 ماهه</t>
  </si>
  <si>
    <t>ساعت پرواز 6 ماهه</t>
  </si>
  <si>
    <t>میانگین ساعت 3 ماهه</t>
  </si>
  <si>
    <t>میانگین ساعت 6 ماهه</t>
  </si>
  <si>
    <t>عرضه شده 3 ماهه</t>
  </si>
  <si>
    <t>عرضه شده 6 ماهه</t>
  </si>
  <si>
    <t>حمل شده 3 ماهه</t>
  </si>
  <si>
    <t>حمل شده 6 ماهه</t>
  </si>
  <si>
    <t>میانگین نرخ 3 ماهه</t>
  </si>
  <si>
    <t>میانگین نرخ 6 ماهه</t>
  </si>
  <si>
    <t>لیتر 3 ماهه</t>
  </si>
  <si>
    <t>لیتر 6 ماهه</t>
  </si>
  <si>
    <t>نرخ 3 ماهه</t>
  </si>
  <si>
    <t>نرخ 6 ماهه</t>
  </si>
  <si>
    <t>تعداد پرواز کترینگ 3 ماهه</t>
  </si>
  <si>
    <t>تعداد پرواز کترینگ 6 ماهه</t>
  </si>
  <si>
    <t>تعداد مسافر کترینگ 3 ماهه</t>
  </si>
  <si>
    <t>تعداد مسافر کترینگ 6 ماهه</t>
  </si>
  <si>
    <t>نرخ کترینگ 3 ماهه</t>
  </si>
  <si>
    <t>نرخ کترینگ 6 ماهه</t>
  </si>
  <si>
    <t>نرخ هندلینگ 3 ماهه</t>
  </si>
  <si>
    <t>نرخ هندلینگ 6 ماهه</t>
  </si>
  <si>
    <t>نرخ فرودگاهی 3 ماهه</t>
  </si>
  <si>
    <t>نرخ فرودگاهی 6 ماهه</t>
  </si>
  <si>
    <t>شرکت سرمایه‌گذاری گروه صنعتی رنا</t>
  </si>
  <si>
    <t>شرکت سرمایه‌گذاری آتیه دماوند</t>
  </si>
  <si>
    <t>شرکت قالب‌های بزرگ صنعتی سایپا</t>
  </si>
  <si>
    <t>شرکت مکلف است نسبت به تعیین تکلیف شرکت‌های سرمایه‌پذیر اقدام نموده و گزارش توجیهی (احیاء، انحلال و ...) را تدوین و به منظور بررسی در ارکان به هلدینگ آتیه صبا ارائه نماید.</t>
  </si>
  <si>
    <t>شرکت مکلف است به منظور استفاده از قدرت چانه‌زنی بالاتر جهت کاهش قیمت‌ها، نسبت به ایجاد هم‌افزایی با شرکت‌های هم‌گروه اقدام نموده و گزارش اقدامات را به صورت فصلی به هلدینگ آتیه صبا ارائه نماید.</t>
  </si>
  <si>
    <t>شرکت مکلف است نسبت به برنامه‌ریزی و اجرای اقدامات لازم در راستای ارتقاء، احیا و تقویت برند و توسعه فعالیت‌های بازاریابی و بازارسازی محصولات کاشی و سرامیک اقدام و نتایج اقدامات را به صورت فصلی به هلدینگ آتیه صبا ارائه نماید.</t>
  </si>
  <si>
    <t>شرکت مکلف است نسبت به تسویه بدهی ارزی تا پایان تیر ماه سال 1405 اقدام نموده و به صورت ماهیانه گزارش اقدامات را به هلدینگ آتیه صبا ارائه نماید.</t>
  </si>
  <si>
    <t>شرکت مکلف است نسبت به تعیین تکلیف بدهی ارزی شرکت ساکمی به منظور جلوگیری از شناسایی زیان ناشی از تسعیر ارز تا پایان شهریور ماه اقدام نماید.</t>
  </si>
  <si>
    <t>مقرر شد شرکت ارائه گزارشی از دلایل عدم اجرای مصوبه صندوق در خصوص بازپرداخت بدهی ارزی در موعد مقرر و تحمیل زیان‌های سنگین ناشی از تسعیر ارز در سنوات گذشته تا پایان تیرماه به هلدینگ آتیه صبا ارائه نماید.</t>
  </si>
  <si>
    <t>شرکت مکلف است با توجه به برنامه‌های توسعه‌ای هیات مدیره نسبت به تغییر چارت اقدام نموده و جهت تصویب به هلدینگ آتیه صبا ارائه نماید.</t>
  </si>
  <si>
    <t>شرکت مکلف است نسبت به مولدسازی دارایی‌های غیرمولد اقدام لازم صورت دهد و نتایج اقدامات را به صورت فصلی به هلدینگ آتیه صبا ارائه نماید.</t>
  </si>
  <si>
    <t>شرکت مکلف است نسبت به صادرات حدود 15 درصد از تولیدات خود با رعایت صرفه و صلاح شرکت اقدام نماید.</t>
  </si>
  <si>
    <t>مقرر شد شرکت نسبت به ارائه برنامه زمان‌بندی استقرار و راه‌اندازی اتوماسیون اداری در جهت بهبود فرآیند و بهینه سازی سیستم‌های برنامه‌ریزی، بهای تمام شده، انبار و ارائه گزارش جامع و کاربردی در راستای تعیین نرخ فروش در بازار رقابتی اقدام نماید.</t>
  </si>
  <si>
    <t>شرکت مکلف است به منظور خروج  سایزهای زیان‌ده از فرآیند تولید نسبت به کنترل دقیق مقادیر تولید اقدام نموده و نتایج آن را به صورت فصلی به هلدینگ آتیه صبا ارائه نماید.</t>
  </si>
  <si>
    <t xml:space="preserve">مقرر شد برنامه جامع تولید و سند استراتژیک شرکت مبتنی بر حداکثر ظرفیت کارخانه، چالش‌های اقتصادی، ریسک‌های بازار و ... تدوین و به هلدینگ آتیه صبا ارائه شود. </t>
  </si>
  <si>
    <t>مقرر شد برنامه عملیاتی به‌منظور وصول مطالبات (کاهش دوره وصول مطالبات) به همراه زمانبندی مشخص با هدف مدیریت نقدینگی تنظیم و به هلدینگ آتیه صبا ارائه شود.</t>
  </si>
  <si>
    <t>مقرر شد فرآیند اجرایی عرضه کالا و فروش ضایعات در بورس کالا مورد بررسی قرار گرفته و گزارشی از اقدامات صورت گرفته به این هلدینگ ارائه شود.</t>
  </si>
  <si>
    <t>مقرر گردید، فرآیند صادرات مورد بررسی و امکان سنجی قرارگیرد و گزارش اقدامات لازم جهت اخذ کارت بازرگانی و نتایج حاصله به این هلدینگ ارائه گردد.</t>
  </si>
  <si>
    <t>مقرر شد برنامه جامع تولید با لحاظ حداکثر ظرفیت اسمی دستگاه‌ها و ماشین‌آلات تدوین و تمامی خطوط تولید در راستای افزایش تولید و بهره‌وری راه‌اندازی شود و سند استراتژیک مربوطه با در نظر گرفتن چالش‌های روز اقتصادی به این هلدینگ ارسال گردد.</t>
  </si>
  <si>
    <t>مقرر گردید، تغییر رویه حسابداری در طبقه بندی و شناسایی تسعیر ارز و سایر هزینه های عملیاتی به صورت شفاف در صورتهای مالی افشا گردد.</t>
  </si>
  <si>
    <t>شرکت موظف است با رعایت مهندسی فرآیند و شناسایی گلوگاه‌های تولید، انتخاب و نگهداری تجهیزات متناسب با فرآیند، اتوماسیون و مانیتورینگ دقیق پارامترهای تولید، کنترل کیفیت فرآیند و آموزش عملیات تخصصی برای اپراتورها، به افزایش بهره‌وری در خطوط تولید و ارتقای کیفیت محصولات اقدام کند.</t>
  </si>
  <si>
    <t>مقرر شد با بهره‌گیری از قطعات دستگاه‌های موجود، نسبت به اورهال دستگاه‌ها و تجهیزات خطوط تولید اقدام شده و گزارش برآورد هزینه تعمیر و نگهداری به ارزش جاری تهیه و به این هلدینگ ارائه گردد.</t>
  </si>
  <si>
    <t>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t>
  </si>
  <si>
    <t>استخدام و تغییر وضعیت نیروی انسانی در شرکت، خارج از سقف تعداد و بار مالی مصوب در بودجه سالیانه، ممنوع می‌باشد و هرگونه افزایش، کاهش، جابجایی، انتصاب یا به‌‌کارگیری نیروی انسانی در چارچوب بودجه مصوب، منوط به رعایت سقف تعداد و هزینه ریالی درج شده در بودجه و اخذ مجوز لازم از هلدینگ آتیه صبا خواهد بود. همچنین در خصوص مشاغل حساس (مدیران میانی و بالاتر)، اخذ استعلام از حراست هلدینگ پیش از هرگونه اقدام الزامی بوده و مسئولیت عدم رعایت مفاد این بند بر عهده هیئت مدیره شرکت است.</t>
  </si>
  <si>
    <t>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 ‌منزله دریافت مجوز جهت انجام آن نخواهد بود و همچنین ارقام مندرج در جدول پیش‌بینی دریافت‏ها و پرداخت‏های نقدی صرفاً به عنوان چارچوب هزینه کرد منابع درج گردیده و حاکی از تأیید آن موضوعات برای شرکت و یا سایر اشخاص حقیقی و حقوقی نمی‏باشد.</t>
  </si>
  <si>
    <t>شرکت موظف‌ است در تامین نیازهای کالا و خدمات خود، در چارچوب هم‌افزایی درون گروهی، با رعایت صرفه و صلاح، از ظرفیت شرکت‌های هم‌گروه استفاده نماید و هرگونه خرید خارج از گروه، منوط به ارائه گزارش توجیهی و اخذ تاییدیه از هلدینگ خواهد بود.</t>
  </si>
  <si>
    <t>شرکت مکلف است گزارش‌های میان دوره‌ای و سالیانه برنامه و بودجه را مطابق دستورالعمل اجرایی افشای اطلاعات شرکت‌های تابعه هلدینگ آتیه صبا (ابلاغی مورخ 1401/02/05)، ظرف مهلت مقرر تهیه و افشاء نماید.</t>
  </si>
  <si>
    <t>پروژه‌های تحقیق و توسعه (اورهال و راه‌اندازی)</t>
  </si>
  <si>
    <t>خرید و نصب دو دستگاه سورت</t>
  </si>
  <si>
    <t>خرید قطعات و راه‌اندازی 8 دستگاه TGV</t>
  </si>
  <si>
    <t>حمل و نصب چمفر</t>
  </si>
  <si>
    <t>راه‌اندازی کوره لعاب 15</t>
  </si>
  <si>
    <t>حمل قطعات و راه‌اندازی پرس و لعاب 3</t>
  </si>
  <si>
    <t>راه‌اندازی کوره 5</t>
  </si>
  <si>
    <t>اورهال کوره‌های بیسکوییت 14</t>
  </si>
  <si>
    <t>خرید قطعات  و راه‌اندازی پرس و لعاب 8</t>
  </si>
  <si>
    <t>خرید لیفتراک</t>
  </si>
  <si>
    <t>خرید دستگاه ژنراتور برق اضطراری و متعلقات</t>
  </si>
  <si>
    <t>1405/01/16</t>
  </si>
  <si>
    <t>1405/03/31</t>
  </si>
  <si>
    <t>1405/02/01</t>
  </si>
  <si>
    <t>1405/04/31</t>
  </si>
  <si>
    <t>1405/09/30</t>
  </si>
  <si>
    <t>1405/06/31</t>
  </si>
  <si>
    <t>1405/05/31</t>
  </si>
  <si>
    <t>1405/04/01</t>
  </si>
  <si>
    <t>1405/07/30</t>
  </si>
  <si>
    <t>1405/12/20</t>
  </si>
  <si>
    <t>کاشی دیواری</t>
  </si>
  <si>
    <t xml:space="preserve">کاشی پرسلان </t>
  </si>
  <si>
    <t>بسته‌بندی</t>
  </si>
  <si>
    <t>مزایای پایان خدمت</t>
  </si>
  <si>
    <t>مرخصی استفاده نشده پرسنل</t>
  </si>
  <si>
    <t>هزینه‌های کارکنان</t>
  </si>
  <si>
    <t>هزینه گاز مصرفی</t>
  </si>
  <si>
    <t>هزینه آب و برق مصرفی</t>
  </si>
  <si>
    <t>حق بیمه اموال</t>
  </si>
  <si>
    <t>لوازم ، ملزومات و سایر ...</t>
  </si>
  <si>
    <t>کل مصرف براساس BOM بودجه</t>
  </si>
  <si>
    <t>کل مصرف براساس BOM عملکرد</t>
  </si>
  <si>
    <t>هزینه مالی آزادراه 6 ماهه</t>
  </si>
  <si>
    <t>هزینه مالی 6 ماهه</t>
  </si>
  <si>
    <t>پرداخت‌های نقدی بابت مالیات بر درآمد</t>
  </si>
  <si>
    <t>جریان خالص ورود (خروج) نقد حاصل از فعالیت‌های عملیاتی</t>
  </si>
  <si>
    <t>جریان خالص ورود (خروج) نقد قبل از فعالیت‌های تامین مالی</t>
  </si>
  <si>
    <t>جریان خالص ورود (خروج) نقد حاصل از فعالیت‌های تامین مالی</t>
  </si>
  <si>
    <t>پرداخت‌های نقدی بابت تسهیلات اعطایی به دیگران</t>
  </si>
  <si>
    <t>پرداخت‌های نقدی برای خرید سهام خزانه</t>
  </si>
  <si>
    <t>پرداخت‌های نقدی بابت اصل تسهیلات</t>
  </si>
  <si>
    <t>پرداخت‌های نقدی بابت سود تسهیلات</t>
  </si>
  <si>
    <t>پرداخت‌های نقدی بابت اصل اوراق مشارکت</t>
  </si>
  <si>
    <t>پرداخت‌های نقدی بابت سود اوراق مشارکت</t>
  </si>
  <si>
    <t>پرداخت‌های نقدی بابت اصل اوراق خرید دین</t>
  </si>
  <si>
    <t>پرداخت‌های نقدی بابت سود اوراق خرید دین</t>
  </si>
  <si>
    <t>پرداخت‌های نقدی بابت سود سهام</t>
  </si>
  <si>
    <t>دریافت‌های نقدی حاصل از استرداد تسهیلات اعطایی به دیگران</t>
  </si>
  <si>
    <t>دریافت‌های نقدی حاصل از سود تسهیلات اعطایی به دیگران</t>
  </si>
  <si>
    <t>دریافت‌های نقدی حاصل از سود سهام</t>
  </si>
  <si>
    <t>دریافت‌های نقدی حاصل از افزایش سرمایه</t>
  </si>
  <si>
    <t>دریافت‌های نقدی حاصل از صرف سهام</t>
  </si>
  <si>
    <t>دریافت‌های نقدی حاصل از فروش سهام خزانه</t>
  </si>
  <si>
    <t>دریافت‌های نقدی حاصل از تسهیلات</t>
  </si>
  <si>
    <t>دریافت‌های نقدی حاصل از انتشار اوراق مشارکت</t>
  </si>
  <si>
    <t>دریافت‌های نقدی حاصل از انتشار اوراق خرید دین</t>
  </si>
  <si>
    <t>دریافت‌های نقدی ناشی از فروش دارایی‌های ثابت مشهود</t>
  </si>
  <si>
    <t>پرداخت‌های نقدی برای خرید دارایی‌های ثابت مشهود</t>
  </si>
  <si>
    <t>دریافت‌های نقدی حاصل از فروش دارایی‌های غیرجاری نگهداری شده برای فروش</t>
  </si>
  <si>
    <t>دریافت‌های نقدی حاصل از فروش دارایی‌های نامشهود</t>
  </si>
  <si>
    <t>پرداخت‌های نقدی برای خرید دارایی‌های نامشهود</t>
  </si>
  <si>
    <t>پرداخت‌های نقدی برای تحصیل سرمایه‌گذاری بلند مدت</t>
  </si>
  <si>
    <t>دریافت‌های نقدی حاصل از فروش سرمایه‌گذاری در املاک</t>
  </si>
  <si>
    <t>پرداخت‌های نقدی برای تحصیل سرمایه‌گذاری در املاک</t>
  </si>
  <si>
    <t>جریان خالص ورود (خروج) نقد حاصل از فعالیت‌های سرمایه‌گذاری</t>
  </si>
  <si>
    <t>دریافت‌های نقدی حاصل از فروش سرمایه‌گذاری‌های بلند مدت</t>
  </si>
  <si>
    <t>دریافت‌های نقدی حاصل از فروش سرمایه‌گذاری‌های کوتاه مدت</t>
  </si>
  <si>
    <t>پرداخت‌های نقدی برای تحصیل سرمایه‌گذاری‌های کوتاه مدت</t>
  </si>
  <si>
    <t>دریافت‌های نقدی حاصل از سود سایر سرمایه‌گذاری‌ها</t>
  </si>
  <si>
    <t>جریان‌های نقدی حاصل از فعالیت‌های عملیاتی:</t>
  </si>
  <si>
    <t>جریان‌های نقدی حاصل از فعالیت‌های سرمایه‌گذاری:</t>
  </si>
  <si>
    <t>جریان‌های نقدی حاصل از فعالیت‌های تامین مالی:</t>
  </si>
  <si>
    <t>پرداخت‌های نقدی بابت اصل اقساط اجاره سرمایه‎‌ای</t>
  </si>
  <si>
    <t>پرداخت‌های نقدی بابت سود اجاره سرمایه‎‌ای</t>
  </si>
  <si>
    <t>هزینه تبلیغات و بازاریابی و نمایشگاهی</t>
  </si>
  <si>
    <t>هزینه اجاره محل</t>
  </si>
  <si>
    <t>کتب و نشریات سایر منابع اطلاعاتی</t>
  </si>
  <si>
    <t>هزینه پست و تلفن و خدمات عمومی</t>
  </si>
  <si>
    <t>هزینه‌های حقوقی و مشاورین</t>
  </si>
  <si>
    <t>زیان تسعیر حساب‌های پرداختنی ارزی</t>
  </si>
  <si>
    <t>سود تسعير صندوق و حساب‌های ارزی</t>
  </si>
  <si>
    <t>سود خالص از سایر اوراق بهادار و سپرده‌های سرمایه گذاری</t>
  </si>
  <si>
    <t>شرکت مکلف است نسبت به مولدسازی دارایی‌های غیرمولد (ملک گرگان) اقدام لازم صورت دهد و نتایج اقدامات را به صورت فصلی به هلدینگ آتیه صبا ارائه نماید.</t>
  </si>
  <si>
    <t>شرکت مکلف است با توجه به شرایط جنگی و کاهش ضریب اشغال هتل‌ها در جزیره کیش و با عنایت به ایجاد فرصت‌های زمانی برای بازسازی هتل، برنامه‌ریزی لازم در این خصوص صورت دهد و نتایج اقدامات را به صورت فصلی به هلدینگ آتیه صبا ارائه نماید.</t>
  </si>
  <si>
    <t>با توجه به پیش‌بینی تعدیل 89 نفر از پرسنل در سال 1405، مقرر شد برنامه‌ریزی‌های لازم در خصوص شروع فعالیت در سریع‌ترین زمان در صورت رونق مجدد گردشگری در جزیره کیش صورت گرفته و فقدان نیروی انسانی کارآمد منجر به از دست رفتن درآمد نگردد.</t>
  </si>
  <si>
    <t>مقرر شد شرکت اقدامات لازم در خصوص استفاده از ظرفیت سرمایه‌گذاران در راستای توسعه فعالیت‌ و درآمدزایی (زمین پدل، کافه گاردن و ...) صورت دهد و نتایج اقدامات به صورت فصلی به هلدینگ آتیه صبا ارائه شود.</t>
  </si>
  <si>
    <t>فروش املاک غیر مولد</t>
  </si>
  <si>
    <t>بازسازی و بهسازی طبقات هتل</t>
  </si>
  <si>
    <t>1405/07/01</t>
  </si>
  <si>
    <t>1405/12/29</t>
  </si>
  <si>
    <t>سایر (کافی شاپ)</t>
  </si>
  <si>
    <t>شرکت کاوشگران بازار سرمایه</t>
  </si>
  <si>
    <t xml:space="preserve">شرکت سرمایه‌گذاری آتیه صبا </t>
  </si>
  <si>
    <t>تمدید مجوز</t>
  </si>
  <si>
    <t>ماشین‌آلات و تجهیزات</t>
  </si>
  <si>
    <t>پیش‌پرداخت‌های سرمایه‌ای</t>
  </si>
  <si>
    <t>شرح دارایی آزادراهی</t>
  </si>
  <si>
    <t>شرح سایر درآمد عملیاتی آزادراه</t>
  </si>
  <si>
    <t>سود ناشی از فروش ساختمان</t>
  </si>
  <si>
    <t>دارایی‌های در جریان تکمیل</t>
  </si>
  <si>
    <t xml:space="preserve">مقرر شد کلیه اقدامات لازم به منظور استهلاک کامل سرمایه و پروژه آزادراه تبریز-ارومیه حداکثر تا پایان تیر ماه سال 1405 توسط مدیرعامل و اعضای هیات مدیره شرکت انجام شده و پس از آن شرکت وارد فرآیند انحلال شود. </t>
  </si>
  <si>
    <t xml:space="preserve">باتوجه به تکلیف به انحلال شرکت تا پایان تیر ماه 1405 (بند اول مصوبات)، تمهیدات لازم به منظور پایان قرارداد پرسنل شرکت لحاظ شود. </t>
  </si>
  <si>
    <t>شرکت مکلف است کلیه اموال و دارایی‌های خود را در پایان تیرماه 1405 و با آغاز فرآیند انحلال به اندازه قدرالسهم به هلدینگ آتیه صبا منتقل نماید.</t>
  </si>
  <si>
    <t>یک نفر به عنوان مدیر تصفیه شرکت برای طی فرایند انحلال، از سوی هلدینگ آتیه صبا تا پایان تیر ماه 1405 معرفی خواهد شد.</t>
  </si>
  <si>
    <t xml:space="preserve"> ایجاد هرگونه بدهی و تعهد از سوی شرکت به غیر تا آغاز فرایند تصفیه ممنوع است.</t>
  </si>
  <si>
    <t>عقد هرگونه قرارداد اعم از ارائه حق دسترسی، انجام پروژه‌های رفاهی جدید و ... از سوی شرکت ممنوع است.</t>
  </si>
  <si>
    <t>شرکت مکلف است با سرمایه‌گذار جدید و شرکت ساخت و توسعه زیربناهای حمل و نقل کشور به منظور استهلاک پیش از موعد پروژه آزادراه، از طریق انتقال مانده مطالبات عوارض به سرمایه‌گذار مذاکره نماید.</t>
  </si>
  <si>
    <t>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به‌منزله دریافت مجوز جهت انجام آن نخواهد بود و همچنین ارقام مندرج در جدول پیش‌بینی دریافت‏ها و پرداخت‏های نقدی صرفاً به عنوان چارچوب هزینه کرد منابع درج شده و حاکی از تأیید آن موضوعات برای شرکت و یا سایر اشخاص حقیقی و حقوقی نمی‏باشد.</t>
  </si>
  <si>
    <t xml:space="preserve">شرکت مکلف است گزارش­های میان دوره­ای و سالیانه برنامه و بودجه را مطابق دستورالعمل اجرایی افشای اطلاعات شرکت‌های تابعه هلدینگ آتیه صبا (ابلاغی مورخ 1401/02/05)، ظرف مهلت مقرر تهیه و افشاء نماید. </t>
  </si>
  <si>
    <t>شرکت سرمایه‌گذاری گروه توسعه ملی</t>
  </si>
  <si>
    <t>شرکت سرمایه‌گذاری مدیریت سرمایه مدار</t>
  </si>
  <si>
    <t>شرکت سرمایه‌گذاری توسعه صنایع سیمان</t>
  </si>
  <si>
    <t>شرکت مدیریت توسعه نگاه پویا</t>
  </si>
  <si>
    <t>استهلاک کامل سرمایه‌گذاری</t>
  </si>
  <si>
    <t>1405/01/01</t>
  </si>
  <si>
    <t>هزینه بلیط</t>
  </si>
  <si>
    <t>هزینه راهدارخانه</t>
  </si>
  <si>
    <t>صورت وضعیت پیمانکاران</t>
  </si>
  <si>
    <t>ذخیره نگهداری</t>
  </si>
  <si>
    <t>آب و برق و سوخت</t>
  </si>
  <si>
    <t>ابزارآلات و اقلام مصرفی</t>
  </si>
  <si>
    <t>خدمات پشتیبانی و رایانه ای</t>
  </si>
  <si>
    <t>حق حضور</t>
  </si>
  <si>
    <t>کارمزد بهره برداری و حق الزحمه مگا</t>
  </si>
  <si>
    <t>مقرر شد در خصوص هر یک از برنامه‌های پیش‌بینی شده جهت اجرا در سال 1405، مجوزهای مربوطه از ارکان هلدینگ آتیه صبا و صندوق بازنشستگی کشوری اخذ شود.</t>
  </si>
  <si>
    <t>مقرر شد طرح اقتصادی بهره‌برداری از تابلوهای تبلیغاتی به صورت ساخت یا جذب سرمایه‌گذاری حداکثر تا پایان خرداد ماه 1405 تهیه و برای بررسی و طرح در کمیته سرمایه‌گذاری به هلدینگ آتیه صبا ارسال شود.</t>
  </si>
  <si>
    <t>مقرر شد به منظور حفظ منافع سرمایه‌گذار، کنترل هزینه به نحوی صورت گیرد که مجموع هزینه‌های نگهداری، بهره‌برداری و اداری عمومی شرکت از 20 درصد منافع حاصل از اجرای طرح تجاوز نکند.</t>
  </si>
  <si>
    <t xml:space="preserve"> مقرر شد گزارش آخرین اقدامات صورت گرفته در خصوص حساب‌های فی‌مابین شرکت با پیمانکاران و همچنین برنامه عملیاتی تسویه حساب با پیمانکاران حداکثر تا پایان خرداد ماه 1405 تهیه و به هلدینگ آتیه صبا ارسال شود.</t>
  </si>
  <si>
    <t>مقرر شد مدیرعامل و هیات مدیره شرکت تمامی اقدامات و تمهیدات لازم به منظور فراهم نمودن تحقق ابلاغ افزایش نرخ حداقل 30 درصد سالانه از سال 1406 را معمول دارند.</t>
  </si>
  <si>
    <t>مقرر شد شرکت خارج از تعهدات موجود فی‌مابین شرکت و پیمانکاران هیچ‌گونه تعهد جدید دارای آثار مالی ایجاد نکند. تعهداتی که از سوی وزارت راه و شهرسازی و شرکت ساخت و توسعه زیربناهای حمل و نقل کشور طبق قرارداد به عهده شرکت آزاد راه نهاده شده است، از این قائده مستثنی است.</t>
  </si>
  <si>
    <t>مقرر شد یک نفر نیروی انسانی با شرط اخذ مجوز از تمامی ارکان برای بخش نگهداری آزادراه جذب شود.</t>
  </si>
  <si>
    <t>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t>
  </si>
  <si>
    <t>استخدام و تغییر وضعیت نیروی انسانی در شرکت، خارج از سقف تعداد و بار مالی مصوب در بودجه سالیانه، ممنوع می‌باشد و هرگونه افزایش، کاهش، جابجایی، انتصاب یا به‌کارگیری نیروی انسانی در چارچوب بودجه مصوب، منوط به رعایت سقف تعداد و هزینه ریالی درج ‌شده در بودجه و اخذ مجوز لازم از هلدینگ آتیه صبا خواهد بود. همچنین در خصوص مشاغل حساس (مدیران میانی و بالاتر)، اخذ استعلام از حراست هلدینگ پیش از هرگونه اقدام الزامی بوده و مسئولیت عدم رعایت مفاد این بند بر عهده هیئت ‌مدیره شرکت است.</t>
  </si>
  <si>
    <t>تکمیل عملیات اجرایی لوپ جنوب شرقی تبادل نایین</t>
  </si>
  <si>
    <t>احداث ساختمان اورژانس پیش بیمارستانی و اجرای راه دسترسی هلال احمر</t>
  </si>
  <si>
    <t>تکمیل دریواسیون طول مسیر قطعه دوم</t>
  </si>
  <si>
    <t>تهیه و نصب سامانه اخذ عوارض الکترونیکی در تبادل حبیب‌آباد</t>
  </si>
  <si>
    <t>خرید و تکمیل تجهیزات ایمنی طول محور</t>
  </si>
  <si>
    <t>بررسی و ثبت صورتحساب‌های جاری پیمانکاران</t>
  </si>
  <si>
    <t>1405/01/20</t>
  </si>
  <si>
    <t>پلکانی</t>
  </si>
  <si>
    <t>هزینه نرم افزار و پشتیبانی</t>
  </si>
  <si>
    <t>چاپ و آگهی</t>
  </si>
  <si>
    <t>برق پروژه</t>
  </si>
  <si>
    <t>مزایای نقدی و غیرنقدی</t>
  </si>
  <si>
    <t>اجاره و کرایه</t>
  </si>
  <si>
    <t>شرکت سرمایه‌گذاری صندوق بازنشستگی کشوری</t>
  </si>
  <si>
    <t>مقرر شد طرح جامع اصلاح ساختار بنگاه‌داری شرکت تدوین و حداکثر تا پایان تیرماه 1405 به هلدینگ آتیه صبا ارسال شود.</t>
  </si>
  <si>
    <t>با عنایت به اهمیت تدوین چشم‌انداز بلندمدت و تعیین مسیر مشخص برای دستیابی به اهداف کلان شرکت، شرکت مکلف است نسبت به تدوین و نهایی‌سازی «سند استراتژیک » اقدام نماید. همچنین، شرکت باید سازوکار مناسبی برای پایش مستمر اجرای استراتژی و ارزیابی انحرافات احتمالی از برنامه تدوین‌شده، در سند استراتژیک لحاظ نماید.</t>
  </si>
  <si>
    <t>مقرر شد در خصوص اقدام برنامه‌ای تمدید قرارداد با گمرک ج.ا.ا و منطقه آزاد شهر فرودگاهی امام خمینی(ره)، ابتدا طرح توجیهی اقتصادی(FS) آن تهیه و جهت بررسی در مدیریت سرمایه‌گذاری و در صورت لزوم طرح در کمیته سرمایه‌گذاری، به هلدینگ آتیه صبا ارسال شود.</t>
  </si>
  <si>
    <t xml:space="preserve">مقرر شد هیات مدیره شرکت نسبت به اتخاذ انواع روش‌ها و استراتژی‌های کاربردی به منظور افزایش حاشیه سود خالص شرکت اقدام و گزارش اقدامات صورت گرفته را در بازه‌های زمانی سه ماهه به هلدینگ آتیه صبا ارسال نماید.  </t>
  </si>
  <si>
    <t>باتوجه به قابل پذیرش نبودن دلایل شرکت برای افزایش 180 نفر در برنامه و بودجه سال 1405 ، مقرر شد شرکت برنامه و طرح توجیهی افزایش نیرو را تهیه و حداکثر تا پایان خردادماه 1405 به هلدینگ آتیه صبا به منظور بررسی و تایید ارسال نماید.</t>
  </si>
  <si>
    <t xml:space="preserve">مقرر شد گزارشی از دلایل و ضرورت افزایش تعداد پرسنل در سال 1404 (عملکرد) به همراه مجوزهای اخذ شده به تفکیک تعداد، جانمایی صورت گرفته پرسنل در شعب و شرکت و عناوین شغلی، تهیه و حداکثر تا پایان خردادماه 1405 به هلدینگ آتیه صبا ارسال شود. </t>
  </si>
  <si>
    <t>مقرر شد اطلاعات دقیق ریز شعب شرکت، به تفکیک فعال، غیرفعال، تازه تأسیس و یا در شرف تأسیس (شعب جدید) به همراه پراکندگی جغرافیایی، قرارداد با گمرک، سال تأسیس، نیروی انسانی شاغل در هر شعبه میزان سود و زیان سال 1404، حجم فعالیت و ... در قالب گزارشی تهیه و حداکثر تا پایان تیرماه 1405 به هلدینگ آتیه صبا ارسال شود.</t>
  </si>
  <si>
    <t>مقرر شد گزارشی در خصوص ادغام و یا انحلال شرکت‌هایی که فعالیت عملیاتی ندارند و شرکت‌های حوزه لجستیکی تهیه و حداکثر تا پایان تیرماه 1405 به هلدینگ آتیه صبا ارسال شود.</t>
  </si>
  <si>
    <t>با عنایت به سهم بالای واردات کالا از مبادی دریایی در کشور و کاهش ظرفیت گمرک، موضوع توسعه فعالیت شرکت در بندر شهید رجایی و ... و همچنین انتقال و تمرکز واردات و صادرات از طریق مسیرهای دریایی در کنار مسیرهای زمینی و هوایی، بررسی و گزارش اقدامات حداکثر تا پایان تیرماه 1405 به هلدینگ آتیه صبا ارائه شود.</t>
  </si>
  <si>
    <t>باتوجه به تعداد بالای نیروی انسانی، گزارش جامع در خصوص طرح بهبود شرایط در سال 1405(افزایش ظرفیت‌ها، توسعه فعالیت، متناسب‌سازی نیروی انسانی با حجم فعالیت  و ..) به همراه شفاف‌سازی دقیق وضعیت نیروی انسانی به تفکیک شرکت‌ها و شعب حداکثر تا پایان تیرماه 1405 به هلدینگ آتیه صبا ارسال شود.</t>
  </si>
  <si>
    <t>مقرر شد با عنایت به تعداد بالای پرونده‌های حقوقی و موارد بسیار با اهمیت در این زمینه، موضوع افزایش کارشناس حقوقی و پیگیری مجدانه پرونده‌های مزبور مورد بررسی قرار گرفته و گزارش آن حداکثر تا پایان تیرماه 1405 به هلدینگ آتیه صبا ارائه شود.</t>
  </si>
  <si>
    <t>باتوجه به رقم بالای بدهی مالیاتی شرکت و همچنین مطالبات از سازمان اموال تملیکی، موضوع مجدانه پیگیری و گزارش ماهانه پیشرفت آن به هلدینگ اتیه صبا ارائه شود.</t>
  </si>
  <si>
    <t>مقرر شد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t>
  </si>
  <si>
    <t>طراحی و تولید ماژول صادرات سامانه سما</t>
  </si>
  <si>
    <t>احداث نیروگاه خورشیدی ( تهران، سهلان  و یزد)</t>
  </si>
  <si>
    <t>طراحی و احداث تیرپارک در زمین به مساحت ۹۲,۰۰۰ مترمربع آستارا</t>
  </si>
  <si>
    <t>طراحی و ساخت سایت تخلیه و انبارش ایستگاه راه آهن رشت آستارا</t>
  </si>
  <si>
    <t>تخصیص زمین و ساخت انبار و عملیات در بندر امیرآباد</t>
  </si>
  <si>
    <t>پذیرش سازمان مسئولی منطقه ویژه اقتصادی ملایر</t>
  </si>
  <si>
    <t>پذیرش سازمان مسئولی منطقه ویژه اقتصادی گچساران</t>
  </si>
  <si>
    <t>تاسیس شرکت خراسان</t>
  </si>
  <si>
    <t>تدوین سند استراتژیک</t>
  </si>
  <si>
    <t>ایجاد پایانه 27 هکتاری لجستیک منطقه آزاد و پارکینگ ناوگان (فاز اول)</t>
  </si>
  <si>
    <t>اجرای کلیه پروژه‌های سرمایه‌ای</t>
  </si>
  <si>
    <t>پیگیری مطالبات از سازمان اموال تملیکی و سایر سازمان‌ها</t>
  </si>
  <si>
    <t>خرید تجهیزات و سرور (صادرات، دیتا گارد، مدیریت پروژه و ...)</t>
  </si>
  <si>
    <t>ایجاد زیرساخت فنی و عملیاتی در پارکینگ‌های مرزی نوبت‌دهی</t>
  </si>
  <si>
    <t>تمدید قرارداد با گمرک ج.ا.ا و منطقه آزاد شهر فرودگاهی امام خمینی(ره)</t>
  </si>
  <si>
    <t>تخصیص زمین و ساخت فضای انباری در پایانه راه‌آهن آستارا - آذربایجان</t>
  </si>
  <si>
    <t>مشارکت در ساخت و توسعه مخازن سوخت پایانه لطف‌آباد</t>
  </si>
  <si>
    <t>مشارکت و سرمایه‌گذاری در نکاچوب مازندران</t>
  </si>
  <si>
    <t>طرح توجیهی و سرمایه‌گذاری در دهکده لجستیک تبریز (سهلان) با راه‌آهن</t>
  </si>
  <si>
    <t>سرمایه‌گذاری در پایانه ریلی شهید مطهری - با راه‌آهن</t>
  </si>
  <si>
    <t>سرمایه‌گذاری در زمین 24 هکتاری بندر شهید رجایی</t>
  </si>
  <si>
    <t>سرمایه‌گذاری در منطقه ریلی آپرین</t>
  </si>
  <si>
    <t>طرح طرح توجیهی سرمایه‌گذاری در دهکده لجستیک شیراز</t>
  </si>
  <si>
    <t>طرح طرح توجیهی سرمایه‌گذاری در دهکده لجستیک فسا - شیراز</t>
  </si>
  <si>
    <t>طرح طرح توجیهی سرمایه‌گذاری در دهکده لجستیک اسدآباد - شیراز</t>
  </si>
  <si>
    <t>طرح طرح توجیهی سرمایه‌گذاری در منطقه ویژه اقتصادی گرمسار</t>
  </si>
  <si>
    <t>طرح طرح توجیهی سرمایه‌گذاری در منطقه ویژه اقتصادی سلفچگان</t>
  </si>
  <si>
    <t>طرح طرح توجیهی سرمایه‌گذاری در منطقه ویژه ری</t>
  </si>
  <si>
    <t>1407/12/29</t>
  </si>
  <si>
    <t>1406/09/30</t>
  </si>
  <si>
    <t>1408/12/29</t>
  </si>
  <si>
    <t>تناژ حمل</t>
  </si>
  <si>
    <t>حمل‌ونقل داخلی</t>
  </si>
  <si>
    <t>کمک مسکن و حق اولاد</t>
  </si>
  <si>
    <t>شیر و لباس</t>
  </si>
  <si>
    <t xml:space="preserve">كمك‌هاي غيرنقدي </t>
  </si>
  <si>
    <t xml:space="preserve">عيدي و پاداش و بهره‌وري </t>
  </si>
  <si>
    <t xml:space="preserve">فوق‌العاده سفر و ماموریت </t>
  </si>
  <si>
    <t>سلف سرويس (رستوران)</t>
  </si>
  <si>
    <t>عائله‌مندی و بن و و خواربار</t>
  </si>
  <si>
    <t>لوازم مصرف‌شدنی اداری</t>
  </si>
  <si>
    <t>حق‌الزحمه خدمات قراردادی</t>
  </si>
  <si>
    <t>تخلیه و بارگیری (اجاره ماشین‌آلات)</t>
  </si>
  <si>
    <t>سوخت و تعمیرات ماشین‌آلات و وسائط نقلیه</t>
  </si>
  <si>
    <t>سرقفلی</t>
  </si>
  <si>
    <t>موجودی املاک</t>
  </si>
  <si>
    <t>عائله‌مندی و بن و خواربار</t>
  </si>
  <si>
    <t>درآمد اجاره انبار و فضای شرکت‌های غرب، تهران و بازرگان</t>
  </si>
  <si>
    <t>سهم گروه از سود شرکت‌های وابسته</t>
  </si>
  <si>
    <t>درآمد ثبت كنترل آماري و نمونه‌برداري</t>
  </si>
  <si>
    <t>سود حاصل از اوراق گواهی سپرده‌های بانکی</t>
  </si>
  <si>
    <t>سامانه‌های ارتباطاتی (پیام کوتاه، تلفن گویا، صندوق صوتی، پست الکترونیکی، رسانه‌های اجتماعی و...)</t>
  </si>
  <si>
    <t>تابلوهای سردرب ورودی و اطلاع رسانی</t>
  </si>
  <si>
    <t>ارتباطات رسانه‌ای (پوشش خبری و اطلاع‌رسانی، مصاحبه، برگزاری نشست‌ها و کنفرانس‌های خبری و...)</t>
  </si>
  <si>
    <t>افکارسنجی و نظرسنجی</t>
  </si>
  <si>
    <t>چاپ اوراق مصرفی اداری (سربرگ، پاکت نامه، یادداشت اداری)</t>
  </si>
  <si>
    <t>چاپ آگهی مطبوعاتی (مناقصه / مزایده / فراخوان)</t>
  </si>
  <si>
    <t>خرید، چاپ و انتشار کتب و مجلات</t>
  </si>
  <si>
    <t>اقلام تبلیغاتی مصرفی (بروشور، کاتولوگ، فولدر، ساک دستی و...)</t>
  </si>
  <si>
    <t>تبلیغات در رسانه‌ها (محیطی، چاپی، الکترونیکی، فضای مجازی، رسانه ملی)</t>
  </si>
  <si>
    <t>انواع هداياي تبلیغاتي</t>
  </si>
  <si>
    <t>تولید محتوای چندرسانه‌ای (تیزر، موشن گرافی، کلیپ، پوستر، پاکدست، و...)</t>
  </si>
  <si>
    <t>حضور در همایش‌ها، نمایشگاه‌ها و جشنواره‌ها</t>
  </si>
  <si>
    <t>برگزاری مراسم فرهنگی، مذهبی و ملی (برگزاری مراسم،آذین‌بندی، پذیرایی، هدایای مسابقات و ....)</t>
  </si>
  <si>
    <t>پایگاه اطلاع‌رسانی (سایت)</t>
  </si>
  <si>
    <t>تهران</t>
  </si>
  <si>
    <t>شهر کرد</t>
  </si>
  <si>
    <t>سمنان</t>
  </si>
  <si>
    <t>همدان</t>
  </si>
  <si>
    <t>اینچه برون</t>
  </si>
  <si>
    <t>زاهدان</t>
  </si>
  <si>
    <t>باشماق</t>
  </si>
  <si>
    <t>کرمان</t>
  </si>
  <si>
    <t>غرب</t>
  </si>
  <si>
    <t>زنجان</t>
  </si>
  <si>
    <t>یزد</t>
  </si>
  <si>
    <t>اصفهان</t>
  </si>
  <si>
    <t>اراک</t>
  </si>
  <si>
    <t>سلفچگان</t>
  </si>
  <si>
    <t>قم</t>
  </si>
  <si>
    <t>کاشان</t>
  </si>
  <si>
    <t>کرمانشاه</t>
  </si>
  <si>
    <t>پرویز خان</t>
  </si>
  <si>
    <t>شیخ صله</t>
  </si>
  <si>
    <t>شوشمی</t>
  </si>
  <si>
    <t>مهران</t>
  </si>
  <si>
    <t>سومار</t>
  </si>
  <si>
    <t>فرودگاه امام خمینی (ره)</t>
  </si>
  <si>
    <t>منطقه آزاد شهر فرودگاهی امام خمینی (ره)</t>
  </si>
  <si>
    <t>فرودگاه هاشمی نژاد مشهد</t>
  </si>
  <si>
    <t>کاوه
(مجتمع خراسان)</t>
  </si>
  <si>
    <t>مطهری</t>
  </si>
  <si>
    <t>ماهیرود</t>
  </si>
  <si>
    <t>لطف آباد</t>
  </si>
  <si>
    <t>سرخس</t>
  </si>
  <si>
    <t>دوغارون</t>
  </si>
  <si>
    <t>بیرجند</t>
  </si>
  <si>
    <t>بجنورد</t>
  </si>
  <si>
    <t>شرکت سهلان</t>
  </si>
  <si>
    <t>منطقه ویژه اقتصادی سهلان</t>
  </si>
  <si>
    <t>بازرگان</t>
  </si>
  <si>
    <t>سرو</t>
  </si>
  <si>
    <t>تمرچین</t>
  </si>
  <si>
    <t>خوی</t>
  </si>
  <si>
    <t>پلدشت</t>
  </si>
  <si>
    <t>ارومیه</t>
  </si>
  <si>
    <t>جلفا</t>
  </si>
  <si>
    <t>نوردوز</t>
  </si>
  <si>
    <t>آستارا</t>
  </si>
  <si>
    <t>اردبیل</t>
  </si>
  <si>
    <t>بیله سوار</t>
  </si>
  <si>
    <t>آتیه قشم</t>
  </si>
  <si>
    <t>فجرجهاد (دفتر مرکزی)</t>
  </si>
  <si>
    <t>فجرجهاد(شعبه بندرعباس)</t>
  </si>
  <si>
    <t>فجرجهاد(شعبه عسلویه)</t>
  </si>
  <si>
    <t>افزایش ظرفیت انشعاب برق شرکت</t>
  </si>
  <si>
    <t>خرید و نصب سیستم اعلان حریق جهت انبار 43 کالاهای خطرناک</t>
  </si>
  <si>
    <t>تهیه و نصب سیستم اعلان و اطفاء حریق انبارها (فازاول)</t>
  </si>
  <si>
    <t>توسعه انبار محدوده دمایی 15 تا 25 درجه در 3000 متر مربع ضلع شرقی انبار 34</t>
  </si>
  <si>
    <t>خرید یک دستگاه ریچ استاکر 45 تن</t>
  </si>
  <si>
    <t>سه دستگاه لیفتراک 5 تن</t>
  </si>
  <si>
    <t>یک دستگاه لیفتراک 10 تن</t>
  </si>
  <si>
    <t>خرید یک دستگاه لیفتراک سنگین یا تاپ لیفت</t>
  </si>
  <si>
    <t>بازسازی موتورخانه آبرسانی و هیدرانت</t>
  </si>
  <si>
    <t>ایجاد، تعمیرات و جابجایی آسایشگاه انتظامات و اتاق مانیتورینگ</t>
  </si>
  <si>
    <t>گیت کنترل تردد ارباب رجوع</t>
  </si>
  <si>
    <t>بازسازی درب ورود ارباب رجوع</t>
  </si>
  <si>
    <t>خرید دو دستگاه وانت</t>
  </si>
  <si>
    <t>نوسازی فضای درمانگاه</t>
  </si>
  <si>
    <t>خرید 7 دستگاه موتورسیکلت (عملیات)</t>
  </si>
  <si>
    <t xml:space="preserve"> یک دستگاه لیفتراک 7 تن </t>
  </si>
  <si>
    <t>تهیه و نصب سیستم اعلان حریق</t>
  </si>
  <si>
    <t>خرید یک دستگاه کامیونت آتش نشانی</t>
  </si>
  <si>
    <t>خرید یک دستگاه موتورسیکلت (حراست)</t>
  </si>
  <si>
    <t>خریدیک دستگاه خودروی سواری</t>
  </si>
  <si>
    <t>اجرای سیستم پایش تصویری</t>
  </si>
  <si>
    <t xml:space="preserve">خرید لیفتراک 7 تن </t>
  </si>
  <si>
    <t>خرید زمین از منطقه آزاد اینچه برون در مجاورت خط ریلی راه آهن و ساخت انبار،هانگارو...</t>
  </si>
  <si>
    <t>خرید یک دستگاه خودرو سواری</t>
  </si>
  <si>
    <t>خرید 1 دستگاه جرثقیل 15 تا35 تن</t>
  </si>
  <si>
    <t>خرید یک دستگاه خودرو دوکابین</t>
  </si>
  <si>
    <t xml:space="preserve">خرید یک دستگاه خودرو سواری </t>
  </si>
  <si>
    <t>خرید یکدستگاه لودر 5 تن</t>
  </si>
  <si>
    <t>خرید نیوجرسی</t>
  </si>
  <si>
    <t>خرید دستگاه راهبند</t>
  </si>
  <si>
    <t>لیفتراک 5 تن کانتینر رو</t>
  </si>
  <si>
    <t>راه اندازی سیستم هیدرانت</t>
  </si>
  <si>
    <t>احداث انبار مسقف 1000 متری (انبار 30)</t>
  </si>
  <si>
    <t>بازسازی مجموعه ورزشی (فاز دوم)</t>
  </si>
  <si>
    <t>ساخت دفاتر تجاری(غیرگمرکی)</t>
  </si>
  <si>
    <t>خرید دیزل ژنراتور 750 کاوا با متعلقات</t>
  </si>
  <si>
    <t>اصلاح برق رسانی از پست برق اصلی تا انبار پنیه (فاز اول)</t>
  </si>
  <si>
    <t>توسعه و اصلاح سردخانه چند منظوره(2-8) و (15-25) (فاز اول)</t>
  </si>
  <si>
    <t>تهیه و نصب سیستم اعلان حریق انبارها (فازاول)</t>
  </si>
  <si>
    <t>صنعتی کردن رستوران</t>
  </si>
  <si>
    <t>افزایش فضای سردخانه رستوران</t>
  </si>
  <si>
    <t>بازسازی تابلوهای برق</t>
  </si>
  <si>
    <t>خرید نیسان بالابر</t>
  </si>
  <si>
    <t>تکمیل آسفالت  مناطق عملیاتی -فاز 3</t>
  </si>
  <si>
    <t>خرید یک دستگاه خودرو سواری - عملیاتی</t>
  </si>
  <si>
    <t>خرید یک دستگاه خودرو سواری - مدیریت</t>
  </si>
  <si>
    <t>خرید یک دستگاه خودرو سواری-HSE</t>
  </si>
  <si>
    <t>احداث انبار مسقف (نگهداری خاک روی)</t>
  </si>
  <si>
    <t>اجرای فاز یک هیدرانت</t>
  </si>
  <si>
    <t>تهیه و نصب سیستم اعلان و اطفاء حریق</t>
  </si>
  <si>
    <t>خرید یک دستگاه  خودرو وانت</t>
  </si>
  <si>
    <t>خرید 3 دستگاه کانتینر</t>
  </si>
  <si>
    <t>خرید یک دستگاه  خودرو نیسان حمل زباله</t>
  </si>
  <si>
    <t>خرید یک دستگاه ریچ تراک ETVQ25 برقی 2 تن</t>
  </si>
  <si>
    <t>خرید دو دستگاه ریچ تراک BT برقی 2 تن</t>
  </si>
  <si>
    <t xml:space="preserve">خرید 2 دستگاه نروتراک برقی دکل بلند (یوهانریش - EFX414 - برقی 1.5 تن) </t>
  </si>
  <si>
    <t>تهیه و نصب سیستم اعلان حریق- در انبار شماره 1 و 15 ( انبار خطرناک)</t>
  </si>
  <si>
    <t>تهیه و نصب سیستم اعلان حریق- انبار پردازش و انبار شماره 13 حوزه یک</t>
  </si>
  <si>
    <t>تهیه و نصب سیستم اعلان حریق -ساختمان اداری حوزه 2</t>
  </si>
  <si>
    <t>تهیه و نصب سیستم اعلان حریق- انبار متروکه حوزه 2</t>
  </si>
  <si>
    <t>تهیه و نصب سیستم اعلان حریق-کارگاه های نجاری، تعمیرگاه، تاسیسات</t>
  </si>
  <si>
    <t>ایمن سازی جایگاه های سوخت گازوئیل حوزه 1 و 2</t>
  </si>
  <si>
    <t>نصب صاعقه گیر در انبارهای حوزه 2</t>
  </si>
  <si>
    <t xml:space="preserve">تجهیزات فناوری اطلاعات (رایانه، شبکه، سرور و ...) برای شرکت و شعب تابعه </t>
  </si>
  <si>
    <t>خرید، نصب و راه اندازی سیستم کنترل تردد افراد به همراه ایکس ری</t>
  </si>
  <si>
    <t>خرید، نصب و راه اندازی یک دستگاه پکیج یونبت برای انبار 14</t>
  </si>
  <si>
    <t>خرید 1 دستگاه لیفتراک 5 تن برقی پردازش حوزه 2</t>
  </si>
  <si>
    <t>خرید 1 دستگاه لیفتراک 5 تن دیزلی با الحاق عدل گیر</t>
  </si>
  <si>
    <t xml:space="preserve">خرید دو دستگاه خودرو سواری </t>
  </si>
  <si>
    <t>خرید یک دستگاه الحاقیه عدل گیر</t>
  </si>
  <si>
    <t>خرید یک دستگاه الحاقیه رول گیر</t>
  </si>
  <si>
    <t>خرید یک دستگاه لیفتراک 5 تن برقی</t>
  </si>
  <si>
    <t>خرید یک دستگاه لیفتراک 2.5 تن برقی</t>
  </si>
  <si>
    <t>احداث تیرپارک موقت</t>
  </si>
  <si>
    <t xml:space="preserve">احداث یک باب انبار مسقف به مساحت 2240 مترمربع در محدوده تحت اختیار </t>
  </si>
  <si>
    <t xml:space="preserve">خرید 2 دستگاه کانکس اداری </t>
  </si>
  <si>
    <t>خرید یکدستگاه خودرو سواری (واحد برنامه ریزی)</t>
  </si>
  <si>
    <t>خرید یک دستگاه تراکتور مدل 1500</t>
  </si>
  <si>
    <t xml:space="preserve">خرید دو دستگاه کفی </t>
  </si>
  <si>
    <t>خرید یکدستگاه تراکتور مدل 399</t>
  </si>
  <si>
    <t>خرید 2 دستگاه جرثقیل 15 تا 35 تن</t>
  </si>
  <si>
    <t>خرید 3 دستگاه جرثقیل 15 تا 35 تن</t>
  </si>
  <si>
    <t>خرید یک دستگاه لیفتراک 3 تن</t>
  </si>
  <si>
    <t>خرید یک دستگاه لیفتراک  5 تن</t>
  </si>
  <si>
    <t>خرید یک دستگاه لیفتراک 7 تن</t>
  </si>
  <si>
    <t xml:space="preserve">خرید دو دستگاه موتورسیکلت  (حراست و  عملیات ) </t>
  </si>
  <si>
    <t xml:space="preserve">ساخت انبار مسقف </t>
  </si>
  <si>
    <t>ساخت سر درب ورودی</t>
  </si>
  <si>
    <t>توسعه سکوی تخلیه بارگیری ریلی</t>
  </si>
  <si>
    <t xml:space="preserve">تسطیح محوطه </t>
  </si>
  <si>
    <t>محوطه سازی و خاکریزی و احداث سکو فاز اول پروژه زمین منطقه ویژه سرخس</t>
  </si>
  <si>
    <t>خرید یکدستگاه  خودرو تک کابین (کارپردازی و عملیات)</t>
  </si>
  <si>
    <t>خرید یک دستگاه ماشین کامیونت  آتش نشانی</t>
  </si>
  <si>
    <t>خرید یک دستگاه جرثقیل 15 تا 35 تن</t>
  </si>
  <si>
    <t>خرید یک دستگاه سواری -  سرپرست شعبه</t>
  </si>
  <si>
    <t>خرید یک دستگاه موتور سیکلت - انتظامات</t>
  </si>
  <si>
    <t>خرید زمین و سرمایه گذاری در منطقه آزاد دوغارون</t>
  </si>
  <si>
    <t>تبدیل انبار 2000 متری به سردخانه 1000تنی 2 تا 8 درجه</t>
  </si>
  <si>
    <t>آسفالت خیابان هانگار و انبار آپرین-فاز 1</t>
  </si>
  <si>
    <t>ساخت انبار 4000 متری</t>
  </si>
  <si>
    <t>آسفالت جلوی انبارهای غیر گمرکی (خ شهید معروف)</t>
  </si>
  <si>
    <t>خرید باکس پالت فلزی</t>
  </si>
  <si>
    <t>اصلاح خطوط ریلی</t>
  </si>
  <si>
    <t>دیوارکشی انبارهای هانگار و تبدیل به انبار مسقف</t>
  </si>
  <si>
    <t xml:space="preserve"> بتن ریزی باراندازهای آپرین</t>
  </si>
  <si>
    <t>خرید یکدستگاه نیسان بالابر</t>
  </si>
  <si>
    <t>بتن ریزی پارکینگ سواری</t>
  </si>
  <si>
    <t>خرید لیفتراک 15 تن (واردات م.ویژه)</t>
  </si>
  <si>
    <t>آسفالت مسیر انبار آتش زا</t>
  </si>
  <si>
    <t>خرید دیزل ژنراتور</t>
  </si>
  <si>
    <t>خرید دو دستگاه مزدا دو کابین(فنی مهندسی)</t>
  </si>
  <si>
    <t>اجرای سیستم پایش تصویری - فاز 2</t>
  </si>
  <si>
    <t>اجرای سر درب منطقه ویژه</t>
  </si>
  <si>
    <t xml:space="preserve">تامین برق متقاضیان سرمایه گذاری در منطقه فاز 1 و 2 </t>
  </si>
  <si>
    <t xml:space="preserve">تکمیل حصارکشی پیرامون فاز 2 </t>
  </si>
  <si>
    <t>حصارکشی فاز 3و 4</t>
  </si>
  <si>
    <t>ترمیم دیوار و حصار فاز 1</t>
  </si>
  <si>
    <t>اجرای کانال های هدایت آب های سطحی و کانالهای عبوری تاسیسات پایانه 9 هکتاری</t>
  </si>
  <si>
    <t>محوطه سازی محوطه جدید  12 هکتاری (فاز اول شامل تسطیح، دیوارکشی و فنس کشی)</t>
  </si>
  <si>
    <t>تعمیرات سیستم هیدرانت موجود و گسترش فضاهای جدید</t>
  </si>
  <si>
    <t>کابل کشی و ارتباط شبکه داخلی کل مستحدثات پایانه 9 هکتاری</t>
  </si>
  <si>
    <t>احداث ساختمان اداری</t>
  </si>
  <si>
    <t>خرید لودر 5 تن</t>
  </si>
  <si>
    <t xml:space="preserve">خرید لیفتراک 3 تن </t>
  </si>
  <si>
    <t>خرید یک دستگاه لیفتراک 10 تن</t>
  </si>
  <si>
    <t>تعمیر و بازسازی انبارهای مسقف، هانگار</t>
  </si>
  <si>
    <t>لیفتراک یک دستگاه ۷ تن</t>
  </si>
  <si>
    <t>تهیه و نصب سیستم اعلان حریق در انبار 201-202کالاهای خطرناک</t>
  </si>
  <si>
    <t>تغییر سیستم گرمایشی ساختمان اداری و مهمانسرا از موتورخانه گازوئیلی  به پکیج</t>
  </si>
  <si>
    <t xml:space="preserve">خرید و نصب انشعاب گاز شهری برای ساختمان آتش نشانی </t>
  </si>
  <si>
    <t>بهسازی ساختمان آتش نشانی و رختکن پرسنل انتظامات</t>
  </si>
  <si>
    <t>بازسازی و بتن ریزی کف و سکوی 3 انبار مسقف</t>
  </si>
  <si>
    <t xml:space="preserve">دیوار کشی و استانداردسازی سه باب انبار از ورق گالوانیزه فلزی به آجری </t>
  </si>
  <si>
    <t xml:space="preserve">تعداد 4 دستگاه کابین لیفتراک </t>
  </si>
  <si>
    <t>نصب برج نوری 3 دستگاه در محوطه انبارها</t>
  </si>
  <si>
    <t>بهسازی و تعمیر ساختمان اداری شرکت</t>
  </si>
  <si>
    <t>احداث ساختمان سرویس بهداشتی در محوطه</t>
  </si>
  <si>
    <t>تجهیزات فناوری اطلاعات (  سرور و رایانه ...)</t>
  </si>
  <si>
    <t>احداث آشیانه برای ماشین آلات در محوطه تعمیرگاه</t>
  </si>
  <si>
    <t xml:space="preserve">تبدیل انبار 214 به انبار دمایی 1000 متری </t>
  </si>
  <si>
    <t>تسطیح و زیر سازی محوطه شعبه نوردوز</t>
  </si>
  <si>
    <t>پروژه سایت لجستیک منطقه آزاد ارس در نوردوز- محصور نمودن محوطه</t>
  </si>
  <si>
    <t>پروژه سایت لجستیک منطقه آزاد ارس در نوردوز-تسطیح محوطه</t>
  </si>
  <si>
    <t>سایت لجستیک منطقه آزاد ارس در نوردوز-اجرای سیستم پایش تصویری</t>
  </si>
  <si>
    <t>پروژه سایت لجستیک منطقه آزاد ارس در نوردوز-ساختمان اداری</t>
  </si>
  <si>
    <t xml:space="preserve">احداث اشیانه برای ماشین آلات تخلیه و بارگیری و آتش نشانی در شعبه نوردوز </t>
  </si>
  <si>
    <t>احداث ساختمان سرویس بهداشتی در محوطه سایت لجستیک</t>
  </si>
  <si>
    <t>پروژه سایت لجستیک منطقه آزاد ارس در نوردوز- آشیانه ماشین آلات</t>
  </si>
  <si>
    <t>آماده سازی خرید زمین آستارا در پایانه ریلی</t>
  </si>
  <si>
    <t>خرید دو دستگاه ماشین کامیونت آتش نشانی</t>
  </si>
  <si>
    <t xml:space="preserve">خرید یک دستگاه سواری </t>
  </si>
  <si>
    <t xml:space="preserve">خرید یک دستگاه لیفتراک 10 تن بوم بلند و شاخ بلند </t>
  </si>
  <si>
    <t xml:space="preserve">خرید دو دستگاه لیفتراک 7 تن </t>
  </si>
  <si>
    <t xml:space="preserve">خرید یک دستگاه لیفتراک 3 تن </t>
  </si>
  <si>
    <t xml:space="preserve">خرید یک دستگاه کشنده جفت محور با کفی </t>
  </si>
  <si>
    <t>خرید یک دستگاه جرثقیل 50 تن</t>
  </si>
  <si>
    <t>خرید 15 دستگاه کشنده</t>
  </si>
  <si>
    <t>خرید 15 دستگاه یدک به تناسب نوع محمولات</t>
  </si>
  <si>
    <t>اورهال (تعمیرات اساسی) کشنده های قدیم</t>
  </si>
  <si>
    <t>محوطه سازی شعبه بندرعباس در مجموعه نگین ترابران خلیج فارس</t>
  </si>
  <si>
    <t xml:space="preserve">خرید 1 عدد دستگاه دیاک </t>
  </si>
  <si>
    <t>خرید 1 دستگاه خودرو سواری شعبه تهران</t>
  </si>
  <si>
    <t xml:space="preserve">خرید 1 دستگاه خودرو سواری واحد بازرگانی </t>
  </si>
  <si>
    <t>خرید 1 دستگاه خودرو سواری دفتر هیئت مدیره</t>
  </si>
  <si>
    <t>خرید و تامین سیستمهای رایانه ای ، شبکه، سرور و ... برای شرکت و شعبات</t>
  </si>
  <si>
    <t>خرید 1 دستگاه خودرو سواری شعبه بندر عباس</t>
  </si>
  <si>
    <t>خرید 1 دستگاه خودرو سواری شعبه عسلویه</t>
  </si>
  <si>
    <t>1403/10/01</t>
  </si>
  <si>
    <t>1405/1/15</t>
  </si>
  <si>
    <t>1405/06/30</t>
  </si>
  <si>
    <t>با توجه به محدودیت‌های ایجادشده در زنجیره تأمین و افزایش هزینه‌های واردات و خرید نهاده‌های دامی، نوسانات نرخ ارز و رشد قیمت تمام‌شده ناشی از شرایط تحریمی و اختلالات بازار در واردات نهاده‌های دامی، شرکت موظف است با هدف حفظ تداوم عملیات، پایداری تأمین و صیانت از درآمد عملیاتی، نسبت به تدوین و اجرای برنامه جامع مدیریت تأمین اقدام نماید. این برنامه باید مشتمل بر شناسایی و ارزیابی منابع جایگزین تأمین، توسعه تأمین داخلی و منطقه‌ای، تنوع‌بخشی به تأمین‌کنندگان، ایجاد موجودی اطمینان متناسب با نیاز عملیاتی، و بازنگری در سیاست‌های خرید و حمل‌ونقل باشد.</t>
  </si>
  <si>
    <t>مقرر شد پیگیری­های لازم در خصوص وضعیت مالیات­های عملکرد و ارزش افزوده شرکت برای عملکرد سال­های 1400 لغایت 1402 صورت پذیرد.</t>
  </si>
  <si>
    <t xml:space="preserve">با توجه به فشار نقدینگی و ضرورت تأمین سرمایه در گردش موردنیاز برای تداوم عملیات، شرکت مکلف است برنامه جامع مدیریت نقدینگی و تأمین مالی کوتاه‌مدت را بدون اتکا به منابع سهامداران تدوین و اجرا نماید. این برنامه باید مبتنی بر مجموعه‌ای از راهکارهای عملیاتی و مالی بوده و حداقل موارد زیر را در بر گیرد:
-	ارزیابی و استفاده از ظرفیت خطوط اعتباری بانکی و تسهیلات کوتاه‌مدت تخصصی در حوزه بازرگانی
-	مذاکره با تأمین‌کنندگان منتخب جهت استفاده از شرایط خرید اعتباری، تهاتر یا قراردادهای مدت‌دار تأمین
-	بهبود چرخه وصول مطالبات و اعمال سیاست‌های مدیریت اعتبار مشتریان
-	 استفاده بهینه از ابزارهای نوین مالی نظیر قراردادهای خرید مدت‌دار، تأمین مالی مبتنی بر اسناد تجاری، یا فروش بخشی از موجودی راکد برای تقویت جریان نقد
-	بازنگری در ساختار هزینه‌ها، حذف هزینه‌های غیرمولد و بهینه‌سازی دوره گردش موجودی‌ها
-	بررسی امکان عقد قراردادهای مشارکت عملیاتی یا بازرگانی با شرکای تجاری جهت کاهش نیاز نقدی مستقیم همچنین شرکت مکلف است هم‌زمان با اقدامات فوق، گزینه‌های افزایش درآمد و حفظ سودآوری را از طریق توسعه سبد محصولات، فروش خدمات جانبی، بهینه‌سازی فرآیندهای خرید و بازرگانی، مدیریت موجودی و کاهش هزینه‌های غیرضروری، و در صورت امکان استفاده از ظرفیت‌های تولید/توزیع جایگزین بررسی و پیشنهاد نماید. </t>
  </si>
  <si>
    <t>شرکت شیر پاستوریزه پگاه اراک</t>
  </si>
  <si>
    <t xml:space="preserve">شرکت مکلف است گزارش­های میان‌دوره­ای و سالیانه برنامه و بودجه را مطابق دستورالعمل اجرایی افشای اطلاعات شرکت‌های تابعه هلدینگ آتیه صبا (ابلاغی مورخ 1401/02/05)، ظرف مهلت مقرر تهیه و افشاء نماید. </t>
  </si>
  <si>
    <t>رشد مقدار تولید خوراک دام و طیور کارخانه الغدیر</t>
  </si>
  <si>
    <t>تامین سبد معیشتی و سایر اقلام مصرفی شرکت‌های گروه</t>
  </si>
  <si>
    <t>پیگیری وصول پرونده‌های حقوقی</t>
  </si>
  <si>
    <t>فروش محصولات تولیدی کنسانتره دامی</t>
  </si>
  <si>
    <t>فروش خدمات تولید کارمزدی</t>
  </si>
  <si>
    <t>برنج</t>
  </si>
  <si>
    <t>کمک‌های غیرنقدی به کارکنان</t>
  </si>
  <si>
    <t>سایر هزینه‌های کارکنان</t>
  </si>
  <si>
    <t xml:space="preserve">ایاب و ذهاب </t>
  </si>
  <si>
    <t>سود سپرده‌های بانکی</t>
  </si>
  <si>
    <t>شرکت عمران و ساختمان صندوق بازنشستگی کشوری</t>
  </si>
  <si>
    <t>مقرر شد هیات مدیره نسبت به تدوین برنامه‌های دقیق، قابل اتکا و عملیاتی در خصوص بکارگیری حداکثر ظرفیت‌های موجود به منظور خروج از مشمولیت ماده 141 قانون تجارت اقدام نموده و گزارش اقدامات به صورت ماهیانه به هلدینگ آتیه صبا ارائه شود.</t>
  </si>
  <si>
    <t>با توجه به پیش‌بینی عدم سوددهی رستوران در سال 1405 و زیان‌دهی در سنوات گذشته و امکان برون سپاری رستوران به عنوان گزینه جایگزین، مقرر شد گزارش عملکرد تفصیلی بخش رستوران در پایان خرداد ماه سال 1405 جهت تعیین تکلیف وضعیت اداره رستوران (توسط شرکت یا برون سپاری) به هلدینگ ارائه شود.</t>
  </si>
  <si>
    <t>مقرر شد باتوجه به مستهلک شدن ساختمان اصلی هتل در سالیان گذشته بر اثر استخر موجود در طبقه منفی یک، ضمن ارائه برنامه مدون و طرح توجیهی در این خصوص، اقدامات لازم به منظور جابجایی استخر از مکان فعلی و احداث استخر جدید با قید فوریت و هماهنگی با هلدینگ صورت پذیرد.</t>
  </si>
  <si>
    <t>با توجه به زیان ده بود شرکت در سال گذشته مقرر شد اقدامات لازم به منظور افزایش ضریب اشغال هتل صورت پذیرد و گزارش اقدامات در بازه های زمانی 3 ماهه به هلدینگ آتیه صبا ارسال شود.</t>
  </si>
  <si>
    <t>مقرر شد برنامه‌ها و راهکارهای پیشنهادی هیأت مدیره شرکت به منظور افزایش درآمد، کاهش هزینه‌ها، ثبات درآمد، افزایش حاشیه سود و ... حداکثر تا پایان خردادماه 1405 به هلدینگ آتیه صبا ارسال شود.</t>
  </si>
  <si>
    <t>مقرر شد اقدامات لازم به منظور عقد تفاهم‌نامه‌های ارائه خدمات رفاهی با مجموعه‌های ذیل وزارت تعاون، کار و رفاه اجتماعی صورت پذیرد و گزارش اقدامات در بازه‌های زمانی سه ماهه به هلدینگ آتیه صبا ارائه شود.</t>
  </si>
  <si>
    <t xml:space="preserve"> مقرر شد گزارش کامل اقدامات صورت گرفته در خصوص استقرار سیستم حسابداری و ساختار بهای تمام شده  و روند پیشرفت کار حداکثر تا پایان تیرماه 1405 به هلدینگ آتیه صبا ارسال شود.</t>
  </si>
  <si>
    <t>مقرر شد گزارشی جامع از اقدامات صورت گرفته در خصوص موضوع عملیات بازسازی هتل متوقف شده در سنوات پیشین و آثار مالی آن و روند پیشرفت امور و نتایج حاصل شده تهیه و حداکثر تا پایان تیرماه 1405 به هلدینگ آتیه صبا ارسال شود.</t>
  </si>
  <si>
    <t>راه‌اندازی مرکز ماساژ و اسپا</t>
  </si>
  <si>
    <t>احداث استخر آبدرمانی جدید</t>
  </si>
  <si>
    <t>تبلیغات و بازاریابی منسجم-هوشمندانه و متعهدانه</t>
  </si>
  <si>
    <t>راه‌اندازی غرفه سوغاتی و صنایع دستی (BOT)</t>
  </si>
  <si>
    <t>تغییر در منوی غذای رستوران-اصلاح کالبدی</t>
  </si>
  <si>
    <t>تبدیل فضای استخر کنونی به سالن ورزشی (BOT)</t>
  </si>
  <si>
    <t>راه اندازی نانوایی به صورت (BOT)</t>
  </si>
  <si>
    <t>راه‌اندازی دو کلینیک طب زیبائی و سنتی (BOT)</t>
  </si>
  <si>
    <t>احداث مسیر پیاده‌روی و جاده سلامت (BOT)</t>
  </si>
  <si>
    <t>احداث گلخانه (BOT)</t>
  </si>
  <si>
    <t>طراحی و اجرای محوطه بازی و سرگرمی (BOT)</t>
  </si>
  <si>
    <t>استحصال پایه محصولات درمانی از آبگرم جهت استفاده در کلینیک زیبایی و طب سنتی  (BOT)</t>
  </si>
  <si>
    <t>1405/03/01</t>
  </si>
  <si>
    <t>1405/06/01</t>
  </si>
  <si>
    <t>1405/01/31</t>
  </si>
  <si>
    <t>1405/12/01</t>
  </si>
  <si>
    <t>راه‌اندازی و برون‌سپاری سفره‌خانه (BOT)</t>
  </si>
  <si>
    <t>غذای رستوران</t>
  </si>
  <si>
    <t>ثبتی حقوقی و مشاوره</t>
  </si>
  <si>
    <t>چاپ آگهی و تبلیغات</t>
  </si>
  <si>
    <t>تهیه بروشور و کاتالوگ</t>
  </si>
  <si>
    <t>آبدرمانی محلات</t>
  </si>
  <si>
    <t>راه اندازی سالن ورزشی در محل فعلی استخرها</t>
  </si>
  <si>
    <t>راه اندازی مرکز اسپا و ماساژ</t>
  </si>
  <si>
    <t>شرکت خدمات مسافرت هوایی، گردشگری و زیارتی پرشین گلف</t>
  </si>
  <si>
    <t>پرسنل شرکت</t>
  </si>
  <si>
    <t>سازمان خصوصی‌سازی</t>
  </si>
  <si>
    <t>مقرر شد برنامه­های شرکت به صورت مدون و تفکیک شده با ارائه تقویم زمانی اجرا، برآورد هزینه و درصد پیشرفت مورد انتظار تهیه و تا پایان خرداد ماه سال 1405 به هلدینگ آتیه صبا ارائه شود.</t>
  </si>
  <si>
    <t>مقرر شد پیرو جلسه کارگروه تحول شرکت تجهیزات ایمنی راه‌ها، شرکت نسبت به تهیه و ارائه گانت­ چارت جامع فعالیت­ها و برنامه­های شرکت شامل اقدامات تولیدی، عملیاتی، سرمایه­گذاری و توسعه­ای سال جاری همراه با زمان‏بندی اجرای هر یک از فعالیت­ها نهایتاً تا پایان خرداد ماه سال 1405 اقدام نماید.</t>
  </si>
  <si>
    <t>مقرر شد نسبت به تکمیل و اصلاح موارد ذیل در گزارش برنامه و بودجه اقدام و نهایتاً تا پایان خردادماه سال 1405 به هلدینگ آتیه صبا ارائه شود:
-	جدول صورت وضعیت مالی
-	اقلام عمده حساب‌ها
-	جدول دریافت و پرداخت نقد 
-	جدول صورت جریان وجوه نقد
-	تطابق و هم خوانی جداول صورت وضعیت مالی، سود و زیان، دریافت پرداخت 
-	جدول دارایی‌ها و تطابق با صورت وضعیت مالی
-	...</t>
  </si>
  <si>
    <t>مقرر شد شرکت در خصوص تقویت تیم مالی تا پایان خرداد ماه سال 1405 اقدام نموده و نتیجه را به هلدینگ آتیه صبا ارائه کند.</t>
  </si>
  <si>
    <t>عدم ارائه برنامه مدون توسط شرکت</t>
  </si>
  <si>
    <t>تراورس دی بلوک(تولید)</t>
  </si>
  <si>
    <t>نیوجرسی 6 متری</t>
  </si>
  <si>
    <t>نیوجرسی 4 متری</t>
  </si>
  <si>
    <t>گاردریل 2 موج با متعلقات</t>
  </si>
  <si>
    <t>گاردریل 3 موج با متعلقات</t>
  </si>
  <si>
    <t>پل عابر پیاده</t>
  </si>
  <si>
    <t>هندریل</t>
  </si>
  <si>
    <t xml:space="preserve">تابلو استاندارد </t>
  </si>
  <si>
    <t>تابلو ریلی</t>
  </si>
  <si>
    <t xml:space="preserve">سینی کابل </t>
  </si>
  <si>
    <t>بازتاب</t>
  </si>
  <si>
    <t>پایه تابلو</t>
  </si>
  <si>
    <t xml:space="preserve">سایر سازه‌های فلزی </t>
  </si>
  <si>
    <t>بتن آماده</t>
  </si>
  <si>
    <t xml:space="preserve">متر </t>
  </si>
  <si>
    <t xml:space="preserve">کیلوگرم </t>
  </si>
  <si>
    <t>مترمکعب</t>
  </si>
  <si>
    <t>چراغ چشمک زن سه خانه</t>
  </si>
  <si>
    <t xml:space="preserve">انواع پیچ و مهره </t>
  </si>
  <si>
    <t xml:space="preserve">انواع سیم و کابل </t>
  </si>
  <si>
    <t>متر</t>
  </si>
  <si>
    <t>بست پایه تابلو</t>
  </si>
  <si>
    <t xml:space="preserve">لوله و پروفیل گالوانیزه </t>
  </si>
  <si>
    <t>اجرای تراورس دی بلوک</t>
  </si>
  <si>
    <t>اجرای پل عابر پیاده</t>
  </si>
  <si>
    <t>اجرای هندریل</t>
  </si>
  <si>
    <t>اجرای پایه تابلو</t>
  </si>
  <si>
    <t xml:space="preserve">انواع شبرنگ </t>
  </si>
  <si>
    <t xml:space="preserve">انواع پروفیل </t>
  </si>
  <si>
    <t xml:space="preserve">انواع ورق </t>
  </si>
  <si>
    <t xml:space="preserve">انواع رنگ و روغن </t>
  </si>
  <si>
    <t xml:space="preserve">لوله </t>
  </si>
  <si>
    <t>الکترود</t>
  </si>
  <si>
    <t>انواع میلگرد</t>
  </si>
  <si>
    <t xml:space="preserve">سیمان </t>
  </si>
  <si>
    <t>مفصل نیوجرسی</t>
  </si>
  <si>
    <t>قاب تابلو</t>
  </si>
  <si>
    <t xml:space="preserve">انواع شن و ماسه </t>
  </si>
  <si>
    <t xml:space="preserve">موارد متفرقه </t>
  </si>
  <si>
    <t>متر مکعب</t>
  </si>
  <si>
    <t>متر مربع</t>
  </si>
  <si>
    <t>عائله مندی</t>
  </si>
  <si>
    <t>فوق العاده مسکن و خوربار</t>
  </si>
  <si>
    <t>بیمه بیکاری</t>
  </si>
  <si>
    <t>ایاب ذهاب حقوق</t>
  </si>
  <si>
    <t>عیدی</t>
  </si>
  <si>
    <t xml:space="preserve">بازخرید سنوات </t>
  </si>
  <si>
    <t>بازخرید مرخصی</t>
  </si>
  <si>
    <t>سایر مزایا و اعیاد</t>
  </si>
  <si>
    <t>دستمزد پیمانکاران</t>
  </si>
  <si>
    <t>لوازم و ابزار مصرفی</t>
  </si>
  <si>
    <t>حقوق دستمزد و مزایا</t>
  </si>
  <si>
    <t>بیمه سهم کارفرما و بیکاری</t>
  </si>
  <si>
    <t>مزایای پایان خدمت کارکنان و بازخرید مرخصی</t>
  </si>
  <si>
    <t>کمک های غیر نقدی و رفاهی به کارکنان</t>
  </si>
  <si>
    <t>عیدی، پاداش و بهره وری</t>
  </si>
  <si>
    <t>پذیرایی و غذا</t>
  </si>
  <si>
    <t xml:space="preserve">فوق العاده ماموریت </t>
  </si>
  <si>
    <t>حمل - برای انتقال کالا به مشتری طبق قرارداد</t>
  </si>
  <si>
    <t>ابزار و لوازم فنی مصرفی</t>
  </si>
  <si>
    <t>کارمزد و اوراق بانکی</t>
  </si>
  <si>
    <t xml:space="preserve">هزینه آب و برق و تلفن </t>
  </si>
  <si>
    <t>صندوق بازنشستگي كشوري</t>
  </si>
  <si>
    <t>شرکت سرمایه‌گذاری صندوق بازنشستگی</t>
  </si>
  <si>
    <t>مقرر شد پیشنهاد جامع حاوی راه‌حل‌های کارا و اثربخش نسبت به راهگشایی در خصوص معضل تورم بلاوجه منابع انسانی شرکت، ارائه سناریوهای کاهش نیروی انسانی در یک یا چند مرحله به همراه بار مالی مترتب هر سناریو و ... به صورت گام به گام توسط شرکت تهیه و حداکثر تا پایان تیرماه 1405 به هلدینگ آتیه صبا ارسال شود.</t>
  </si>
  <si>
    <t>مقرر شد هیات مدیره با رعایت صرفه و صلاح شرکت نسبت به تعیین تکلیف موضوع فعالیت و سهامداری در سه شرکت خدمات هوایی سامان، آرمان پخت و خدمات باری خلیج فارس و مطالبه حقوق تضییع شده شرکت از طرق مقتضی اقدام و گزارش اقدامات را به صورت فصلی به هلدینگ آتیه صبا ارائه نماید.</t>
  </si>
  <si>
    <t>مقرر شد هیات مدیره شرکت در راستای واگذاری قراردادهای چارتری فروش بلیط هواپیما، ضمن نرخ‌گذاری پروازهای چارتری و برآورد سود و زیان هر یک از خطوط پروازی در فصول مختلف، نسبت به ارائه برنامه مشخص جهت واگذاری از طریق تشریفات قانونی اقدام نماید.</t>
  </si>
  <si>
    <t>مقرر شد شرکت نسبت به ایجاد سامانه قیمت تمام شده و تعیین درآمد و سودآوری هر یک از هواپیماهای شرکت اعم از عملیاتی، غیرعملیاتی و زمینگیر و یا ایجاد واحد حسابداری مدیریت در بخش مالی برای تهیه گزارش‌های مدیریتی از این دست و مشابه آن جهت تصمیم‌گیری هیات مدیره اقدام نماید.</t>
  </si>
  <si>
    <t>مقرر شد تدابیر لازم به منظور نحوه تأمین و ارتقای ناوگان و تقلیل زیان انباشته، به همراه چگونگی تأمین مالی مورد نیاز در قالب برنامه کوتاه مدت و بلند مدت از سوی شرکت اتخاذ و گزارش اقدامات صورت گرفته حداکثر تا پایان مردادماه 1405 به هلدینگ آتیه صبا ارسال شود.</t>
  </si>
  <si>
    <t xml:space="preserve"> مقرر شد اقدامات لازم از سوی شرکت نسبت به استخراج ریسک‌های مترتب پرونده‌های حقوقی و بار مالی ناشی از آن صورت پذیرد و گزارش اقدامات صورت گرفته حداکثر تا پایان مردادماه 1405 به هلدنگ آتیه صبا ارسال شود. </t>
  </si>
  <si>
    <t xml:space="preserve">مقرر شد برنامه اقدامات لازم به منظور عملیاتی شدن و احیای آشیانه تعمیرات و نگهداری فرودگاه‌های امام خمینی(ره)، مهرآباد، شیراز و مشهد مقدس با هدف درآمدزایی تهیه و حداکثر تا پایان تیرماه 1405 به هلدینگ آتیه صبا ارسال شود. </t>
  </si>
  <si>
    <t>مقرر شد برنامه اقدامات لازم همراه با هزینه‌های مترتب به منظور به روزرسانی و بهره‌گیری از ظرفیت کیترینگ، کارگو و مراکز آموزش شرکت به منظور تکمیل زنجیره ارزش و درآمدزایی تهیه و حداکثر تا پایان تیرماه 1405 به هلدینگ آتیه صبا ارسال شود.</t>
  </si>
  <si>
    <t>مقرر شد هیأت مدیره شرکت، برنامه اجرایی مشخص بازپرداخت بدهی‌، همراه با برنامه زمانی و مستند برای بهبود بازپرداخت بدهی‌های سررسید شده شرکت ( معوق بالای 90 روز) مشتمل بر موارد زیر، تهیه و حداکثر تا پایان مردادماه 1405 به هلدینگ آتیه صبا ارسال نماید:
- بدهی‌های سررسید شده به تفکیک زمانی
- تعیین اولویت پرداخت براساس شرایط و ملاحظات بستانکاران(مالیات، بیمه، کارکنان، تأمین کنندگان استراتژیک و ...)
- ارائه پیشنهاد روش بازپرداخت دوره‌ای( نقد، تهاتر، تقسیط و ...) برای هر گروه
- جدول زمانی بازپرداخت بر اساس بودجه نقدی سال 1405( ماهانه یا فصلی)
- ارائه مستندات مذاکره و یا هرگونه تفاهم و توافق مکتوب با بستانکاران کلیدی</t>
  </si>
  <si>
    <t>مقرر شد برنامه تهاجمی و عملیاتی جهت وصول مطالبات به همراه زمانبندی مشخص تهیه و حداکثر تا پایان خرداد ماه سال 1405 به هلدینگ آتیه صبا ارسال شود.</t>
  </si>
  <si>
    <t>مقرر شد کارگروه مدیریت نقدینگی در راستای مدیریت هزینه‌ها در تمام سطوح به نسبت هزینه‌ها و اولویت‌بندی و بهبود آن، از جمله تغییرات در سرفصل‌های حقوق‌های وابسته به ساعات پروازی و... و پیش برد بهتر امور در شرکت تشکیل و به صورت هفتگی تشکیل جلسه دهد.  همچنین فرد مسئول در هیأت مدیره در این خصوص به هلدینگ آتیه صبا معرفی شود.</t>
  </si>
  <si>
    <t>مقرر شد اقدامات لازم به منظور بهبود فرآیند و بهینه‌سازی نیروی انسانی، عدم جذب نیرو صورت پذیرد و همچنین گزارش جامع در خصوص تعدیلات احتمالی پرسنل به همراه دلایل و همچنین گزارش بررسی عملکرد روزانه کارکنان جهت ارائه به هیئت مدیره مبنی بر افزایش بهره‌وری و کنترل هزینه‌ها تهیه و حداکثر تا مرداد ماه 1405 به هلدینگ آتیه صبا ارسال شود.</t>
  </si>
  <si>
    <t>مقرر شد گزارشی از راهکارهای احتمالی افزایش و خلق درآمد از روش‌های پروازی و غیرپروازی من جمله بهره‌گیری پتانسیل‌های موجود در مجموعه شامل بخش تعمیرات و نگهداری و نیروهای فنی و... تهیه و حداکثر تا پایان تیر ماه سال 1405 به هلدینگ آتیه صبا ارسال شود.</t>
  </si>
  <si>
    <t>مقرر شد برنامه شرکت جهت مولدسازی دارایی‌ها و استفاده از ظرفیت املاک مازاد و حل و فصل موضوعات حقوقی مربوطه به انضمام معرفی فرد مسئول در هیأت مدیره، حداکثر تا پایان خرداد ماه سال 1405 به هلدینگ آتیه صبا ارسال شود.</t>
  </si>
  <si>
    <t>مقرر شد طرح جامع تهاتر مطالبات و بدهی‌های دولتی شرکت از جمله سازمان امور مالیاتی، فرودگاه‌ها و... و بهره‎‌گیری از پتانسیل‌های هیأت مدیره و سهامدار عمده تهیه و حداکثر تا پایان خردادماه سال 1405 به هلدینگ آتیه صبا ارسال شود.</t>
  </si>
  <si>
    <t>تعمیر یک دستگاه موتور ایرباس320</t>
  </si>
  <si>
    <t>تعمیر دودستگاه موتورفوکر100</t>
  </si>
  <si>
    <t>تعمیر و نگهداری ناوگان عملیاتی</t>
  </si>
  <si>
    <t>1405/10/01</t>
  </si>
  <si>
    <t xml:space="preserve">اضافه كار، شبكاري و نوبتكاري </t>
  </si>
  <si>
    <t>هزینه کارکنان مستقیم</t>
  </si>
  <si>
    <t>شبکاری ونوبتکاری</t>
  </si>
  <si>
    <t>بازخریدمرخصی کارکنان</t>
  </si>
  <si>
    <t>آموزش وسوادآموزی</t>
  </si>
  <si>
    <t xml:space="preserve">كمك‌هاي غير نقدي </t>
  </si>
  <si>
    <t xml:space="preserve">عائله‌مندي ، كمك مسكن و خواربار </t>
  </si>
  <si>
    <t>هزینه‌های اجرایی</t>
  </si>
  <si>
    <t>دارایی مالیات انتقالی</t>
  </si>
  <si>
    <t>شب‌کاری و نوبت کاری</t>
  </si>
  <si>
    <t>عیدی پاداش بهره وری</t>
  </si>
  <si>
    <t>کمکه‌ای غیرنقدی</t>
  </si>
  <si>
    <t>عائله‌مندی مسکن خواربار</t>
  </si>
  <si>
    <t>هزینه تعمیر و نگهداریی و پشتیبانی</t>
  </si>
  <si>
    <t>اجاره ساختمان‌ها</t>
  </si>
  <si>
    <t>ماشین‌‌آلات و تجهیزات</t>
  </si>
  <si>
    <t>هواپیما</t>
  </si>
  <si>
    <t>وسایل زمینی</t>
  </si>
  <si>
    <t>موتور و ملخ و قطعات سرمایه‌ای</t>
  </si>
  <si>
    <t>قطعات سرمایه‌ای و یدکی</t>
  </si>
  <si>
    <t>ماشین‌های اداری و نرم‌افزار</t>
  </si>
  <si>
    <t>مواد غذایی</t>
  </si>
  <si>
    <t>خسارت دریافتی از بیمه (مطابق با قراردادها)</t>
  </si>
  <si>
    <t>شرکت مکلف است نسبت به تهیه و ارائه گزارش جامع وضعیت نقدینگی شامل جریان‌های ورودی و خروجی وجوه نقد، تعهدات سررسید شده و آتی، مطالبات و بدهی‌ها، پیش‌بینی جریان نقدی حداقل شش‌ماهه و تحلیل شکاف نقدینگی اقدام نماید.</t>
  </si>
  <si>
    <t>شرکت موظف است نسبت به شناسایی، طبقه‌بندی و ارزیابی کلیه دارایی‌های ثابت، راکد، کم‌بازده و بلااستفاده اقدام نموده و برنامه عملیاتی مولدسازی آن‌ها را ارائه نماید. این طرح باید شامل روش‌های پیشنهادی بهره‌برداری بهینه از دارایی‌ها از جمله اجاره، مشارکت، واگذاری، تغییر کاربری، سرمایه‌گذاری مشترک یا سایر ابزارهای قانونی، همراه با برآورد درآمد، زمان‌بندی اجرا، تحلیل ریسک و آثار مالی آن بر سودآوری و جریان نقدی شرکت باشد.</t>
  </si>
  <si>
    <t>مقرر شد برنامه­های هیأت مدیره در خصوص واحدهای زیان­ده ارائه و در دستور کار قرار گیرد.</t>
  </si>
  <si>
    <t>نظر به اینکه فرآیندهای داخلی بازسازی واحدهای اقامتی با ابهام مواجه بوده و مستندات مصوب در این زمینه ارائه نشده، شرکت مکلف است نسبت به طراحی، مستندسازی و ارائه فرآیند جامع بازسازی اقدام نماید. این فرآیند باید شامل مراحل نیازسنجی، برآورد هزینه، تهیه طرح فنی، اخذ مجوزهای داخلی شرکت، تأمین منابع مالی، انتخاب پیمانکار از طریق ضوابط شفاف، زمان‌بندی اجرا، کنترل کیفیت، تحویل و ارزیابی پس از اجرا باشد.</t>
  </si>
  <si>
    <t>شرکت موظف است پیش از هرگونه اقدام اجرایی، نسبت به اولویت‌بندی پروژه‌های بازسازی بر اساس شاخص‌های مشخص از جمله میزان فرسودگی، اثرگذاری بر افزایش درآمد، میزان بازگشت سرمایه (ROI)، تأثیر بر رضایت میهمانان، سطح اشغال و اهمیت استراتژیک هر واحد اقدام نماید.</t>
  </si>
  <si>
    <t>شرکت مکلف است برنامه تبلیغات محیطی خود را بازنگری نموده و نسبت به نصب و استقرار تابلوهای تبلیغاتی در مراکز پرتردد و مؤثر در جذب مسافر از جمله فرودگاه‌ها، پایانه‌های مسافربری، ایستگاه‌های راه‌آهن، مراکز تجاری شاخص، ورودی شهرها و مبادی گردشگری اقدام نماید.</t>
  </si>
  <si>
    <t>با توجه به ماهیت هتلداری و تأثیر مستقیم سیاست‌های تخفیفی بر درآمد و برند شرکت، ارائه هرگونه تخفیف می‌بایست در چارچوب دستورالعمل مصوب صورت پذیرد. شرکت موظف است نسبت به تدوین «نظام جامع تخفیفات» اقدام نماید که شامل موارد زیر باشد:
-	تعیین سقف مجاز تخفیف در شرایط عادی و ویژه
-	تفکیک تخفیفات مناسبتی، قراردادی، سازمانی و تشویقی
-	تعریف فرآیند تأیید تخفیفات خاص
-	پیش‌بینی آثار مالی هر نوع تخفیف بر سودآوری
-	جلوگیری از ارائه تخفیفات سلیقه‌ای و خارج از چارچوب</t>
  </si>
  <si>
    <t>شرکت مکلف است برنامه جامع مدیریت و کنترل هزینه‌ها را با رویکرد کاهش بهای تمام‌شده خدمات و افزایش بهره‌وری عملیاتی تدوین و ارائه نماید. این برنامه باید شامل شناسایی هزینه‌های قابل کنترل، بازنگری در ساختار هزینه‌های اداری و عملیاتی، اصلاح فرآیندها، بهینه‌سازی مصرف منابع، مدیریت قراردادها و خریدها، جلوگیری از هزینه‌های غیرضرور و استقرار نظام پایش مستمر هزینه‌ها باشد</t>
  </si>
  <si>
    <t>شرکت موظف است برنامه جامع بازاریابی و توسعه بازار با تمرکز بر افزایش ظرفیت فعالیت در خطه جنوب کشور را تدوین و ارائه نماید. این برنامه باید شامل تحلیل بازار منطقه، شناسایی فرصت‌های جدید، توسعه شبکه فروش و نمایندگی‌ها، انعقاد قراردادهای همکاری، طراحی بسته‌های خدماتی رقابتی، بهره‌گیری از ابزارهای تبلیغاتی و دیجیتال مارکتینگ و تدوین مشوق‌های فروش باشد. همچنین اهداف کمی افزایش سهم بازار، رشد درآمد عملیاتی و ارتقاء ضریب اشغال/ظرفیت ارائه خدمات تعیین و سازوکار نظارت بر تحقق آن مشخص گردد.</t>
  </si>
  <si>
    <t xml:space="preserve">درآمدهای اجاره‌ای سال 1405 </t>
  </si>
  <si>
    <t>انعقاد قراردادهای جدید واگذاری رستوران های زیان ده</t>
  </si>
  <si>
    <t>فروش دارایی (هتل نیمه کاره بیرجند - زمین دره شهر - تفرش)</t>
  </si>
  <si>
    <t>ساخت واحد تجاری در هتل جهانگردی سمنان</t>
  </si>
  <si>
    <t>ساخت ویلا اقامتی در هتل جهانگردی شاهرود</t>
  </si>
  <si>
    <t>ساخت واحد تجاری در هتل جهانگردی چلندر</t>
  </si>
  <si>
    <t>ساخت واحد تجاری در هتل جهانگردی ماکو</t>
  </si>
  <si>
    <t>ساخت ویلا اقامتی در مجموعه جهانگردی اصفهان</t>
  </si>
  <si>
    <t>ساخت فضای خدماتی رفاهی در مجموعه جهانگردی اصفهان</t>
  </si>
  <si>
    <t>بازسازی هتل جهانگردی خلخال</t>
  </si>
  <si>
    <t>بازسازی هتل جهانگردی چالوس</t>
  </si>
  <si>
    <t>بازسازی هتل جهانگردی خزرشهر</t>
  </si>
  <si>
    <t>بازسازی هتل جهانگردی کرمان2</t>
  </si>
  <si>
    <t>بازسازی هتل جهانگردی زاهدان</t>
  </si>
  <si>
    <t>بازسازی هتل جهانگردی گلپایگان</t>
  </si>
  <si>
    <t>واحد</t>
  </si>
  <si>
    <t xml:space="preserve">درصد </t>
  </si>
  <si>
    <t>1406/06/30</t>
  </si>
  <si>
    <t>1406/07/01</t>
  </si>
  <si>
    <t>1406/04/01</t>
  </si>
  <si>
    <t>1406/03/01</t>
  </si>
  <si>
    <t>1405/08/01</t>
  </si>
  <si>
    <t>1405/04/30</t>
  </si>
  <si>
    <t>مرکز رستوران</t>
  </si>
  <si>
    <t xml:space="preserve">مركز هتلداری </t>
  </si>
  <si>
    <t>مواد غذایی و اشامیدنی</t>
  </si>
  <si>
    <t>سفر و ماموریت</t>
  </si>
  <si>
    <t>آب، برق، گاز، پست و مخابرات</t>
  </si>
  <si>
    <t>غذا و لوازم و ملزومات مصرفی و آبدارخانه</t>
  </si>
  <si>
    <t>تعمیرات و نگهداری دارایی ثابت</t>
  </si>
  <si>
    <t>اقلام مورد نیاز هتلداری</t>
  </si>
  <si>
    <t>هزينه حقوق و دستمزد و مزایا</t>
  </si>
  <si>
    <t>بيمه سهم كارفرما</t>
  </si>
  <si>
    <t>مزاياي پايان خدمت</t>
  </si>
  <si>
    <t>سفر و مأموريت</t>
  </si>
  <si>
    <t>هزینه حقوق و دستمزد و مزایا واحدهای غیر فعال</t>
  </si>
  <si>
    <t>غذا ولوازم و ملزومات مصرفي و آبدارخانه</t>
  </si>
  <si>
    <t>هزينه استهلاك</t>
  </si>
  <si>
    <t>هزينه هاي حقوقي و ثبتي</t>
  </si>
  <si>
    <t>تعميرات و نگهداري دارايي ثابت</t>
  </si>
  <si>
    <t xml:space="preserve">بيمه دارايي‌هاي ثابت </t>
  </si>
  <si>
    <t xml:space="preserve">كارمزد فروش </t>
  </si>
  <si>
    <t>چاپ آگهي و تبليغات و نمايشگاه‌ها</t>
  </si>
  <si>
    <t>اقلام سرمایه‌ای در انبار</t>
  </si>
  <si>
    <t>سود  ناشی از فروش دارایی‌های ثابت مشهود</t>
  </si>
  <si>
    <t>استفاده از ظرفیت خبرگزاری‌ها و رسانه</t>
  </si>
  <si>
    <t xml:space="preserve">همایش‌ها </t>
  </si>
  <si>
    <t>خرید اقلام چاپی تابلوهای محیطی داخلی (دکوراسیون و...)</t>
  </si>
  <si>
    <t>تولیدی تجهیزات ایمنی راه‌ها</t>
  </si>
  <si>
    <t>سرمایه‌گذاری ایرانگردی و جهانگردی</t>
  </si>
  <si>
    <t>سرمایه‌گذاری گروه صنعتی ملی</t>
  </si>
  <si>
    <t xml:space="preserve"> شركت سرمايه‌گذاري آتیه صبا</t>
  </si>
  <si>
    <t>شرکت سرمایه‌گذاری کارکنان صنعت برق زنجان</t>
  </si>
  <si>
    <t>شرکت خدمات گستر صبا انرژی</t>
  </si>
  <si>
    <t>شرکت سرمایه‌گذاری ملی ایران</t>
  </si>
  <si>
    <t>شرکت آزادراه امیرکبیر</t>
  </si>
  <si>
    <t>شرکت صنایع شیر ایران</t>
  </si>
  <si>
    <t>شرکت صدر معادن ایرانیان</t>
  </si>
  <si>
    <t>شرکت مکلف است با توجه به آثار مالی ناشی از اعمال تخفیف‌ها، نسبت به کنترل و مدیریت میزان تخفیف‌های اعطایی اقدام نموده و از اعطای تخفیف‌های خارج از ضوابط و سقف‌های مصوب خودداری نماید. همچنین موظف است تمهیدات و راهکارهای لازم جهت پیگیری جبران آثار مالی ناشی از تخفیف‌های اعطایی از مراجع مربوطه را اتخاذ نموده و گزارش اقدامات را به صورت ماهیانه به هلدینگ آتیه صبا ارائه نماید.</t>
  </si>
  <si>
    <t>مقرر شد شرکت اقدامات لازم جهت تهیه و ارائه برنامه عملیاتی با زمان‌بندی مشخص برای وصول مطالبات، به منظور بهبود وضعیت نقدینگی و مدیریت هزینه‌ها را به صورت ماهیانه به هلدینگ آتیه صبا ارائه نماید.</t>
  </si>
  <si>
    <t>شرکت مکلف است نسبت به مولدسازی دارایی‌های غیرمولد (گنج رودبار، چرم آذر و...) اقدام لازم صورت دهد و نتایج اقدامات را به صورت فصلی به هلدینگ آتیه صبا ارائه نماید.</t>
  </si>
  <si>
    <t>مقرر گردید با توجه به لزوم احیای برندینگ و ارتقای جایگاه تجاری شرکت، اقدامات لازم در این زمینه از جمله راه‌اندازی و بهره‌برداری از فروشگاه VIP و سایر اقدامات تکمیلی انجام پذیرد. همچنین شرکت موظف است روند پیشرفت برنامه را به‌صورت فصلی به هلدینگ آتیه صبا ارائه نماید.</t>
  </si>
  <si>
    <t>مقرر گردید با توجه به لزوم افزایش سودآوری، اقدامات لازم در این زمینه از جمله ایجاد و پیاده‌سازی بستر هوش تجاری و نیز راه‌اندازی قابلیت‌های پرداخت اقساطی/خدمات BNPL انجام پذیرد. همچنین شرکت موظف است روند پیشرفت برنامه را به‌صورت فصلی به هلدینگ آتیه صبا ارائه نماید.</t>
  </si>
  <si>
    <t>مقرر گردید اقدامات لازم جهت جمع‌آوری، طبقه‌بندی و بایگانی کلیه اسناد و مدارک مربوط به پرونده‌های حقوقی شرکت به صورت ماهیانه به هلدینگ آتیه صبا ارائه نماید</t>
  </si>
  <si>
    <t>با عنایت به شرایط کنونی، لازم است شرکت بررسی دقیق در خصوص تأمین‌کنندگان کالا، راهکارهای توسعه بازار، فروش و کنترل هزینه‌ها انجام دهد و نتایج حاصل از این بررسی‌ها را به صورت ماهیانه به هلدینگ آتیه صبا ارائه نماید.</t>
  </si>
  <si>
    <t>مقررشد شرکت اقدامات لازم به منظور کاهش گردش بالای موجودی کالا و راهکارهای عملیاتی جهت بهینه‌سازی فرآیندهای انبارداری، توزیع و کنترل هزینه‌های تدوین را به هلدینگ آتیه صبا ارائه نماید.</t>
  </si>
  <si>
    <t>شرکت مکلف است نسبت به بهبود فرآیندها، بهینه‌سازی روش قیمت‌گذاری و ساماندهی گردش موجودی کالا اقدام لازم را معمول داشته و گزارش جامع موجودی پایان دوره را به تفکیک موجودی سنواتی و سال جاری، به‌صورت ریالی و مقداری، به هلدینگ آتیه صبا ارائه نماید.</t>
  </si>
  <si>
    <t>شرکت مکلف است با توجه به قدمت و استهلاک برخی از فروشگاه‌های کفش ملی، نسبت به تهیه و ارائه طرح و برنامه مدون جهت بهسازی و بازسازی آن‌ها اقدام نماید.</t>
  </si>
  <si>
    <t>مقرر شد شرکت افزایش نیروی انسانی به تعداد 9 نفر در سال 1405 (با رشد متوسط 7 نفر) را منوط به اخذ مجوزهای لازم و نیز تحقق برنامه‌های مربوط به فروشگاه‌های وی‌آی‌پی (5 نفر) و اصلاح ساختار نیروی انسانی فروشگاه‌های تک‌نفره (4 نفر) نموده و اقدامات لازم صورت گیرد.</t>
  </si>
  <si>
    <t>بازسازی و بهسازی فروشگاه‌های موجود</t>
  </si>
  <si>
    <t>نصب دوربین مداربسته برای فروشگاه‌ها</t>
  </si>
  <si>
    <t>ارتقاء تجهیزات کامپیوتری مناطق و فروشگاه‌ها</t>
  </si>
  <si>
    <t>سرمایه‌گذاری سهام</t>
  </si>
  <si>
    <t>سرمایه‌گذاری صندوق درآمد ثابت</t>
  </si>
  <si>
    <t>اجاره و تجهیز فروشگاه VIP کفش ملی</t>
  </si>
  <si>
    <t>آموزش پرسنل (بدو استخدام و حین خدمت)</t>
  </si>
  <si>
    <t>خرید و پیاده‌سازی نرم‌افزار بهای تمام شده تولید</t>
  </si>
  <si>
    <t>توسعه نرم‌افزار (ایجاد بسترهای هوش تجاری جهت بهبود و توسعه فروش)</t>
  </si>
  <si>
    <t>انواع جعبه و کارتن</t>
  </si>
  <si>
    <t>کفش و پوتین چرمی  1</t>
  </si>
  <si>
    <t>زوج</t>
  </si>
  <si>
    <t>سرپایی و صندل چرمی 1</t>
  </si>
  <si>
    <t>کفش و پوتین ایمنی 1</t>
  </si>
  <si>
    <t>کفش و پوتین چرمی 2</t>
  </si>
  <si>
    <t>سرپایی و صندل چرمی 2</t>
  </si>
  <si>
    <t>کفش و پوتین چرمی 3</t>
  </si>
  <si>
    <t>سرپایی و صندل چرمی 3</t>
  </si>
  <si>
    <t>کفش و پوتین چرمی 4</t>
  </si>
  <si>
    <t>سرپایی و صندل چرمی 4</t>
  </si>
  <si>
    <t>کفش راحتی مردانه 5</t>
  </si>
  <si>
    <t>چکمه و سرپایی pvc ,eva 5</t>
  </si>
  <si>
    <t>کفش راحتی میانه 6</t>
  </si>
  <si>
    <t>چکمه و سرپایی pvc ,eva 6</t>
  </si>
  <si>
    <t>کفش راحتی بچگانه 7</t>
  </si>
  <si>
    <t>چکمه و سرپایی pvc ,eva 7</t>
  </si>
  <si>
    <t>ورزشی کودک و بچه گانه 8</t>
  </si>
  <si>
    <t>ورزشی میانه و مردانه 8</t>
  </si>
  <si>
    <t>سایر کالا 0</t>
  </si>
  <si>
    <t>تخفیفات</t>
  </si>
  <si>
    <t>ورق کارتن</t>
  </si>
  <si>
    <t>مواد بسته‌بندی کارتن</t>
  </si>
  <si>
    <t>سوخت و آب و برق</t>
  </si>
  <si>
    <t>تعمیرات و نگهداری اموال و تجهیزات</t>
  </si>
  <si>
    <t>چاپ</t>
  </si>
  <si>
    <t>سهم بیمه کارفرما</t>
  </si>
  <si>
    <t>ذخیره بازخرید خدمت کارکنان</t>
  </si>
  <si>
    <t>پورسانت و بهره‌وری</t>
  </si>
  <si>
    <t>اجاره فروشگاه‌ها</t>
  </si>
  <si>
    <t>سوخت و روشنایی فروشگاه‌ها</t>
  </si>
  <si>
    <t>حق العمل کاری نمایندگی‌ها</t>
  </si>
  <si>
    <t>ایاب و ذهاب و ترانسپورت</t>
  </si>
  <si>
    <t>رستوران، مواد غذایی و آبدارخانه</t>
  </si>
  <si>
    <t>حق المشاوره و حق الزحمه خدماتی و اداری</t>
  </si>
  <si>
    <t>تبلیغات و برندینگ</t>
  </si>
  <si>
    <t>هزینه ایجاد فروشگاه VIP کفش ملی</t>
  </si>
  <si>
    <t>لباس پرسنلی</t>
  </si>
  <si>
    <t>سود سرمایه‌گذاری سهام</t>
  </si>
  <si>
    <t>شرکت در نمایشگاه</t>
  </si>
  <si>
    <t>توسعه تبلیغات در فضای مجازی</t>
  </si>
  <si>
    <t>تبلیغات محیطی</t>
  </si>
  <si>
    <t>تهیه برندبوک</t>
  </si>
  <si>
    <t>باشگاه مشتریان</t>
  </si>
  <si>
    <t>برگزاری کمپین‌‎های تبلیغاتی</t>
  </si>
  <si>
    <t>شرکت سرمایه‌گذاری سیمان تامین</t>
  </si>
  <si>
    <t>مقرر شد شرکت در راستای بهبود نقدینگی و توسعه درآمد و افزایش بهره‌وری، نسبت به شناسایی و مولدسازی دارایی‌های غیر مولد خود (ساختمان تهران) اقدام نموده و گزارش اقدامات انجام شده را به صورت ماهیانه به هلدینگ آتیه صبا ارائه نماید.</t>
  </si>
  <si>
    <t>مقرر شد شرکت در راستای توسعه بازارهای صادراتی و افزایش سهم بازار در منطقه، نسبت به شناسایی بازارهای هدف جدید و تدوین استراتژی ورود به آن‌ها اقدام نماید و گزارش اقدامات به صورت فصلی به هلدینگ آتیه صبا ارائه شود</t>
  </si>
  <si>
    <t>مقرر شد شرکت در راستای مدیریت ریسک‌های مرتبط با صادرات محصولات سیمانی، برنامه مدونی در خصوص شناسایی، ارزیابی و کنترل ریسک‌های سیاسی، اقتصادی، اعتباری و عملیاتی بازارهای هدف و برنامه مشخص پاسخ به هریک تدوین و گزارش اقدامات سنجش آن به صورت فصلی به هلدینگ آتیه صبا ارائه نماید.</t>
  </si>
  <si>
    <t>مقرر شد شرکت در راستای دستیابی به بیشترین بازدهی و جلوگیری از ضررهای ناشی از دپوی کالای در جریان ساخت (کلینکر) در فضای باز و ریسک‌های مترتب بر آن از جمله آسیب‌دیدگی‌های ناشی از بارندگی و ...؛ برنامه و راهکارهای پیشنهادی خود را تهیه و نهایتاً تا پایان خرداد ماه به هلدینگ آتیه صبا ارائه نماید.  ضمنا پس از تکمیل این فرآیند، نسبت به بروزرسانی طرح افزایش ظرفیت دپارتمان پخت کوره و ارائه آن به هلدینگ آتیه صبا اقدام شود.</t>
  </si>
  <si>
    <t>مقرر شد با عنایت به ضرورت رفع مخاطرات زیست محیطی ناشی از قرارگیری کارخانه در رده صنایع آلاینده و افزایش راندمان و بهینه‌سازی فرآیند حمل مواد اولیه از دپو به سنگ‌شکن، اجرای طرح‌های احداث تصفیه خانه فاضلاب و حمل مواد اولیه از دپو به سنگ‌شکن با شرط تامین حداقل 80% منابع مالی طرح‌ها از محل تسهیلات ارزان قیمت در دست کار قرار گرفته و گزارش اقدامات به صورت فصلی به هلدینگ آتیه صبا ارائه شود.</t>
  </si>
  <si>
    <t>مقرر شد شرکت برنامه‌های خود از طریق بکارگیری روش‌های نوین و مدل‌های بین‌المللی در خصوص افزایش راندمان تولید، کاهش ظرفیت بلا استفاده و کاهش بهای تمام شده به منظور افزایش حاشیه سود خالص، افزایش بهره‌وری و ... تهیه و نهایتاً تا پایان تیر ماه 1405 به هلدینگ آتیه صبا ارائه نماید.</t>
  </si>
  <si>
    <t>مقرر شد در خصوص هر یک از برنامه‌های پیش بینی شده جهت اجرا در سال 1405، مجوزهای مربوطه از ارکان هلدینگ آتیه صبا و صندوق بازنشستگی کشوری اخذ شود.</t>
  </si>
  <si>
    <t xml:space="preserve">اجرای طرح طبقه‌بندی مشاغل </t>
  </si>
  <si>
    <t>خرید ماشین‌آلات شارژ سنگ شکن</t>
  </si>
  <si>
    <t>ییمه سهم کارفرما</t>
  </si>
  <si>
    <t>اجاره ماشین‌آلات</t>
  </si>
  <si>
    <t xml:space="preserve">عیدی و پاداش </t>
  </si>
  <si>
    <t>حمل کلینکر به گمرک (صادرات)</t>
  </si>
  <si>
    <t>حق حضور اعضا هیئت مدیره</t>
  </si>
  <si>
    <t>سود حاصل از سپرده‌های بانکی</t>
  </si>
  <si>
    <t xml:space="preserve">هزینه برگزاری جشن و مراسمات فرهنگی </t>
  </si>
  <si>
    <t>عدم تصویب برنامه و بودجه سال 1405 در هلدینگ آتیه صبا</t>
  </si>
  <si>
    <t>عدم ارائه برنامه مدون در قالب گزارش برنامه و بودجه سال 1405 به هلدینگ</t>
  </si>
  <si>
    <t>کانسنگ و نرمه ورزگ</t>
  </si>
  <si>
    <t>کانسنگ و نرمه مسگران</t>
  </si>
  <si>
    <t>سایر هزینه‌های پرسنلی</t>
  </si>
  <si>
    <t>حقوق دولتی</t>
  </si>
  <si>
    <t>حمل و تعمیر و نگهداری</t>
  </si>
  <si>
    <t>کارکرد ماشین‌آلات و پیمانکاران</t>
  </si>
  <si>
    <t>نقشه‌برداری و کارشناسی</t>
  </si>
  <si>
    <t>سایر هزینه‌های پرسنلیپ</t>
  </si>
  <si>
    <t>هزینه نمایشگاه</t>
  </si>
  <si>
    <t>هدایا</t>
  </si>
  <si>
    <t>هتل و بلیط هواپیما</t>
  </si>
  <si>
    <t>پذیرایی</t>
  </si>
  <si>
    <t>مخارج اکتشاف و بهره‌برداری از معادن</t>
  </si>
  <si>
    <t>شرکت توسعه صنایع بهشهر</t>
  </si>
  <si>
    <t>شرکت سرمایه‌گذاری گروه صنایع بهشهر ایران</t>
  </si>
  <si>
    <t>شرکت سرمایه‌گذاری صبا جهاد</t>
  </si>
  <si>
    <t xml:space="preserve">مقرر شد هیأت مدیره شرکت، اقدامات لازم به منظور اتخاذ انواع روش‌ها و استراتژی‌ها در حوزه فروش و بهای تمام شده بمنظور کاهش بهای تمام شده، افزایش فروش و حاشیه سود خالص شرکت و جلوگیری از کاهش حاشیه سود شرکت در بلند مدت را در دستور کار قرار دهد و گزارش اقدامات صورت گرفته را در بازه‌های زمانی سه ماهه به هلدینگ آتیه صبا ارائه نماید.   </t>
  </si>
  <si>
    <t>مقرر شد با توجه به شرایط بازار و ساختار هزینه‌های تولید، شرکت تمهیدات لازم جهت بررسی پیشنهاد و اجرای افزایش قیمت محصولات را در چارچوب ضوابط قانونی و با هدف حفظ سودآوری و صیانت از منافع سهامداران فراهم نماید و گزارش اقدامات انجام شده را همراه با تحلیل اثرات مالی و بازاری آن را تا پایان مردادماه 1405 به هلدینگک آتیه صبا ارائه و مسیر قانونی اخذ مجوزهای لازم را بدون تأخیر پیگیری نماید.</t>
  </si>
  <si>
    <t>مقرر شد مدل و فرآیند ارزیابی عملکرد شرکت‌های فرعی به منظور پاسخگویی بهتر به سهامدار عمده توسط گروه مورد بازنگری قرار گرفته و گزارش اقدامات به صورت فصلی به هلدینگ آتیه صبا ارائه شود.</t>
  </si>
  <si>
    <t>مقرر شد با توجه به احتمال کمبود نهاده‌های دامی مورد نیاز واحدهای کشت و صنعت و دامپروری، اقدامات لازم در خصوص برنامه‌ریزی جبران کسری احتمالی در سال 1405 صورت گرفته و نتایج اقدامات به صورت فصلی به هلدینگ آتیه صبا ارائه شود.</t>
  </si>
  <si>
    <t>مقرر شد با توجه به کمبود احتمالی تولید داخلی مواد پلیمری، نوسانات ارز و دشواری تامین مواد وارداتی و افزایش مستمر هزینه‌های تولید و نیاز به سرمایه در گردش، اقدامات لازم در خصوص عدم کاهش تولید و عرضه محصولات صورت گرفته و نتایج اقدامات صورت گرفته به صورت فصلی به هلدینگ آتیه صبا ارائه شود.</t>
  </si>
  <si>
    <t>مقرر شد شرکت با راهبری سهامدار عمده و اخذ مجوزهای لازم از مرجع ذی‌ربط، نسبت به توسعه فعالیت‌ها و محصولات خود در قالب تولید یا محصول دانش‌بنیان اقدام نموده و از مزایای قانونی آن به منظور بهبود وضعیت، افزایش بهره‌وری و ارتقای سطح تولید بهره‌مند شود و گزارش اقدامات صورت گرفته را حداکثر تا پایان تیرماه سال 1405 به هلدینگ آتیه صبا ارسال نماید.</t>
  </si>
  <si>
    <t>مقرر شد شرکت گزارشی از اثرات و آسیب‌های حاصل از جنگ رمضان بر میزان تولید، فرایند تولید اعم از مواد اولیه و بسته بندی، محدودیت‌های ایجاد شده و ...  با تفکیک اثرات کوتاه مدت و بلندمدت و همچنین مجموعه تصمیمات و تدابیر اتخاذ شده و اقدامات صورت گرفته در خصوص کاهش این اثرات و حفظ فرآیند تولید، تهیه و حداکثر تا پایان تیر ماه 1405 به هلدینگ آتیه صبا ارسال نماید.</t>
  </si>
  <si>
    <t xml:space="preserve">مقرر شد شرکت گزارشی از جدول تجزیه سنی مطالبات راکد و سنواتی و برنامه پیشنهادی شرکت در خصوص نحوه وصول مطالبات مذكور و اقدامات صورت گرفته  در بازه‌های زمانی سه ماهه به هلدینگ آتیه صبا ارسال نماید.   </t>
  </si>
  <si>
    <t xml:space="preserve">مقرر شد شرکت نسبت به انجام اقدامات قانونی مؤثر در خصوص پرونده های حقوقی و رفع تعهدات ارزی مرتبط با آنها در راستای صرفه و صلاح شرکت و سهامداران اهتمام ورزیده و گزارشی در خصوص روند پرونده‌های حقوقی به همراه برنامه های پیشنهادی جهت حل و فصل موضوع شناسایی خاطیان و برآورد میزان خسارت‌های وارده تا پایان مردادماه 1405 به هلدینگ آتیه صبا ارائه نماید. </t>
  </si>
  <si>
    <t xml:space="preserve">مقرر شد شرکت نسبت به تهیه برنامه‌ای جامع جهت ساماندهی شرکت‌های زیرمجموعه با رویکرد چابک‌سازی، افزایش تاب‌آوری و حسب مورد ادغام یا انحلال شرکت‌ها اقدام نماید. برنامه مذکور می‌بایست با هدف تسریع در فرآیند تصمیم‌گیری، تسهیل توسعه، بازسازی و نوسازی شرکت تدوین و جهت بهره‌مندی از مزایای قانونی و مالیاتی تنظیم و حداکثر تا پایان تیرماه 1405 ارائه شود. </t>
  </si>
  <si>
    <t>مقرر شد شرکت برنامه‌های خود را در خصوص توسعه صادرات، حفظ سهم بازار در کشورهای هدف، سرمایه‌گذاری در بازارهای دارای مزیت رقابتی، تدوین و حداکثر تا پایان خردادماه سال 1405 برای تصویب به این هلدینگ ارائه نماید.</t>
  </si>
  <si>
    <t>مقرر شد شرکت نسبت به تدوین طرح جامع برنامه‌های راهبردی در حوزه طرح‌های توسعه‌ای و سرمایه‌گذاری‌های خود اقدام و مراتب را حداکثر تا پایان تیرماه سال 1405 برای تصویب به این هلدینگ ارائه نماید.</t>
  </si>
  <si>
    <t>مقرر شد شرکت نسبت به پیگیری و انجام اقدامات لازم جهت تسریع در فرآیند بورسی شدن شرکت‌های زیرمجموعه، اقدام مقتضی به عمل آورده و گزارش پیشرفت کار را به صورت دوره‌ای به هلدینگ آتیه صبا ارائه نماید.</t>
  </si>
  <si>
    <t>توسعه و نوسازی و تجهیز ناوگان توزیع محصولات (اجاره به شرط تملیک )</t>
  </si>
  <si>
    <t>احداث کشت و صنعت و دامپروری و همچنین تکمیل ظرفیت کشت و صنعت گیلان و صبا پگاه در راستای تامین 10% شیر خام مورد نیاز شرکت های تولیدی</t>
  </si>
  <si>
    <t>تولید و تجاری سازی محصولات پودری دانش بنیان ، D90 و پودر WPC و ...</t>
  </si>
  <si>
    <t>اصلاح و بهبود ساختارمالی وعرضه سهام شرکت ها در بازار بورس و فرابورس</t>
  </si>
  <si>
    <t>احداث و راه اندازی دفاتر فروش شعب و انبار های جدید به منظور ثبات فروش نفوذ در بازار</t>
  </si>
  <si>
    <t>افزایش بهره وری و توسعه سهم بازار های صادراتی و داخلی</t>
  </si>
  <si>
    <t>افزایش سرمایه شرکت از محل سود انباشته</t>
  </si>
  <si>
    <t>میلیون ريال</t>
  </si>
  <si>
    <t>1405/01/10.</t>
  </si>
  <si>
    <t>1405/01/10</t>
  </si>
  <si>
    <t>1405/08/30</t>
  </si>
  <si>
    <t>نوشیدنی‌ها</t>
  </si>
  <si>
    <t>مواد بسته‌بندی</t>
  </si>
  <si>
    <t>شیرخشک و سایر محصولات پودری</t>
  </si>
  <si>
    <t>حقوق و دستمزد و مزایای کارکنان</t>
  </si>
  <si>
    <t>فوق العاده ماموریت و ایاب ذهاب</t>
  </si>
  <si>
    <t>فوق‌العاده ماموریت و ایاب ذهاب</t>
  </si>
  <si>
    <t>مواد غیرمستقیم</t>
  </si>
  <si>
    <t>برق، آب و گاز مصرفی</t>
  </si>
  <si>
    <t>لوازم یدکی و ملزومات مصرفی</t>
  </si>
  <si>
    <t>سهم از دوایر خدماتی</t>
  </si>
  <si>
    <t>پاداش هیات مدیره</t>
  </si>
  <si>
    <t>عوارض و هزینه‌های گمرکی</t>
  </si>
  <si>
    <t>سود ناشی از فروش دارایی‌های ثابت مشهود و دارایی نگهداری شده برای فروش</t>
  </si>
  <si>
    <t>سود حاصل از سپرده‌های سرمایه‌گذاری بانکی</t>
  </si>
  <si>
    <t>برگشت زیان کاهش ارزش سرمایه‌گذاری‌ها</t>
  </si>
  <si>
    <t>سود حاصل از فروش دارایی‌های زیستی مولد</t>
  </si>
  <si>
    <t>شیرخشک نوزاد پگاه شهرکرد</t>
  </si>
  <si>
    <t>تکمیل پروژه اواپراتور و افزایش ظرفیت شرکت شیر خشک نوزاد پگاه</t>
  </si>
  <si>
    <t>چرن و سردخانه 1000تنی</t>
  </si>
  <si>
    <t>پگاه فارس</t>
  </si>
  <si>
    <t>ارتقاء درایر کنونی فاز دوم و سوم (بستر سیال و سیستم برگشت پودر)</t>
  </si>
  <si>
    <t xml:space="preserve">کمپرسور هوای oil free </t>
  </si>
  <si>
    <t>خرید دستگاه فرم فیل سیل 10 - 15 گرمی کره و پنیر</t>
  </si>
  <si>
    <t>آذربایجان شرقی</t>
  </si>
  <si>
    <t xml:space="preserve">خرید دستگاه تتراپک 200 سی سی </t>
  </si>
  <si>
    <t>خرید یک دستگاه پری پک ESL</t>
  </si>
  <si>
    <t>خرید دستگاه ED شرکت مگا</t>
  </si>
  <si>
    <t>شیر پاستوریزه پگاه آذربایجان غربی</t>
  </si>
  <si>
    <t>پروژه لاکتوز</t>
  </si>
  <si>
    <t>پروژه نیروگاه خورشیدی</t>
  </si>
  <si>
    <t xml:space="preserve">پگاه اراک </t>
  </si>
  <si>
    <t xml:space="preserve">اجرای فاز 2 برودت خرید کمپرسور آمونیاکی و آیس بانک </t>
  </si>
  <si>
    <t xml:space="preserve">اجرای پروژه خط تولید و بسته بندی کره  (چرن کره ) </t>
  </si>
  <si>
    <t>احداث خط تولید D90  (پودر وی دمینرال)</t>
  </si>
  <si>
    <t>گلپایگان</t>
  </si>
  <si>
    <t>پروژه اصلاحات واحد پودری و تغلیظ</t>
  </si>
  <si>
    <t>پروژه توسعه و تکمیل خط کالت</t>
  </si>
  <si>
    <t>پروژه توسعه تولید پنیر بلغاری</t>
  </si>
  <si>
    <t xml:space="preserve">پروژه پودر WPI </t>
  </si>
  <si>
    <t>پگاه همدان</t>
  </si>
  <si>
    <t xml:space="preserve">خرید دستگاه بسته بندی کره 100 گرمی </t>
  </si>
  <si>
    <t xml:space="preserve">خرید دستگاه بسته بندی کره 250 گرمی </t>
  </si>
  <si>
    <t>پگاه گناباد</t>
  </si>
  <si>
    <t>دستگاه بسته بندي نايلون ESL</t>
  </si>
  <si>
    <t>تکميل تجهيزات CIP  جهت خط ESL</t>
  </si>
  <si>
    <t>کشت و صنعت های 
موجود(سلماس-گیلان-
الیگودرز-فارس-همدان )</t>
  </si>
  <si>
    <t xml:space="preserve">تکمیل ظرفیت کشت و صنعت های موجود </t>
  </si>
  <si>
    <t>گلستان</t>
  </si>
  <si>
    <t>تکمیل تجهیزات خط  خط تولید دمینرال 90</t>
  </si>
  <si>
    <t>خریدچرن کانتینیوس کره</t>
  </si>
  <si>
    <t xml:space="preserve"> صنایع بسته بندی 
فرآورده های شیری پگاه</t>
  </si>
  <si>
    <t xml:space="preserve">نصب و راه اندازی دستگاه چاپ </t>
  </si>
  <si>
    <t xml:space="preserve">نصب و راه اندازی دستگاه  ترموفرمینگ </t>
  </si>
  <si>
    <t xml:space="preserve">شرکت پگاه لرستان </t>
  </si>
  <si>
    <t xml:space="preserve">پروژه خرید سیستم اولترافیلتراسیون یو اف </t>
  </si>
  <si>
    <t xml:space="preserve">خرید پلیت پاستوریزاسیون  خامه </t>
  </si>
  <si>
    <t>خط تولید پنیر اولیه</t>
  </si>
  <si>
    <t>پگاه تهران</t>
  </si>
  <si>
    <t>احداث پالایشگاه فرآورده های آب پنیر ( خط تولید لاکتوز و کازئینات )</t>
  </si>
  <si>
    <t>خرید دستگاه UHT  و تانک اسپتیک جدید کارخانه استریل</t>
  </si>
  <si>
    <t>احداث نیروگاه مقیاس کوچک گازی با ظرفیت 2 مگاوات</t>
  </si>
  <si>
    <t xml:space="preserve">دستگاه چرن </t>
  </si>
  <si>
    <t>خراسان</t>
  </si>
  <si>
    <t>تولید D90</t>
  </si>
  <si>
    <t>احداث سردخانه 500 تنی زیرصفر</t>
  </si>
  <si>
    <t>شرکت شیر پاستوریزه پگاه خوزستان</t>
  </si>
  <si>
    <t xml:space="preserve">خرید خط دستگاه شیشه نوشیدنی گازدار300 سی سی </t>
  </si>
  <si>
    <t>خرید دستگاههای زیر ساخت تاسیسات</t>
  </si>
  <si>
    <t>خرید دستگاه سپراتور 2تنی نازلی</t>
  </si>
  <si>
    <t>خرید خط پاستوریزاتور کامل 15 تنی(شامل هموژن وپاستور و...)</t>
  </si>
  <si>
    <t>گیلان</t>
  </si>
  <si>
    <t xml:space="preserve">توسعه پنیر </t>
  </si>
  <si>
    <t>1401/06</t>
  </si>
  <si>
    <t>1405/06</t>
  </si>
  <si>
    <t>1404/02</t>
  </si>
  <si>
    <t>1405/08</t>
  </si>
  <si>
    <t>1404.10.1</t>
  </si>
  <si>
    <t>1405.12.29</t>
  </si>
  <si>
    <t>1405.6.31</t>
  </si>
  <si>
    <t>1403.11.1</t>
  </si>
  <si>
    <t>1403/02/01</t>
  </si>
  <si>
    <t>1406/03/22</t>
  </si>
  <si>
    <t>1404/10/1</t>
  </si>
  <si>
    <t>1405/3/10</t>
  </si>
  <si>
    <t>1404/07/01</t>
  </si>
  <si>
    <t>1406/05/01</t>
  </si>
  <si>
    <t>1407/06/31</t>
  </si>
  <si>
    <t>1403/011/02</t>
  </si>
  <si>
    <t>1404/011/01</t>
  </si>
  <si>
    <t>1405/05/01</t>
  </si>
  <si>
    <t>1404/01/31</t>
  </si>
  <si>
    <t>1404/08/01</t>
  </si>
  <si>
    <t>1406/02/01</t>
  </si>
  <si>
    <t>1402/7/1</t>
  </si>
  <si>
    <t>1407/02/01</t>
  </si>
  <si>
    <t>1401/6/30</t>
  </si>
  <si>
    <t>خرداد 1405</t>
  </si>
  <si>
    <t>1401/6/1</t>
  </si>
  <si>
    <t>1404/12/01</t>
  </si>
  <si>
    <t>1403/10/12</t>
  </si>
  <si>
    <t>1405/01/02</t>
  </si>
  <si>
    <t>1405.08.30</t>
  </si>
  <si>
    <t>1405/11/20</t>
  </si>
  <si>
    <t>شرکت سرمایه‌گذاری سازمان صنایع ملی ایران</t>
  </si>
  <si>
    <t>شرکت مکلف است نسبت به تدوین برنامه دستیابی به ظرفیت تولید ۲،۰۰۰ تن در سال اقدام نموده و گزارش جامع شامل برآورد منابع مالی مورد نیاز (۵۰۰ میلیارد ریال)، نحوه تأمین منابع و تحلیل آثار سود و زیانی ناشی از آن را تا پایان تیرماه جهت بررسی و تصویب به هلدینگ ارائه نماید.</t>
  </si>
  <si>
    <t>شرکت مکلف است نسبت به تأمین منابع مالی لازم از طریق اخذ تسهیلات، جذب مشارکت، استفاده از ابزارهای مالی و سایر روش‌های قانونی و متناسب با صرفه و صلاح شرکت، با هدف حداکثرسازی سودآوری و بهره‌وری اقتصادی، اقدام نماید.</t>
  </si>
  <si>
    <t>شرکت مکلف است در راستای افزایش سودآوری، بهبود کارایی و کاهش بهای تمام شده، نسبت به مدیریت و کاهش هزینه‌ها اقدام نماید.</t>
  </si>
  <si>
    <t>شرکت مکلف است طرح بررسی ساختارهای مختلف همکاری (شامل خرید/فروش سهام، ادغام، مشارکت، تملک یا واگذاری) با شرکت لطیف را با هدف بهینه‌سازی زنجیره ارزش شرکت کاغذسازی تهیه و تا پایان مرداد ماه ارائه نماید.</t>
  </si>
  <si>
    <t>شرکت مکلف است برنامه‌ای عملیاتی و موثر جهت وصول مطالبات، به همراه زمان‌بندی مشخص و با هدف کاهش دوره وصول مطالبات و با عنایت به مشکلات سرمایه در گردش، تهیه و اجرایی نموده و گزارش اقدامات را به صورت فصلی به هلدینگ آتیه صبا ارائه نماید.</t>
  </si>
  <si>
    <t>شرکت مکلف است نسبت به مولدسازی دارایی‌های غیرمولد (زمین قدیم کارخانه) اقدام لازم صورت دهد و نتایج اقدامات را به صورت فصلی به هلدینگ آتیه صبا ارائه نماید.</t>
  </si>
  <si>
    <t>مقرر شد پتانسیل های فروش و ظرفیت های افزایش مقدار فروش از طریق هم افزایی با سایر مجموعه های دولتی و زیر مجموعه های وزارت تعاون، کار و رفاه اجتماعی شناسایی و نسبت به انعقاد تفاهم‌نامه اقدامات لازم صورت گرفته و نتایج آن به صورت فصلی به هلدینگ آتیه صبا ارائه شود.</t>
  </si>
  <si>
    <t>شرکت مکلف است نسبت به بررسی و اصلاح چارت سازمانی خود با رعایت صرفه و صلاح شرکت و سهامداران اقدام نماید.</t>
  </si>
  <si>
    <t>با توجه به پیش‌بینی افزایش تعداد پرسنل در سال 1405، ضمن تاکید بر لزوم اخذ مجوزهای لازم؛ افزایش مقداری تولید نسبت به سال 1404 به منظور ارتقای بهره‌وری، به عنوان ضروریات و پیش‌نیازهای این اقدام تعیین می‌شود.</t>
  </si>
  <si>
    <t>بورسی شدن شرکت (ورود به بازار پایه یا توافقی)</t>
  </si>
  <si>
    <t>دستمال جعبه ای</t>
  </si>
  <si>
    <t>سایر اقلام تولیدی</t>
  </si>
  <si>
    <t>دستمال فله</t>
  </si>
  <si>
    <t>حق بن و مزایای غیرنقدی</t>
  </si>
  <si>
    <t xml:space="preserve">عائله مندي، كمك مسكن و خواربار </t>
  </si>
  <si>
    <t xml:space="preserve"> تعمیر و نگهداری ماشین‌آلات</t>
  </si>
  <si>
    <t>شرکت گلف اجنسی لیمیتد وادوز</t>
  </si>
  <si>
    <t>سایرین</t>
  </si>
  <si>
    <t xml:space="preserve">مقرر شد افزایش 56 نفری نیروی انسانی پیش‌بینی شده برای سال 1405 به شرط انعقاد و امضای قرارداد ترمینال مواد معدنی و همزمان با شروع اجرای قرارداد صورت پذیرد و با اتمام قرارداد در پایان بهمن 1405، خروج نیروها نیز صورت پذیرد. </t>
  </si>
  <si>
    <t>با توجه به برنامه شرکت در راستای مولدسازی دارایی‌ها و لذا عدم تمدید قرارداد اجاره ساختمان دارایی و در نتیجه حذف درآمد اجاره این ساختمان از درآمدهای غیر عملیاتی شرکت پس از سه ماهه اول در برنامه و بودجه پیشنهادی، مقرر شد اقدامات صورت گرفته برای مولدسازی دارایی‌ها به ویژه تصمیمات اتخاذ شده در مورد این ساختمان و روند پیشرفت کار در پایان هرفصل به هلدینگ آتیه صبا گزارش شود.</t>
  </si>
  <si>
    <t xml:space="preserve">مقرر شد هیأت مدیره شرکت، اقدامات لازم به منظور اتخاذ انواع روش‌ها و استراتژی‌ها در حوزه ارائه خدمات و کاهش بهای تمام شده به واسطه کنترل هزینه‌ها، به منظور افزایش حاشیه سود شرکت و جلوگیری از کاهش حاشیه سود در بلند مدت را در دستور کار قرار دهد و گزارش اقدامات صورت گرفته را در بازه‌های زمانی سه ماهه به هلدینگ آتیه صبا ارائه نماید.   </t>
  </si>
  <si>
    <t>مقرر شد گزارشی از آخرین وضعیت مطالبات از شرکت گلف اجنسی لیمیتد (سهامدار 40 درصدی شرکت) تهیه و اقدامات صورت پذیرفته در این خصوص را در پایان هر فصل به هلدینگ آتیه صبا ارائه نماید.</t>
  </si>
  <si>
    <t>مقرر شد کارگروهی از افراد تعیین شده (آقای رضا کاشف قربان پور عضو هیات مدیره هلدینگ به عنوان رئیس کارگروه، و معاون نظارت بر شرکت‌ها، معاون اقتصادی و مدیر حقوقی هلدینگ به عنوان اعضای کارگروه و مدیرعامل شرکت گلف اجنسی ایران به عنوان دبیر کارگروه) جهت بررسی موضوعات به شرح ذیل از منظر اقتصادی، حقوقی و مالی و همچنین تصمیم گیری تشکیل و نتایج اقدامات انجام شده توسط شرکت گلف اجنسی ایران حداکثر تا پایان خردادماه 1405 به هلدینگ آتیه صبا ارسال شود.
-	پیگیری اقدام حقوقی در راستای اجرائیه 23 میلیون دلار طلب شرکت گلف اجنسی ایران از شرکت گلف اجنسی لیمیتد
-	طرح افزایش سرمایه شرکت در راستای اصلاح ترکیب ساختار سهام‌داری
-	تصمیم گیری در خصوص تعیین تکلیف سهام شرکت‌های سهام پذیر فولاد صنعت نور و راهور ریل کوثر</t>
  </si>
  <si>
    <t>با عنایت به قوانین حقوقی و بانکی کشور، مقرر شد در خصوص درآمد ارزی شرکت بابت خدمات کشتیرانی، موضوع با همکاری واحد حقوقی هلدینگ آتیه صبا مورد بررسی دقیق قرار گیرد و نتایج حاصله حداکثرتا پایان خردادماه 1405 به هلدینگ آتیه صبا منعکس شود.</t>
  </si>
  <si>
    <t xml:space="preserve">با عنایت به هزینه‌های نیروی انسانی و افزایش بهای تمام شده در سال 1404، مقرر شد گزارش جامعی در خصوص طرح بهبود شرایط در سال 1405(افزایش ظرفیت‌ها، متناسب‌سازی نیروی انسانی با حجم فعالیت و ...) به همراه جزئیات دقیق تهیه و حداکثر تا پایان خردادماه 1405 به هلدینگ آتیه صبا ارسال شود.. </t>
  </si>
  <si>
    <t>مقرر شد برنامه بازدید مدیران هلدینگ آتیه صبا از شعب تابعه شرکت گلف اجنسی ایران در خرداد و تیرماه سال جاری توسط شرکت تهیه شود.</t>
  </si>
  <si>
    <t>با عنایت به بحران پیش آمده و کاهش شدید درآمد شرکت و مشکلات ایجاد شده، مقرر شد موضوع انتقال به حوزه‌های جدید و ایجاد لاین های درآمدی جدید و توسعه فعالیت شرکت مورد بررسی قرار گرفته و نتیجه حاصله حداکثر تا پایان خردادماه 1405 به هلدینگ آتیه صبا ارائه شود.</t>
  </si>
  <si>
    <t>با توجه به قراردادهای منعقده شرکت با سازمان بنادر و فولاد خوزستان و همچنین شرایط فورس ماژور پیش آمده، مقرر شد ضمن بررسی دقیق موضوع، مذاکرات و تعامل با طرف‌های قرارداد در راستای خروج از زیان و کاهش هزینه ها صورت پذیرد و نتیجه حداکثر تا پایان تیرماه 1405 به هلدینگ آتیه صبا ارائه شود.</t>
  </si>
  <si>
    <t>با عنایت به چالش مدیریت نقدینگی شرکت، مقرر شد شرکت در موضوعات وصول مطالبات، مدیریت پرداخت به بستانکاران، کاهش هزینه های مازاد نیروی انسانی و بهینه سازی نیروها و ... اقدامات مقتضی را انجام و نتایج حاصله را حداکثر تا پایان تیرماه 1405 به هلدینگ آتیه صبا منعکس نماید.</t>
  </si>
  <si>
    <t>مقرر شد شرکت گزارشی از اثرات و آسیب‌های حاصل از جنگ رمضان بر میزان خدمات ارائه شده و درآمدهای شرکت با تفکیک اثرات کوتاه مدت و بلندمدت و همچنین مجموعه تصمیمات و تدابیر اتخاذ شده و اقدامات صورت گرفته در خصوص کاهش این اثرات حداکثر تا پایان تیر ماه 1405 به هلدینگ آتیه صبا ارسال نماید.</t>
  </si>
  <si>
    <t>روشنایی سایت مخازن نفتی توسط 80 عدد تیر چراغ برق</t>
  </si>
  <si>
    <t>نصب 6 عدد هیدرانت و خط لوله آتش نشانی</t>
  </si>
  <si>
    <t>احداث پارکینگ ساختمان اداری</t>
  </si>
  <si>
    <t>تسطیح و بتن ریزی سایت شماره 3 جهت رفع کامل آلودگی‌های خاک</t>
  </si>
  <si>
    <t>خرید لیفتراک سنگین ( دو دستگاه 32 تن )</t>
  </si>
  <si>
    <t>اورهال لیفتراک های ملکی</t>
  </si>
  <si>
    <t>خرید دستگاه مگنت به همراه تابلو برق و مطعلقات</t>
  </si>
  <si>
    <t>خرید کشنده</t>
  </si>
  <si>
    <t>خرید کفی کشنده</t>
  </si>
  <si>
    <t>اورهال کشنده های ملکی</t>
  </si>
  <si>
    <t>اورهال کفی کشنده های ملکی</t>
  </si>
  <si>
    <t>خرید خودرو سبک</t>
  </si>
  <si>
    <t>اورهال خودروهای سبک</t>
  </si>
  <si>
    <t xml:space="preserve">افزایش سرمایه  </t>
  </si>
  <si>
    <t>انعقاد قرارداد ترمینال مواد معدنی(انبارداری و باربری)</t>
  </si>
  <si>
    <t>مطالعه جهت اجنسی کشتی‌های عبوری از تنگه هرمز</t>
  </si>
  <si>
    <t>مطالعه خرید کشتی‌ Supply Boat در بندر کیش</t>
  </si>
  <si>
    <t>مطالعه جهت بهره برداری از زمین سه و نیم هکتاری در بندر عباس</t>
  </si>
  <si>
    <t>مطالعه حمل دریایی در شمال ایران(بندر امیرآباد به ماخاچکالا)</t>
  </si>
  <si>
    <t>مولد سازی دارائی ها</t>
  </si>
  <si>
    <t>مطالعه جهت فعالیت در دو غارون و ماکو و سرخس</t>
  </si>
  <si>
    <t>اصلاح چارت سازمانی و پیاده سازی طرح طبقه بندی مشاغل</t>
  </si>
  <si>
    <t>مطالعه طرح بانکرینگ و خرید شناور جهت سوخت رسانی</t>
  </si>
  <si>
    <t>مطالعه قرارداد BOT ترمینال مواد معدنی</t>
  </si>
  <si>
    <t>1405/11/30</t>
  </si>
  <si>
    <t>تخلیه، بارگیری، جابجایی و صفافی (تیوا)</t>
  </si>
  <si>
    <t>اجاره انبار و محوطه (تیوا)</t>
  </si>
  <si>
    <t>اجاره انبار ترمینالی و تجهیزات (تیوا)</t>
  </si>
  <si>
    <t xml:space="preserve"> اجاره مخازن - ارزی</t>
  </si>
  <si>
    <t>تخلیه و بارگیری و حمل کالا - کیش</t>
  </si>
  <si>
    <t>سایر اجاره زمین و تجهیزات</t>
  </si>
  <si>
    <t>برگشت از درآمدها و تخفیفات</t>
  </si>
  <si>
    <t>انبارداری-مواد معدنی</t>
  </si>
  <si>
    <t>باربری-مواد معدنی</t>
  </si>
  <si>
    <t>باربری-مواد معدنی(سهم پیمانکار)</t>
  </si>
  <si>
    <t>هزینه آموزش</t>
  </si>
  <si>
    <t>مسافرت و فوق‌العاده ماموریت</t>
  </si>
  <si>
    <t>اجاره زمین، انبار و دفاتر اداری</t>
  </si>
  <si>
    <t>تعمیرات دارایی</t>
  </si>
  <si>
    <t>تعمیر اماکن بندری</t>
  </si>
  <si>
    <t>هزینه فورواردری</t>
  </si>
  <si>
    <t>باربری-مواد معدنی (سهم پیمانکار)</t>
  </si>
  <si>
    <t>هزینه‌های نمایندگی کشتیرانی</t>
  </si>
  <si>
    <t>هزینه تخلیه، بارگیری و حمل و نقل</t>
  </si>
  <si>
    <t>حق الزحمه خدمات قراردادی</t>
  </si>
  <si>
    <t>چاپ و ملزومات و نوشت افزار</t>
  </si>
  <si>
    <t>شرکت موظف است راهبردهای خود را در چهار منظر مالی، مشتری و بازار، فرآیندهای داخلی و مدیریت ریسک بازتعریف نموده و اقدامات مشخصی را برای کاهش وابستگی به منابع پرریسک، افزایش تاب‌آوری زنجیره تأمین، بهبود بهره‌وری عملیاتی و تقویت سودآوری پایدار ارائه و عملیاتی نماید.</t>
  </si>
  <si>
    <t>با عنایت به اهمیت تدوین چشم‌انداز بلندمدت و تعیین مسیر مشخص برای دستیابی به اهداف کلان شرکت، شرکت مجتمع معادن مس تکنار مکلف است نسبت به تدوین و نهایی‌سازی «سند استراتژیک » اقدام نماید. همچنین، شرکت باید سازوکار مناسبی برای پایش مستمر اجرای استراتژی و ارزیابی انحرافات احتمالی از برنامه تدوین‌شده، در سند استراتژیک لحاظ نماید.</t>
  </si>
  <si>
    <t>با توجه به ضرورت حفظ پایداری عملیات و محدودیت اتکا به منابع سهامداری، شرکت مکلف است برنامه تأمین سرمایه در گردش و نقدینگی را مبتنی بر منابع غیردرون‌گروهی و ابزارهای متعارف بازار پول و سرمایه تدوین و اجرا نماید. این برنامه باید شامل استفاده از خطوط اعتباری بانکی، تسهیلات کوتاه‌مدت، اعتبارات اسنادی و تضامین تجاری، بهبود دوره وصول مطالبات، مذاکره برای خرید اعتباری از تأمین‌کنندگان، مدیریت بهینه موجودی‌ها، فروش دارایی‌ها یا موجودی‌های مازاد و راکد، و استفاده از ابزارهای تأمین مالی زنجیره تأمین باشد.</t>
  </si>
  <si>
    <t>شرکت موظف است نسبت به شناسایی، طبقه‌بندی و مولدسازی دارایی‌های راکد، مازاد، کم‌بازده و غیرمولد اقدام نماید.</t>
  </si>
  <si>
    <t>شرکت مکلف است برنامه‌ای جامع برای کنترل و مدیریت هزینه‌ها تدوین و اجرا نماید. این برنامه باید شامل بازنگری در ساختار هزینه‌های ثابت و متغیر، شناسایی هزینه‌های غیرضرور، کنترل خریدها و مصرف مواد، بهینه‌سازی هزینه‌های اداری و عمومی، مدیریت پیمانکاران و قراردادها و ارتقای بهره‌وری نیروی انسانی و تجهیزات باشد. همچنین شرکت باید نظام پایش ماهانه هزینه‌ها را استقرار داده و انحرافات بودجه‌ای را به‌صورت مستمر تحلیل و اصلاح نماید تا از افزایش غیرمنطقی بهای تمام‌شده و فشار بر سودآوری جلوگیری شود.</t>
  </si>
  <si>
    <t>به لحاظ اهمیت موضوع اکتشاف تکمیلی برای معادن؛ مقرر شد شرکت چند سناریو مالی و عملیاتی بابت تامین مالی یا اجرای طرح، طراحی و نهایتاً تا پایان تیرماه 1405 ارائه دهد.</t>
  </si>
  <si>
    <t>مقرر شد شرکت نسبت به تهیه و ارائه طرح عملیاتی معدن طلای ارغش2 نهایتاً تا پایان خرداد 1405، اقدام نماید.</t>
  </si>
  <si>
    <t>مقرر شد شرکت نسبت به ارائه برنامه جهت تامین برق پایدار خط فرآوری کارخانه و جلوگیری از توقفات تولید (خرید دیزل ژنراتور در قالب هم­افزایی با شرکت­های هم­گروه) اقدامات لازم بعمل آورد.</t>
  </si>
  <si>
    <t>شرکت مکلف است در راستای تقویت ساختار مالی، بهبود نسبت‌های اهرمی و تأمین منابع لازم جهت اجرای برنامه‌های توسعه‌ای، نسبت به تهیه و ارائه طرح افزایش سرمایه از محل مطالبات حال‌شده سهامداران و آورده نقدی اقدام نماید. طرح مذکور باید مشتمل بر توجیه فنی، مالی و اقتصادی افزایش سرمایه، آثار آن بر سرمایه ثبت‌شده، ساختار مالکیت، برنامه مصرف منابع حاصل، زمان‌بندی اجرا و پیش‌بینی تأثیر آن بر شاخص‌های مالی شرکت باشد. پس از تهیه گزارش توجیهی، شرکت موظف است اقدامات لازم جهت اخذ مجوزهای قانونی از ارکان را پیگیری و اجرا نماید.</t>
  </si>
  <si>
    <t>اخذ پروانه بهره‌برداری و تجهیز کارگاه و اکتشاف مقدماتی در معدن طلای ارغش 2</t>
  </si>
  <si>
    <t>خرید و نصب تیکنر</t>
  </si>
  <si>
    <t>خرید ونصب دیزل ژنراتور</t>
  </si>
  <si>
    <t>انجام اکتشاف تکمیلی در معدن مس تکنار</t>
  </si>
  <si>
    <t>انجام اکتشاف تکمیلی در معدن طلای ارغش 2</t>
  </si>
  <si>
    <t xml:space="preserve">افزایش سرمایه </t>
  </si>
  <si>
    <t xml:space="preserve">تدوین طرح عملیاتی اکتشاف تکمیلی معدن مس </t>
  </si>
  <si>
    <t>تدوین طرح عملیاتی معدن طلای ارغش 2</t>
  </si>
  <si>
    <t>1405/01/15</t>
  </si>
  <si>
    <t>1405/02/31</t>
  </si>
  <si>
    <t>کنسانتره 18% (فلوتاسیون)</t>
  </si>
  <si>
    <t>فروش کلوخه مس به شرکت بارثاوا</t>
  </si>
  <si>
    <t>اسید نیتریک</t>
  </si>
  <si>
    <t>اسيد هيدروکلريدريک</t>
  </si>
  <si>
    <t>خاک پر عیار</t>
  </si>
  <si>
    <t>استفاده از خدمات عمومی</t>
  </si>
  <si>
    <t>حقوق و عوارض دولتی</t>
  </si>
  <si>
    <t>جریمه آلایندگی</t>
  </si>
  <si>
    <t>استهلاک دارایی‌های غیرجاری</t>
  </si>
  <si>
    <t xml:space="preserve">تعمیر و نگهداری دارایی‌های غیرجاری </t>
  </si>
  <si>
    <t>حقوق و مزایای کارکنان</t>
  </si>
  <si>
    <t>سایر مزایای کارکنان</t>
  </si>
  <si>
    <t>بازخرید سنوات خدمت و مرخصی</t>
  </si>
  <si>
    <t xml:space="preserve">خرید خدمات و مشاوره </t>
  </si>
  <si>
    <t xml:space="preserve">سایر   </t>
  </si>
  <si>
    <t>هزینه اجاره دفتر مرکزی</t>
  </si>
  <si>
    <t>پشتیبانی نرم افزارها</t>
  </si>
  <si>
    <t>هزینه‌های رفاهی و بیمه تکمیلی کارکنان</t>
  </si>
  <si>
    <t>هزينه‌هاي جذب نشده در توليد</t>
  </si>
  <si>
    <t>سود سپرده‌های سرمایه‌گذاری بانکی</t>
  </si>
  <si>
    <t>محاسبه پایان دوره منفی (مبلغ) در  مواد تولید</t>
  </si>
  <si>
    <t>تراز بودن ترازنامه شرکت اصلی</t>
  </si>
  <si>
    <t>ابهامات، ایرادات و نکات اصلاحی گزارش در کاربرگ (اصلاحات) قابل مشاهده است.</t>
  </si>
  <si>
    <t>سرمایه‌گذاری در شرکت‌های فرعی</t>
  </si>
  <si>
    <t>شرکت حمل و نقل جاده‌ای داخلی فجر جهاد</t>
  </si>
  <si>
    <t>قطعه</t>
  </si>
  <si>
    <t>عمل‌آوری فیله و گوشت ماهی (شیلاتی)</t>
  </si>
  <si>
    <t>عمل‌آوری میگو - منجمد (شیلاتی)</t>
  </si>
  <si>
    <t>انواع کنسرو تولیدی (شیلاتی)</t>
  </si>
  <si>
    <t>انواع کنسرو کارمزدی (شیلاتی)</t>
  </si>
  <si>
    <t>یخ غیرخوراکی (شیلاتی)</t>
  </si>
  <si>
    <t>جوجه یکروزه (طیور فارس)</t>
  </si>
  <si>
    <t>خوراک دام (طیور فارس)</t>
  </si>
  <si>
    <t>خوراک آبزیان (طیور فارس)</t>
  </si>
  <si>
    <t>خوراک طیور (طیور فارس)</t>
  </si>
  <si>
    <t>زیتون (طیور فارس)</t>
  </si>
  <si>
    <t>کنسرو غذای حیوانات اهلی (شیلاتی)</t>
  </si>
  <si>
    <t>کنسرو لوبیا (شیلاتی)</t>
  </si>
  <si>
    <t>کنسرو تن ماهی</t>
  </si>
  <si>
    <t>خدمات کارمزدی فروش بنزین - نفت گاز (پدیده)</t>
  </si>
  <si>
    <t>فرآوری، قطعه‌بندی و بسته‌بندی میگو (آبزی)</t>
  </si>
  <si>
    <t>فرآوری، قطعه‌بندی و بسته‌بندی ماهی (آبزی)</t>
  </si>
  <si>
    <t>نگهداری ماهی و میگو در سردخانه (آبزی)</t>
  </si>
  <si>
    <t>ذرت، سویا، جو کنجاله</t>
  </si>
  <si>
    <t>ماهی صنعتی</t>
  </si>
  <si>
    <t>قوطی و درب</t>
  </si>
  <si>
    <t>سایر اقلام</t>
  </si>
  <si>
    <t>بازخرید سنوات خدمت و مرخصی کارکنان</t>
  </si>
  <si>
    <t>ذخیره مشاغل سخت و زیان آور</t>
  </si>
  <si>
    <t>مواد غیرمستقیم و آزمایشگاه</t>
  </si>
  <si>
    <t>تعمیر و نگهداری دارایی</t>
  </si>
  <si>
    <t>ایاب ذهاب</t>
  </si>
  <si>
    <t>هزینه‌های باغبانی</t>
  </si>
  <si>
    <t>حق حضور اعضای هیات مدیره</t>
  </si>
  <si>
    <t>بیمه اموال و تکمیلی</t>
  </si>
  <si>
    <t>آب، برق، سوخت، تلفن و پست</t>
  </si>
  <si>
    <t>درآمد اجاره (مجتمع سرای کویر)</t>
  </si>
  <si>
    <t>درآمد اجاره تابلوی تبلیغاتی</t>
  </si>
  <si>
    <t>خدمات حق الامتیاز</t>
  </si>
  <si>
    <t>خدمات بسته بندی مجدد محصول</t>
  </si>
  <si>
    <t>خدمات کارمزدی عمل آوری آبزیان</t>
  </si>
  <si>
    <t>ضایعات مواد اولیه و افت سردخانه</t>
  </si>
  <si>
    <t>زیان کاهش  ارزش موجودی</t>
  </si>
  <si>
    <t xml:space="preserve">هزینه‌های جذب نشده در تولید </t>
  </si>
  <si>
    <t>شارژ اجاره (سرای کویر)</t>
  </si>
  <si>
    <t>درآمد فروش ناشی از مواد اولیه و بسته بندی</t>
  </si>
  <si>
    <t>درآمد حاصل از فروش ضایعات متفرقه (کارتن، پلاستیک، قوطی و ...)</t>
  </si>
  <si>
    <t>سود ناشی از تسعیر ارز</t>
  </si>
  <si>
    <t>مصوبات هیات مدیره</t>
  </si>
  <si>
    <t>اهم اقدامات</t>
  </si>
  <si>
    <t>صورتخلاصه درآمد</t>
  </si>
  <si>
    <t>فروش داخلی تولیدی</t>
  </si>
  <si>
    <t>فروش داخلی تجاری</t>
  </si>
  <si>
    <t>درآمد خدمات</t>
  </si>
  <si>
    <t>درآمد صادرات</t>
  </si>
  <si>
    <t>پرسنلی مستقیم تولید</t>
  </si>
  <si>
    <t>پرسنلی غیرمستقیم تولید</t>
  </si>
  <si>
    <t>پرسنلی مستقیم خدمات</t>
  </si>
  <si>
    <t>پرسنلی غیرمستقیم خدمات</t>
  </si>
  <si>
    <t>صورت وضعیت مالی شرکت اصلی</t>
  </si>
  <si>
    <t>درآمد هزینه آزادراه</t>
  </si>
  <si>
    <t>سود و زیان شرکت اصلی</t>
  </si>
  <si>
    <t>صورت جریان وجه نقدشرکت اصلی</t>
  </si>
  <si>
    <t>سود ناویژه تولیدی</t>
  </si>
  <si>
    <t>سود ناویژه کالای تجاری</t>
  </si>
  <si>
    <t>سود ناویژه خدمات</t>
  </si>
  <si>
    <t>سود ناویژه صادراتی</t>
  </si>
  <si>
    <t>هزینه اداری عمومی آزادراه</t>
  </si>
  <si>
    <t>هزینه اداری عمومی</t>
  </si>
  <si>
    <t>دارایی آزادراه</t>
  </si>
  <si>
    <t>موجودی موادو کالا آزادراه</t>
  </si>
  <si>
    <t>موجودی موادو کالا</t>
  </si>
  <si>
    <t>سایر عملیاتی آزادراهی</t>
  </si>
  <si>
    <t>سایر غیرعملیاتی آزادراهی</t>
  </si>
  <si>
    <t xml:space="preserve">حقوقی </t>
  </si>
  <si>
    <t xml:space="preserve"> استهلاک انباشته دارایی ثابت نامشهود</t>
  </si>
  <si>
    <t>1-تهران</t>
  </si>
  <si>
    <t>1-1-همدان</t>
  </si>
  <si>
    <t>2-1-سمنان</t>
  </si>
  <si>
    <t>3-1-شهرکرد</t>
  </si>
  <si>
    <t>4-1-اینچه برون</t>
  </si>
  <si>
    <t>5-1-باشماق</t>
  </si>
  <si>
    <t>6-1-سنندج</t>
  </si>
  <si>
    <t>7-1-زاهدان</t>
  </si>
  <si>
    <t>8-1-کرمان</t>
  </si>
  <si>
    <t>2-غرب</t>
  </si>
  <si>
    <t>1-2-زنجان</t>
  </si>
  <si>
    <t>2-2-یزد</t>
  </si>
  <si>
    <t>3-2-سلفچگان</t>
  </si>
  <si>
    <t>4-2-قم</t>
  </si>
  <si>
    <t>5-2-اصفهان</t>
  </si>
  <si>
    <t>6-2-اراک</t>
  </si>
  <si>
    <t>7-2-پرویزخان</t>
  </si>
  <si>
    <t>8-2-مهران</t>
  </si>
  <si>
    <t>9-2-شیخ‌صله</t>
  </si>
  <si>
    <t>10-2-آپرین</t>
  </si>
  <si>
    <t>11-2-کاشان</t>
  </si>
  <si>
    <t>12-2-خسروی</t>
  </si>
  <si>
    <t>13-2-شوشمی</t>
  </si>
  <si>
    <t>14-2-سومار</t>
  </si>
  <si>
    <t>15-2-بناب زنجان</t>
  </si>
  <si>
    <t>16-2-کرمانشاه</t>
  </si>
  <si>
    <t>17-2-اهواز</t>
  </si>
  <si>
    <t>3-فرودگاه امام خمینی (ره)</t>
  </si>
  <si>
    <t>1-3-فرودگاه هاشمی نژاد مشهد</t>
  </si>
  <si>
    <t xml:space="preserve">2-3-شهر فرودگاهی امام‌خمینی(ره) </t>
  </si>
  <si>
    <t>3-3- فرودگاه شهید بهشتی  اصفهان</t>
  </si>
  <si>
    <t>4-3-فرودگاه مدنی تبریز</t>
  </si>
  <si>
    <t>5-3- گمرک لارستان</t>
  </si>
  <si>
    <t>6-3- فرودگاه آیت اللهی لارستان</t>
  </si>
  <si>
    <t>7-3- فرودگاه شهید دستغیب شیراز</t>
  </si>
  <si>
    <t>8-3- فرودگاه سردار جنگل رشت</t>
  </si>
  <si>
    <t>4-ایستگاه راه‌آهن کاوه (مشهد)</t>
  </si>
  <si>
    <t>1-4-ایستگاه راه‌آهن مطهری</t>
  </si>
  <si>
    <t>2-4-سرخس</t>
  </si>
  <si>
    <t>3-4-لطف آباد</t>
  </si>
  <si>
    <t>4-4-نیشابور</t>
  </si>
  <si>
    <t>5-4-ماهيرود</t>
  </si>
  <si>
    <t>6-4-دوغارون</t>
  </si>
  <si>
    <t>7-4-بجنورد</t>
  </si>
  <si>
    <t>8-4- بیرجند</t>
  </si>
  <si>
    <t>9-4- باجگیران</t>
  </si>
  <si>
    <t>5-سهلان</t>
  </si>
  <si>
    <t>1-5-تبریز</t>
  </si>
  <si>
    <t>6-بازرگان</t>
  </si>
  <si>
    <t>1-6-پلدشت</t>
  </si>
  <si>
    <t>2-6-ارومیه</t>
  </si>
  <si>
    <t>3-6-سرو</t>
  </si>
  <si>
    <t>4-6-خوی</t>
  </si>
  <si>
    <t>5-6-تمرچین</t>
  </si>
  <si>
    <t>6-6-رازی</t>
  </si>
  <si>
    <t>7-6 سردشت</t>
  </si>
  <si>
    <t>7-جلفا</t>
  </si>
  <si>
    <t>1-7-نوردوز</t>
  </si>
  <si>
    <t>8-آستارا</t>
  </si>
  <si>
    <t>1-8-اردبیل</t>
  </si>
  <si>
    <t>2-8-بیله سوار</t>
  </si>
  <si>
    <t>3-8- پایانه ریلی</t>
  </si>
  <si>
    <t>9-آتیه قشم (بندرلنگه)</t>
  </si>
  <si>
    <t>10-بندر امام خمینی (ره)</t>
  </si>
  <si>
    <t>2-3-ایستگاه راه‌آهن کاوه (مشهد)</t>
  </si>
  <si>
    <t>3-3-ایستگاه راه‌آهن مطهری</t>
  </si>
  <si>
    <t>4-3-سرخس</t>
  </si>
  <si>
    <t>5-3-لطف آباد</t>
  </si>
  <si>
    <t>6-3-نیشابور</t>
  </si>
  <si>
    <t>7-3-ماهيرود</t>
  </si>
  <si>
    <t>8-3-دوغارون</t>
  </si>
  <si>
    <t>10-3-بجنورد</t>
  </si>
  <si>
    <t>11-3- بیرجند</t>
  </si>
  <si>
    <t>12-3- باجگیران</t>
  </si>
  <si>
    <t>حوزه پروژه</t>
  </si>
  <si>
    <t>عمرانی</t>
  </si>
  <si>
    <t>تجهیزات عملیاتی</t>
  </si>
  <si>
    <t>تجهیزات غیر عملیاتی</t>
  </si>
  <si>
    <t>HSE</t>
  </si>
  <si>
    <t>ردیف بودجه 1405</t>
  </si>
  <si>
    <t>*</t>
  </si>
  <si>
    <t>کاوه (مجتمع خراسان)</t>
  </si>
  <si>
    <t>انبارهای عمومی و خدمات گمرکی .........</t>
  </si>
  <si>
    <t>تجمیع</t>
  </si>
  <si>
    <t>تجمیعی</t>
  </si>
  <si>
    <t>90 تن</t>
  </si>
  <si>
    <t>50 تن</t>
  </si>
  <si>
    <t>55 تن</t>
  </si>
  <si>
    <t>کامیون حمل بار</t>
  </si>
  <si>
    <t>کامیون آتش نشانی</t>
  </si>
  <si>
    <t>پیشرو آتش نشانی</t>
  </si>
  <si>
    <t>موتور سیکلت آتش نشانی</t>
  </si>
  <si>
    <t>پمپ هیدرانت</t>
  </si>
  <si>
    <t>جک پالت دستی</t>
  </si>
  <si>
    <t>جک پالت برقی</t>
  </si>
  <si>
    <t>استاکر دستی</t>
  </si>
  <si>
    <t>حضور در برنامه های مسئولیت اجتماعی (امور خیریه، عام المنفعه ، بسیج و ...)</t>
  </si>
  <si>
    <t>شهید کاوه</t>
  </si>
  <si>
    <t>نیشابور</t>
  </si>
  <si>
    <t>باجگیران</t>
  </si>
  <si>
    <t/>
  </si>
  <si>
    <t xml:space="preserve"> گزارش مقایسه درآمد، هزینه، سود ( زیان) مجتمع خراسان</t>
  </si>
  <si>
    <t>.</t>
  </si>
  <si>
    <t>هزینه پس انداز صندوق پس انداز</t>
  </si>
  <si>
    <t>با توجه به شروع پروژه از 1405/07/01 مکابته به همان زمان موکول می گردد.</t>
  </si>
  <si>
    <t>قرارداد با شرکت سنگین کار صنعت در تاریخ 24 فروردین 1405 توسط ستاد مرکزی عقد شده است و 25 درصد از کل مبلغ به عنوان پیش پرداخت به شرکت سنگین کار صنعت واریز گردیده است
پیمانکار موظف می باشد حداکثر طی 8 ماه کامیونت را تحویل دهد.</t>
  </si>
  <si>
    <t>طی شناسه 710378 مورخ 1405/05/10 به معاونت محترم عملیات ستاد مرکزی جهت دستور خرید مکاتبه گردید.
طی شناسه مکاتبه 717966 مورخ 1405/06/04 مقرر گردید موضوع از طریق کمیسون معاملات پیگیری گردد.</t>
  </si>
  <si>
    <t>طیی شناسه مکاتبه 712276 مورخ 1405/05/17 جهت طی ادامه مراحل خرید به معاونت محترم توسعه و مدیریت ارسال گردیده است.</t>
  </si>
  <si>
    <t>طی شناسه مکاتبه 711533 مورخ 1405/05/12 به معاونت محترم توسعه مدیریت جهت طی ادامه مراحل خرید ارسال گردیده است.
طی شناسه مکاتبه 717969 مورخ 1405/06/04 مقرر گردید موضوع از طریق کمیسون معاملات بررسی و تصمیم گیری گردد.</t>
  </si>
  <si>
    <t>درخواست به مشاور  ( شرکت پردیسان سازه طراحان )جهت تکمیل طرح اجرایی</t>
  </si>
  <si>
    <t>با توجه به  مذاکره با ستاد مرکزی، حراست ستاد در حال انعقاد قرارداد با یک شرکت پیمانکار جهت انجام پروژه می باشد.</t>
  </si>
  <si>
    <t>درخواست به مشاور  ( شرکت پردیسان سازه طراحان )جهت تکمیل طرح اجرایی فاز2</t>
  </si>
  <si>
    <t>مبلغ 23,469 میلیون ریال  بابت تسطیح محوطه و مبلغ 54,025 میلیون ریال بابت ساخت ساختمان رفاهی بوده که با نوجه به عدم وجود ردیف بودجه این مبلغ در این ردیف بودجه درج گردیده است.</t>
  </si>
  <si>
    <t>طی شناسه مکاتبه 711479  مورخ 1405/05/11 جهت طی مراحل خرید و تشکیل کمیسیون معاملات به معاونت محترم توسعه و مدیریت منابع ارسال گردید.</t>
  </si>
  <si>
    <t>طی شناسه مکاتبه 713563 لیست تجهیزات و تایید نوع سیستم الان حریق توسط مجری ذیصلاح سازمان آتشنشانی به واحد HSE ستاد مرکزی ارسال گردید. استعلام اخذ و در انتظار طرح در کمیسیون معاملات مجتمع خراسان.</t>
  </si>
  <si>
    <t>طی شناسه مکاتبه 716102 مورخ 1405/06/01 به معاونت محترم توسعه مدیریت جهت طرح در کمیسون معاملات ارجاع گردیده است.</t>
  </si>
  <si>
    <t>حفظ سهم بازار و ایجاد درآمد پایدار- در صورت ارائه زمین برای خرید اقدام می شود و در صورت عدم ارائه، نسبت به سرمایه گذاری اقدام می گردد.</t>
  </si>
  <si>
    <t>طی شناسه مکاتبه 713563 لیست تجهیزات و تایید نوع سیستم الان حریق توسط مجری ذیصلاح سازمان آتشنشانی به واحد HSE ستاد مرکزی ارسال گردید.</t>
  </si>
  <si>
    <t>طی شناسه مکاتبه 712276 مورخ 1405/05/17 جهت طی ادامه مراحل خرید به معاونت محترم توسعه و مدیریت ارسال گردیده است.</t>
  </si>
  <si>
    <t>سایر هزینه ها</t>
  </si>
  <si>
    <t>مسئولیت اجتماعی</t>
  </si>
  <si>
    <t>ساختمان اداری لطف آباد</t>
  </si>
  <si>
    <t>خرید  زمین از منطقه آزاد دوغارون</t>
  </si>
  <si>
    <t>با توجه به حضور منطقه آزاد در مرز دوغارون ، انجام عملیات شعبه منوط به مجوز از منطقه آزاد می باشد.</t>
  </si>
  <si>
    <t>ساخت و احداث سکوی نمونه برداری سوخت در شعبه بیرجند</t>
  </si>
  <si>
    <t>با توجه به اینکه صادرات سوخت در خراسان جنوبی با مقادیر بالا، انجام می شود، ساخت و استفاده از سکوی نمونه برداری سوخت، درآمد جدیدی برای شعبه ایجاد میکند.همچنین جهت دریافت مجوزات انجام نمونه برداری در حال رایزنی و مذاکره با گمرک محل می باشد.</t>
  </si>
  <si>
    <t>اجاره زمین پایانه ماهیرود</t>
  </si>
  <si>
    <t>طی مذاکره مدیر محترم مجتمع خراسان جهت گسترش انجام عملیات مسلزم افزایش زمین در شعبه ماهیرود می باشد.</t>
  </si>
  <si>
    <t>مشارکت در پایانه سوختی لطف آباد (در زمین 64 هکتاری)</t>
  </si>
  <si>
    <t>در این خصوص چندین شرکت تقاضای همکاری در زمینه سوخت نموده اند که در ستاد مرکزی در حال پیگیری می باشد و پس از بازدید از سایت هیچ مراجعه دیگری به شعبه نداشته اند.</t>
  </si>
  <si>
    <t>اخذ مجوز اپراتوری از منطقه ویژه سرخس</t>
  </si>
  <si>
    <t>با توجه به انجام اپراتوری در منطقه ویژه سرخس توسط انبارهای عمومی سرخس در سالیان گذشته، شرکت جدیدی که جایگزین انبارهای عمومی گردید در ارائه خدمات یاریری و انبارداری نتوانست به صورت مطلوب خدمات ارائه دهد و اکنون شرایط مذاکره جهت ورود انبارهای عمومی به این اپراتوری محیا می باشد.</t>
  </si>
  <si>
    <t>علی اصغر عرب تیموری</t>
  </si>
  <si>
    <t>فوت آقای غلامرضا عرب تیموری</t>
  </si>
  <si>
    <t>134 دادگاه کیفری مشهد</t>
  </si>
  <si>
    <t>خانم آقای عبدالهی</t>
  </si>
  <si>
    <t>1404/08/17</t>
  </si>
  <si>
    <t>علی اصغر یراقی</t>
  </si>
  <si>
    <t>کپک زدگی پنبه ها در انبار شهید مطهری</t>
  </si>
  <si>
    <t>17 دادگاه تجدید نظر خراسان رضوی</t>
  </si>
  <si>
    <t>1404/01/26</t>
  </si>
  <si>
    <t>حسین موشانی</t>
  </si>
  <si>
    <t>آسیب دیدگی در روی سکوی مطهری</t>
  </si>
  <si>
    <t>80 دادگاه صلح</t>
  </si>
  <si>
    <t xml:space="preserve">احمد فیضی </t>
  </si>
  <si>
    <t>سرقت کابل و سیستم ABS ترمز کامیون</t>
  </si>
  <si>
    <t>شعبه 2 دادگاه حقوقی تایباد</t>
  </si>
  <si>
    <t>1404/08/21</t>
  </si>
  <si>
    <t>انبارهای عمومی و خدمات گمرکی</t>
  </si>
  <si>
    <t>انبارهای عمومی و خدمات گمرکی / رضا زنگنه مقدم</t>
  </si>
  <si>
    <t>تسطیح و رگلاژ بستر انجام شده است و خاکریزی و دیوار کشی محوطه در حال اجرا توسط پیمانکار می باشد.شماره قرارداد04/8034
طی مکاتبه شناسه 724968 پیمانکار جهت تحویل موقت اعلام آمادگی نموده است و پروژه در مرحله اتمام کار می باشد.</t>
  </si>
  <si>
    <t>طی شناسه مکاتبه 709934 مورخ 1405/05/05 جهت طی مراحل خرید به معاونت محترم عملیات ستاد مرکزی ارسال گردید.
طی شناسه 724901 کمیسون معاملات تشکیل و دستور خرسد از شرکت های تراکتور سازی توسط ستاد مرکزی صادر گردیده است.</t>
  </si>
  <si>
    <t>طی شناسه  709940 مورخ 1405/05/05 به معاونت محترم عملیات ستاد مرکزی جهت تایید و خرید مکاتبه گردید.
طی شناسه مکاتبه 724898 کمیسون معاملات تشکیل و مقرر گرید در صورت وجود دستگاه مازاد در شعبات کشور تامین در غیر این صورت خرید گردد.</t>
  </si>
  <si>
    <t>طی شناسه مکاتبه 709934 مورخ 1405/05/05 جهت طی مراحل خرید به معاونت محترم عملیات ستاد مرکزی ارسال گردید.
طی شناسه 724901 کمیسون معاملات تشکیل و دستور خرید از شرکت های تراکتور سازی توسط ستاد مرکزی صادر گردیده است.</t>
  </si>
  <si>
    <t>پیش پرداخت مالیات بر درامد</t>
  </si>
  <si>
    <t>پیش پرداخت خرید کالا و خدمات</t>
  </si>
  <si>
    <t xml:space="preserve">پیش پرداخت اجاره </t>
  </si>
  <si>
    <t>حسابهای دریافتنی تجاری</t>
  </si>
  <si>
    <t>اسناد دریافتنی</t>
  </si>
  <si>
    <t>کارکنان مساعده -وام و بیمه درمان</t>
  </si>
  <si>
    <t>سپرده موقت</t>
  </si>
  <si>
    <t>طلب از شرکت های وابسته</t>
  </si>
  <si>
    <t>حساب های دریافتنی غیر تجاری سایر شرکت ها و اشخاص</t>
  </si>
  <si>
    <t>حسابهای دریافتنی غیر تجاری مالیات بر ارزش افزروده</t>
  </si>
  <si>
    <t>پیش دریافت  خدمات</t>
  </si>
  <si>
    <t>حسابها و اسناد پرداختنی تجاری</t>
  </si>
  <si>
    <t xml:space="preserve">حسابهای پرداختنی غیر تجاری </t>
  </si>
  <si>
    <t>مطالبات کارکنان</t>
  </si>
  <si>
    <t>سپرده ها و ودایع پرداختنی</t>
  </si>
  <si>
    <t>سایر شرکت ها و اشخاص</t>
  </si>
  <si>
    <t>حق بیمه پرداختنی</t>
  </si>
  <si>
    <t>هزینه های پرداخت نشده</t>
  </si>
  <si>
    <t xml:space="preserve">مالیات و عوارض بر ارزش افزوده </t>
  </si>
  <si>
    <t>مالیات حقوق</t>
  </si>
  <si>
    <t>جاری مجتمع</t>
  </si>
  <si>
    <t>اسنادپرداختنی غیر تجاری</t>
  </si>
  <si>
    <t>توضیحات تکمیلی (دلایل انحرافات 10%± عملکرد و بودجه):
1- انحراف نامساعد ایجاد شده در کلیه رویه های شعبه شهید کاوه به جهت فعالیت انبار شهرک صنعتی و حمایت های گمرک از این مجموعه و انتقال بخش زیادی از کالاها به این شرکت می باشد
2-
3-
4-</t>
  </si>
  <si>
    <t>توضیحات تکمیلی (دلایل انحرافات 10%± عملکرد و بودجه):
1- مهمترین دلیل انحراف مساعد ایجاد شده در شعبه افزایش سطح تعاملات با گمرک و مساعدت گمرک در صدور دستور تخلیه کالا بوده است  از جمله این کالاها برنج ، تخم آفتابگردان ، گردو و کنجد بوده است - شایان ذکر است جذب نیروهای بومی ، تهیه ملزومات عملیات از جمله پالت پلاستیکی و ... در میزان مساعدت گمرک در ورود کالا تاثیر گذار بوده است . 
2- 
3-
4-</t>
  </si>
  <si>
    <t>توضیحات تکمیلی (دلایل انحرافات 10%± عملکرد و بودجه):
 1- انحراف هزینه های قیمت تمام شده : افزایش حقوق کارکنان و کمک های غیر نقدی پرسنل- افزایش هزینه استهلاک ماشین آلات - افزایش هزینه سوخت و تعمیرات ماشین آلات - افزایش هزینه پذیرایی و تشریفات ( برقراری نهار گمرک )
2-  انحراف هزینه های اداری و عمومی : افزایش حقوق کارکنان و کمک های غیر نقدی پرسنل</t>
  </si>
  <si>
    <t>توضیحات تکمیلی (دلایل انحرافات 10%± عملکرد و بودجه):
1- انحراف هزینه های قیمت تمام شده : افزایش حقوق کارکنان و کمک های غیر نقدی پرسنل- افزایش هزینه استهلاک  -  افزایش هزینه تعمیر و نگهداری 
2- انحراف عملکردی هزینه های اداری و عمومی : افزایش حقوق کارکنان و کمک های غیر نقدی پرسنل- افزایش هزینه تعمیر و نگهداری -افزایش هزینه سوخت و تعمیرات وسائط نقلیه
3-
4-</t>
  </si>
  <si>
    <t xml:space="preserve">توضیحات تکمیلی (دلایل انحرافات 10%± عملکرد و بودجه):
1- انحراف هزینه های قیمت تمام شده : افزایش حقوق کارکنان و کمک های غیر نقدی پرسنل-   افزایش هزینه حق الزحمه خدمات قراردادی (انعقاد قرارداد پیمانکاری در فاز 2 شعبه مطهری) -افزایش هزینه سوخت و تعمیرات ماشین آلات 
2-  </t>
  </si>
  <si>
    <t>توضیحات تکمیلی (دلایل انحرافات 10%± عملکرد و بودجه):
1- انحراف هزینه های قیمت تمام شده : افزایش حقوق کارکنان و کمک های غیر نقدی پرسنل-  افزایش هزینه سوخت و تعمیرات ماشین آلات -افزایش هزینه ایاب و ذهاب ( سرویس گمرک)
 2-انحراف هزینه های اداری و عمومی : افزایش حقوق کارکنان و کمک های غیر نقدی پرسنل -  ثبت استهلاک در سال 1405- افزایش قبوض خدماتی در سال 1405</t>
  </si>
  <si>
    <t>توضیحات تکمیلی (دلایل انحرافات 10%± عملکرد و بودجه):
1-انحراف هزینه های قیمت تمام شده : افزایش حقوق کارکنان و کمک های غیر نقدی پرسنل -افزایش هزینه خدمات قراردادی ( قرارداد پیمانکار)-  
2-انحراف هزینه های اداری و عمومی : افزایش خرید ابزار و لوازم مصرفی  در سال 1405  
3-
4-</t>
  </si>
  <si>
    <t>توضیحات تکمیلی (دلایل انحرافات 10%± عملکرد و بودجه):
1-  انحراف هزینه های قیمت تمام شده : افزایش حقوق کارکنان و کمک های غیر نقدی پرسنل و درج هزینه حقوق نیروهای پیمانکاری به صورت سه ماهه در سال 1404 -افزایش هزینه چاپ و مطبوعات  
2- انحراف هزینه های اداری و عمومی : کاهش هزینه های تعمیر و نگهداری و هزینه سوخت و تعمیرات وسائط نقلیه در سال 1405 
3-
4-</t>
  </si>
  <si>
    <t xml:space="preserve">توضیحات تکمیلی (دلایل انحرافات 10%± عملکرد و بودجه):
 1- انحراف هزینه های قیمت تمام شده : افزایش حقوق کارکنان و کمک های غیر نقدی پرسنل  -افزایش هزینه استهلاک -افزایش هزینه سوخت و تعمیرات ماشین آلات - افزایش هزینه قبوض
2- انحراف هزینه های اداری و عمومی : افزایش حقوق کارکنان و کمک های غیر نقدی پرسنل- افزایش هزینه تعمیر و نگهداری </t>
  </si>
  <si>
    <t>توضیحات تکمیلی (دلایل انحرافات 10%± عملکرد و بودجه):
1- انحراف هزینه های قیمت تمام شده : افزایش و اصلاح هزینه حقوق کارکنان و کمک های غیر نقدی پرسنل  -
2-انحراف هزینه های اداری و عمومی : اصلاح هزینه حقوق کارکنان و کمک های غیر نقدی پرسنل به قیمت تمام شده در سال 1405- 
3-</t>
  </si>
  <si>
    <t>توضیحات تکمیلی (دلایل انحرافات 10%± عملکرد و بودجه):
1-  انحراف هزینه های قیمت تمام شده : افزایش و اصلاح هزینه حقوق کارکنان و کمک های غیر نقدی پرسنل- افزایش هزینه قبوض -افزایش هزینه پذیرایی و تشریفات
2-  انحراف هزینه های اداری و عمومی : اصلاح هزینه های حقوق و دستمزد و کارکنان از اداری به قیمت تمام شده در سال 1405 - کاهش هزینه های ابزار و لوازم مصرفی - 
3-
4-</t>
  </si>
  <si>
    <t>توضیحات تکمیلی (دلایل انحرافات 10%± عملکرد و بودجه):
1- مهمترین دلیل انحراف نامساعد ایجاد شده در رویه واردات به جهت فعالیت گمرک شهرک صنعتی توس  به عنوان رقیب اصلی انبارهای عمومی بوده به شکلی که اغلب کالاهای وارداتی به این گمرک منتقل شده و موجب شده ورود برخی از کالا ها از جمله کالای برنج و و حبوبات کاهش چشمگیری داشته باشد. 
2- انحراف مساعد در رویه حمل یکسره ورود کالای کنجاله آفتابگردان به صورت حمل یکسره 
3- انحراف مساعد ایجاد شده ترانشیپ در رویه واردات : ورود کالای شکر و روغن در رویه ترانزیت و به منظور حمل ریلی و انتقال به آسیای میانه
4</t>
  </si>
  <si>
    <t>طی شناسه مکاتبه 724251 مورخ 1405/06/31 جهت تاییده برگزاری کمیسون معاملات به ستاد مرکزی ارسال گردیده است.</t>
  </si>
  <si>
    <t>توضیحات تکمیلی (دلایل انحرافات 10%± عملکرد و بودجه):
1-انحراف مساعد ایجاد شده در رویه واردات به دلیل افزایش سطح تعامالات با گمرک ستادی خراسان جنوبی ( بیرجند ) و مساعدت در ورود کالای شمش، مس، کنجد و حبوبات بوده است .  
2-
3-
4-</t>
  </si>
  <si>
    <t>توضیحات تکمیلی (دلایل انحرافات 10%± عملکرد و بودجه):
1- مهمترین دلیل انحراف نامساعد ایجاد شده در رویه واردات شعبه صدور مجوز انبارهای اختصاصی توسط گمرک به واحدهای تولیدی بوده است . شایان ذکر است با توجه به فعالیتهای شرکتهای مرزنشین و صادرات انجام گرفته توسط این شرکتها  در شش ماه دوم قطعاْ با افزایش حجم عملیات واردات توسط شرکتهای مرزنشینان در این شعبه روبرو خواهیم شد.
2-
3-</t>
  </si>
  <si>
    <t>توضیحات تکمیلی (دلایل انحرافات 10%± عملکرد و بودجه):
1-انحراف نامساعد ایجاد شده در رویه واردات  به دلیل کاهش صدور دستور تخلیه خودروهای سواری از سوی گمرک و به جهت محدودیت فضای انبار بارانداز شعبه بوده است همچنین محدودیت  ورود کالای حبوبات و نخ پنبه به شعبه  به دلیل شرایط جنگی در ماههای ابتدایی سال  از جمله علل انحراف نامساعد ایجاد شده می باشند.
2- انحراف مساعد ایجاد شده در رویه صادرات و ترانشیپ صادرات به جهت ایجاد شرایط جنگی و بسته شدن مرزهای آبی در جنوب کشور و تغییر مسیر صادرات کالاها از مرزهای زمینی می باشد از جمله کالاهای مصنوعات پلاستیکی و فلزی ، ماشین آلات ، مواد خوراکی بلورجات و ...
3-انحراف مساعد ایجاد شده مدت توقف کالا در صاردات نیز به دلیل کمبود ناوگان حمل با توجه به محدودیت ایجاد شده توسط کشور ترکمنستان در نوع وسیله حمل (تاکید بر استفاده از وسیله حمل چادری)
4-انحراف مساعد ایجاد شده در رویه ترانشیپ صادرات : تناژ و درآمد صادرات در رویه واردات وارد شده است.</t>
  </si>
  <si>
    <t>توضیحات تکمیلی (دلایل انحرافات 10%± عملکرد و بودجه):
1- مهمترین دلایل  انحراف مساعد ایجاد شده در کلیه رویه های جاری شعبه : ایجاد شرایط جنگی و بسته شدن مرزهای آبی کشور و تغییر مسیر کالا به مرزهای زمینی -    گسترش محوطه عملیاتی در زمین شرکت و  استفاده بهینه از ظرفیت سکوی ریلی - افزایش تجهیزات عملیاتی از جمله لیفتراک - بازگشایی درب  گمرک از محوطه 12 هکتاری شرکت موجب افزایش ظرفیت ترانشیپمنت شده است.
2-انحراف نامساعد ایجاد شده در مدت نگهداری کالادر رویه صادرات : درآمد انبارداری صادرات نسبت به تناژ آن کاهش داشته است .</t>
  </si>
  <si>
    <t>توضیحات تکمیلی (دلایل انحرافات 10%± عملکرد و بودجه):
1-انحراف مساعد ایجاد شده به جهت ورود کالاهای جدید از جمله اسید فسفوریک و بدنه یخچال در شعبه بوده است.
2-انحراف مساعد ایجاد شده در رویه واردات انبارداری به جهت ماندگاری کالا در انبارهای شعبه بوده است.
3-انحراف مساعد ایجاد شده در انبارداری واردات به جهت افزایش میانگین مدت ماندگاری کالا می باشد. 
4--</t>
  </si>
  <si>
    <t>توضیحات تکمیلی (دلایل انحرافات 10%± عملکرد و بودجه):
 1- مهمترین دلایل انحراف مساعد ایجاد شده در شعبه ایجاد شرایط جنگی در کشور و تغییر مسیر کالاها از بنادر به سمت مرزهای زمینی بوده است همچنین مهمترین کالاهای وارداتی شعبه  پنبه ، گوگرد ، حبوبات  و مهمترین اقلام صادراتی  ماشین آلات ، آهن آلات مواد اولیه بلورجات بوده است.
2-انحراف مساعد ایجاد شده در باربری واردات نسبت درآمد به تناژ بدلیل ورود کالاهای خاص و خطرناک مانند گوگرد و پنبه می باشد.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</si>
</sst>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 #,##0.00_-_ ;_ * #,##0.00\-_ ;_ * &quot;-&quot;??_-_ ;_ @_ "/>
    <numFmt numFmtId="164" formatCode="_(* #,##0.00_);_(* \(#,##0.00\);_(* &quot;-&quot;??_);_(@_)"/>
    <numFmt numFmtId="165" formatCode="#,###;[Red]\(#,###\)"/>
    <numFmt numFmtId="166" formatCode="#,##0;\(#,##0\)"/>
    <numFmt numFmtId="167" formatCode="[$-160429]dd/mm/yy;@"/>
    <numFmt numFmtId="168" formatCode="[$-160429]d\ mmmm\ yyyy;@"/>
    <numFmt numFmtId="169" formatCode="_-* #,##0.00_-;_-* #,##0.00\-;_-* &quot;-&quot;??_-;_-@_-"/>
    <numFmt numFmtId="170" formatCode="0_);\(0\)"/>
    <numFmt numFmtId="171" formatCode="#,###.0;[Red]\(#,###.0\);0"/>
    <numFmt numFmtId="172" formatCode="#,##0.0;\(#,##0.0\)"/>
    <numFmt numFmtId="173" formatCode="#,###,;\(#,###,\)"/>
    <numFmt numFmtId="174" formatCode="#,###,"/>
    <numFmt numFmtId="175" formatCode="0.0"/>
    <numFmt numFmtId="176" formatCode="#,##0.00;\(#,##0.00\)"/>
    <numFmt numFmtId="177" formatCode="#,##0;[Red]#,##0"/>
  </numFmts>
  <fonts count="150">
    <font>
      <sz val="11"/>
      <color theme="1"/>
      <name val="Calibri"/>
      <family val="2"/>
      <charset val="178"/>
      <scheme val="minor"/>
    </font>
    <font>
      <sz val="11"/>
      <color theme="1"/>
      <name val="Calibri"/>
      <family val="2"/>
      <scheme val="minor"/>
    </font>
    <font>
      <sz val="10"/>
      <name val="Arial"/>
      <family val="2"/>
    </font>
    <font>
      <b/>
      <sz val="12"/>
      <name val="B Lotus"/>
      <charset val="178"/>
    </font>
    <font>
      <sz val="12"/>
      <name val="B Lotus"/>
      <charset val="178"/>
    </font>
    <font>
      <sz val="16"/>
      <name val="B Mitra"/>
      <charset val="178"/>
    </font>
    <font>
      <sz val="10"/>
      <name val="B Nazanin"/>
      <charset val="178"/>
    </font>
    <font>
      <sz val="11"/>
      <name val="B Nazanin"/>
      <charset val="178"/>
    </font>
    <font>
      <b/>
      <sz val="12"/>
      <name val="B Nazanin"/>
      <charset val="178"/>
    </font>
    <font>
      <b/>
      <sz val="14"/>
      <name val="B Nazanin"/>
      <charset val="178"/>
    </font>
    <font>
      <b/>
      <sz val="11"/>
      <name val="B Nazanin"/>
      <charset val="178"/>
    </font>
    <font>
      <b/>
      <sz val="10"/>
      <name val="B Nazanin"/>
      <charset val="178"/>
    </font>
    <font>
      <b/>
      <sz val="16"/>
      <name val="B Nazanin"/>
      <charset val="178"/>
    </font>
    <font>
      <sz val="12"/>
      <name val="B Nazanin"/>
      <charset val="178"/>
    </font>
    <font>
      <sz val="14"/>
      <name val="B Nazanin"/>
      <charset val="178"/>
    </font>
    <font>
      <sz val="14"/>
      <name val="B Lotus"/>
      <charset val="178"/>
    </font>
    <font>
      <b/>
      <sz val="11"/>
      <name val="B Lotus"/>
      <charset val="178"/>
    </font>
    <font>
      <sz val="11"/>
      <name val="B Titr"/>
      <charset val="178"/>
    </font>
    <font>
      <b/>
      <sz val="12"/>
      <name val="B Titr"/>
      <charset val="178"/>
    </font>
    <font>
      <b/>
      <sz val="11"/>
      <name val="B Titr"/>
      <charset val="178"/>
    </font>
    <font>
      <b/>
      <sz val="22"/>
      <color rgb="FF5D7E00"/>
      <name val="IranNastaliq"/>
      <family val="1"/>
    </font>
    <font>
      <b/>
      <sz val="11"/>
      <color indexed="20"/>
      <name val="B Nazanin"/>
      <charset val="178"/>
    </font>
    <font>
      <sz val="11"/>
      <color theme="1"/>
      <name val="B Titr"/>
      <charset val="178"/>
    </font>
    <font>
      <b/>
      <sz val="11"/>
      <color theme="1"/>
      <name val="B Nazanin"/>
      <charset val="178"/>
    </font>
    <font>
      <b/>
      <sz val="11"/>
      <color rgb="FFFF0000"/>
      <name val="B Nazanin"/>
      <charset val="178"/>
    </font>
    <font>
      <sz val="10"/>
      <name val="B Lotus"/>
      <charset val="178"/>
    </font>
    <font>
      <b/>
      <sz val="18"/>
      <name val="B Nazanin"/>
      <charset val="178"/>
    </font>
    <font>
      <b/>
      <sz val="14"/>
      <name val="B Lotus"/>
      <charset val="178"/>
    </font>
    <font>
      <b/>
      <sz val="14"/>
      <color theme="1"/>
      <name val="B Lotus"/>
      <charset val="178"/>
    </font>
    <font>
      <b/>
      <sz val="14"/>
      <color indexed="10"/>
      <name val="Times New Roman"/>
      <family val="1"/>
    </font>
    <font>
      <sz val="14"/>
      <color theme="1"/>
      <name val="B Nazanin"/>
      <charset val="178"/>
    </font>
    <font>
      <sz val="16"/>
      <name val="B Lotus"/>
      <charset val="178"/>
    </font>
    <font>
      <b/>
      <sz val="10"/>
      <name val="B Titr"/>
      <charset val="178"/>
    </font>
    <font>
      <b/>
      <sz val="16"/>
      <color indexed="10"/>
      <name val="B Lotus"/>
      <charset val="178"/>
    </font>
    <font>
      <sz val="14"/>
      <name val="Arial"/>
      <family val="2"/>
    </font>
    <font>
      <b/>
      <sz val="12"/>
      <color theme="1"/>
      <name val="B Nazanin"/>
      <charset val="178"/>
    </font>
    <font>
      <b/>
      <sz val="14"/>
      <color theme="1"/>
      <name val="B Nazanin"/>
      <charset val="178"/>
    </font>
    <font>
      <sz val="12"/>
      <color theme="1"/>
      <name val="B Nazanin"/>
      <charset val="178"/>
    </font>
    <font>
      <sz val="12"/>
      <color rgb="FF000000"/>
      <name val="B Titr"/>
      <charset val="178"/>
    </font>
    <font>
      <sz val="12"/>
      <color theme="1"/>
      <name val="Arial"/>
      <family val="2"/>
    </font>
    <font>
      <sz val="12"/>
      <color rgb="FFFF0000"/>
      <name val="B Titr"/>
      <charset val="178"/>
    </font>
    <font>
      <b/>
      <sz val="16"/>
      <color theme="1"/>
      <name val="B Nazanin"/>
      <charset val="178"/>
    </font>
    <font>
      <sz val="11"/>
      <color theme="0"/>
      <name val="Calibri"/>
      <family val="2"/>
      <charset val="178"/>
      <scheme val="minor"/>
    </font>
    <font>
      <sz val="11"/>
      <color theme="1"/>
      <name val="B Nazanin"/>
      <charset val="178"/>
    </font>
    <font>
      <sz val="12"/>
      <color rgb="FF000000"/>
      <name val="B Nazanin"/>
      <charset val="178"/>
    </font>
    <font>
      <sz val="16"/>
      <color theme="1"/>
      <name val="B Nazanin"/>
      <charset val="178"/>
    </font>
    <font>
      <sz val="16"/>
      <color theme="1"/>
      <name val="IranNastaliq"/>
      <family val="1"/>
    </font>
    <font>
      <sz val="16"/>
      <color theme="1"/>
      <name val="Calibri"/>
      <family val="2"/>
      <charset val="178"/>
      <scheme val="minor"/>
    </font>
    <font>
      <sz val="16"/>
      <color theme="1"/>
      <name val="B Titr"/>
      <charset val="178"/>
    </font>
    <font>
      <b/>
      <sz val="10"/>
      <color theme="1"/>
      <name val="B Nazanin"/>
      <charset val="178"/>
    </font>
    <font>
      <sz val="11"/>
      <color theme="1"/>
      <name val="Calibri"/>
      <family val="2"/>
      <scheme val="minor"/>
    </font>
    <font>
      <b/>
      <sz val="10"/>
      <color rgb="FF000000"/>
      <name val="B Nazanin"/>
      <charset val="178"/>
    </font>
    <font>
      <sz val="22"/>
      <color theme="1"/>
      <name val="B Nazanin"/>
      <charset val="178"/>
    </font>
    <font>
      <sz val="11"/>
      <color rgb="FFB2B2B2"/>
      <name val="Calibri"/>
      <family val="2"/>
      <charset val="178"/>
      <scheme val="minor"/>
    </font>
    <font>
      <sz val="12"/>
      <color rgb="FFB2B2B2"/>
      <name val="B Nazanin"/>
      <charset val="178"/>
    </font>
    <font>
      <sz val="10"/>
      <color rgb="FFB2B2B2"/>
      <name val="Arial"/>
      <family val="2"/>
    </font>
    <font>
      <sz val="16"/>
      <name val="B Nazanin"/>
      <charset val="178"/>
    </font>
    <font>
      <b/>
      <sz val="14"/>
      <color rgb="FF000000"/>
      <name val="B Nazanin"/>
      <charset val="178"/>
    </font>
    <font>
      <sz val="14"/>
      <color theme="0"/>
      <name val="Tahoma"/>
      <family val="2"/>
    </font>
    <font>
      <b/>
      <sz val="13"/>
      <name val="B Nazanin"/>
      <charset val="178"/>
    </font>
    <font>
      <b/>
      <sz val="13"/>
      <name val="B Lotus"/>
      <charset val="178"/>
    </font>
    <font>
      <sz val="12"/>
      <color theme="1"/>
      <name val="B Titr"/>
      <charset val="178"/>
    </font>
    <font>
      <sz val="13"/>
      <name val="B Nazanin"/>
      <charset val="178"/>
    </font>
    <font>
      <sz val="12"/>
      <name val="B Mitra"/>
      <charset val="178"/>
    </font>
    <font>
      <sz val="14"/>
      <color theme="1"/>
      <name val="Calibri"/>
      <family val="2"/>
      <charset val="178"/>
      <scheme val="minor"/>
    </font>
    <font>
      <b/>
      <sz val="16"/>
      <color indexed="10"/>
      <name val="B Nazanin"/>
      <charset val="178"/>
    </font>
    <font>
      <sz val="12"/>
      <color theme="1"/>
      <name val="Calibri"/>
      <family val="2"/>
      <charset val="178"/>
      <scheme val="minor"/>
    </font>
    <font>
      <sz val="11"/>
      <name val="Arial"/>
      <family val="2"/>
    </font>
    <font>
      <sz val="11"/>
      <color theme="1"/>
      <name val="Calibri"/>
      <family val="2"/>
      <charset val="178"/>
      <scheme val="minor"/>
    </font>
    <font>
      <b/>
      <sz val="12"/>
      <color rgb="FF000000"/>
      <name val="B Nazanin"/>
      <charset val="178"/>
    </font>
    <font>
      <sz val="18"/>
      <color theme="1"/>
      <name val="B Titr"/>
      <charset val="178"/>
    </font>
    <font>
      <sz val="11"/>
      <color theme="0" tint="-0.34998626667073579"/>
      <name val="Calibri"/>
      <family val="2"/>
      <charset val="178"/>
      <scheme val="minor"/>
    </font>
    <font>
      <sz val="14"/>
      <color theme="0" tint="-0.34998626667073579"/>
      <name val="Calibri"/>
      <family val="2"/>
      <charset val="178"/>
      <scheme val="minor"/>
    </font>
    <font>
      <sz val="11"/>
      <color rgb="FFFF0000"/>
      <name val="Calibri"/>
      <family val="2"/>
      <charset val="178"/>
      <scheme val="minor"/>
    </font>
    <font>
      <sz val="14"/>
      <color rgb="FFFF0000"/>
      <name val="Calibri"/>
      <family val="2"/>
      <charset val="178"/>
      <scheme val="minor"/>
    </font>
    <font>
      <sz val="12"/>
      <color rgb="FFFF0000"/>
      <name val="B Lotus"/>
      <charset val="178"/>
    </font>
    <font>
      <sz val="12"/>
      <color rgb="FFFF0000"/>
      <name val="B Nazanin"/>
      <charset val="178"/>
    </font>
    <font>
      <sz val="10"/>
      <color rgb="FFFF0000"/>
      <name val="B Lotus"/>
      <charset val="178"/>
    </font>
    <font>
      <sz val="11"/>
      <name val="Calibri"/>
      <family val="2"/>
      <charset val="178"/>
      <scheme val="minor"/>
    </font>
    <font>
      <b/>
      <sz val="13"/>
      <color theme="1"/>
      <name val="B Nazanin"/>
      <charset val="178"/>
    </font>
    <font>
      <b/>
      <sz val="13"/>
      <color theme="1"/>
      <name val="Calibri"/>
      <family val="2"/>
      <charset val="178"/>
      <scheme val="minor"/>
    </font>
    <font>
      <sz val="10"/>
      <color rgb="FFFF0000"/>
      <name val="Arial"/>
      <family val="2"/>
    </font>
    <font>
      <b/>
      <sz val="12"/>
      <color rgb="FFFF0000"/>
      <name val="B Lotus"/>
      <charset val="178"/>
    </font>
    <font>
      <b/>
      <sz val="12"/>
      <color rgb="FFFF0000"/>
      <name val="B Nazanin"/>
      <charset val="178"/>
    </font>
    <font>
      <b/>
      <sz val="13"/>
      <color rgb="FFFF0000"/>
      <name val="B Lotus"/>
      <charset val="178"/>
    </font>
    <font>
      <b/>
      <sz val="14"/>
      <color rgb="FFFF0000"/>
      <name val="B Lotus"/>
      <charset val="178"/>
    </font>
    <font>
      <sz val="14"/>
      <color rgb="FFFF0000"/>
      <name val="B Lotus"/>
      <charset val="178"/>
    </font>
    <font>
      <sz val="10"/>
      <color rgb="FFFF0000"/>
      <name val="Arial"/>
      <family val="2"/>
      <charset val="178"/>
    </font>
    <font>
      <b/>
      <sz val="16"/>
      <color rgb="FFFF0000"/>
      <name val="B Nazanin"/>
      <charset val="178"/>
    </font>
    <font>
      <sz val="10"/>
      <color theme="0" tint="-0.34998626667073579"/>
      <name val="Arial"/>
      <family val="2"/>
    </font>
    <font>
      <b/>
      <sz val="16"/>
      <color theme="0" tint="-0.34998626667073579"/>
      <name val="B Nazanin"/>
      <charset val="178"/>
    </font>
    <font>
      <b/>
      <sz val="12"/>
      <color theme="0" tint="-0.34998626667073579"/>
      <name val="B Nazanin"/>
      <charset val="178"/>
    </font>
    <font>
      <b/>
      <sz val="13"/>
      <color theme="0" tint="-0.34998626667073579"/>
      <name val="Calibri"/>
      <family val="2"/>
      <charset val="178"/>
      <scheme val="minor"/>
    </font>
    <font>
      <sz val="11"/>
      <color rgb="FF006100"/>
      <name val="Calibri"/>
      <family val="2"/>
      <charset val="178"/>
      <scheme val="minor"/>
    </font>
    <font>
      <sz val="11"/>
      <color rgb="FF9C0006"/>
      <name val="Calibri"/>
      <family val="2"/>
      <charset val="178"/>
      <scheme val="minor"/>
    </font>
    <font>
      <b/>
      <sz val="20"/>
      <name val="B Nazanin"/>
      <charset val="178"/>
    </font>
    <font>
      <b/>
      <u val="double"/>
      <sz val="26"/>
      <name val="B Nazanin"/>
      <charset val="178"/>
    </font>
    <font>
      <sz val="26"/>
      <name val="B Lotus"/>
      <charset val="178"/>
    </font>
    <font>
      <b/>
      <sz val="22"/>
      <name val="B Nazanin"/>
      <charset val="178"/>
    </font>
    <font>
      <sz val="28"/>
      <color theme="1"/>
      <name val="B Nazanin"/>
      <charset val="178"/>
    </font>
    <font>
      <sz val="14"/>
      <color theme="1"/>
      <name val="B Zar"/>
      <charset val="178"/>
    </font>
    <font>
      <b/>
      <sz val="16"/>
      <color theme="1"/>
      <name val="B Zar"/>
      <charset val="178"/>
    </font>
    <font>
      <b/>
      <sz val="15"/>
      <color theme="1"/>
      <name val="B Zar"/>
      <charset val="178"/>
    </font>
    <font>
      <sz val="14"/>
      <color theme="0"/>
      <name val="B Zar"/>
      <charset val="178"/>
    </font>
    <font>
      <b/>
      <sz val="15"/>
      <name val="B Zar"/>
      <charset val="178"/>
    </font>
    <font>
      <b/>
      <sz val="15"/>
      <color theme="0"/>
      <name val="B Zar"/>
      <charset val="178"/>
    </font>
    <font>
      <b/>
      <sz val="20"/>
      <color theme="1"/>
      <name val="Calibri"/>
      <family val="2"/>
      <scheme val="minor"/>
    </font>
    <font>
      <sz val="16"/>
      <color theme="1"/>
      <name val="Calibri"/>
      <family val="2"/>
      <scheme val="minor"/>
    </font>
    <font>
      <sz val="20"/>
      <color theme="1"/>
      <name val="Calibri"/>
      <family val="2"/>
      <scheme val="minor"/>
    </font>
    <font>
      <sz val="12"/>
      <color theme="1"/>
      <name val="B Badr"/>
      <charset val="178"/>
    </font>
    <font>
      <sz val="16"/>
      <color rgb="FF000000"/>
      <name val="B Titr"/>
      <charset val="178"/>
    </font>
    <font>
      <b/>
      <sz val="11"/>
      <color theme="0"/>
      <name val="B Nazanin"/>
      <charset val="178"/>
    </font>
    <font>
      <b/>
      <sz val="12"/>
      <name val="BTitr"/>
      <charset val="178"/>
    </font>
    <font>
      <sz val="9"/>
      <color theme="1"/>
      <name val="Calibri"/>
      <family val="2"/>
      <charset val="178"/>
      <scheme val="minor"/>
    </font>
    <font>
      <b/>
      <sz val="12"/>
      <name val="B Koodak"/>
      <charset val="178"/>
    </font>
    <font>
      <b/>
      <sz val="12"/>
      <color theme="0"/>
      <name val="B Nazanin"/>
      <charset val="178"/>
    </font>
    <font>
      <b/>
      <sz val="16"/>
      <name val="B Lotus"/>
      <charset val="178"/>
    </font>
    <font>
      <sz val="11"/>
      <color rgb="FFFF0000"/>
      <name val="B Titr"/>
      <charset val="178"/>
    </font>
    <font>
      <b/>
      <sz val="14"/>
      <color rgb="FFFF0000"/>
      <name val="B Nazanin"/>
      <charset val="178"/>
    </font>
    <font>
      <sz val="14"/>
      <name val="Calibri"/>
      <family val="2"/>
      <charset val="178"/>
      <scheme val="minor"/>
    </font>
    <font>
      <sz val="11"/>
      <color indexed="8"/>
      <name val="Arial"/>
      <family val="2"/>
      <charset val="178"/>
    </font>
    <font>
      <sz val="12"/>
      <color theme="1"/>
      <name val="B Zar"/>
      <charset val="178"/>
    </font>
    <font>
      <sz val="12"/>
      <color theme="0" tint="-0.34998626667073579"/>
      <name val="B Lotus"/>
      <charset val="178"/>
    </font>
    <font>
      <b/>
      <sz val="14"/>
      <color theme="0" tint="-0.34998626667073579"/>
      <name val="B Lotus"/>
      <charset val="178"/>
    </font>
    <font>
      <b/>
      <sz val="14"/>
      <color theme="1" tint="0.14999847407452621"/>
      <name val="B Nazanin"/>
      <charset val="178"/>
    </font>
    <font>
      <b/>
      <sz val="14"/>
      <color theme="0"/>
      <name val="B Nazanin"/>
      <charset val="178"/>
    </font>
    <font>
      <b/>
      <sz val="14"/>
      <color theme="1"/>
      <name val="B Titr"/>
      <charset val="178"/>
    </font>
    <font>
      <sz val="14"/>
      <color rgb="FF000000"/>
      <name val="B Titr"/>
      <charset val="178"/>
    </font>
    <font>
      <b/>
      <sz val="9"/>
      <name val="B Nazanin"/>
      <charset val="178"/>
    </font>
    <font>
      <b/>
      <sz val="14"/>
      <name val="B Titr"/>
      <charset val="178"/>
    </font>
    <font>
      <sz val="14"/>
      <color theme="1"/>
      <name val="B Titr"/>
      <charset val="178"/>
    </font>
    <font>
      <b/>
      <sz val="9"/>
      <color indexed="20"/>
      <name val="B Nazanin"/>
      <charset val="178"/>
    </font>
    <font>
      <b/>
      <sz val="9"/>
      <color theme="9" tint="-0.499984740745262"/>
      <name val="B Nazanin"/>
      <charset val="178"/>
    </font>
    <font>
      <b/>
      <sz val="9"/>
      <name val="B Lotus"/>
      <charset val="178"/>
    </font>
    <font>
      <b/>
      <sz val="9"/>
      <color indexed="12"/>
      <name val="B Nazanin"/>
      <charset val="178"/>
    </font>
    <font>
      <sz val="14"/>
      <color rgb="FFFF0000"/>
      <name val="B Titr"/>
      <charset val="178"/>
    </font>
    <font>
      <sz val="14"/>
      <name val="B Titr"/>
      <charset val="178"/>
    </font>
    <font>
      <b/>
      <sz val="9"/>
      <color theme="1"/>
      <name val="B Nazanin"/>
      <charset val="178"/>
    </font>
    <font>
      <b/>
      <sz val="11"/>
      <color rgb="FF000000"/>
      <name val="B Nazanin"/>
      <charset val="178"/>
    </font>
    <font>
      <sz val="16"/>
      <color rgb="FF008000"/>
      <name val="B Titr"/>
      <charset val="178"/>
    </font>
    <font>
      <sz val="16"/>
      <color rgb="FF008000"/>
      <name val="Calibri"/>
      <family val="2"/>
    </font>
    <font>
      <sz val="10"/>
      <color theme="0"/>
      <name val="Vazir"/>
    </font>
    <font>
      <b/>
      <sz val="16"/>
      <color rgb="FFC00000"/>
      <name val="B Nazanin"/>
      <charset val="178"/>
    </font>
    <font>
      <b/>
      <sz val="9"/>
      <name val="B Titr"/>
      <charset val="178"/>
    </font>
    <font>
      <sz val="14"/>
      <color theme="8" tint="-0.499984740745262"/>
      <name val="B Titr"/>
      <charset val="178"/>
    </font>
    <font>
      <sz val="12"/>
      <color theme="0"/>
      <name val="B Lotus"/>
      <charset val="178"/>
    </font>
    <font>
      <sz val="14"/>
      <color theme="4" tint="-0.249977111117893"/>
      <name val="B Titr"/>
      <charset val="178"/>
    </font>
    <font>
      <b/>
      <sz val="12"/>
      <color theme="8" tint="-0.499984740745262"/>
      <name val="B Titr"/>
      <charset val="178"/>
    </font>
    <font>
      <b/>
      <sz val="10"/>
      <color theme="0"/>
      <name val="B Titr"/>
      <charset val="178"/>
    </font>
    <font>
      <b/>
      <sz val="11"/>
      <color rgb="FF000000"/>
      <name val="B Mitra"/>
      <charset val="178"/>
    </font>
  </fonts>
  <fills count="47">
    <fill>
      <patternFill patternType="none"/>
    </fill>
    <fill>
      <patternFill patternType="gray125"/>
    </fill>
    <fill>
      <patternFill patternType="solid">
        <fgColor rgb="FFFFFF99"/>
        <bgColor indexed="64"/>
      </patternFill>
    </fill>
    <fill>
      <patternFill patternType="solid">
        <fgColor theme="0"/>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249977111117893"/>
        <bgColor indexed="64"/>
      </patternFill>
    </fill>
    <fill>
      <patternFill patternType="solid">
        <fgColor theme="6" tint="-0.249977111117893"/>
        <bgColor theme="6"/>
      </patternFill>
    </fill>
    <fill>
      <patternFill patternType="lightGray">
        <bgColor theme="6" tint="0.39997558519241921"/>
      </patternFill>
    </fill>
    <fill>
      <patternFill patternType="darkDown">
        <bgColor theme="6" tint="0.39997558519241921"/>
      </patternFill>
    </fill>
    <fill>
      <patternFill patternType="solid">
        <fgColor theme="6" tint="-0.249977111117893"/>
        <bgColor indexed="8"/>
      </patternFill>
    </fill>
    <fill>
      <patternFill patternType="solid">
        <fgColor theme="6" tint="-0.249977111117893"/>
        <bgColor indexed="22"/>
      </patternFill>
    </fill>
    <fill>
      <patternFill patternType="mediumGray">
        <bgColor theme="6" tint="0.39997558519241921"/>
      </patternFill>
    </fill>
    <fill>
      <patternFill patternType="solid">
        <fgColor rgb="FFC6EFCE"/>
      </patternFill>
    </fill>
    <fill>
      <patternFill patternType="solid">
        <fgColor rgb="FFFFC7CE"/>
      </patternFill>
    </fill>
    <fill>
      <patternFill patternType="solid">
        <fgColor theme="4" tint="0.59999389629810485"/>
        <bgColor indexed="65"/>
      </patternFill>
    </fill>
    <fill>
      <patternFill patternType="solid">
        <fgColor theme="6" tint="0.59999389629810485"/>
        <bgColor indexed="64"/>
      </patternFill>
    </fill>
    <fill>
      <patternFill patternType="mediumGray">
        <bgColor theme="0"/>
      </patternFill>
    </fill>
    <fill>
      <patternFill patternType="mediumGray"/>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darkDown">
        <bgColor theme="6" tint="0.39994506668294322"/>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0.249977111117893"/>
        <bgColor indexed="64"/>
      </patternFill>
    </fill>
    <fill>
      <patternFill patternType="solid">
        <fgColor rgb="FFE60000"/>
        <bgColor indexed="64"/>
      </patternFill>
    </fill>
    <fill>
      <patternFill patternType="solid">
        <fgColor rgb="FFFFA07A"/>
        <bgColor indexed="64"/>
      </patternFill>
    </fill>
    <fill>
      <patternFill patternType="solid">
        <fgColor rgb="FF32CD32"/>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0000FF"/>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CD1076"/>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1" tint="0.249977111117893"/>
        <bgColor indexed="64"/>
      </patternFill>
    </fill>
  </fills>
  <borders count="344">
    <border>
      <left/>
      <right/>
      <top/>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diagonal/>
    </border>
    <border>
      <left style="medium">
        <color indexed="64"/>
      </left>
      <right style="thin">
        <color indexed="64"/>
      </right>
      <top style="medium">
        <color indexed="64"/>
      </top>
      <bottom style="medium">
        <color indexed="64"/>
      </bottom>
      <diagonal/>
    </border>
    <border>
      <left/>
      <right style="dashed">
        <color indexed="64"/>
      </right>
      <top style="thin">
        <color indexed="64"/>
      </top>
      <bottom style="medium">
        <color indexed="64"/>
      </bottom>
      <diagonal/>
    </border>
    <border>
      <left style="medium">
        <color indexed="64"/>
      </left>
      <right style="dashed">
        <color indexed="64"/>
      </right>
      <top style="thin">
        <color indexed="64"/>
      </top>
      <bottom style="medium">
        <color indexed="64"/>
      </bottom>
      <diagonal/>
    </border>
    <border>
      <left style="medium">
        <color indexed="64"/>
      </left>
      <right style="medium">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style="medium">
        <color indexed="64"/>
      </left>
      <right style="thin">
        <color indexed="64"/>
      </right>
      <top style="dashed">
        <color indexed="64"/>
      </top>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diagonal/>
    </border>
    <border>
      <left style="thin">
        <color indexed="64"/>
      </left>
      <right style="medium">
        <color indexed="64"/>
      </right>
      <top style="dashed">
        <color indexed="64"/>
      </top>
      <bottom style="medium">
        <color indexed="64"/>
      </bottom>
      <diagonal/>
    </border>
    <border>
      <left/>
      <right style="medium">
        <color indexed="64"/>
      </right>
      <top style="dashed">
        <color indexed="64"/>
      </top>
      <bottom style="medium">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style="dashed">
        <color indexed="64"/>
      </top>
      <bottom/>
      <diagonal/>
    </border>
    <border>
      <left style="medium">
        <color indexed="64"/>
      </left>
      <right style="medium">
        <color indexed="64"/>
      </right>
      <top style="dashed">
        <color indexed="64"/>
      </top>
      <bottom/>
      <diagonal/>
    </border>
    <border>
      <left/>
      <right style="dashed">
        <color indexed="64"/>
      </right>
      <top style="dashed">
        <color indexed="64"/>
      </top>
      <bottom/>
      <diagonal/>
    </border>
    <border>
      <left style="medium">
        <color indexed="64"/>
      </left>
      <right style="dashed">
        <color indexed="64"/>
      </right>
      <top style="dashed">
        <color indexed="64"/>
      </top>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dashed">
        <color indexed="64"/>
      </bottom>
      <diagonal/>
    </border>
    <border>
      <left/>
      <right style="thin">
        <color indexed="64"/>
      </right>
      <top style="dashed">
        <color indexed="64"/>
      </top>
      <bottom style="dashed">
        <color indexed="64"/>
      </bottom>
      <diagonal/>
    </border>
    <border>
      <left/>
      <right/>
      <top style="medium">
        <color indexed="64"/>
      </top>
      <bottom style="thin">
        <color indexed="64"/>
      </bottom>
      <diagonal/>
    </border>
    <border>
      <left/>
      <right/>
      <top style="medium">
        <color indexed="64"/>
      </top>
      <bottom style="dashed">
        <color indexed="64"/>
      </bottom>
      <diagonal/>
    </border>
    <border>
      <left/>
      <right/>
      <top style="dashed">
        <color indexed="64"/>
      </top>
      <bottom style="dashed">
        <color indexed="64"/>
      </bottom>
      <diagonal/>
    </border>
    <border>
      <left/>
      <right/>
      <top style="dashed">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double">
        <color indexed="64"/>
      </bottom>
      <diagonal/>
    </border>
    <border>
      <left style="medium">
        <color indexed="64"/>
      </left>
      <right style="thin">
        <color indexed="64"/>
      </right>
      <top style="dashed">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double">
        <color indexed="64"/>
      </bottom>
      <diagonal/>
    </border>
    <border>
      <left style="medium">
        <color indexed="64"/>
      </left>
      <right style="medium">
        <color indexed="64"/>
      </right>
      <top/>
      <bottom/>
      <diagonal/>
    </border>
    <border>
      <left style="medium">
        <color indexed="64"/>
      </left>
      <right/>
      <top/>
      <bottom style="double">
        <color indexed="64"/>
      </bottom>
      <diagonal/>
    </border>
    <border>
      <left/>
      <right/>
      <top/>
      <bottom style="double">
        <color indexed="64"/>
      </bottom>
      <diagonal/>
    </border>
    <border>
      <left style="dashed">
        <color indexed="64"/>
      </left>
      <right style="medium">
        <color indexed="64"/>
      </right>
      <top style="thin">
        <color indexed="64"/>
      </top>
      <bottom/>
      <diagonal/>
    </border>
    <border>
      <left style="medium">
        <color indexed="64"/>
      </left>
      <right style="dashed">
        <color indexed="64"/>
      </right>
      <top style="thin">
        <color indexed="64"/>
      </top>
      <bottom/>
      <diagonal/>
    </border>
    <border>
      <left/>
      <right/>
      <top style="dashed">
        <color indexed="64"/>
      </top>
      <bottom style="medium">
        <color indexed="64"/>
      </bottom>
      <diagonal/>
    </border>
    <border>
      <left/>
      <right style="thin">
        <color indexed="64"/>
      </right>
      <top style="dashed">
        <color indexed="64"/>
      </top>
      <bottom style="medium">
        <color indexed="64"/>
      </bottom>
      <diagonal/>
    </border>
    <border>
      <left style="thin">
        <color indexed="64"/>
      </left>
      <right/>
      <top style="medium">
        <color indexed="64"/>
      </top>
      <bottom style="dashed">
        <color indexed="64"/>
      </bottom>
      <diagonal/>
    </border>
    <border>
      <left style="thin">
        <color indexed="64"/>
      </left>
      <right/>
      <top style="dashed">
        <color indexed="64"/>
      </top>
      <bottom style="dashed">
        <color indexed="64"/>
      </bottom>
      <diagonal/>
    </border>
    <border>
      <left style="medium">
        <color indexed="64"/>
      </left>
      <right style="medium">
        <color indexed="64"/>
      </right>
      <top style="thin">
        <color indexed="64"/>
      </top>
      <bottom/>
      <diagonal/>
    </border>
    <border>
      <left/>
      <right style="dashed">
        <color indexed="64"/>
      </right>
      <top style="thin">
        <color indexed="64"/>
      </top>
      <bottom/>
      <diagonal/>
    </border>
    <border>
      <left style="dashed">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right style="medium">
        <color indexed="64"/>
      </right>
      <top/>
      <bottom style="dashed">
        <color indexed="64"/>
      </bottom>
      <diagonal/>
    </border>
    <border>
      <left style="medium">
        <color indexed="64"/>
      </left>
      <right style="medium">
        <color indexed="64"/>
      </right>
      <top/>
      <bottom style="dashed">
        <color indexed="64"/>
      </bottom>
      <diagonal/>
    </border>
    <border>
      <left/>
      <right style="dashed">
        <color indexed="64"/>
      </right>
      <top/>
      <bottom style="dashed">
        <color indexed="64"/>
      </bottom>
      <diagonal/>
    </border>
    <border>
      <left style="dashed">
        <color indexed="64"/>
      </left>
      <right style="thin">
        <color indexed="64"/>
      </right>
      <top/>
      <bottom style="dashed">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thin">
        <color indexed="64"/>
      </right>
      <top style="dashed">
        <color indexed="64"/>
      </top>
      <bottom style="dashed">
        <color indexed="64"/>
      </bottom>
      <diagonal/>
    </border>
    <border>
      <left style="medium">
        <color indexed="64"/>
      </left>
      <right style="medium">
        <color indexed="64"/>
      </right>
      <top style="medium">
        <color indexed="64"/>
      </top>
      <bottom style="thin">
        <color indexed="64"/>
      </bottom>
      <diagonal/>
    </border>
    <border>
      <left/>
      <right style="dashed">
        <color indexed="64"/>
      </right>
      <top style="medium">
        <color indexed="64"/>
      </top>
      <bottom style="thin">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medium">
        <color indexed="64"/>
      </left>
      <right style="medium">
        <color indexed="64"/>
      </right>
      <top style="thin">
        <color indexed="64"/>
      </top>
      <bottom style="double">
        <color indexed="64"/>
      </bottom>
      <diagonal/>
    </border>
    <border>
      <left style="dashed">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ashed">
        <color indexed="64"/>
      </bottom>
      <diagonal/>
    </border>
    <border>
      <left/>
      <right/>
      <top style="double">
        <color indexed="64"/>
      </top>
      <bottom/>
      <diagonal/>
    </border>
    <border>
      <left style="thin">
        <color indexed="64"/>
      </left>
      <right/>
      <top style="medium">
        <color indexed="64"/>
      </top>
      <bottom/>
      <diagonal/>
    </border>
    <border>
      <left style="dashed">
        <color indexed="64"/>
      </left>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dashed">
        <color indexed="64"/>
      </bottom>
      <diagonal/>
    </border>
    <border>
      <left style="medium">
        <color indexed="64"/>
      </left>
      <right style="dashed">
        <color indexed="64"/>
      </right>
      <top style="thin">
        <color indexed="64"/>
      </top>
      <bottom style="thin">
        <color indexed="64"/>
      </bottom>
      <diagonal/>
    </border>
    <border>
      <left/>
      <right style="dashed">
        <color indexed="64"/>
      </right>
      <top style="thin">
        <color indexed="64"/>
      </top>
      <bottom style="thin">
        <color indexed="64"/>
      </bottom>
      <diagonal/>
    </border>
    <border>
      <left style="medium">
        <color indexed="64"/>
      </left>
      <right/>
      <top/>
      <bottom style="dashed">
        <color indexed="64"/>
      </bottom>
      <diagonal/>
    </border>
    <border>
      <left style="medium">
        <color indexed="64"/>
      </left>
      <right style="medium">
        <color indexed="64"/>
      </right>
      <top style="dashed">
        <color indexed="64"/>
      </top>
      <bottom style="medium">
        <color indexed="64"/>
      </bottom>
      <diagonal/>
    </border>
    <border>
      <left style="medium">
        <color indexed="64"/>
      </left>
      <right/>
      <top style="dashed">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dash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top style="thin">
        <color indexed="64"/>
      </top>
      <bottom style="thin">
        <color indexed="64"/>
      </bottom>
      <diagonal/>
    </border>
    <border>
      <left style="thin">
        <color indexed="64"/>
      </left>
      <right style="medium">
        <color indexed="64"/>
      </right>
      <top style="medium">
        <color indexed="64"/>
      </top>
      <bottom style="dotted">
        <color indexed="64"/>
      </bottom>
      <diagonal/>
    </border>
    <border>
      <left/>
      <right/>
      <top style="medium">
        <color indexed="64"/>
      </top>
      <bottom style="dotted">
        <color indexed="64"/>
      </bottom>
      <diagonal/>
    </border>
    <border>
      <left style="medium">
        <color indexed="64"/>
      </left>
      <right/>
      <top style="dotted">
        <color indexed="64"/>
      </top>
      <bottom/>
      <diagonal/>
    </border>
    <border>
      <left style="thin">
        <color indexed="64"/>
      </left>
      <right style="medium">
        <color indexed="64"/>
      </right>
      <top style="dotted">
        <color indexed="64"/>
      </top>
      <bottom style="dotted">
        <color indexed="64"/>
      </bottom>
      <diagonal/>
    </border>
    <border>
      <left style="dashed">
        <color indexed="64"/>
      </left>
      <right style="thin">
        <color indexed="64"/>
      </right>
      <top style="dashed">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dotted">
        <color indexed="64"/>
      </bottom>
      <diagonal/>
    </border>
    <border>
      <left style="medium">
        <color indexed="64"/>
      </left>
      <right style="dashed">
        <color indexed="64"/>
      </right>
      <top style="medium">
        <color indexed="64"/>
      </top>
      <bottom style="medium">
        <color indexed="64"/>
      </bottom>
      <diagonal/>
    </border>
    <border>
      <left style="medium">
        <color indexed="64"/>
      </left>
      <right style="dashed">
        <color indexed="64"/>
      </right>
      <top style="medium">
        <color indexed="64"/>
      </top>
      <bottom/>
      <diagonal/>
    </border>
    <border>
      <left/>
      <right style="thin">
        <color indexed="64"/>
      </right>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style="thin">
        <color indexed="64"/>
      </right>
      <top/>
      <bottom style="dotted">
        <color indexed="64"/>
      </bottom>
      <diagonal/>
    </border>
    <border>
      <left style="medium">
        <color indexed="64"/>
      </left>
      <right/>
      <top/>
      <bottom style="dotted">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style="medium">
        <color indexed="64"/>
      </right>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right style="medium">
        <color indexed="64"/>
      </right>
      <top style="hair">
        <color indexed="64"/>
      </top>
      <bottom/>
      <diagonal/>
    </border>
    <border>
      <left style="thin">
        <color indexed="64"/>
      </left>
      <right style="medium">
        <color indexed="64"/>
      </right>
      <top style="hair">
        <color indexed="64"/>
      </top>
      <bottom/>
      <diagonal/>
    </border>
    <border>
      <left style="thin">
        <color indexed="64"/>
      </left>
      <right style="thin">
        <color indexed="64"/>
      </right>
      <top/>
      <bottom style="dotted">
        <color indexed="64"/>
      </bottom>
      <diagonal/>
    </border>
    <border>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medium">
        <color indexed="64"/>
      </top>
      <bottom style="double">
        <color indexed="64"/>
      </bottom>
      <diagonal/>
    </border>
    <border>
      <left/>
      <right style="dashed">
        <color indexed="64"/>
      </right>
      <top style="dashed">
        <color indexed="64"/>
      </top>
      <bottom style="medium">
        <color indexed="64"/>
      </bottom>
      <diagonal/>
    </border>
    <border>
      <left/>
      <right style="thin">
        <color indexed="64"/>
      </right>
      <top style="medium">
        <color indexed="64"/>
      </top>
      <bottom style="thin">
        <color indexed="64"/>
      </bottom>
      <diagonal/>
    </border>
    <border>
      <left style="thin">
        <color indexed="64"/>
      </left>
      <right style="dashed">
        <color indexed="64"/>
      </right>
      <top style="medium">
        <color indexed="64"/>
      </top>
      <bottom style="double">
        <color indexed="64"/>
      </bottom>
      <diagonal/>
    </border>
    <border>
      <left/>
      <right style="medium">
        <color indexed="64"/>
      </right>
      <top/>
      <bottom style="dotted">
        <color indexed="64"/>
      </bottom>
      <diagonal/>
    </border>
    <border>
      <left style="thin">
        <color indexed="64"/>
      </left>
      <right style="thin">
        <color indexed="64"/>
      </right>
      <top style="medium">
        <color indexed="64"/>
      </top>
      <bottom style="dotted">
        <color indexed="64"/>
      </bottom>
      <diagonal/>
    </border>
    <border>
      <left style="medium">
        <color indexed="64"/>
      </left>
      <right style="thin">
        <color indexed="64"/>
      </right>
      <top style="thin">
        <color indexed="64"/>
      </top>
      <bottom style="hair">
        <color indexed="64"/>
      </bottom>
      <diagonal/>
    </border>
    <border>
      <left style="medium">
        <color indexed="64"/>
      </left>
      <right style="medium">
        <color indexed="64"/>
      </right>
      <top style="medium">
        <color indexed="64"/>
      </top>
      <bottom style="hair">
        <color indexed="64"/>
      </bottom>
      <diagonal/>
    </border>
    <border>
      <left style="thin">
        <color indexed="64"/>
      </left>
      <right/>
      <top style="dashed">
        <color indexed="64"/>
      </top>
      <bottom/>
      <diagonal/>
    </border>
    <border>
      <left/>
      <right/>
      <top/>
      <bottom style="dotted">
        <color indexed="64"/>
      </bottom>
      <diagonal/>
    </border>
    <border>
      <left style="medium">
        <color indexed="64"/>
      </left>
      <right style="medium">
        <color indexed="64"/>
      </right>
      <top style="hair">
        <color indexed="64"/>
      </top>
      <bottom style="dotted">
        <color indexed="64"/>
      </bottom>
      <diagonal/>
    </border>
    <border>
      <left style="medium">
        <color indexed="64"/>
      </left>
      <right style="medium">
        <color indexed="64"/>
      </right>
      <top/>
      <bottom style="hair">
        <color indexed="64"/>
      </bottom>
      <diagonal/>
    </border>
    <border>
      <left/>
      <right style="medium">
        <color indexed="64"/>
      </right>
      <top style="thin">
        <color indexed="64"/>
      </top>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ouble">
        <color auto="1"/>
      </left>
      <right/>
      <top/>
      <bottom/>
      <diagonal/>
    </border>
    <border>
      <left style="thin">
        <color indexed="64"/>
      </left>
      <right/>
      <top/>
      <bottom style="medium">
        <color indexed="64"/>
      </bottom>
      <diagonal/>
    </border>
    <border>
      <left style="thin">
        <color indexed="64"/>
      </left>
      <right/>
      <top/>
      <bottom style="dashed">
        <color indexed="64"/>
      </bottom>
      <diagonal/>
    </border>
    <border>
      <left style="thin">
        <color indexed="64"/>
      </left>
      <right style="thin">
        <color indexed="64"/>
      </right>
      <top style="thin">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style="thin">
        <color auto="1"/>
      </left>
      <right/>
      <top style="thin">
        <color auto="1"/>
      </top>
      <bottom/>
      <diagonal/>
    </border>
    <border>
      <left/>
      <right/>
      <top/>
      <bottom style="thin">
        <color theme="1"/>
      </bottom>
      <diagonal/>
    </border>
    <border>
      <left style="double">
        <color auto="1"/>
      </left>
      <right/>
      <top style="double">
        <color auto="1"/>
      </top>
      <bottom style="double">
        <color auto="1"/>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ck">
        <color theme="1"/>
      </left>
      <right style="thin">
        <color indexed="64"/>
      </right>
      <top/>
      <bottom style="thin">
        <color indexed="64"/>
      </bottom>
      <diagonal/>
    </border>
    <border>
      <left style="medium">
        <color indexed="64"/>
      </left>
      <right style="medium">
        <color theme="1"/>
      </right>
      <top/>
      <bottom style="thin">
        <color indexed="64"/>
      </bottom>
      <diagonal/>
    </border>
    <border>
      <left/>
      <right style="thick">
        <color theme="1"/>
      </right>
      <top/>
      <bottom style="thin">
        <color indexed="64"/>
      </bottom>
      <diagonal/>
    </border>
    <border>
      <left style="thick">
        <color theme="1"/>
      </left>
      <right style="thin">
        <color indexed="64"/>
      </right>
      <top style="thin">
        <color indexed="64"/>
      </top>
      <bottom/>
      <diagonal/>
    </border>
    <border>
      <left style="medium">
        <color indexed="64"/>
      </left>
      <right style="medium">
        <color theme="1"/>
      </right>
      <top style="thin">
        <color indexed="64"/>
      </top>
      <bottom style="medium">
        <color indexed="64"/>
      </bottom>
      <diagonal/>
    </border>
    <border>
      <left/>
      <right style="thick">
        <color theme="1"/>
      </right>
      <top style="thin">
        <color indexed="64"/>
      </top>
      <bottom style="medium">
        <color indexed="64"/>
      </bottom>
      <diagonal/>
    </border>
    <border>
      <left style="thick">
        <color theme="1"/>
      </left>
      <right style="thin">
        <color indexed="64"/>
      </right>
      <top style="medium">
        <color indexed="64"/>
      </top>
      <bottom style="thin">
        <color indexed="64"/>
      </bottom>
      <diagonal/>
    </border>
    <border>
      <left style="medium">
        <color indexed="64"/>
      </left>
      <right style="medium">
        <color theme="1"/>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style="thin">
        <color indexed="64"/>
      </right>
      <top style="thin">
        <color indexed="64"/>
      </top>
      <bottom style="medium">
        <color indexed="64"/>
      </bottom>
      <diagonal/>
    </border>
    <border>
      <left style="thick">
        <color theme="1"/>
      </left>
      <right style="thin">
        <color indexed="64"/>
      </right>
      <top/>
      <bottom/>
      <diagonal/>
    </border>
    <border>
      <left style="medium">
        <color indexed="64"/>
      </left>
      <right style="medium">
        <color theme="1"/>
      </right>
      <top/>
      <bottom/>
      <diagonal/>
    </border>
    <border>
      <left/>
      <right style="thick">
        <color theme="1"/>
      </right>
      <top/>
      <bottom/>
      <diagonal/>
    </border>
    <border>
      <left style="thick">
        <color theme="1"/>
      </left>
      <right style="thin">
        <color indexed="64"/>
      </right>
      <top style="thin">
        <color indexed="64"/>
      </top>
      <bottom style="thick">
        <color theme="1"/>
      </bottom>
      <diagonal/>
    </border>
    <border>
      <left style="medium">
        <color indexed="64"/>
      </left>
      <right style="medium">
        <color indexed="64"/>
      </right>
      <top style="thin">
        <color indexed="64"/>
      </top>
      <bottom style="thick">
        <color theme="1"/>
      </bottom>
      <diagonal/>
    </border>
    <border>
      <left/>
      <right/>
      <top style="thin">
        <color indexed="64"/>
      </top>
      <bottom style="thick">
        <color theme="1"/>
      </bottom>
      <diagonal/>
    </border>
    <border>
      <left style="medium">
        <color indexed="64"/>
      </left>
      <right style="medium">
        <color theme="1"/>
      </right>
      <top style="thin">
        <color indexed="64"/>
      </top>
      <bottom style="thick">
        <color theme="1"/>
      </bottom>
      <diagonal/>
    </border>
    <border>
      <left/>
      <right style="thick">
        <color theme="1"/>
      </right>
      <top style="thin">
        <color indexed="64"/>
      </top>
      <bottom style="thick">
        <color theme="1"/>
      </bottom>
      <diagonal/>
    </border>
    <border>
      <left style="dashed">
        <color indexed="64"/>
      </left>
      <right style="dashed">
        <color indexed="64"/>
      </right>
      <top style="medium">
        <color indexed="64"/>
      </top>
      <bottom style="dashed">
        <color indexed="64"/>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style="thick">
        <color indexed="64"/>
      </right>
      <top style="medium">
        <color indexed="64"/>
      </top>
      <bottom style="thin">
        <color indexed="64"/>
      </bottom>
      <diagonal/>
    </border>
    <border>
      <left style="dashed">
        <color indexed="64"/>
      </left>
      <right style="thick">
        <color indexed="64"/>
      </right>
      <top style="thin">
        <color indexed="64"/>
      </top>
      <bottom style="thin">
        <color indexed="64"/>
      </bottom>
      <diagonal/>
    </border>
    <border>
      <left/>
      <right style="thick">
        <color indexed="64"/>
      </right>
      <top/>
      <bottom/>
      <diagonal/>
    </border>
    <border>
      <left/>
      <right style="thick">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dashed">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bottom style="hair">
        <color indexed="64"/>
      </bottom>
      <diagonal/>
    </border>
    <border>
      <left style="thin">
        <color indexed="64"/>
      </left>
      <right style="thick">
        <color indexed="64"/>
      </right>
      <top style="hair">
        <color indexed="64"/>
      </top>
      <bottom style="hair">
        <color indexed="64"/>
      </bottom>
      <diagonal/>
    </border>
    <border>
      <left style="thin">
        <color indexed="64"/>
      </left>
      <right style="thick">
        <color indexed="64"/>
      </right>
      <top style="hair">
        <color indexed="64"/>
      </top>
      <bottom/>
      <diagonal/>
    </border>
    <border>
      <left style="thin">
        <color indexed="64"/>
      </left>
      <right style="thick">
        <color indexed="64"/>
      </right>
      <top style="medium">
        <color indexed="64"/>
      </top>
      <bottom style="dashed">
        <color indexed="64"/>
      </bottom>
      <diagonal/>
    </border>
    <border>
      <left style="thin">
        <color indexed="64"/>
      </left>
      <right style="thick">
        <color indexed="64"/>
      </right>
      <top style="dashed">
        <color indexed="64"/>
      </top>
      <bottom style="dashed">
        <color indexed="64"/>
      </bottom>
      <diagonal/>
    </border>
    <border>
      <left style="thin">
        <color indexed="64"/>
      </left>
      <right style="thick">
        <color indexed="64"/>
      </right>
      <top style="medium">
        <color indexed="64"/>
      </top>
      <bottom style="medium">
        <color indexed="64"/>
      </bottom>
      <diagonal/>
    </border>
    <border>
      <left style="thin">
        <color indexed="64"/>
      </left>
      <right/>
      <top/>
      <bottom style="hair">
        <color indexed="64"/>
      </bottom>
      <diagonal/>
    </border>
    <border>
      <left style="thin">
        <color indexed="64"/>
      </left>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right style="thin">
        <color indexed="64"/>
      </right>
      <top style="medium">
        <color indexed="64"/>
      </top>
      <bottom style="hair">
        <color indexed="64"/>
      </bottom>
      <diagonal/>
    </border>
    <border>
      <left style="dashed">
        <color indexed="64"/>
      </left>
      <right style="thin">
        <color indexed="64"/>
      </right>
      <top style="medium">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hair">
        <color indexed="64"/>
      </bottom>
      <diagonal/>
    </border>
    <border>
      <left style="double">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medium">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indexed="64"/>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double">
        <color theme="1"/>
      </left>
      <right style="thin">
        <color theme="1"/>
      </right>
      <top style="double">
        <color theme="1"/>
      </top>
      <bottom style="thin">
        <color theme="1"/>
      </bottom>
      <diagonal/>
    </border>
    <border>
      <left style="thin">
        <color theme="1"/>
      </left>
      <right style="thin">
        <color theme="1"/>
      </right>
      <top style="double">
        <color theme="1"/>
      </top>
      <bottom style="thin">
        <color theme="1"/>
      </bottom>
      <diagonal/>
    </border>
    <border>
      <left style="thin">
        <color theme="1"/>
      </left>
      <right style="double">
        <color theme="1"/>
      </right>
      <top style="double">
        <color theme="1"/>
      </top>
      <bottom style="thin">
        <color theme="1"/>
      </bottom>
      <diagonal/>
    </border>
    <border>
      <left style="double">
        <color theme="1"/>
      </left>
      <right style="thin">
        <color theme="1"/>
      </right>
      <top style="thin">
        <color theme="1"/>
      </top>
      <bottom style="double">
        <color theme="1"/>
      </bottom>
      <diagonal/>
    </border>
    <border>
      <left style="thin">
        <color theme="1"/>
      </left>
      <right style="thin">
        <color theme="1"/>
      </right>
      <top style="thin">
        <color theme="1"/>
      </top>
      <bottom style="double">
        <color theme="1"/>
      </bottom>
      <diagonal/>
    </border>
    <border>
      <left style="thin">
        <color theme="1"/>
      </left>
      <right style="double">
        <color theme="1"/>
      </right>
      <top style="thin">
        <color theme="1"/>
      </top>
      <bottom style="double">
        <color theme="1"/>
      </bottom>
      <diagonal/>
    </border>
    <border>
      <left style="medium">
        <color indexed="64"/>
      </left>
      <right/>
      <top style="dashed">
        <color indexed="64"/>
      </top>
      <bottom style="dotted">
        <color indexed="64"/>
      </bottom>
      <diagonal/>
    </border>
    <border>
      <left/>
      <right style="medium">
        <color indexed="64"/>
      </right>
      <top style="hair">
        <color indexed="64"/>
      </top>
      <bottom style="thin">
        <color indexed="64"/>
      </bottom>
      <diagonal/>
    </border>
    <border>
      <left style="thin">
        <color indexed="64"/>
      </left>
      <right/>
      <top style="dashed">
        <color indexed="64"/>
      </top>
      <bottom style="medium">
        <color indexed="64"/>
      </bottom>
      <diagonal/>
    </border>
    <border>
      <left style="medium">
        <color indexed="64"/>
      </left>
      <right style="medium">
        <color indexed="64"/>
      </right>
      <top style="dashed">
        <color indexed="64"/>
      </top>
      <bottom style="dotted">
        <color indexed="64"/>
      </bottom>
      <diagonal/>
    </border>
    <border>
      <left style="medium">
        <color theme="1"/>
      </left>
      <right/>
      <top style="medium">
        <color theme="1"/>
      </top>
      <bottom style="thin">
        <color theme="1"/>
      </bottom>
      <diagonal/>
    </border>
    <border>
      <left/>
      <right/>
      <top style="medium">
        <color theme="1"/>
      </top>
      <bottom style="thin">
        <color theme="1"/>
      </bottom>
      <diagonal/>
    </border>
    <border>
      <left/>
      <right style="medium">
        <color theme="1"/>
      </right>
      <top style="medium">
        <color theme="1"/>
      </top>
      <bottom style="thin">
        <color theme="1"/>
      </bottom>
      <diagonal/>
    </border>
    <border>
      <left style="medium">
        <color theme="1"/>
      </left>
      <right/>
      <top style="thin">
        <color theme="1"/>
      </top>
      <bottom style="thin">
        <color theme="1"/>
      </bottom>
      <diagonal/>
    </border>
    <border>
      <left/>
      <right style="medium">
        <color theme="1"/>
      </right>
      <top style="thin">
        <color theme="1"/>
      </top>
      <bottom style="thin">
        <color theme="1"/>
      </bottom>
      <diagonal/>
    </border>
    <border>
      <left style="medium">
        <color theme="1"/>
      </left>
      <right/>
      <top style="thin">
        <color theme="1"/>
      </top>
      <bottom style="medium">
        <color theme="1"/>
      </bottom>
      <diagonal/>
    </border>
    <border>
      <left/>
      <right/>
      <top style="thin">
        <color theme="1"/>
      </top>
      <bottom style="medium">
        <color theme="1"/>
      </bottom>
      <diagonal/>
    </border>
    <border>
      <left/>
      <right style="medium">
        <color theme="1"/>
      </right>
      <top style="thin">
        <color theme="1"/>
      </top>
      <bottom style="medium">
        <color theme="1"/>
      </bottom>
      <diagonal/>
    </border>
    <border>
      <left style="medium">
        <color theme="1"/>
      </left>
      <right/>
      <top style="medium">
        <color theme="1"/>
      </top>
      <bottom/>
      <diagonal/>
    </border>
    <border>
      <left/>
      <right/>
      <top style="medium">
        <color theme="1"/>
      </top>
      <bottom/>
      <diagonal/>
    </border>
    <border>
      <left style="medium">
        <color theme="1"/>
      </left>
      <right/>
      <top/>
      <bottom style="thin">
        <color theme="1"/>
      </bottom>
      <diagonal/>
    </border>
    <border>
      <left style="dashed">
        <color indexed="64"/>
      </left>
      <right/>
      <top style="thin">
        <color indexed="64"/>
      </top>
      <bottom/>
      <diagonal/>
    </border>
    <border>
      <left/>
      <right style="thin">
        <color indexed="64"/>
      </right>
      <top style="dashed">
        <color indexed="64"/>
      </top>
      <bottom/>
      <diagonal/>
    </border>
    <border>
      <left style="dashed">
        <color indexed="64"/>
      </left>
      <right style="medium">
        <color indexed="64"/>
      </right>
      <top style="thin">
        <color indexed="64"/>
      </top>
      <bottom style="medium">
        <color indexed="64"/>
      </bottom>
      <diagonal/>
    </border>
    <border>
      <left style="medium">
        <color indexed="64"/>
      </left>
      <right style="medium">
        <color indexed="64"/>
      </right>
      <top style="hair">
        <color indexed="64"/>
      </top>
      <bottom style="hair">
        <color indexed="64"/>
      </bottom>
      <diagonal/>
    </border>
    <border>
      <left style="dashed">
        <color indexed="64"/>
      </left>
      <right style="medium">
        <color indexed="64"/>
      </right>
      <top style="thin">
        <color indexed="64"/>
      </top>
      <bottom style="thin">
        <color indexed="64"/>
      </bottom>
      <diagonal/>
    </border>
    <border>
      <left style="medium">
        <color indexed="64"/>
      </left>
      <right style="thin">
        <color indexed="64"/>
      </right>
      <top style="dotted">
        <color indexed="64"/>
      </top>
      <bottom style="medium">
        <color indexed="64"/>
      </bottom>
      <diagonal/>
    </border>
    <border>
      <left style="thin">
        <color indexed="64"/>
      </left>
      <right/>
      <top style="medium">
        <color indexed="64"/>
      </top>
      <bottom style="double">
        <color indexed="64"/>
      </bottom>
      <diagonal/>
    </border>
    <border>
      <left/>
      <right style="thin">
        <color indexed="64"/>
      </right>
      <top style="dashed">
        <color indexed="64"/>
      </top>
      <bottom style="thin">
        <color indexed="64"/>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medium">
        <color indexed="64"/>
      </left>
      <right/>
      <top style="double">
        <color indexed="64"/>
      </top>
      <bottom style="medium">
        <color indexed="64"/>
      </bottom>
      <diagonal/>
    </border>
    <border>
      <left style="medium">
        <color indexed="64"/>
      </left>
      <right style="medium">
        <color indexed="64"/>
      </right>
      <top/>
      <bottom style="double">
        <color indexed="64"/>
      </bottom>
      <diagonal/>
    </border>
    <border>
      <left style="thin">
        <color indexed="64"/>
      </left>
      <right/>
      <top style="dashed">
        <color indexed="64"/>
      </top>
      <bottom style="thin">
        <color indexed="64"/>
      </bottom>
      <diagonal/>
    </border>
    <border>
      <left style="dashed">
        <color indexed="64"/>
      </left>
      <right/>
      <top style="thin">
        <color indexed="64"/>
      </top>
      <bottom style="thin">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top/>
      <bottom style="hair">
        <color indexed="64"/>
      </bottom>
      <diagonal/>
    </border>
    <border>
      <left/>
      <right/>
      <top style="thin">
        <color indexed="64"/>
      </top>
      <bottom style="hair">
        <color indexed="64"/>
      </bottom>
      <diagonal/>
    </border>
    <border>
      <left/>
      <right/>
      <top/>
      <bottom style="hair">
        <color indexed="64"/>
      </bottom>
      <diagonal/>
    </border>
  </borders>
  <cellStyleXfs count="32">
    <xf numFmtId="0" fontId="0" fillId="0" borderId="0"/>
    <xf numFmtId="0" fontId="2" fillId="0" borderId="0"/>
    <xf numFmtId="0" fontId="2" fillId="0" borderId="0"/>
    <xf numFmtId="0" fontId="50" fillId="0" borderId="0"/>
    <xf numFmtId="0" fontId="2" fillId="0" borderId="0"/>
    <xf numFmtId="9" fontId="2" fillId="0" borderId="0" applyFont="0" applyFill="0" applyBorder="0" applyAlignment="0" applyProtection="0"/>
    <xf numFmtId="164" fontId="68" fillId="0" borderId="0" applyFont="0" applyFill="0" applyBorder="0" applyAlignment="0" applyProtection="0"/>
    <xf numFmtId="0" fontId="68" fillId="0" borderId="0"/>
    <xf numFmtId="0" fontId="50" fillId="0" borderId="0"/>
    <xf numFmtId="0" fontId="68" fillId="20" borderId="0" applyNumberFormat="0" applyBorder="0" applyAlignment="0" applyProtection="0"/>
    <xf numFmtId="0" fontId="94" fillId="19" borderId="0" applyNumberFormat="0" applyBorder="0" applyAlignment="0" applyProtection="0"/>
    <xf numFmtId="0" fontId="93" fillId="18" borderId="0" applyNumberFormat="0" applyBorder="0" applyAlignment="0" applyProtection="0"/>
    <xf numFmtId="0" fontId="50" fillId="0" borderId="0"/>
    <xf numFmtId="9" fontId="68" fillId="0" borderId="0" applyFont="0" applyFill="0" applyBorder="0" applyAlignment="0" applyProtection="0"/>
    <xf numFmtId="0" fontId="50" fillId="0" borderId="0"/>
    <xf numFmtId="0" fontId="2" fillId="0" borderId="0"/>
    <xf numFmtId="169" fontId="2" fillId="0" borderId="0" applyFont="0" applyFill="0" applyBorder="0" applyAlignment="0" applyProtection="0"/>
    <xf numFmtId="0" fontId="2" fillId="0" borderId="0"/>
    <xf numFmtId="0" fontId="2" fillId="0" borderId="0"/>
    <xf numFmtId="0" fontId="2" fillId="0" borderId="0"/>
    <xf numFmtId="9" fontId="120" fillId="0" borderId="0" applyFont="0" applyFill="0" applyBorder="0" applyAlignment="0" applyProtection="0"/>
    <xf numFmtId="164" fontId="68" fillId="0" borderId="0" applyFont="0" applyFill="0" applyBorder="0" applyAlignment="0" applyProtection="0"/>
    <xf numFmtId="0" fontId="1" fillId="0" borderId="0"/>
    <xf numFmtId="0" fontId="1" fillId="0" borderId="0"/>
    <xf numFmtId="0" fontId="1" fillId="0" borderId="0"/>
    <xf numFmtId="0" fontId="1" fillId="0" borderId="0"/>
    <xf numFmtId="164" fontId="68" fillId="0" borderId="0" applyFont="0" applyFill="0" applyBorder="0" applyAlignment="0" applyProtection="0"/>
    <xf numFmtId="43" fontId="68" fillId="0" borderId="0" applyFont="0" applyFill="0" applyBorder="0" applyAlignment="0" applyProtection="0"/>
    <xf numFmtId="0" fontId="1" fillId="0" borderId="0"/>
    <xf numFmtId="164" fontId="68" fillId="0" borderId="0" applyFont="0" applyFill="0" applyBorder="0" applyAlignment="0" applyProtection="0"/>
    <xf numFmtId="164" fontId="68" fillId="0" borderId="0" applyFont="0" applyFill="0" applyBorder="0" applyAlignment="0" applyProtection="0"/>
    <xf numFmtId="0" fontId="68" fillId="0" borderId="0"/>
  </cellStyleXfs>
  <cellXfs count="3387">
    <xf numFmtId="0" fontId="0" fillId="0" borderId="0" xfId="0"/>
    <xf numFmtId="0" fontId="4" fillId="0" borderId="0" xfId="1" applyFont="1" applyAlignment="1" applyProtection="1">
      <alignment vertical="center"/>
      <protection locked="0"/>
    </xf>
    <xf numFmtId="0" fontId="5" fillId="0" borderId="0" xfId="1" applyFont="1" applyProtection="1">
      <protection locked="0"/>
    </xf>
    <xf numFmtId="0" fontId="41" fillId="0" borderId="0" xfId="0" applyFont="1" applyAlignment="1" applyProtection="1">
      <alignment vertical="center" readingOrder="2"/>
      <protection locked="0"/>
    </xf>
    <xf numFmtId="0" fontId="39" fillId="0" borderId="0" xfId="0" applyFont="1" applyAlignment="1" applyProtection="1">
      <alignment horizontal="center" vertical="center" wrapText="1"/>
      <protection locked="0"/>
    </xf>
    <xf numFmtId="0" fontId="0" fillId="0" borderId="0" xfId="0" applyProtection="1">
      <protection locked="0"/>
    </xf>
    <xf numFmtId="0" fontId="43" fillId="0" borderId="0" xfId="0" applyFont="1" applyAlignment="1" applyProtection="1">
      <alignment horizontal="center"/>
      <protection locked="0"/>
    </xf>
    <xf numFmtId="0" fontId="26" fillId="0" borderId="0" xfId="0" applyFont="1" applyAlignment="1" applyProtection="1">
      <alignment horizontal="center" vertical="center" readingOrder="2"/>
      <protection locked="0"/>
    </xf>
    <xf numFmtId="0" fontId="8" fillId="0" borderId="0" xfId="1" applyFont="1" applyAlignment="1" applyProtection="1">
      <alignment vertical="center" readingOrder="2"/>
      <protection locked="0"/>
    </xf>
    <xf numFmtId="0" fontId="2" fillId="0" borderId="0" xfId="1" applyProtection="1">
      <protection locked="0"/>
    </xf>
    <xf numFmtId="0" fontId="8" fillId="0" borderId="0" xfId="1" applyFont="1" applyAlignment="1" applyProtection="1">
      <alignment horizontal="justify" vertical="center" readingOrder="2"/>
      <protection locked="0"/>
    </xf>
    <xf numFmtId="0" fontId="14" fillId="0" borderId="0" xfId="1" applyFont="1" applyAlignment="1" applyProtection="1">
      <alignment vertical="center" wrapText="1"/>
      <protection locked="0"/>
    </xf>
    <xf numFmtId="0" fontId="37" fillId="0" borderId="140" xfId="0" applyFont="1" applyBorder="1" applyAlignment="1" applyProtection="1">
      <alignment horizontal="center" vertical="center" wrapText="1"/>
      <protection locked="0"/>
    </xf>
    <xf numFmtId="0" fontId="37" fillId="0" borderId="140" xfId="0" applyFont="1" applyBorder="1" applyAlignment="1" applyProtection="1">
      <alignment horizontal="center" vertical="center"/>
      <protection locked="0"/>
    </xf>
    <xf numFmtId="0" fontId="37" fillId="0" borderId="139" xfId="0" applyFont="1" applyBorder="1" applyAlignment="1" applyProtection="1">
      <alignment horizontal="center" vertical="center" wrapText="1"/>
      <protection locked="0"/>
    </xf>
    <xf numFmtId="0" fontId="9" fillId="0" borderId="0" xfId="4" applyFont="1" applyAlignment="1" applyProtection="1">
      <alignment wrapText="1" readingOrder="2"/>
      <protection locked="0"/>
    </xf>
    <xf numFmtId="0" fontId="42" fillId="0" borderId="0" xfId="0" applyFont="1" applyProtection="1">
      <protection hidden="1"/>
    </xf>
    <xf numFmtId="0" fontId="38" fillId="0" borderId="0" xfId="0" applyFont="1" applyAlignment="1" applyProtection="1">
      <alignment horizontal="right" vertical="center" readingOrder="2"/>
      <protection locked="0"/>
    </xf>
    <xf numFmtId="0" fontId="42" fillId="0" borderId="0" xfId="0" applyFont="1" applyProtection="1">
      <protection locked="0"/>
    </xf>
    <xf numFmtId="0" fontId="30" fillId="0" borderId="0" xfId="0" applyFont="1" applyAlignment="1" applyProtection="1">
      <alignment horizontal="center" vertical="center" readingOrder="2"/>
      <protection locked="0"/>
    </xf>
    <xf numFmtId="0" fontId="35" fillId="0" borderId="0" xfId="0" applyFont="1" applyAlignment="1" applyProtection="1">
      <alignment horizontal="center" vertical="center" wrapText="1" readingOrder="2"/>
      <protection locked="0"/>
    </xf>
    <xf numFmtId="0" fontId="40" fillId="0" borderId="0" xfId="0" applyFont="1" applyAlignment="1" applyProtection="1">
      <alignment horizontal="right" vertical="center" readingOrder="2"/>
      <protection locked="0"/>
    </xf>
    <xf numFmtId="0" fontId="26" fillId="0" borderId="0" xfId="0" applyFont="1" applyAlignment="1" applyProtection="1">
      <alignment vertical="center" readingOrder="2"/>
      <protection locked="0"/>
    </xf>
    <xf numFmtId="0" fontId="44" fillId="0" borderId="0" xfId="0" applyFont="1" applyAlignment="1" applyProtection="1">
      <alignment horizontal="center" vertical="center" readingOrder="2"/>
      <protection locked="0"/>
    </xf>
    <xf numFmtId="0" fontId="4" fillId="0" borderId="0" xfId="1" applyFont="1" applyAlignment="1" applyProtection="1">
      <alignment vertical="center" wrapText="1"/>
      <protection locked="0"/>
    </xf>
    <xf numFmtId="0" fontId="13" fillId="0" borderId="0" xfId="1" applyFont="1" applyAlignment="1" applyProtection="1">
      <alignment vertical="center"/>
      <protection locked="0"/>
    </xf>
    <xf numFmtId="0" fontId="8" fillId="0" borderId="0" xfId="1" applyFont="1" applyAlignment="1" applyProtection="1">
      <alignment vertical="center"/>
      <protection locked="0"/>
    </xf>
    <xf numFmtId="0" fontId="4" fillId="0" borderId="0" xfId="1" applyFont="1" applyAlignment="1" applyProtection="1">
      <alignment wrapText="1"/>
      <protection locked="0"/>
    </xf>
    <xf numFmtId="0" fontId="8" fillId="0" borderId="0" xfId="1" applyFont="1" applyAlignment="1" applyProtection="1">
      <alignment wrapText="1"/>
      <protection locked="0"/>
    </xf>
    <xf numFmtId="0" fontId="24" fillId="0" borderId="0" xfId="0" applyFont="1" applyProtection="1">
      <protection locked="0"/>
    </xf>
    <xf numFmtId="0" fontId="12" fillId="0" borderId="0" xfId="4" applyFont="1" applyAlignment="1" applyProtection="1">
      <alignment vertical="center"/>
      <protection locked="0"/>
    </xf>
    <xf numFmtId="0" fontId="2" fillId="0" borderId="0" xfId="4" applyProtection="1">
      <protection locked="0"/>
    </xf>
    <xf numFmtId="0" fontId="51" fillId="0" borderId="0" xfId="4" applyFont="1" applyAlignment="1" applyProtection="1">
      <alignment horizontal="center" vertical="center"/>
      <protection locked="0"/>
    </xf>
    <xf numFmtId="0" fontId="13" fillId="0" borderId="0" xfId="4" applyFont="1" applyAlignment="1" applyProtection="1">
      <alignment horizontal="center" vertical="center"/>
      <protection locked="0"/>
    </xf>
    <xf numFmtId="3" fontId="44" fillId="0" borderId="0" xfId="4" applyNumberFormat="1" applyFont="1" applyAlignment="1" applyProtection="1">
      <alignment horizontal="center" vertical="center"/>
      <protection locked="0"/>
    </xf>
    <xf numFmtId="3" fontId="13" fillId="0" borderId="0" xfId="4" applyNumberFormat="1" applyFont="1" applyAlignment="1" applyProtection="1">
      <alignment horizontal="center" vertical="center"/>
      <protection locked="0"/>
    </xf>
    <xf numFmtId="3" fontId="8" fillId="0" borderId="0" xfId="4" applyNumberFormat="1" applyFont="1" applyAlignment="1" applyProtection="1">
      <alignment horizontal="center" vertical="center"/>
      <protection locked="0"/>
    </xf>
    <xf numFmtId="0" fontId="4" fillId="0" borderId="0" xfId="1" applyFont="1" applyProtection="1">
      <protection locked="0"/>
    </xf>
    <xf numFmtId="0" fontId="8" fillId="0" borderId="0" xfId="1" applyFont="1" applyProtection="1">
      <protection locked="0"/>
    </xf>
    <xf numFmtId="49" fontId="13" fillId="0" borderId="0" xfId="1" applyNumberFormat="1" applyFont="1" applyAlignment="1" applyProtection="1">
      <alignment vertical="center"/>
      <protection locked="0"/>
    </xf>
    <xf numFmtId="0" fontId="25" fillId="0" borderId="0" xfId="1" applyFont="1" applyProtection="1">
      <protection locked="0"/>
    </xf>
    <xf numFmtId="0" fontId="0" fillId="0" borderId="0" xfId="0" applyProtection="1">
      <protection hidden="1"/>
    </xf>
    <xf numFmtId="0" fontId="25" fillId="0" borderId="0" xfId="1" applyFont="1" applyAlignment="1" applyProtection="1">
      <alignment vertical="center"/>
      <protection locked="0"/>
    </xf>
    <xf numFmtId="0" fontId="27" fillId="0" borderId="0" xfId="1" applyFont="1" applyAlignment="1" applyProtection="1">
      <alignment vertical="center"/>
      <protection locked="0"/>
    </xf>
    <xf numFmtId="0" fontId="4" fillId="0" borderId="0" xfId="1" applyFont="1" applyAlignment="1" applyProtection="1">
      <alignment horizontal="center" vertical="center" wrapText="1" readingOrder="2"/>
      <protection locked="0"/>
    </xf>
    <xf numFmtId="0" fontId="31" fillId="0" borderId="0" xfId="1" applyFont="1" applyAlignment="1" applyProtection="1">
      <alignment vertical="center"/>
      <protection locked="0"/>
    </xf>
    <xf numFmtId="0" fontId="37" fillId="0" borderId="0" xfId="3" applyFont="1" applyAlignment="1" applyProtection="1">
      <alignment horizontal="center" vertical="center"/>
      <protection locked="0"/>
    </xf>
    <xf numFmtId="165" fontId="25" fillId="0" borderId="0" xfId="1" applyNumberFormat="1" applyFont="1" applyProtection="1">
      <protection locked="0"/>
    </xf>
    <xf numFmtId="3" fontId="0" fillId="0" borderId="0" xfId="0" applyNumberFormat="1" applyProtection="1">
      <protection locked="0"/>
    </xf>
    <xf numFmtId="2" fontId="39" fillId="0" borderId="0" xfId="0" applyNumberFormat="1" applyFont="1" applyAlignment="1" applyProtection="1">
      <alignment horizontal="center" vertical="center" wrapText="1"/>
      <protection locked="0"/>
    </xf>
    <xf numFmtId="3" fontId="39" fillId="0" borderId="0" xfId="0" applyNumberFormat="1" applyFont="1" applyAlignment="1" applyProtection="1">
      <alignment horizontal="center" vertical="center" wrapText="1"/>
      <protection locked="0"/>
    </xf>
    <xf numFmtId="0" fontId="6" fillId="0" borderId="0" xfId="4" applyFont="1" applyProtection="1">
      <protection locked="0"/>
    </xf>
    <xf numFmtId="0" fontId="64" fillId="0" borderId="0" xfId="0" applyFont="1" applyProtection="1">
      <protection locked="0"/>
    </xf>
    <xf numFmtId="0" fontId="41" fillId="0" borderId="0" xfId="0" applyFont="1" applyAlignment="1" applyProtection="1">
      <alignment horizontal="center" vertical="center" readingOrder="2"/>
      <protection locked="0"/>
    </xf>
    <xf numFmtId="0" fontId="36" fillId="0" borderId="0" xfId="0" applyFont="1" applyAlignment="1" applyProtection="1">
      <alignment vertical="center" readingOrder="2"/>
      <protection locked="0"/>
    </xf>
    <xf numFmtId="0" fontId="6" fillId="0" borderId="0" xfId="1" applyFont="1" applyProtection="1">
      <protection locked="0"/>
    </xf>
    <xf numFmtId="0" fontId="0" fillId="2" borderId="0" xfId="0" applyFill="1" applyProtection="1">
      <protection locked="0"/>
    </xf>
    <xf numFmtId="0" fontId="43" fillId="0" borderId="140" xfId="0" applyFont="1" applyBorder="1" applyAlignment="1" applyProtection="1">
      <alignment horizontal="center" vertical="center"/>
      <protection locked="0"/>
    </xf>
    <xf numFmtId="0" fontId="43" fillId="0" borderId="140" xfId="0" applyFont="1" applyBorder="1" applyProtection="1">
      <protection locked="0"/>
    </xf>
    <xf numFmtId="0" fontId="43" fillId="0" borderId="142" xfId="0" applyFont="1" applyBorder="1" applyProtection="1">
      <protection locked="0"/>
    </xf>
    <xf numFmtId="0" fontId="43" fillId="0" borderId="143" xfId="0" applyFont="1" applyBorder="1" applyProtection="1">
      <protection locked="0"/>
    </xf>
    <xf numFmtId="0" fontId="43" fillId="0" borderId="0" xfId="0" applyFont="1" applyAlignment="1" applyProtection="1">
      <alignment horizontal="center" vertical="center"/>
      <protection hidden="1"/>
    </xf>
    <xf numFmtId="0" fontId="61" fillId="0" borderId="0" xfId="1" applyFont="1" applyAlignment="1" applyProtection="1">
      <alignment readingOrder="2"/>
      <protection locked="0"/>
    </xf>
    <xf numFmtId="0" fontId="10" fillId="0" borderId="0" xfId="1" applyFont="1" applyAlignment="1" applyProtection="1">
      <alignment horizontal="right" vertical="center" readingOrder="2"/>
      <protection locked="0"/>
    </xf>
    <xf numFmtId="0" fontId="67" fillId="0" borderId="0" xfId="1" applyFont="1" applyAlignment="1" applyProtection="1">
      <alignment horizontal="right"/>
      <protection locked="0"/>
    </xf>
    <xf numFmtId="0" fontId="7" fillId="0" borderId="0" xfId="1" applyFont="1" applyAlignment="1" applyProtection="1">
      <alignment horizontal="right" vertical="center" wrapText="1" readingOrder="2"/>
      <protection locked="0"/>
    </xf>
    <xf numFmtId="0" fontId="36" fillId="0" borderId="0" xfId="0" applyFont="1" applyAlignment="1" applyProtection="1">
      <alignment horizontal="right" vertical="center" readingOrder="2"/>
      <protection locked="0"/>
    </xf>
    <xf numFmtId="0" fontId="9" fillId="0" borderId="0" xfId="1" applyFont="1" applyAlignment="1">
      <alignment vertical="top" readingOrder="2"/>
    </xf>
    <xf numFmtId="166" fontId="8" fillId="0" borderId="36" xfId="1" applyNumberFormat="1" applyFont="1" applyBorder="1" applyAlignment="1" applyProtection="1">
      <alignment horizontal="center" vertical="center" wrapText="1" readingOrder="2"/>
      <protection locked="0"/>
    </xf>
    <xf numFmtId="166" fontId="10" fillId="3" borderId="159" xfId="1" applyNumberFormat="1" applyFont="1" applyFill="1" applyBorder="1" applyAlignment="1" applyProtection="1">
      <alignment horizontal="center" vertical="center" wrapText="1" readingOrder="2"/>
      <protection locked="0"/>
    </xf>
    <xf numFmtId="166" fontId="10" fillId="3" borderId="167" xfId="1" applyNumberFormat="1" applyFont="1" applyFill="1" applyBorder="1" applyAlignment="1" applyProtection="1">
      <alignment horizontal="center" vertical="center" wrapText="1" readingOrder="2"/>
      <protection locked="0"/>
    </xf>
    <xf numFmtId="166" fontId="10" fillId="3" borderId="170" xfId="1" applyNumberFormat="1" applyFont="1" applyFill="1" applyBorder="1" applyAlignment="1" applyProtection="1">
      <alignment horizontal="center" vertical="center" wrapText="1" readingOrder="2"/>
      <protection locked="0"/>
    </xf>
    <xf numFmtId="166" fontId="10" fillId="0" borderId="170" xfId="1" applyNumberFormat="1" applyFont="1" applyBorder="1" applyAlignment="1" applyProtection="1">
      <alignment horizontal="center" vertical="center" wrapText="1" readingOrder="2"/>
      <protection locked="0"/>
    </xf>
    <xf numFmtId="166" fontId="10" fillId="0" borderId="142" xfId="1" applyNumberFormat="1" applyFont="1" applyBorder="1" applyAlignment="1" applyProtection="1">
      <alignment horizontal="center" vertical="center" wrapText="1" readingOrder="2"/>
      <protection locked="0"/>
    </xf>
    <xf numFmtId="0" fontId="77" fillId="0" borderId="0" xfId="1" applyFont="1" applyAlignment="1" applyProtection="1">
      <alignment vertical="center"/>
      <protection locked="0"/>
    </xf>
    <xf numFmtId="0" fontId="80" fillId="0" borderId="0" xfId="0" applyFont="1" applyProtection="1">
      <protection locked="0"/>
    </xf>
    <xf numFmtId="3" fontId="37" fillId="0" borderId="140" xfId="0" applyNumberFormat="1" applyFont="1" applyBorder="1" applyAlignment="1" applyProtection="1">
      <alignment horizontal="center" vertical="center" wrapText="1"/>
      <protection locked="0"/>
    </xf>
    <xf numFmtId="3" fontId="37" fillId="0" borderId="140" xfId="0" applyNumberFormat="1" applyFont="1" applyBorder="1" applyAlignment="1" applyProtection="1">
      <alignment horizontal="center" vertical="center"/>
      <protection locked="0"/>
    </xf>
    <xf numFmtId="3" fontId="37" fillId="0" borderId="143" xfId="0" applyNumberFormat="1" applyFont="1" applyBorder="1" applyAlignment="1" applyProtection="1">
      <alignment horizontal="center" vertical="center"/>
      <protection locked="0"/>
    </xf>
    <xf numFmtId="0" fontId="73" fillId="0" borderId="0" xfId="0" applyFont="1" applyProtection="1">
      <protection locked="0"/>
    </xf>
    <xf numFmtId="0" fontId="81" fillId="0" borderId="0" xfId="1" applyFont="1" applyProtection="1">
      <protection locked="0"/>
    </xf>
    <xf numFmtId="0" fontId="75" fillId="0" borderId="0" xfId="1" applyFont="1" applyAlignment="1" applyProtection="1">
      <alignment horizontal="right" vertical="top" readingOrder="2"/>
      <protection locked="0"/>
    </xf>
    <xf numFmtId="0" fontId="75" fillId="0" borderId="0" xfId="1" applyFont="1" applyProtection="1">
      <protection locked="0"/>
    </xf>
    <xf numFmtId="0" fontId="66" fillId="0" borderId="0" xfId="0" applyFont="1" applyProtection="1">
      <protection locked="0"/>
    </xf>
    <xf numFmtId="0" fontId="8" fillId="0" borderId="0" xfId="1" applyFont="1" applyAlignment="1" applyProtection="1">
      <alignment readingOrder="2"/>
      <protection locked="0"/>
    </xf>
    <xf numFmtId="0" fontId="8" fillId="0" borderId="0" xfId="1" applyFont="1" applyAlignment="1" applyProtection="1">
      <alignment horizontal="left" readingOrder="2"/>
      <protection locked="0"/>
    </xf>
    <xf numFmtId="0" fontId="75" fillId="0" borderId="0" xfId="1" applyFont="1" applyAlignment="1" applyProtection="1">
      <alignment vertical="center"/>
      <protection locked="0"/>
    </xf>
    <xf numFmtId="0" fontId="83" fillId="0" borderId="0" xfId="1" applyFont="1" applyAlignment="1" applyProtection="1">
      <alignment vertical="center" readingOrder="2"/>
      <protection locked="0"/>
    </xf>
    <xf numFmtId="0" fontId="74" fillId="0" borderId="0" xfId="0" applyFont="1" applyProtection="1">
      <protection locked="0"/>
    </xf>
    <xf numFmtId="0" fontId="45" fillId="0" borderId="0" xfId="0" applyFont="1" applyAlignment="1" applyProtection="1">
      <alignment vertical="center" readingOrder="2"/>
      <protection locked="0"/>
    </xf>
    <xf numFmtId="0" fontId="0" fillId="0" borderId="0" xfId="0" applyProtection="1">
      <protection locked="0" hidden="1"/>
    </xf>
    <xf numFmtId="0" fontId="0" fillId="7" borderId="0" xfId="0" applyFill="1" applyProtection="1">
      <protection locked="0" hidden="1"/>
    </xf>
    <xf numFmtId="0" fontId="0" fillId="9" borderId="0" xfId="0" applyFill="1" applyProtection="1">
      <protection locked="0" hidden="1"/>
    </xf>
    <xf numFmtId="0" fontId="71" fillId="10" borderId="0" xfId="0" applyFont="1" applyFill="1" applyProtection="1">
      <protection hidden="1"/>
    </xf>
    <xf numFmtId="0" fontId="38" fillId="0" borderId="0" xfId="0" applyFont="1" applyAlignment="1">
      <alignment horizontal="right" vertical="center" readingOrder="2"/>
    </xf>
    <xf numFmtId="0" fontId="88" fillId="0" borderId="0" xfId="0" applyFont="1" applyAlignment="1" applyProtection="1">
      <alignment vertical="center" readingOrder="2"/>
      <protection locked="0"/>
    </xf>
    <xf numFmtId="0" fontId="8" fillId="0" borderId="0" xfId="4" applyFont="1" applyAlignment="1" applyProtection="1">
      <alignment horizontal="center" vertical="center"/>
      <protection locked="0"/>
    </xf>
    <xf numFmtId="0" fontId="9" fillId="4" borderId="5" xfId="1" applyFont="1" applyFill="1" applyBorder="1" applyAlignment="1">
      <alignment horizontal="center" vertical="center"/>
    </xf>
    <xf numFmtId="0" fontId="60" fillId="0" borderId="0" xfId="1" applyFont="1" applyAlignment="1" applyProtection="1">
      <alignment vertical="center"/>
      <protection locked="0"/>
    </xf>
    <xf numFmtId="0" fontId="84" fillId="0" borderId="0" xfId="1" applyFont="1" applyAlignment="1" applyProtection="1">
      <alignment vertical="center"/>
      <protection locked="0"/>
    </xf>
    <xf numFmtId="0" fontId="85" fillId="0" borderId="0" xfId="1" applyFont="1" applyAlignment="1" applyProtection="1">
      <alignment vertical="center"/>
      <protection locked="0"/>
    </xf>
    <xf numFmtId="165" fontId="4" fillId="0" borderId="0" xfId="1" applyNumberFormat="1" applyFont="1" applyProtection="1">
      <protection locked="0"/>
    </xf>
    <xf numFmtId="0" fontId="23" fillId="11" borderId="95" xfId="0" applyFont="1" applyFill="1" applyBorder="1" applyAlignment="1">
      <alignment horizontal="center" vertical="center"/>
    </xf>
    <xf numFmtId="0" fontId="35" fillId="4" borderId="139" xfId="0" applyFont="1" applyFill="1" applyBorder="1" applyAlignment="1">
      <alignment horizontal="center" vertical="center" wrapText="1"/>
    </xf>
    <xf numFmtId="0" fontId="79" fillId="4" borderId="139" xfId="0" applyFont="1" applyFill="1" applyBorder="1" applyAlignment="1">
      <alignment horizontal="center" vertical="center" wrapText="1"/>
    </xf>
    <xf numFmtId="3" fontId="37" fillId="4" borderId="140" xfId="0" applyNumberFormat="1" applyFont="1" applyFill="1" applyBorder="1" applyAlignment="1">
      <alignment horizontal="center" vertical="center"/>
    </xf>
    <xf numFmtId="3" fontId="79" fillId="4" borderId="140" xfId="0" applyNumberFormat="1" applyFont="1" applyFill="1" applyBorder="1" applyAlignment="1">
      <alignment horizontal="center" vertical="center"/>
    </xf>
    <xf numFmtId="3" fontId="37" fillId="4" borderId="141" xfId="0" applyNumberFormat="1" applyFont="1" applyFill="1" applyBorder="1" applyAlignment="1">
      <alignment horizontal="center" vertical="center"/>
    </xf>
    <xf numFmtId="3" fontId="79" fillId="4" borderId="141" xfId="0" applyNumberFormat="1" applyFont="1" applyFill="1" applyBorder="1" applyAlignment="1">
      <alignment horizontal="center" vertical="center"/>
    </xf>
    <xf numFmtId="3" fontId="37" fillId="4" borderId="140" xfId="0" applyNumberFormat="1" applyFont="1" applyFill="1" applyBorder="1" applyAlignment="1">
      <alignment horizontal="center" vertical="center" wrapText="1"/>
    </xf>
    <xf numFmtId="3" fontId="79" fillId="4" borderId="140" xfId="0" applyNumberFormat="1" applyFont="1" applyFill="1" applyBorder="1" applyAlignment="1">
      <alignment horizontal="center" vertical="center" wrapText="1"/>
    </xf>
    <xf numFmtId="3" fontId="37" fillId="4" borderId="142" xfId="0" applyNumberFormat="1" applyFont="1" applyFill="1" applyBorder="1" applyAlignment="1">
      <alignment horizontal="center" vertical="center"/>
    </xf>
    <xf numFmtId="3" fontId="79" fillId="4" borderId="142" xfId="0" applyNumberFormat="1" applyFont="1" applyFill="1" applyBorder="1" applyAlignment="1">
      <alignment horizontal="center" vertical="center"/>
    </xf>
    <xf numFmtId="3" fontId="79" fillId="4" borderId="143" xfId="0" applyNumberFormat="1" applyFont="1" applyFill="1" applyBorder="1" applyAlignment="1">
      <alignment horizontal="center" vertical="center"/>
    </xf>
    <xf numFmtId="0" fontId="66" fillId="3" borderId="0" xfId="0" applyFont="1" applyFill="1" applyProtection="1">
      <protection locked="0"/>
    </xf>
    <xf numFmtId="0" fontId="35" fillId="0" borderId="145" xfId="0" applyFont="1" applyBorder="1" applyAlignment="1" applyProtection="1">
      <alignment horizontal="center" vertical="center" wrapText="1" readingOrder="2"/>
      <protection locked="0"/>
    </xf>
    <xf numFmtId="0" fontId="35" fillId="0" borderId="114" xfId="0" applyFont="1" applyBorder="1" applyAlignment="1" applyProtection="1">
      <alignment horizontal="center" vertical="center" wrapText="1" readingOrder="2"/>
      <protection locked="0"/>
    </xf>
    <xf numFmtId="0" fontId="35" fillId="0" borderId="115" xfId="0" applyFont="1" applyBorder="1" applyAlignment="1" applyProtection="1">
      <alignment horizontal="center" vertical="center" wrapText="1" readingOrder="2"/>
      <protection locked="0"/>
    </xf>
    <xf numFmtId="0" fontId="35" fillId="3" borderId="115" xfId="0" applyFont="1" applyFill="1" applyBorder="1" applyAlignment="1" applyProtection="1">
      <alignment horizontal="center" vertical="center" wrapText="1" readingOrder="2"/>
      <protection locked="0"/>
    </xf>
    <xf numFmtId="0" fontId="66" fillId="0" borderId="0" xfId="0" applyFont="1" applyAlignment="1" applyProtection="1">
      <alignment textRotation="180"/>
      <protection locked="0"/>
    </xf>
    <xf numFmtId="0" fontId="37" fillId="0" borderId="0" xfId="0" applyFont="1" applyProtection="1">
      <protection locked="0"/>
    </xf>
    <xf numFmtId="0" fontId="0" fillId="3" borderId="0" xfId="0" applyFill="1" applyProtection="1">
      <protection locked="0"/>
    </xf>
    <xf numFmtId="0" fontId="36" fillId="3" borderId="139" xfId="0" applyFont="1" applyFill="1" applyBorder="1" applyAlignment="1" applyProtection="1">
      <alignment horizontal="center" vertical="center" wrapText="1" readingOrder="2"/>
      <protection locked="0"/>
    </xf>
    <xf numFmtId="0" fontId="36" fillId="3" borderId="10" xfId="0" applyFont="1" applyFill="1" applyBorder="1" applyAlignment="1" applyProtection="1">
      <alignment horizontal="center" vertical="center" wrapText="1" readingOrder="2"/>
      <protection locked="0"/>
    </xf>
    <xf numFmtId="9" fontId="0" fillId="0" borderId="0" xfId="0" applyNumberFormat="1" applyProtection="1">
      <protection locked="0"/>
    </xf>
    <xf numFmtId="38" fontId="35" fillId="0" borderId="140" xfId="0" applyNumberFormat="1" applyFont="1" applyBorder="1" applyAlignment="1" applyProtection="1">
      <alignment horizontal="center" vertical="center"/>
      <protection locked="0"/>
    </xf>
    <xf numFmtId="38" fontId="0" fillId="0" borderId="0" xfId="0" applyNumberFormat="1" applyProtection="1">
      <protection locked="0"/>
    </xf>
    <xf numFmtId="3" fontId="8" fillId="3" borderId="142" xfId="1" applyNumberFormat="1" applyFont="1" applyFill="1" applyBorder="1" applyAlignment="1" applyProtection="1">
      <alignment horizontal="center" vertical="center" wrapText="1" readingOrder="2"/>
      <protection locked="0"/>
    </xf>
    <xf numFmtId="3" fontId="8" fillId="3" borderId="98" xfId="1" applyNumberFormat="1" applyFont="1" applyFill="1" applyBorder="1" applyAlignment="1" applyProtection="1">
      <alignment horizontal="center" vertical="center" wrapText="1" readingOrder="2"/>
      <protection locked="0"/>
    </xf>
    <xf numFmtId="3" fontId="8" fillId="0" borderId="201" xfId="1" applyNumberFormat="1" applyFont="1" applyBorder="1" applyAlignment="1" applyProtection="1">
      <alignment horizontal="center" vertical="center" wrapText="1" readingOrder="2"/>
      <protection locked="0"/>
    </xf>
    <xf numFmtId="3" fontId="8" fillId="3" borderId="83" xfId="1" applyNumberFormat="1" applyFont="1" applyFill="1" applyBorder="1" applyAlignment="1" applyProtection="1">
      <alignment horizontal="center" vertical="center" wrapText="1" readingOrder="2"/>
      <protection locked="0"/>
    </xf>
    <xf numFmtId="3" fontId="8" fillId="0" borderId="143" xfId="1" applyNumberFormat="1" applyFont="1" applyBorder="1" applyAlignment="1" applyProtection="1">
      <alignment horizontal="center" vertical="center" wrapText="1" readingOrder="2"/>
      <protection locked="0"/>
    </xf>
    <xf numFmtId="3" fontId="31" fillId="3" borderId="0" xfId="1" applyNumberFormat="1" applyFont="1" applyFill="1" applyAlignment="1" applyProtection="1">
      <alignment horizontal="center" vertical="center" wrapText="1" readingOrder="2"/>
      <protection locked="0"/>
    </xf>
    <xf numFmtId="3" fontId="12" fillId="3" borderId="0" xfId="1" applyNumberFormat="1" applyFont="1" applyFill="1" applyAlignment="1" applyProtection="1">
      <alignment horizontal="center" vertical="center" wrapText="1" readingOrder="2"/>
      <protection locked="0"/>
    </xf>
    <xf numFmtId="0" fontId="8" fillId="4" borderId="155" xfId="1" applyFont="1" applyFill="1" applyBorder="1" applyAlignment="1" applyProtection="1">
      <alignment horizontal="center" vertical="center"/>
      <protection locked="0"/>
    </xf>
    <xf numFmtId="0" fontId="35" fillId="0" borderId="139" xfId="0" applyFont="1" applyBorder="1" applyAlignment="1" applyProtection="1">
      <alignment horizontal="center" vertical="center"/>
      <protection locked="0"/>
    </xf>
    <xf numFmtId="0" fontId="35" fillId="0" borderId="140" xfId="0" applyFont="1" applyBorder="1" applyAlignment="1" applyProtection="1">
      <alignment horizontal="center" vertical="center"/>
      <protection locked="0"/>
    </xf>
    <xf numFmtId="0" fontId="35" fillId="0" borderId="142" xfId="0" applyFont="1" applyBorder="1" applyAlignment="1" applyProtection="1">
      <alignment horizontal="center" vertical="center"/>
      <protection locked="0"/>
    </xf>
    <xf numFmtId="0" fontId="35" fillId="0" borderId="141" xfId="0" applyFont="1" applyBorder="1" applyAlignment="1" applyProtection="1">
      <alignment horizontal="center" vertical="center"/>
      <protection locked="0"/>
    </xf>
    <xf numFmtId="0" fontId="35" fillId="0" borderId="0" xfId="0" applyFont="1" applyProtection="1">
      <protection locked="0"/>
    </xf>
    <xf numFmtId="0" fontId="73" fillId="10" borderId="0" xfId="0" applyFont="1" applyFill="1" applyProtection="1">
      <protection hidden="1"/>
    </xf>
    <xf numFmtId="0" fontId="40" fillId="0" borderId="0" xfId="0" applyFont="1" applyAlignment="1">
      <alignment vertical="center"/>
    </xf>
    <xf numFmtId="0" fontId="43" fillId="0" borderId="0" xfId="0" applyFont="1"/>
    <xf numFmtId="0" fontId="111" fillId="24" borderId="0" xfId="0" applyFont="1" applyFill="1" applyAlignment="1">
      <alignment horizontal="center" vertical="center" wrapText="1"/>
    </xf>
    <xf numFmtId="0" fontId="111" fillId="24" borderId="249" xfId="0" applyFont="1" applyFill="1" applyBorder="1" applyAlignment="1">
      <alignment horizontal="center" vertical="center" wrapText="1"/>
    </xf>
    <xf numFmtId="166" fontId="111" fillId="24" borderId="249" xfId="0" applyNumberFormat="1" applyFont="1" applyFill="1" applyBorder="1" applyAlignment="1">
      <alignment horizontal="center" vertical="center" wrapText="1"/>
    </xf>
    <xf numFmtId="0" fontId="43" fillId="25" borderId="250" xfId="0" applyFont="1" applyFill="1" applyBorder="1" applyAlignment="1">
      <alignment horizontal="center" vertical="center" wrapText="1" readingOrder="2"/>
    </xf>
    <xf numFmtId="0" fontId="43" fillId="25" borderId="251" xfId="0" applyFont="1" applyFill="1" applyBorder="1" applyAlignment="1">
      <alignment horizontal="center" vertical="center" wrapText="1" readingOrder="2"/>
    </xf>
    <xf numFmtId="166" fontId="43" fillId="25" borderId="251" xfId="0" applyNumberFormat="1" applyFont="1" applyFill="1" applyBorder="1" applyAlignment="1">
      <alignment horizontal="center" vertical="center" wrapText="1" readingOrder="2"/>
    </xf>
    <xf numFmtId="0" fontId="43" fillId="26" borderId="252" xfId="0" applyFont="1" applyFill="1" applyBorder="1" applyAlignment="1">
      <alignment horizontal="center" vertical="center" wrapText="1" readingOrder="2"/>
    </xf>
    <xf numFmtId="0" fontId="43" fillId="26" borderId="253" xfId="0" applyFont="1" applyFill="1" applyBorder="1" applyAlignment="1">
      <alignment horizontal="center" vertical="center" wrapText="1" readingOrder="2"/>
    </xf>
    <xf numFmtId="166" fontId="43" fillId="26" borderId="253" xfId="0" applyNumberFormat="1" applyFont="1" applyFill="1" applyBorder="1" applyAlignment="1">
      <alignment horizontal="center" vertical="center" wrapText="1" readingOrder="2"/>
    </xf>
    <xf numFmtId="0" fontId="43" fillId="0" borderId="0" xfId="0" applyFont="1" applyAlignment="1">
      <alignment horizontal="center" vertical="center" wrapText="1"/>
    </xf>
    <xf numFmtId="166" fontId="43" fillId="0" borderId="0" xfId="0" applyNumberFormat="1" applyFont="1" applyAlignment="1">
      <alignment horizontal="center" vertical="center" wrapText="1"/>
    </xf>
    <xf numFmtId="0" fontId="35" fillId="0" borderId="0" xfId="1" applyFont="1" applyProtection="1">
      <protection locked="0"/>
    </xf>
    <xf numFmtId="3" fontId="35" fillId="0" borderId="95" xfId="1" applyNumberFormat="1" applyFont="1" applyBorder="1" applyAlignment="1" applyProtection="1">
      <alignment horizontal="center" vertical="center"/>
      <protection locked="0"/>
    </xf>
    <xf numFmtId="3" fontId="35" fillId="0" borderId="140" xfId="1" applyNumberFormat="1" applyFont="1" applyBorder="1" applyAlignment="1" applyProtection="1">
      <alignment horizontal="center" vertical="center"/>
      <protection locked="0"/>
    </xf>
    <xf numFmtId="3" fontId="35" fillId="0" borderId="140" xfId="1" applyNumberFormat="1" applyFont="1" applyBorder="1" applyAlignment="1" applyProtection="1">
      <alignment horizontal="center" vertical="center" wrapText="1"/>
      <protection locked="0"/>
    </xf>
    <xf numFmtId="0" fontId="115" fillId="3" borderId="0" xfId="1" applyFont="1" applyFill="1" applyAlignment="1" applyProtection="1">
      <alignment horizontal="center" vertical="center"/>
      <protection locked="0"/>
    </xf>
    <xf numFmtId="3" fontId="35" fillId="3" borderId="0" xfId="1" applyNumberFormat="1" applyFont="1" applyFill="1" applyAlignment="1" applyProtection="1">
      <alignment horizontal="center" vertical="center" wrapText="1" readingOrder="2"/>
      <protection locked="0"/>
    </xf>
    <xf numFmtId="0" fontId="14" fillId="0" borderId="0" xfId="1" applyFont="1" applyAlignment="1" applyProtection="1">
      <alignment horizontal="center" vertical="center" wrapText="1" readingOrder="2"/>
      <protection locked="0"/>
    </xf>
    <xf numFmtId="0" fontId="14" fillId="0" borderId="0" xfId="1" applyFont="1" applyAlignment="1" applyProtection="1">
      <alignment horizontal="justify" vertical="center" wrapText="1" readingOrder="2"/>
      <protection locked="0"/>
    </xf>
    <xf numFmtId="0" fontId="8" fillId="0" borderId="0" xfId="19" applyFont="1" applyAlignment="1" applyProtection="1">
      <alignment horizontal="center" vertical="center" wrapText="1" readingOrder="2"/>
      <protection locked="0"/>
    </xf>
    <xf numFmtId="0" fontId="8" fillId="0" borderId="0" xfId="1" applyFont="1" applyAlignment="1" applyProtection="1">
      <alignment horizontal="right" readingOrder="2"/>
      <protection locked="0"/>
    </xf>
    <xf numFmtId="3" fontId="8" fillId="0" borderId="0" xfId="1" applyNumberFormat="1" applyFont="1" applyAlignment="1" applyProtection="1">
      <alignment horizontal="center" vertical="center" wrapText="1"/>
      <protection locked="0"/>
    </xf>
    <xf numFmtId="3" fontId="8" fillId="0" borderId="0" xfId="1" applyNumberFormat="1" applyFont="1" applyAlignment="1" applyProtection="1">
      <alignment vertical="center" wrapText="1"/>
      <protection locked="0"/>
    </xf>
    <xf numFmtId="3" fontId="8" fillId="0" borderId="140" xfId="1" applyNumberFormat="1" applyFont="1" applyBorder="1" applyAlignment="1" applyProtection="1">
      <alignment horizontal="center" vertical="center" wrapText="1" readingOrder="2"/>
      <protection locked="0"/>
    </xf>
    <xf numFmtId="3" fontId="35" fillId="4" borderId="2" xfId="1" applyNumberFormat="1" applyFont="1" applyFill="1" applyBorder="1" applyAlignment="1">
      <alignment horizontal="center" vertical="center" wrapText="1" readingOrder="2"/>
    </xf>
    <xf numFmtId="3" fontId="35" fillId="4" borderId="11" xfId="1" applyNumberFormat="1" applyFont="1" applyFill="1" applyBorder="1" applyAlignment="1">
      <alignment horizontal="center" vertical="center" wrapText="1" readingOrder="2"/>
    </xf>
    <xf numFmtId="0" fontId="42" fillId="0" borderId="0" xfId="0" applyFont="1" applyAlignment="1" applyProtection="1">
      <alignment horizontal="center" vertical="center"/>
      <protection hidden="1"/>
    </xf>
    <xf numFmtId="3" fontId="8" fillId="0" borderId="177" xfId="1" applyNumberFormat="1" applyFont="1" applyBorder="1" applyAlignment="1" applyProtection="1">
      <alignment horizontal="center" vertical="center" wrapText="1" readingOrder="2"/>
      <protection locked="0"/>
    </xf>
    <xf numFmtId="3" fontId="8" fillId="0" borderId="117" xfId="1" applyNumberFormat="1" applyFont="1" applyBorder="1" applyAlignment="1" applyProtection="1">
      <alignment horizontal="center" vertical="center" readingOrder="2"/>
      <protection locked="0"/>
    </xf>
    <xf numFmtId="3" fontId="8" fillId="0" borderId="4" xfId="1" applyNumberFormat="1" applyFont="1" applyBorder="1" applyAlignment="1" applyProtection="1">
      <alignment horizontal="center" vertical="center" wrapText="1" readingOrder="2"/>
      <protection locked="0"/>
    </xf>
    <xf numFmtId="3" fontId="8" fillId="0" borderId="37" xfId="1" applyNumberFormat="1" applyFont="1" applyBorder="1" applyAlignment="1" applyProtection="1">
      <alignment horizontal="center" vertical="center" wrapText="1" readingOrder="2"/>
      <protection locked="0"/>
    </xf>
    <xf numFmtId="3" fontId="8" fillId="0" borderId="41" xfId="1" applyNumberFormat="1" applyFont="1" applyBorder="1" applyAlignment="1" applyProtection="1">
      <alignment horizontal="center" vertical="center" wrapText="1" readingOrder="2"/>
      <protection locked="0"/>
    </xf>
    <xf numFmtId="3" fontId="8" fillId="0" borderId="5" xfId="1" applyNumberFormat="1" applyFont="1" applyBorder="1" applyAlignment="1" applyProtection="1">
      <alignment horizontal="center" vertical="center" wrapText="1" readingOrder="2"/>
      <protection locked="0"/>
    </xf>
    <xf numFmtId="3" fontId="8" fillId="0" borderId="38" xfId="1" applyNumberFormat="1" applyFont="1" applyBorder="1" applyAlignment="1" applyProtection="1">
      <alignment horizontal="center" vertical="center" wrapText="1" readingOrder="2"/>
      <protection locked="0"/>
    </xf>
    <xf numFmtId="3" fontId="8" fillId="0" borderId="42" xfId="1" applyNumberFormat="1" applyFont="1" applyBorder="1" applyAlignment="1" applyProtection="1">
      <alignment horizontal="center" vertical="center" wrapText="1" readingOrder="2"/>
      <protection locked="0"/>
    </xf>
    <xf numFmtId="3" fontId="8" fillId="0" borderId="6" xfId="1" applyNumberFormat="1" applyFont="1" applyBorder="1" applyAlignment="1" applyProtection="1">
      <alignment horizontal="center" vertical="center" wrapText="1" readingOrder="2"/>
      <protection locked="0"/>
    </xf>
    <xf numFmtId="3" fontId="8" fillId="0" borderId="40" xfId="1" applyNumberFormat="1" applyFont="1" applyBorder="1" applyAlignment="1" applyProtection="1">
      <alignment horizontal="center" vertical="center" wrapText="1" readingOrder="2"/>
      <protection locked="0"/>
    </xf>
    <xf numFmtId="3" fontId="8" fillId="0" borderId="44" xfId="1" applyNumberFormat="1" applyFont="1" applyBorder="1" applyAlignment="1" applyProtection="1">
      <alignment horizontal="center" vertical="center" wrapText="1" readingOrder="2"/>
      <protection locked="0"/>
    </xf>
    <xf numFmtId="166" fontId="7" fillId="0" borderId="0" xfId="0" applyNumberFormat="1" applyFont="1"/>
    <xf numFmtId="166" fontId="7" fillId="0" borderId="0" xfId="0" applyNumberFormat="1" applyFont="1" applyAlignment="1">
      <alignment horizontal="right"/>
    </xf>
    <xf numFmtId="166" fontId="7" fillId="0" borderId="0" xfId="0" applyNumberFormat="1" applyFont="1" applyAlignment="1">
      <alignment horizontal="right" readingOrder="2"/>
    </xf>
    <xf numFmtId="0" fontId="117" fillId="0" borderId="0" xfId="1" applyFont="1" applyAlignment="1" applyProtection="1">
      <alignment readingOrder="2"/>
      <protection locked="0"/>
    </xf>
    <xf numFmtId="0" fontId="118" fillId="0" borderId="0" xfId="1" applyFont="1" applyAlignment="1" applyProtection="1">
      <alignment vertical="center" wrapText="1" readingOrder="2"/>
      <protection locked="0"/>
    </xf>
    <xf numFmtId="3" fontId="118" fillId="0" borderId="0" xfId="1" applyNumberFormat="1" applyFont="1" applyAlignment="1" applyProtection="1">
      <alignment horizontal="center" vertical="center" wrapText="1" readingOrder="2"/>
      <protection locked="0"/>
    </xf>
    <xf numFmtId="49" fontId="76" fillId="0" borderId="0" xfId="1" applyNumberFormat="1" applyFont="1" applyAlignment="1" applyProtection="1">
      <alignment vertical="center"/>
      <protection locked="0"/>
    </xf>
    <xf numFmtId="3" fontId="8" fillId="0" borderId="179" xfId="1" applyNumberFormat="1" applyFont="1" applyBorder="1" applyAlignment="1" applyProtection="1">
      <alignment horizontal="center" vertical="center" readingOrder="2"/>
      <protection locked="0"/>
    </xf>
    <xf numFmtId="3" fontId="8" fillId="0" borderId="187" xfId="1" applyNumberFormat="1" applyFont="1" applyBorder="1" applyAlignment="1" applyProtection="1">
      <alignment horizontal="center" vertical="center" readingOrder="2"/>
      <protection locked="0"/>
    </xf>
    <xf numFmtId="3" fontId="8" fillId="0" borderId="257" xfId="1" applyNumberFormat="1" applyFont="1" applyBorder="1" applyAlignment="1" applyProtection="1">
      <alignment horizontal="center" vertical="center" readingOrder="2"/>
      <protection locked="0"/>
    </xf>
    <xf numFmtId="3" fontId="8" fillId="0" borderId="188" xfId="1" applyNumberFormat="1" applyFont="1" applyBorder="1" applyAlignment="1" applyProtection="1">
      <alignment horizontal="center" vertical="center" readingOrder="2"/>
      <protection locked="0"/>
    </xf>
    <xf numFmtId="3" fontId="8" fillId="0" borderId="189" xfId="1" applyNumberFormat="1" applyFont="1" applyBorder="1" applyAlignment="1" applyProtection="1">
      <alignment horizontal="center" vertical="center" readingOrder="2"/>
      <protection locked="0"/>
    </xf>
    <xf numFmtId="3" fontId="8" fillId="0" borderId="258" xfId="1" applyNumberFormat="1" applyFont="1" applyBorder="1" applyAlignment="1" applyProtection="1">
      <alignment horizontal="center" vertical="center" readingOrder="2"/>
      <protection locked="0"/>
    </xf>
    <xf numFmtId="3" fontId="8" fillId="0" borderId="192" xfId="1" applyNumberFormat="1" applyFont="1" applyBorder="1" applyAlignment="1" applyProtection="1">
      <alignment horizontal="center" vertical="center" readingOrder="2"/>
      <protection locked="0"/>
    </xf>
    <xf numFmtId="3" fontId="8" fillId="0" borderId="194" xfId="1" applyNumberFormat="1" applyFont="1" applyBorder="1" applyAlignment="1" applyProtection="1">
      <alignment horizontal="center" vertical="center" readingOrder="2"/>
      <protection locked="0"/>
    </xf>
    <xf numFmtId="3" fontId="8" fillId="0" borderId="259" xfId="1" applyNumberFormat="1" applyFont="1" applyBorder="1" applyAlignment="1" applyProtection="1">
      <alignment horizontal="center" vertical="center" readingOrder="2"/>
      <protection locked="0"/>
    </xf>
    <xf numFmtId="3" fontId="8" fillId="0" borderId="116" xfId="1" applyNumberFormat="1" applyFont="1" applyBorder="1" applyAlignment="1" applyProtection="1">
      <alignment horizontal="center" vertical="center" readingOrder="2"/>
      <protection locked="0"/>
    </xf>
    <xf numFmtId="3" fontId="8" fillId="0" borderId="145" xfId="1" applyNumberFormat="1" applyFont="1" applyBorder="1" applyAlignment="1" applyProtection="1">
      <alignment horizontal="center" vertical="center" readingOrder="2"/>
      <protection locked="0"/>
    </xf>
    <xf numFmtId="3" fontId="8" fillId="0" borderId="115" xfId="1" applyNumberFormat="1" applyFont="1" applyBorder="1" applyAlignment="1" applyProtection="1">
      <alignment horizontal="center" vertical="center" readingOrder="2"/>
      <protection locked="0"/>
    </xf>
    <xf numFmtId="3" fontId="8" fillId="0" borderId="183" xfId="1" applyNumberFormat="1" applyFont="1" applyBorder="1" applyAlignment="1" applyProtection="1">
      <alignment horizontal="center" vertical="center" readingOrder="2"/>
      <protection locked="0"/>
    </xf>
    <xf numFmtId="3" fontId="8" fillId="0" borderId="12" xfId="1" applyNumberFormat="1" applyFont="1" applyBorder="1" applyAlignment="1" applyProtection="1">
      <alignment horizontal="center" vertical="center" readingOrder="2"/>
      <protection locked="0"/>
    </xf>
    <xf numFmtId="3" fontId="8" fillId="0" borderId="100" xfId="1" applyNumberFormat="1" applyFont="1" applyBorder="1" applyAlignment="1" applyProtection="1">
      <alignment horizontal="center" vertical="center" readingOrder="2"/>
      <protection locked="0"/>
    </xf>
    <xf numFmtId="3" fontId="8" fillId="0" borderId="31" xfId="1" applyNumberFormat="1" applyFont="1" applyBorder="1" applyAlignment="1" applyProtection="1">
      <alignment horizontal="center" vertical="center" readingOrder="2"/>
      <protection locked="0"/>
    </xf>
    <xf numFmtId="3" fontId="8" fillId="0" borderId="45" xfId="1" applyNumberFormat="1" applyFont="1" applyBorder="1" applyAlignment="1" applyProtection="1">
      <alignment horizontal="center" vertical="center" readingOrder="2"/>
      <protection locked="0"/>
    </xf>
    <xf numFmtId="3" fontId="11" fillId="0" borderId="0" xfId="1" applyNumberFormat="1" applyFont="1" applyAlignment="1" applyProtection="1">
      <alignment horizontal="center" vertical="center" wrapText="1" readingOrder="2"/>
      <protection locked="0"/>
    </xf>
    <xf numFmtId="3" fontId="6" fillId="0" borderId="0" xfId="1" applyNumberFormat="1" applyFont="1" applyAlignment="1" applyProtection="1">
      <alignment vertical="center"/>
      <protection locked="0"/>
    </xf>
    <xf numFmtId="0" fontId="73" fillId="10" borderId="0" xfId="0" applyFont="1" applyFill="1" applyAlignment="1" applyProtection="1">
      <alignment horizontal="center" vertical="center"/>
      <protection hidden="1"/>
    </xf>
    <xf numFmtId="0" fontId="73" fillId="0" borderId="0" xfId="0" applyFont="1" applyProtection="1">
      <protection hidden="1"/>
    </xf>
    <xf numFmtId="0" fontId="71" fillId="0" borderId="0" xfId="0" applyFont="1" applyProtection="1">
      <protection locked="0"/>
    </xf>
    <xf numFmtId="0" fontId="7" fillId="0" borderId="0" xfId="0" applyFont="1" applyAlignment="1" applyProtection="1">
      <alignment horizontal="center" vertical="center"/>
      <protection locked="0"/>
    </xf>
    <xf numFmtId="0" fontId="12" fillId="0" borderId="0" xfId="0" applyFont="1" applyAlignment="1" applyProtection="1">
      <alignment vertical="center" readingOrder="2"/>
      <protection locked="0"/>
    </xf>
    <xf numFmtId="0" fontId="78" fillId="0" borderId="0" xfId="0" applyFont="1" applyProtection="1">
      <protection locked="0"/>
    </xf>
    <xf numFmtId="0" fontId="43" fillId="0" borderId="0" xfId="0" applyFont="1" applyProtection="1">
      <protection locked="0"/>
    </xf>
    <xf numFmtId="0" fontId="7" fillId="0" borderId="0" xfId="0" applyFont="1" applyProtection="1">
      <protection locked="0"/>
    </xf>
    <xf numFmtId="166" fontId="8" fillId="0" borderId="4" xfId="1" applyNumberFormat="1" applyFont="1" applyBorder="1" applyAlignment="1" applyProtection="1">
      <alignment horizontal="center" vertical="center" wrapText="1" readingOrder="2"/>
      <protection locked="0"/>
    </xf>
    <xf numFmtId="166" fontId="8" fillId="0" borderId="37" xfId="1" applyNumberFormat="1" applyFont="1" applyBorder="1" applyAlignment="1" applyProtection="1">
      <alignment horizontal="center" vertical="center" wrapText="1" readingOrder="2"/>
      <protection locked="0"/>
    </xf>
    <xf numFmtId="166" fontId="8" fillId="0" borderId="5" xfId="1" applyNumberFormat="1" applyFont="1" applyBorder="1" applyAlignment="1" applyProtection="1">
      <alignment horizontal="center" vertical="center" wrapText="1" readingOrder="2"/>
      <protection locked="0"/>
    </xf>
    <xf numFmtId="166" fontId="8" fillId="0" borderId="38" xfId="1" applyNumberFormat="1" applyFont="1" applyBorder="1" applyAlignment="1" applyProtection="1">
      <alignment horizontal="center" vertical="center" wrapText="1" readingOrder="2"/>
      <protection locked="0"/>
    </xf>
    <xf numFmtId="166" fontId="8" fillId="0" borderId="39" xfId="1" applyNumberFormat="1" applyFont="1" applyBorder="1" applyAlignment="1" applyProtection="1">
      <alignment horizontal="center" vertical="center" wrapText="1" readingOrder="2"/>
      <protection locked="0"/>
    </xf>
    <xf numFmtId="3" fontId="8" fillId="21" borderId="140" xfId="1" applyNumberFormat="1" applyFont="1" applyFill="1" applyBorder="1" applyAlignment="1" applyProtection="1">
      <alignment horizontal="center" vertical="center" wrapText="1" readingOrder="2"/>
      <protection locked="0"/>
    </xf>
    <xf numFmtId="3" fontId="8" fillId="21" borderId="142" xfId="1" applyNumberFormat="1" applyFont="1" applyFill="1" applyBorder="1" applyAlignment="1" applyProtection="1">
      <alignment horizontal="center" vertical="center" wrapText="1" readingOrder="2"/>
      <protection locked="0"/>
    </xf>
    <xf numFmtId="3" fontId="8" fillId="21" borderId="141" xfId="1" applyNumberFormat="1" applyFont="1" applyFill="1" applyBorder="1" applyAlignment="1" applyProtection="1">
      <alignment horizontal="center" vertical="center" wrapText="1" readingOrder="2"/>
      <protection locked="0"/>
    </xf>
    <xf numFmtId="3" fontId="8" fillId="22" borderId="143" xfId="1" applyNumberFormat="1" applyFont="1" applyFill="1" applyBorder="1" applyAlignment="1" applyProtection="1">
      <alignment horizontal="center" vertical="center" wrapText="1" readingOrder="2"/>
      <protection locked="0"/>
    </xf>
    <xf numFmtId="3" fontId="8" fillId="21" borderId="11" xfId="1" applyNumberFormat="1" applyFont="1" applyFill="1" applyBorder="1" applyAlignment="1" applyProtection="1">
      <alignment horizontal="center" vertical="center" wrapText="1" readingOrder="2"/>
      <protection locked="0"/>
    </xf>
    <xf numFmtId="3" fontId="91" fillId="22" borderId="137" xfId="1" applyNumberFormat="1" applyFont="1" applyFill="1" applyBorder="1" applyAlignment="1" applyProtection="1">
      <alignment horizontal="center" vertical="center" wrapText="1" readingOrder="2"/>
      <protection locked="0"/>
    </xf>
    <xf numFmtId="3" fontId="8" fillId="21" borderId="98" xfId="1" applyNumberFormat="1" applyFont="1" applyFill="1" applyBorder="1" applyAlignment="1" applyProtection="1">
      <alignment horizontal="center" vertical="center" wrapText="1" readingOrder="2"/>
      <protection locked="0"/>
    </xf>
    <xf numFmtId="3" fontId="8" fillId="21" borderId="83" xfId="1" applyNumberFormat="1" applyFont="1" applyFill="1" applyBorder="1" applyAlignment="1" applyProtection="1">
      <alignment horizontal="center" vertical="center" wrapText="1" readingOrder="2"/>
      <protection locked="0"/>
    </xf>
    <xf numFmtId="3" fontId="26" fillId="3" borderId="0" xfId="1" applyNumberFormat="1" applyFont="1" applyFill="1" applyAlignment="1" applyProtection="1">
      <alignment horizontal="center" vertical="center"/>
      <protection locked="0"/>
    </xf>
    <xf numFmtId="3" fontId="96" fillId="3" borderId="0" xfId="1" applyNumberFormat="1" applyFont="1" applyFill="1" applyAlignment="1" applyProtection="1">
      <alignment horizontal="center" vertical="center" wrapText="1"/>
      <protection locked="0"/>
    </xf>
    <xf numFmtId="0" fontId="90" fillId="0" borderId="0" xfId="4" applyFont="1" applyAlignment="1" applyProtection="1">
      <alignment vertical="center"/>
      <protection locked="0"/>
    </xf>
    <xf numFmtId="0" fontId="89" fillId="0" borderId="0" xfId="4" applyFont="1" applyProtection="1">
      <protection locked="0"/>
    </xf>
    <xf numFmtId="3" fontId="8" fillId="0" borderId="114" xfId="1" applyNumberFormat="1" applyFont="1" applyBorder="1" applyAlignment="1" applyProtection="1">
      <alignment horizontal="center" vertical="center" wrapText="1" readingOrder="2"/>
      <protection locked="0"/>
    </xf>
    <xf numFmtId="3" fontId="8" fillId="0" borderId="39" xfId="1" applyNumberFormat="1" applyFont="1" applyBorder="1" applyAlignment="1" applyProtection="1">
      <alignment horizontal="center" vertical="center" wrapText="1" readingOrder="2"/>
      <protection locked="0"/>
    </xf>
    <xf numFmtId="3" fontId="8" fillId="0" borderId="202" xfId="1" applyNumberFormat="1" applyFont="1" applyBorder="1" applyAlignment="1" applyProtection="1">
      <alignment horizontal="center" vertical="center"/>
      <protection locked="0"/>
    </xf>
    <xf numFmtId="3" fontId="8" fillId="4" borderId="114" xfId="1" applyNumberFormat="1" applyFont="1" applyFill="1" applyBorder="1" applyAlignment="1">
      <alignment horizontal="center" vertical="center" wrapText="1" readingOrder="2"/>
    </xf>
    <xf numFmtId="3" fontId="8" fillId="4" borderId="38" xfId="1" applyNumberFormat="1" applyFont="1" applyFill="1" applyBorder="1" applyAlignment="1">
      <alignment horizontal="center" vertical="center" wrapText="1" readingOrder="2"/>
    </xf>
    <xf numFmtId="0" fontId="8" fillId="0" borderId="0" xfId="1" applyFont="1" applyAlignment="1" applyProtection="1">
      <alignment horizontal="center" vertical="center" wrapText="1" readingOrder="2"/>
      <protection locked="0"/>
    </xf>
    <xf numFmtId="3" fontId="8" fillId="0" borderId="121" xfId="1" applyNumberFormat="1" applyFont="1" applyBorder="1" applyAlignment="1" applyProtection="1">
      <alignment horizontal="center" vertical="center" wrapText="1" readingOrder="2"/>
      <protection locked="0"/>
    </xf>
    <xf numFmtId="3" fontId="8" fillId="0" borderId="118" xfId="1" applyNumberFormat="1" applyFont="1" applyBorder="1" applyAlignment="1" applyProtection="1">
      <alignment horizontal="center" vertical="center" wrapText="1" readingOrder="2"/>
      <protection locked="0"/>
    </xf>
    <xf numFmtId="3" fontId="8" fillId="0" borderId="28" xfId="1" applyNumberFormat="1" applyFont="1" applyBorder="1" applyAlignment="1" applyProtection="1">
      <alignment horizontal="center" vertical="center" wrapText="1" readingOrder="2"/>
      <protection locked="0"/>
    </xf>
    <xf numFmtId="3" fontId="8" fillId="0" borderId="27" xfId="1" applyNumberFormat="1" applyFont="1" applyBorder="1" applyAlignment="1" applyProtection="1">
      <alignment horizontal="center" vertical="center" wrapText="1" readingOrder="2"/>
      <protection locked="0"/>
    </xf>
    <xf numFmtId="166" fontId="8" fillId="0" borderId="204" xfId="1" applyNumberFormat="1" applyFont="1" applyBorder="1" applyAlignment="1" applyProtection="1">
      <alignment horizontal="center" vertical="center" wrapText="1" readingOrder="2"/>
      <protection locked="0"/>
    </xf>
    <xf numFmtId="166" fontId="8" fillId="0" borderId="197" xfId="1" applyNumberFormat="1" applyFont="1" applyBorder="1" applyAlignment="1" applyProtection="1">
      <alignment horizontal="center" vertical="center" wrapText="1" readingOrder="2"/>
      <protection locked="0"/>
    </xf>
    <xf numFmtId="166" fontId="8" fillId="0" borderId="66" xfId="1" applyNumberFormat="1" applyFont="1" applyBorder="1" applyAlignment="1" applyProtection="1">
      <alignment horizontal="center" vertical="center" wrapText="1" readingOrder="2"/>
      <protection locked="0"/>
    </xf>
    <xf numFmtId="3" fontId="8" fillId="0" borderId="204" xfId="1" applyNumberFormat="1" applyFont="1" applyBorder="1" applyAlignment="1" applyProtection="1">
      <alignment horizontal="center" vertical="center" wrapText="1" readingOrder="2"/>
      <protection locked="0"/>
    </xf>
    <xf numFmtId="3" fontId="8" fillId="0" borderId="197" xfId="1" applyNumberFormat="1" applyFont="1" applyBorder="1" applyAlignment="1" applyProtection="1">
      <alignment horizontal="center" vertical="center" wrapText="1" readingOrder="2"/>
      <protection locked="0"/>
    </xf>
    <xf numFmtId="3" fontId="8" fillId="0" borderId="66" xfId="1" applyNumberFormat="1" applyFont="1" applyBorder="1" applyAlignment="1" applyProtection="1">
      <alignment horizontal="center" vertical="center" wrapText="1" readingOrder="2"/>
      <protection locked="0"/>
    </xf>
    <xf numFmtId="166" fontId="8" fillId="0" borderId="39" xfId="1" applyNumberFormat="1" applyFont="1" applyBorder="1" applyAlignment="1" applyProtection="1">
      <alignment horizontal="center" vertical="center" readingOrder="2"/>
      <protection locked="0"/>
    </xf>
    <xf numFmtId="0" fontId="119" fillId="0" borderId="0" xfId="0" applyFont="1" applyProtection="1">
      <protection locked="0"/>
    </xf>
    <xf numFmtId="166" fontId="8" fillId="0" borderId="174" xfId="1" applyNumberFormat="1" applyFont="1" applyBorder="1" applyAlignment="1" applyProtection="1">
      <alignment horizontal="center" vertical="center" wrapText="1" readingOrder="2"/>
      <protection locked="0"/>
    </xf>
    <xf numFmtId="0" fontId="4" fillId="0" borderId="0" xfId="1" applyFont="1" applyAlignment="1" applyProtection="1">
      <alignment horizontal="right" vertical="top" readingOrder="2"/>
      <protection locked="0"/>
    </xf>
    <xf numFmtId="3" fontId="8" fillId="0" borderId="69" xfId="1" applyNumberFormat="1" applyFont="1" applyBorder="1" applyAlignment="1" applyProtection="1">
      <alignment horizontal="center" vertical="center" wrapText="1" readingOrder="2"/>
      <protection locked="0"/>
    </xf>
    <xf numFmtId="3" fontId="8" fillId="0" borderId="265" xfId="1" applyNumberFormat="1" applyFont="1" applyBorder="1" applyAlignment="1" applyProtection="1">
      <alignment horizontal="center" vertical="center" wrapText="1" readingOrder="2"/>
      <protection locked="0"/>
    </xf>
    <xf numFmtId="0" fontId="27" fillId="0" borderId="0" xfId="2" applyFont="1" applyProtection="1">
      <protection locked="0"/>
    </xf>
    <xf numFmtId="166" fontId="35" fillId="0" borderId="85" xfId="3" applyNumberFormat="1" applyFont="1" applyBorder="1" applyAlignment="1" applyProtection="1">
      <alignment horizontal="center" vertical="center"/>
      <protection locked="0"/>
    </xf>
    <xf numFmtId="166" fontId="35" fillId="0" borderId="140" xfId="3" applyNumberFormat="1" applyFont="1" applyBorder="1" applyAlignment="1" applyProtection="1">
      <alignment horizontal="center" vertical="center"/>
      <protection locked="0"/>
    </xf>
    <xf numFmtId="166" fontId="35" fillId="0" borderId="97" xfId="3" applyNumberFormat="1" applyFont="1" applyBorder="1" applyAlignment="1" applyProtection="1">
      <alignment horizontal="center" vertical="center"/>
      <protection locked="0"/>
    </xf>
    <xf numFmtId="166" fontId="35" fillId="0" borderId="95" xfId="3" applyNumberFormat="1" applyFont="1" applyBorder="1" applyAlignment="1" applyProtection="1">
      <alignment horizontal="center" vertical="center"/>
      <protection locked="0"/>
    </xf>
    <xf numFmtId="0" fontId="13" fillId="0" borderId="0" xfId="3" applyFont="1" applyAlignment="1" applyProtection="1">
      <alignment horizontal="center" vertical="center"/>
      <protection locked="0"/>
    </xf>
    <xf numFmtId="166" fontId="35" fillId="3" borderId="140" xfId="3" applyNumberFormat="1" applyFont="1" applyFill="1" applyBorder="1" applyAlignment="1" applyProtection="1">
      <alignment horizontal="center" vertical="center"/>
      <protection locked="0"/>
    </xf>
    <xf numFmtId="166" fontId="35" fillId="3" borderId="2" xfId="3" applyNumberFormat="1" applyFont="1" applyFill="1" applyBorder="1" applyAlignment="1" applyProtection="1">
      <alignment horizontal="center" vertical="center"/>
      <protection locked="0"/>
    </xf>
    <xf numFmtId="166" fontId="8" fillId="0" borderId="114" xfId="2" applyNumberFormat="1" applyFont="1" applyBorder="1" applyAlignment="1" applyProtection="1">
      <alignment horizontal="center" vertical="center" wrapText="1"/>
      <protection locked="0"/>
    </xf>
    <xf numFmtId="166" fontId="8" fillId="0" borderId="38" xfId="2" applyNumberFormat="1" applyFont="1" applyBorder="1" applyAlignment="1" applyProtection="1">
      <alignment horizontal="center" vertical="center" wrapText="1"/>
      <protection locked="0"/>
    </xf>
    <xf numFmtId="166" fontId="8" fillId="0" borderId="39" xfId="2" applyNumberFormat="1" applyFont="1" applyBorder="1" applyAlignment="1" applyProtection="1">
      <alignment horizontal="center" vertical="center" wrapText="1"/>
      <protection locked="0"/>
    </xf>
    <xf numFmtId="166" fontId="8" fillId="0" borderId="40" xfId="2" applyNumberFormat="1" applyFont="1" applyBorder="1" applyAlignment="1" applyProtection="1">
      <alignment horizontal="center" vertical="center" wrapText="1"/>
      <protection locked="0"/>
    </xf>
    <xf numFmtId="3" fontId="8" fillId="0" borderId="216" xfId="1" applyNumberFormat="1" applyFont="1" applyBorder="1" applyAlignment="1" applyProtection="1">
      <alignment horizontal="center" vertical="center" readingOrder="2"/>
      <protection locked="0"/>
    </xf>
    <xf numFmtId="3" fontId="8" fillId="0" borderId="5" xfId="1" applyNumberFormat="1" applyFont="1" applyBorder="1" applyAlignment="1" applyProtection="1">
      <alignment horizontal="center" vertical="center" readingOrder="2"/>
      <protection locked="0"/>
    </xf>
    <xf numFmtId="3" fontId="8" fillId="0" borderId="273" xfId="1" applyNumberFormat="1" applyFont="1" applyBorder="1" applyAlignment="1" applyProtection="1">
      <alignment horizontal="center" vertical="center" readingOrder="2"/>
      <protection locked="0"/>
    </xf>
    <xf numFmtId="3" fontId="8" fillId="0" borderId="256" xfId="1" applyNumberFormat="1" applyFont="1" applyBorder="1" applyAlignment="1" applyProtection="1">
      <alignment horizontal="center" vertical="center" readingOrder="2"/>
      <protection locked="0"/>
    </xf>
    <xf numFmtId="3" fontId="8" fillId="0" borderId="274" xfId="1" applyNumberFormat="1" applyFont="1" applyBorder="1" applyAlignment="1" applyProtection="1">
      <alignment horizontal="center" vertical="center" readingOrder="2"/>
      <protection locked="0"/>
    </xf>
    <xf numFmtId="3" fontId="8" fillId="0" borderId="42" xfId="1" applyNumberFormat="1" applyFont="1" applyBorder="1" applyAlignment="1" applyProtection="1">
      <alignment horizontal="center" vertical="center" readingOrder="2"/>
      <protection locked="0"/>
    </xf>
    <xf numFmtId="166" fontId="8" fillId="3" borderId="275" xfId="1" applyNumberFormat="1" applyFont="1" applyFill="1" applyBorder="1" applyAlignment="1" applyProtection="1">
      <alignment horizontal="center" vertical="center" readingOrder="2"/>
      <protection locked="0"/>
    </xf>
    <xf numFmtId="166" fontId="8" fillId="3" borderId="276" xfId="1" applyNumberFormat="1" applyFont="1" applyFill="1" applyBorder="1" applyAlignment="1" applyProtection="1">
      <alignment horizontal="center" vertical="center" readingOrder="2"/>
      <protection locked="0"/>
    </xf>
    <xf numFmtId="0" fontId="8" fillId="0" borderId="0" xfId="1" applyFont="1" applyAlignment="1" applyProtection="1">
      <alignment vertical="center" wrapText="1" readingOrder="2"/>
      <protection locked="0"/>
    </xf>
    <xf numFmtId="3" fontId="6" fillId="0" borderId="0" xfId="1" applyNumberFormat="1" applyFont="1" applyAlignment="1" applyProtection="1">
      <alignment horizontal="center" vertical="center"/>
      <protection locked="0"/>
    </xf>
    <xf numFmtId="3" fontId="8" fillId="0" borderId="196" xfId="1" applyNumberFormat="1" applyFont="1" applyBorder="1" applyAlignment="1" applyProtection="1">
      <alignment horizontal="center" vertical="center" wrapText="1" readingOrder="2"/>
      <protection locked="0"/>
    </xf>
    <xf numFmtId="3" fontId="8" fillId="0" borderId="175" xfId="1" applyNumberFormat="1" applyFont="1" applyBorder="1" applyAlignment="1" applyProtection="1">
      <alignment horizontal="center" vertical="center" wrapText="1" readingOrder="2"/>
      <protection locked="0"/>
    </xf>
    <xf numFmtId="3" fontId="8" fillId="0" borderId="185" xfId="1" applyNumberFormat="1" applyFont="1" applyBorder="1" applyAlignment="1" applyProtection="1">
      <alignment horizontal="center" vertical="center" wrapText="1" readingOrder="2"/>
      <protection locked="0"/>
    </xf>
    <xf numFmtId="3" fontId="8" fillId="0" borderId="195" xfId="1" applyNumberFormat="1" applyFont="1" applyBorder="1" applyAlignment="1" applyProtection="1">
      <alignment horizontal="center" vertical="center" wrapText="1" readingOrder="2"/>
      <protection locked="0"/>
    </xf>
    <xf numFmtId="3" fontId="8" fillId="0" borderId="198" xfId="1" applyNumberFormat="1" applyFont="1" applyBorder="1" applyAlignment="1" applyProtection="1">
      <alignment horizontal="center" vertical="center" wrapText="1" readingOrder="2"/>
      <protection locked="0"/>
    </xf>
    <xf numFmtId="3" fontId="8" fillId="0" borderId="178" xfId="1" applyNumberFormat="1" applyFont="1" applyBorder="1" applyAlignment="1" applyProtection="1">
      <alignment horizontal="center" vertical="center" wrapText="1" readingOrder="2"/>
      <protection locked="0"/>
    </xf>
    <xf numFmtId="0" fontId="8" fillId="0" borderId="186" xfId="1" applyFont="1" applyBorder="1" applyAlignment="1" applyProtection="1">
      <alignment horizontal="center" vertical="center" wrapText="1" readingOrder="2"/>
      <protection locked="0"/>
    </xf>
    <xf numFmtId="3" fontId="8" fillId="0" borderId="142" xfId="1" applyNumberFormat="1" applyFont="1" applyBorder="1" applyAlignment="1" applyProtection="1">
      <alignment horizontal="center" vertical="center"/>
      <protection locked="0"/>
    </xf>
    <xf numFmtId="166" fontId="35" fillId="3" borderId="85" xfId="0" applyNumberFormat="1" applyFont="1" applyFill="1" applyBorder="1" applyAlignment="1" applyProtection="1">
      <alignment horizontal="center" vertical="center"/>
      <protection locked="0"/>
    </xf>
    <xf numFmtId="166" fontId="35" fillId="3" borderId="140" xfId="0" applyNumberFormat="1" applyFont="1" applyFill="1" applyBorder="1" applyAlignment="1" applyProtection="1">
      <alignment horizontal="center" vertical="center"/>
      <protection locked="0"/>
    </xf>
    <xf numFmtId="166" fontId="8" fillId="3" borderId="277" xfId="16" applyNumberFormat="1" applyFont="1" applyFill="1" applyBorder="1" applyAlignment="1" applyProtection="1">
      <alignment horizontal="center" vertical="center" wrapText="1" readingOrder="2"/>
      <protection locked="0"/>
    </xf>
    <xf numFmtId="166" fontId="8" fillId="3" borderId="278" xfId="16" applyNumberFormat="1" applyFont="1" applyFill="1" applyBorder="1" applyAlignment="1" applyProtection="1">
      <alignment horizontal="center" vertical="center" wrapText="1" readingOrder="2"/>
      <protection locked="0"/>
    </xf>
    <xf numFmtId="166" fontId="8" fillId="3" borderId="278" xfId="13" applyNumberFormat="1" applyFont="1" applyFill="1" applyBorder="1" applyAlignment="1" applyProtection="1">
      <alignment horizontal="center" vertical="center" wrapText="1" readingOrder="2"/>
      <protection locked="0"/>
    </xf>
    <xf numFmtId="166" fontId="8" fillId="3" borderId="278" xfId="17" applyNumberFormat="1" applyFont="1" applyFill="1" applyBorder="1" applyAlignment="1" applyProtection="1">
      <alignment horizontal="center" vertical="center" wrapText="1" readingOrder="2"/>
      <protection locked="0"/>
    </xf>
    <xf numFmtId="166" fontId="8" fillId="0" borderId="188" xfId="16" applyNumberFormat="1" applyFont="1" applyFill="1" applyBorder="1" applyAlignment="1" applyProtection="1">
      <alignment horizontal="center" vertical="center" wrapText="1" readingOrder="2"/>
      <protection locked="0"/>
    </xf>
    <xf numFmtId="166" fontId="8" fillId="3" borderId="276" xfId="16" applyNumberFormat="1" applyFont="1" applyFill="1" applyBorder="1" applyAlignment="1" applyProtection="1">
      <alignment horizontal="center" vertical="center" wrapText="1" readingOrder="2"/>
      <protection locked="0"/>
    </xf>
    <xf numFmtId="166" fontId="8" fillId="3" borderId="276" xfId="13" applyNumberFormat="1" applyFont="1" applyFill="1" applyBorder="1" applyAlignment="1" applyProtection="1">
      <alignment horizontal="center" vertical="center" wrapText="1" readingOrder="2"/>
      <protection locked="0"/>
    </xf>
    <xf numFmtId="166" fontId="8" fillId="3" borderId="276" xfId="17" applyNumberFormat="1" applyFont="1" applyFill="1" applyBorder="1" applyAlignment="1" applyProtection="1">
      <alignment horizontal="center" vertical="center" wrapText="1" readingOrder="2"/>
      <protection locked="0"/>
    </xf>
    <xf numFmtId="166" fontId="8" fillId="3" borderId="188" xfId="16" applyNumberFormat="1" applyFont="1" applyFill="1" applyBorder="1" applyAlignment="1" applyProtection="1">
      <alignment horizontal="center" vertical="center" wrapText="1" readingOrder="2"/>
      <protection locked="0"/>
    </xf>
    <xf numFmtId="166" fontId="8" fillId="3" borderId="188" xfId="17" applyNumberFormat="1" applyFont="1" applyFill="1" applyBorder="1" applyAlignment="1" applyProtection="1">
      <alignment horizontal="center" vertical="center" wrapText="1" readingOrder="2"/>
      <protection locked="0"/>
    </xf>
    <xf numFmtId="166" fontId="8" fillId="3" borderId="7" xfId="17" applyNumberFormat="1" applyFont="1" applyFill="1" applyBorder="1" applyAlignment="1" applyProtection="1">
      <alignment horizontal="center" vertical="center" wrapText="1" readingOrder="2"/>
      <protection locked="0"/>
    </xf>
    <xf numFmtId="166" fontId="8" fillId="3" borderId="8" xfId="16" applyNumberFormat="1" applyFont="1" applyFill="1" applyBorder="1" applyAlignment="1" applyProtection="1">
      <alignment horizontal="center" vertical="center" wrapText="1" readingOrder="2"/>
      <protection locked="0"/>
    </xf>
    <xf numFmtId="166" fontId="8" fillId="3" borderId="8" xfId="13" applyNumberFormat="1" applyFont="1" applyFill="1" applyBorder="1" applyAlignment="1" applyProtection="1">
      <alignment horizontal="center" vertical="center" wrapText="1" readingOrder="2"/>
      <protection locked="0"/>
    </xf>
    <xf numFmtId="166" fontId="8" fillId="3" borderId="8" xfId="17" applyNumberFormat="1" applyFont="1" applyFill="1" applyBorder="1" applyAlignment="1" applyProtection="1">
      <alignment horizontal="center" vertical="center" wrapText="1" readingOrder="2"/>
      <protection locked="0"/>
    </xf>
    <xf numFmtId="172" fontId="8" fillId="0" borderId="278" xfId="16" applyNumberFormat="1" applyFont="1" applyFill="1" applyBorder="1" applyAlignment="1" applyProtection="1">
      <alignment horizontal="center" vertical="center" wrapText="1" readingOrder="2"/>
      <protection locked="0"/>
    </xf>
    <xf numFmtId="172" fontId="8" fillId="0" borderId="276" xfId="16" applyNumberFormat="1" applyFont="1" applyFill="1" applyBorder="1" applyAlignment="1" applyProtection="1">
      <alignment horizontal="center" vertical="center" wrapText="1" readingOrder="2"/>
      <protection locked="0"/>
    </xf>
    <xf numFmtId="172" fontId="8" fillId="0" borderId="8" xfId="16" applyNumberFormat="1" applyFont="1" applyFill="1" applyBorder="1" applyAlignment="1" applyProtection="1">
      <alignment horizontal="center" vertical="center" wrapText="1" readingOrder="2"/>
      <protection locked="0"/>
    </xf>
    <xf numFmtId="3" fontId="8" fillId="3" borderId="278" xfId="17" applyNumberFormat="1" applyFont="1" applyFill="1" applyBorder="1" applyAlignment="1" applyProtection="1">
      <alignment horizontal="center" vertical="center" wrapText="1" readingOrder="2"/>
      <protection locked="0"/>
    </xf>
    <xf numFmtId="37" fontId="8" fillId="3" borderId="276" xfId="16" applyNumberFormat="1" applyFont="1" applyFill="1" applyBorder="1" applyAlignment="1" applyProtection="1">
      <alignment horizontal="center" vertical="center" wrapText="1" readingOrder="2"/>
      <protection locked="0"/>
    </xf>
    <xf numFmtId="3" fontId="8" fillId="3" borderId="276" xfId="17" applyNumberFormat="1" applyFont="1" applyFill="1" applyBorder="1" applyAlignment="1" applyProtection="1">
      <alignment horizontal="center" vertical="center" wrapText="1" readingOrder="2"/>
      <protection locked="0"/>
    </xf>
    <xf numFmtId="3" fontId="8" fillId="3" borderId="8" xfId="17" applyNumberFormat="1" applyFont="1" applyFill="1" applyBorder="1" applyAlignment="1" applyProtection="1">
      <alignment horizontal="center" vertical="center" wrapText="1" readingOrder="2"/>
      <protection locked="0"/>
    </xf>
    <xf numFmtId="170" fontId="8" fillId="3" borderId="278" xfId="16" applyNumberFormat="1" applyFont="1" applyFill="1" applyBorder="1" applyAlignment="1" applyProtection="1">
      <alignment horizontal="center" vertical="center" wrapText="1" readingOrder="2"/>
      <protection locked="0"/>
    </xf>
    <xf numFmtId="3" fontId="8" fillId="3" borderId="278" xfId="16" applyNumberFormat="1" applyFont="1" applyFill="1" applyBorder="1" applyAlignment="1" applyProtection="1">
      <alignment horizontal="center" vertical="center" wrapText="1" readingOrder="2"/>
      <protection locked="0"/>
    </xf>
    <xf numFmtId="170" fontId="8" fillId="3" borderId="276" xfId="16" applyNumberFormat="1" applyFont="1" applyFill="1" applyBorder="1" applyAlignment="1" applyProtection="1">
      <alignment horizontal="center" vertical="center" wrapText="1" readingOrder="2"/>
      <protection locked="0"/>
    </xf>
    <xf numFmtId="37" fontId="8" fillId="3" borderId="280" xfId="16" applyNumberFormat="1" applyFont="1" applyFill="1" applyBorder="1" applyAlignment="1" applyProtection="1">
      <alignment horizontal="center" vertical="center" wrapText="1" readingOrder="2"/>
      <protection locked="0"/>
    </xf>
    <xf numFmtId="3" fontId="8" fillId="3" borderId="281" xfId="16" applyNumberFormat="1" applyFont="1" applyFill="1" applyBorder="1" applyAlignment="1" applyProtection="1">
      <alignment horizontal="center" vertical="center" wrapText="1" readingOrder="2"/>
      <protection locked="0"/>
    </xf>
    <xf numFmtId="0" fontId="71" fillId="3" borderId="0" xfId="0" applyFont="1" applyFill="1" applyProtection="1">
      <protection hidden="1"/>
    </xf>
    <xf numFmtId="3" fontId="43" fillId="0" borderId="0" xfId="0" applyNumberFormat="1" applyFont="1" applyAlignment="1" applyProtection="1">
      <alignment vertical="center" textRotation="90" shrinkToFit="1"/>
      <protection hidden="1"/>
    </xf>
    <xf numFmtId="0" fontId="43" fillId="0" borderId="0" xfId="0" applyFont="1" applyAlignment="1" applyProtection="1">
      <alignment vertical="center" textRotation="90" shrinkToFit="1"/>
      <protection hidden="1"/>
    </xf>
    <xf numFmtId="0" fontId="43" fillId="0" borderId="0" xfId="0" applyFont="1" applyAlignment="1" applyProtection="1">
      <alignment horizontal="center" vertical="center" shrinkToFit="1"/>
      <protection hidden="1"/>
    </xf>
    <xf numFmtId="0" fontId="43" fillId="29" borderId="10" xfId="0" applyFont="1" applyFill="1" applyBorder="1" applyAlignment="1" applyProtection="1">
      <alignment horizontal="center" vertical="center" shrinkToFit="1"/>
      <protection hidden="1"/>
    </xf>
    <xf numFmtId="0" fontId="43" fillId="29" borderId="11" xfId="0" applyFont="1" applyFill="1" applyBorder="1" applyAlignment="1" applyProtection="1">
      <alignment horizontal="center" vertical="center" shrinkToFit="1"/>
      <protection hidden="1"/>
    </xf>
    <xf numFmtId="0" fontId="43" fillId="29" borderId="143" xfId="0" applyFont="1" applyFill="1" applyBorder="1" applyAlignment="1" applyProtection="1">
      <alignment horizontal="center" vertical="center" shrinkToFit="1"/>
      <protection hidden="1"/>
    </xf>
    <xf numFmtId="0" fontId="43" fillId="29" borderId="140" xfId="0" applyFont="1" applyFill="1" applyBorder="1" applyAlignment="1" applyProtection="1">
      <alignment horizontal="center" vertical="center" shrinkToFit="1"/>
      <protection hidden="1"/>
    </xf>
    <xf numFmtId="0" fontId="43" fillId="29" borderId="141" xfId="0" applyFont="1" applyFill="1" applyBorder="1" applyAlignment="1" applyProtection="1">
      <alignment horizontal="center" vertical="center" shrinkToFit="1"/>
      <protection hidden="1"/>
    </xf>
    <xf numFmtId="3" fontId="43" fillId="29" borderId="140" xfId="0" applyNumberFormat="1" applyFont="1" applyFill="1" applyBorder="1" applyAlignment="1" applyProtection="1">
      <alignment horizontal="center" vertical="center" shrinkToFit="1"/>
      <protection hidden="1"/>
    </xf>
    <xf numFmtId="0" fontId="43" fillId="28" borderId="10" xfId="0" applyFont="1" applyFill="1" applyBorder="1" applyAlignment="1" applyProtection="1">
      <alignment horizontal="center" vertical="center" shrinkToFit="1"/>
      <protection hidden="1"/>
    </xf>
    <xf numFmtId="0" fontId="43" fillId="28" borderId="11" xfId="0" applyFont="1" applyFill="1" applyBorder="1" applyAlignment="1" applyProtection="1">
      <alignment horizontal="center" vertical="center" shrinkToFit="1"/>
      <protection hidden="1"/>
    </xf>
    <xf numFmtId="3" fontId="43" fillId="28" borderId="10" xfId="0" applyNumberFormat="1" applyFont="1" applyFill="1" applyBorder="1" applyAlignment="1" applyProtection="1">
      <alignment horizontal="center" vertical="center" shrinkToFit="1"/>
      <protection hidden="1"/>
    </xf>
    <xf numFmtId="3" fontId="43" fillId="28" borderId="11" xfId="0" applyNumberFormat="1" applyFont="1" applyFill="1" applyBorder="1" applyAlignment="1" applyProtection="1">
      <alignment horizontal="center" vertical="center" shrinkToFit="1"/>
      <protection hidden="1"/>
    </xf>
    <xf numFmtId="3" fontId="43" fillId="29" borderId="139" xfId="0" applyNumberFormat="1" applyFont="1" applyFill="1" applyBorder="1" applyAlignment="1" applyProtection="1">
      <alignment horizontal="center" vertical="center" shrinkToFit="1"/>
      <protection hidden="1"/>
    </xf>
    <xf numFmtId="3" fontId="43" fillId="29" borderId="142" xfId="0" applyNumberFormat="1" applyFont="1" applyFill="1" applyBorder="1" applyAlignment="1" applyProtection="1">
      <alignment horizontal="center" vertical="center" shrinkToFit="1"/>
      <protection hidden="1"/>
    </xf>
    <xf numFmtId="3" fontId="43" fillId="29" borderId="10" xfId="0" applyNumberFormat="1" applyFont="1" applyFill="1" applyBorder="1" applyAlignment="1" applyProtection="1">
      <alignment horizontal="center" vertical="center" shrinkToFit="1"/>
      <protection hidden="1"/>
    </xf>
    <xf numFmtId="3" fontId="43" fillId="29" borderId="11" xfId="0" applyNumberFormat="1" applyFont="1" applyFill="1" applyBorder="1" applyAlignment="1" applyProtection="1">
      <alignment horizontal="center" vertical="center" shrinkToFit="1"/>
      <protection hidden="1"/>
    </xf>
    <xf numFmtId="0" fontId="43" fillId="28" borderId="19" xfId="0" applyFont="1" applyFill="1" applyBorder="1" applyAlignment="1" applyProtection="1">
      <alignment horizontal="center" vertical="center" shrinkToFit="1"/>
      <protection hidden="1"/>
    </xf>
    <xf numFmtId="0" fontId="43" fillId="28" borderId="67" xfId="0" applyFont="1" applyFill="1" applyBorder="1" applyAlignment="1" applyProtection="1">
      <alignment horizontal="center" vertical="center" shrinkToFit="1"/>
      <protection hidden="1"/>
    </xf>
    <xf numFmtId="0" fontId="43" fillId="29" borderId="19" xfId="0" applyFont="1" applyFill="1" applyBorder="1" applyAlignment="1" applyProtection="1">
      <alignment horizontal="center" vertical="center" shrinkToFit="1"/>
      <protection hidden="1"/>
    </xf>
    <xf numFmtId="0" fontId="43" fillId="29" borderId="67" xfId="0" applyFont="1" applyFill="1" applyBorder="1" applyAlignment="1" applyProtection="1">
      <alignment horizontal="center" vertical="center" shrinkToFit="1"/>
      <protection hidden="1"/>
    </xf>
    <xf numFmtId="0" fontId="43" fillId="29" borderId="93" xfId="0" applyFont="1" applyFill="1" applyBorder="1" applyAlignment="1" applyProtection="1">
      <alignment horizontal="center" vertical="center" shrinkToFit="1"/>
      <protection hidden="1"/>
    </xf>
    <xf numFmtId="3" fontId="43" fillId="29" borderId="67" xfId="0" applyNumberFormat="1" applyFont="1" applyFill="1" applyBorder="1" applyAlignment="1" applyProtection="1">
      <alignment horizontal="center" vertical="center" shrinkToFit="1"/>
      <protection hidden="1"/>
    </xf>
    <xf numFmtId="3" fontId="43" fillId="0" borderId="0" xfId="0" applyNumberFormat="1" applyFont="1" applyAlignment="1" applyProtection="1">
      <alignment horizontal="center" vertical="center" textRotation="90" shrinkToFit="1"/>
      <protection hidden="1"/>
    </xf>
    <xf numFmtId="3" fontId="43" fillId="0" borderId="0" xfId="0" applyNumberFormat="1" applyFont="1" applyAlignment="1" applyProtection="1">
      <alignment horizontal="center" vertical="center" shrinkToFit="1"/>
      <protection hidden="1"/>
    </xf>
    <xf numFmtId="0" fontId="43" fillId="29" borderId="62" xfId="0" applyFont="1" applyFill="1" applyBorder="1" applyAlignment="1" applyProtection="1">
      <alignment horizontal="center" vertical="center" shrinkToFit="1"/>
      <protection hidden="1"/>
    </xf>
    <xf numFmtId="0" fontId="43" fillId="0" borderId="0" xfId="0" applyFont="1" applyAlignment="1" applyProtection="1">
      <alignment horizontal="center" vertical="center" textRotation="90" shrinkToFit="1"/>
      <protection hidden="1"/>
    </xf>
    <xf numFmtId="0" fontId="43" fillId="29" borderId="95" xfId="0" applyFont="1" applyFill="1" applyBorder="1" applyAlignment="1" applyProtection="1">
      <alignment horizontal="center" vertical="center" shrinkToFit="1"/>
      <protection hidden="1"/>
    </xf>
    <xf numFmtId="3" fontId="43" fillId="28" borderId="139" xfId="0" applyNumberFormat="1" applyFont="1" applyFill="1" applyBorder="1" applyAlignment="1" applyProtection="1">
      <alignment horizontal="center" vertical="center" shrinkToFit="1"/>
      <protection hidden="1"/>
    </xf>
    <xf numFmtId="3" fontId="43" fillId="28" borderId="142" xfId="0" applyNumberFormat="1" applyFont="1" applyFill="1" applyBorder="1" applyAlignment="1" applyProtection="1">
      <alignment horizontal="center" vertical="center" shrinkToFit="1"/>
      <protection hidden="1"/>
    </xf>
    <xf numFmtId="0" fontId="43" fillId="29" borderId="142" xfId="0" applyFont="1" applyFill="1" applyBorder="1" applyAlignment="1" applyProtection="1">
      <alignment horizontal="center" vertical="center" shrinkToFit="1"/>
      <protection hidden="1"/>
    </xf>
    <xf numFmtId="3" fontId="43" fillId="29" borderId="96" xfId="0" applyNumberFormat="1" applyFont="1" applyFill="1" applyBorder="1" applyAlignment="1" applyProtection="1">
      <alignment horizontal="center" vertical="center" shrinkToFit="1"/>
      <protection hidden="1"/>
    </xf>
    <xf numFmtId="3" fontId="43" fillId="29" borderId="98" xfId="0" applyNumberFormat="1" applyFont="1" applyFill="1" applyBorder="1" applyAlignment="1" applyProtection="1">
      <alignment horizontal="center" vertical="center" shrinkToFit="1"/>
      <protection hidden="1"/>
    </xf>
    <xf numFmtId="0" fontId="43" fillId="29" borderId="2" xfId="0" applyFont="1" applyFill="1" applyBorder="1" applyAlignment="1" applyProtection="1">
      <alignment horizontal="center" vertical="center" shrinkToFit="1"/>
      <protection hidden="1"/>
    </xf>
    <xf numFmtId="3" fontId="43" fillId="28" borderId="140" xfId="0" applyNumberFormat="1" applyFont="1" applyFill="1" applyBorder="1" applyAlignment="1" applyProtection="1">
      <alignment horizontal="center" vertical="center" shrinkToFit="1"/>
      <protection hidden="1"/>
    </xf>
    <xf numFmtId="0" fontId="43" fillId="28" borderId="2" xfId="0" applyFont="1" applyFill="1" applyBorder="1" applyAlignment="1" applyProtection="1">
      <alignment horizontal="center" vertical="center" shrinkToFit="1"/>
      <protection hidden="1"/>
    </xf>
    <xf numFmtId="3" fontId="43" fillId="28" borderId="141" xfId="0" applyNumberFormat="1" applyFont="1" applyFill="1" applyBorder="1" applyAlignment="1" applyProtection="1">
      <alignment horizontal="center" vertical="center" shrinkToFit="1"/>
      <protection hidden="1"/>
    </xf>
    <xf numFmtId="0" fontId="43" fillId="29" borderId="144" xfId="0" applyFont="1" applyFill="1" applyBorder="1" applyAlignment="1" applyProtection="1">
      <alignment horizontal="center" vertical="center" shrinkToFit="1"/>
      <protection hidden="1"/>
    </xf>
    <xf numFmtId="3" fontId="43" fillId="28" borderId="144" xfId="0" applyNumberFormat="1" applyFont="1" applyFill="1" applyBorder="1" applyAlignment="1" applyProtection="1">
      <alignment horizontal="center" vertical="center" shrinkToFit="1"/>
      <protection hidden="1"/>
    </xf>
    <xf numFmtId="0" fontId="43" fillId="28" borderId="169" xfId="0" applyFont="1" applyFill="1" applyBorder="1" applyAlignment="1" applyProtection="1">
      <alignment horizontal="center" vertical="center" shrinkToFit="1"/>
      <protection hidden="1"/>
    </xf>
    <xf numFmtId="0" fontId="43" fillId="29" borderId="169" xfId="0" applyFont="1" applyFill="1" applyBorder="1" applyAlignment="1" applyProtection="1">
      <alignment horizontal="center" vertical="center" shrinkToFit="1"/>
      <protection hidden="1"/>
    </xf>
    <xf numFmtId="3" fontId="43" fillId="29" borderId="169" xfId="0" applyNumberFormat="1" applyFont="1" applyFill="1" applyBorder="1" applyAlignment="1" applyProtection="1">
      <alignment horizontal="center" vertical="center" shrinkToFit="1"/>
      <protection hidden="1"/>
    </xf>
    <xf numFmtId="2" fontId="43" fillId="28" borderId="169" xfId="0" applyNumberFormat="1" applyFont="1" applyFill="1" applyBorder="1" applyAlignment="1" applyProtection="1">
      <alignment horizontal="center" vertical="center" shrinkToFit="1"/>
      <protection hidden="1"/>
    </xf>
    <xf numFmtId="0" fontId="43" fillId="29" borderId="139" xfId="0" applyFont="1" applyFill="1" applyBorder="1" applyAlignment="1" applyProtection="1">
      <alignment horizontal="center" vertical="center" shrinkToFit="1"/>
      <protection hidden="1"/>
    </xf>
    <xf numFmtId="0" fontId="43" fillId="29" borderId="76" xfId="0" applyFont="1" applyFill="1" applyBorder="1" applyAlignment="1" applyProtection="1">
      <alignment horizontal="center" vertical="center" shrinkToFit="1"/>
      <protection hidden="1"/>
    </xf>
    <xf numFmtId="0" fontId="43" fillId="28" borderId="70" xfId="0" applyFont="1" applyFill="1" applyBorder="1" applyAlignment="1" applyProtection="1">
      <alignment horizontal="center" vertical="center" shrinkToFit="1"/>
      <protection hidden="1"/>
    </xf>
    <xf numFmtId="0" fontId="43" fillId="29" borderId="174" xfId="0" applyFont="1" applyFill="1" applyBorder="1" applyAlignment="1" applyProtection="1">
      <alignment horizontal="center" vertical="center" shrinkToFit="1"/>
      <protection hidden="1"/>
    </xf>
    <xf numFmtId="0" fontId="43" fillId="28" borderId="82" xfId="0" applyFont="1" applyFill="1" applyBorder="1" applyAlignment="1" applyProtection="1">
      <alignment horizontal="center" vertical="center" shrinkToFit="1"/>
      <protection hidden="1"/>
    </xf>
    <xf numFmtId="3" fontId="43" fillId="29" borderId="2" xfId="0" applyNumberFormat="1" applyFont="1" applyFill="1" applyBorder="1" applyAlignment="1" applyProtection="1">
      <alignment horizontal="center" vertical="center" shrinkToFit="1"/>
      <protection hidden="1"/>
    </xf>
    <xf numFmtId="3" fontId="43" fillId="28" borderId="2" xfId="0" applyNumberFormat="1" applyFont="1" applyFill="1" applyBorder="1" applyAlignment="1" applyProtection="1">
      <alignment horizontal="center" vertical="center" shrinkToFit="1"/>
      <protection hidden="1"/>
    </xf>
    <xf numFmtId="0" fontId="43" fillId="29" borderId="170" xfId="0" applyFont="1" applyFill="1" applyBorder="1" applyAlignment="1" applyProtection="1">
      <alignment horizontal="center" vertical="center" shrinkToFit="1"/>
      <protection hidden="1"/>
    </xf>
    <xf numFmtId="0" fontId="43" fillId="29" borderId="75" xfId="0" applyFont="1" applyFill="1" applyBorder="1" applyAlignment="1" applyProtection="1">
      <alignment horizontal="center" vertical="center" shrinkToFit="1"/>
      <protection hidden="1"/>
    </xf>
    <xf numFmtId="0" fontId="43" fillId="29" borderId="171" xfId="0" applyFont="1" applyFill="1" applyBorder="1" applyAlignment="1" applyProtection="1">
      <alignment horizontal="center" vertical="center" shrinkToFit="1"/>
      <protection hidden="1"/>
    </xf>
    <xf numFmtId="0" fontId="43" fillId="29" borderId="77" xfId="0" applyFont="1" applyFill="1" applyBorder="1" applyAlignment="1" applyProtection="1">
      <alignment horizontal="center" vertical="center" shrinkToFit="1"/>
      <protection hidden="1"/>
    </xf>
    <xf numFmtId="0" fontId="43" fillId="29" borderId="153" xfId="0" applyFont="1" applyFill="1" applyBorder="1" applyAlignment="1" applyProtection="1">
      <alignment horizontal="center" vertical="center" shrinkToFit="1"/>
      <protection hidden="1"/>
    </xf>
    <xf numFmtId="0" fontId="43" fillId="28" borderId="131" xfId="0" applyFont="1" applyFill="1" applyBorder="1" applyAlignment="1" applyProtection="1">
      <alignment horizontal="center" vertical="center" shrinkToFit="1"/>
      <protection hidden="1"/>
    </xf>
    <xf numFmtId="0" fontId="43" fillId="29" borderId="86" xfId="0" applyFont="1" applyFill="1" applyBorder="1" applyAlignment="1" applyProtection="1">
      <alignment horizontal="center" vertical="center" shrinkToFit="1"/>
      <protection hidden="1"/>
    </xf>
    <xf numFmtId="0" fontId="43" fillId="29" borderId="85" xfId="0" applyFont="1" applyFill="1" applyBorder="1" applyAlignment="1" applyProtection="1">
      <alignment horizontal="center" vertical="center" shrinkToFit="1"/>
      <protection hidden="1"/>
    </xf>
    <xf numFmtId="0" fontId="43" fillId="29" borderId="83" xfId="0" applyFont="1" applyFill="1" applyBorder="1" applyAlignment="1" applyProtection="1">
      <alignment horizontal="center" vertical="center" shrinkToFit="1"/>
      <protection hidden="1"/>
    </xf>
    <xf numFmtId="0" fontId="43" fillId="28" borderId="74" xfId="0" applyFont="1" applyFill="1" applyBorder="1" applyAlignment="1" applyProtection="1">
      <alignment horizontal="center" vertical="center" shrinkToFit="1"/>
      <protection hidden="1"/>
    </xf>
    <xf numFmtId="3" fontId="43" fillId="28" borderId="170" xfId="0" applyNumberFormat="1" applyFont="1" applyFill="1" applyBorder="1" applyAlignment="1" applyProtection="1">
      <alignment horizontal="center" vertical="center" shrinkToFit="1"/>
      <protection hidden="1"/>
    </xf>
    <xf numFmtId="3" fontId="43" fillId="28" borderId="153" xfId="0" applyNumberFormat="1" applyFont="1" applyFill="1" applyBorder="1" applyAlignment="1" applyProtection="1">
      <alignment horizontal="center" vertical="center" shrinkToFit="1"/>
      <protection hidden="1"/>
    </xf>
    <xf numFmtId="0" fontId="43" fillId="28" borderId="141" xfId="0" applyFont="1" applyFill="1" applyBorder="1" applyAlignment="1" applyProtection="1">
      <alignment horizontal="center" vertical="center" shrinkToFit="1"/>
      <protection hidden="1"/>
    </xf>
    <xf numFmtId="0" fontId="43" fillId="28" borderId="144" xfId="0" applyFont="1" applyFill="1" applyBorder="1" applyAlignment="1" applyProtection="1">
      <alignment horizontal="center" vertical="center" shrinkToFit="1"/>
      <protection hidden="1"/>
    </xf>
    <xf numFmtId="0" fontId="43" fillId="29" borderId="1" xfId="0" applyFont="1" applyFill="1" applyBorder="1" applyAlignment="1" applyProtection="1">
      <alignment horizontal="center" vertical="center" shrinkToFit="1"/>
      <protection hidden="1"/>
    </xf>
    <xf numFmtId="0" fontId="43" fillId="29" borderId="49" xfId="0" applyFont="1" applyFill="1" applyBorder="1" applyAlignment="1" applyProtection="1">
      <alignment horizontal="center" vertical="center" shrinkToFit="1"/>
      <protection hidden="1"/>
    </xf>
    <xf numFmtId="0" fontId="43" fillId="29" borderId="89" xfId="0" applyFont="1" applyFill="1" applyBorder="1" applyAlignment="1" applyProtection="1">
      <alignment horizontal="center" vertical="center" shrinkToFit="1"/>
      <protection hidden="1"/>
    </xf>
    <xf numFmtId="3" fontId="43" fillId="29" borderId="141" xfId="0" applyNumberFormat="1" applyFont="1" applyFill="1" applyBorder="1" applyAlignment="1" applyProtection="1">
      <alignment horizontal="center" vertical="center" shrinkToFit="1"/>
      <protection hidden="1"/>
    </xf>
    <xf numFmtId="2" fontId="43" fillId="0" borderId="0" xfId="0" applyNumberFormat="1" applyFont="1" applyAlignment="1" applyProtection="1">
      <alignment horizontal="center" vertical="center" shrinkToFit="1"/>
      <protection hidden="1"/>
    </xf>
    <xf numFmtId="0" fontId="43" fillId="8" borderId="93" xfId="0" applyFont="1" applyFill="1" applyBorder="1" applyAlignment="1" applyProtection="1">
      <alignment horizontal="center" vertical="center" shrinkToFit="1"/>
      <protection hidden="1"/>
    </xf>
    <xf numFmtId="0" fontId="43" fillId="8" borderId="62" xfId="0" applyFont="1" applyFill="1" applyBorder="1" applyAlignment="1" applyProtection="1">
      <alignment horizontal="center" vertical="center" shrinkToFit="1"/>
      <protection hidden="1"/>
    </xf>
    <xf numFmtId="0" fontId="43" fillId="29" borderId="123" xfId="0" applyFont="1" applyFill="1" applyBorder="1" applyAlignment="1" applyProtection="1">
      <alignment horizontal="center" vertical="center" shrinkToFit="1"/>
      <protection hidden="1"/>
    </xf>
    <xf numFmtId="0" fontId="43" fillId="29" borderId="90" xfId="0" applyFont="1" applyFill="1" applyBorder="1" applyAlignment="1" applyProtection="1">
      <alignment horizontal="center" vertical="center" shrinkToFit="1"/>
      <protection hidden="1"/>
    </xf>
    <xf numFmtId="0" fontId="43" fillId="29" borderId="151" xfId="0" applyFont="1" applyFill="1" applyBorder="1" applyAlignment="1" applyProtection="1">
      <alignment horizontal="center" vertical="center" shrinkToFit="1"/>
      <protection hidden="1"/>
    </xf>
    <xf numFmtId="0" fontId="43" fillId="29" borderId="84" xfId="0" applyFont="1" applyFill="1" applyBorder="1" applyAlignment="1" applyProtection="1">
      <alignment horizontal="center" vertical="center" shrinkToFit="1"/>
      <protection hidden="1"/>
    </xf>
    <xf numFmtId="3" fontId="43" fillId="29" borderId="171" xfId="0" applyNumberFormat="1" applyFont="1" applyFill="1" applyBorder="1" applyAlignment="1" applyProtection="1">
      <alignment horizontal="center" vertical="center" shrinkToFit="1"/>
      <protection hidden="1"/>
    </xf>
    <xf numFmtId="3" fontId="43" fillId="29" borderId="151" xfId="0" applyNumberFormat="1" applyFont="1" applyFill="1" applyBorder="1" applyAlignment="1" applyProtection="1">
      <alignment horizontal="center" vertical="center" shrinkToFit="1"/>
      <protection hidden="1"/>
    </xf>
    <xf numFmtId="0" fontId="43" fillId="29" borderId="64" xfId="0" applyFont="1" applyFill="1" applyBorder="1" applyAlignment="1" applyProtection="1">
      <alignment horizontal="center" vertical="center" shrinkToFit="1"/>
      <protection hidden="1"/>
    </xf>
    <xf numFmtId="3" fontId="43" fillId="29" borderId="64" xfId="0" applyNumberFormat="1" applyFont="1" applyFill="1" applyBorder="1" applyAlignment="1" applyProtection="1">
      <alignment horizontal="center" vertical="center" shrinkToFit="1"/>
      <protection hidden="1"/>
    </xf>
    <xf numFmtId="3" fontId="43" fillId="29" borderId="78" xfId="0" applyNumberFormat="1" applyFont="1" applyFill="1" applyBorder="1" applyAlignment="1" applyProtection="1">
      <alignment horizontal="center" vertical="center" shrinkToFit="1"/>
      <protection hidden="1"/>
    </xf>
    <xf numFmtId="0" fontId="43" fillId="29" borderId="82" xfId="0" applyFont="1" applyFill="1" applyBorder="1" applyAlignment="1" applyProtection="1">
      <alignment horizontal="center" vertical="center" shrinkToFit="1"/>
      <protection hidden="1"/>
    </xf>
    <xf numFmtId="0" fontId="35" fillId="28" borderId="163" xfId="0" applyFont="1" applyFill="1" applyBorder="1" applyAlignment="1" applyProtection="1">
      <alignment horizontal="center" vertical="center" wrapText="1" readingOrder="2"/>
      <protection locked="0" hidden="1"/>
    </xf>
    <xf numFmtId="175" fontId="35" fillId="28" borderId="163" xfId="0" applyNumberFormat="1" applyFont="1" applyFill="1" applyBorder="1" applyAlignment="1" applyProtection="1">
      <alignment horizontal="center" vertical="center" wrapText="1" readingOrder="2"/>
      <protection locked="0" hidden="1"/>
    </xf>
    <xf numFmtId="0" fontId="41" fillId="0" borderId="0" xfId="0" applyFont="1" applyAlignment="1">
      <alignment horizontal="center" vertical="center" readingOrder="2"/>
    </xf>
    <xf numFmtId="0" fontId="41" fillId="0" borderId="0" xfId="0" applyFont="1" applyAlignment="1">
      <alignment vertical="center" readingOrder="2"/>
    </xf>
    <xf numFmtId="0" fontId="9" fillId="0" borderId="1" xfId="1" applyFont="1" applyBorder="1" applyAlignment="1">
      <alignment vertical="center" wrapText="1" readingOrder="2"/>
    </xf>
    <xf numFmtId="0" fontId="10" fillId="11" borderId="10" xfId="1" applyFont="1" applyFill="1" applyBorder="1" applyAlignment="1">
      <alignment horizontal="center" vertical="center" wrapText="1" readingOrder="2"/>
    </xf>
    <xf numFmtId="0" fontId="10" fillId="11" borderId="11" xfId="1" applyFont="1" applyFill="1" applyBorder="1" applyAlignment="1">
      <alignment horizontal="center" vertical="center" wrapText="1" readingOrder="2"/>
    </xf>
    <xf numFmtId="0" fontId="8" fillId="4" borderId="16" xfId="1" applyFont="1" applyFill="1" applyBorder="1" applyAlignment="1">
      <alignment horizontal="center" vertical="center" wrapText="1" readingOrder="2"/>
    </xf>
    <xf numFmtId="166" fontId="10" fillId="4" borderId="4" xfId="1" applyNumberFormat="1" applyFont="1" applyFill="1" applyBorder="1" applyAlignment="1">
      <alignment horizontal="center" vertical="center" wrapText="1" readingOrder="2"/>
    </xf>
    <xf numFmtId="0" fontId="8" fillId="4" borderId="18" xfId="1" applyFont="1" applyFill="1" applyBorder="1" applyAlignment="1">
      <alignment horizontal="center" vertical="center" wrapText="1" readingOrder="2"/>
    </xf>
    <xf numFmtId="166" fontId="10" fillId="4" borderId="36" xfId="1" applyNumberFormat="1" applyFont="1" applyFill="1" applyBorder="1" applyAlignment="1">
      <alignment horizontal="center" vertical="center" wrapText="1" readingOrder="2"/>
    </xf>
    <xf numFmtId="0" fontId="9" fillId="4" borderId="35" xfId="1" applyFont="1" applyFill="1" applyBorder="1" applyAlignment="1">
      <alignment horizontal="center" vertical="center" wrapText="1" readingOrder="2"/>
    </xf>
    <xf numFmtId="166" fontId="10" fillId="4" borderId="5" xfId="1" applyNumberFormat="1" applyFont="1" applyFill="1" applyBorder="1" applyAlignment="1">
      <alignment horizontal="center" vertical="center" wrapText="1" readingOrder="2"/>
    </xf>
    <xf numFmtId="0" fontId="2" fillId="0" borderId="0" xfId="1"/>
    <xf numFmtId="0" fontId="9" fillId="0" borderId="0" xfId="1" applyFont="1" applyAlignment="1">
      <alignment vertical="center" readingOrder="2"/>
    </xf>
    <xf numFmtId="0" fontId="15" fillId="0" borderId="0" xfId="1" applyFont="1" applyAlignment="1">
      <alignment horizontal="justify" vertical="top" readingOrder="2"/>
    </xf>
    <xf numFmtId="0" fontId="4" fillId="0" borderId="0" xfId="1" applyFont="1" applyAlignment="1">
      <alignment horizontal="justify" vertical="top" readingOrder="2"/>
    </xf>
    <xf numFmtId="0" fontId="3" fillId="0" borderId="0" xfId="1" applyFont="1" applyAlignment="1">
      <alignment readingOrder="2"/>
    </xf>
    <xf numFmtId="0" fontId="8" fillId="11" borderId="49" xfId="1" applyFont="1" applyFill="1" applyBorder="1" applyAlignment="1">
      <alignment horizontal="center" vertical="center" wrapText="1" readingOrder="2"/>
    </xf>
    <xf numFmtId="166" fontId="8" fillId="4" borderId="25" xfId="1" applyNumberFormat="1" applyFont="1" applyFill="1" applyBorder="1" applyAlignment="1">
      <alignment horizontal="center" vertical="center" wrapText="1" readingOrder="2"/>
    </xf>
    <xf numFmtId="166" fontId="10" fillId="4" borderId="37" xfId="1" applyNumberFormat="1" applyFont="1" applyFill="1" applyBorder="1" applyAlignment="1">
      <alignment horizontal="center" vertical="center" wrapText="1" readingOrder="2"/>
    </xf>
    <xf numFmtId="166" fontId="10" fillId="4" borderId="25" xfId="1" applyNumberFormat="1" applyFont="1" applyFill="1" applyBorder="1" applyAlignment="1">
      <alignment horizontal="center" vertical="center" wrapText="1" readingOrder="2"/>
    </xf>
    <xf numFmtId="166" fontId="8" fillId="4" borderId="31" xfId="1" applyNumberFormat="1" applyFont="1" applyFill="1" applyBorder="1" applyAlignment="1">
      <alignment horizontal="center" vertical="center" wrapText="1" readingOrder="2"/>
    </xf>
    <xf numFmtId="166" fontId="10" fillId="4" borderId="38" xfId="1" applyNumberFormat="1" applyFont="1" applyFill="1" applyBorder="1" applyAlignment="1">
      <alignment horizontal="center" vertical="center" wrapText="1" readingOrder="2"/>
    </xf>
    <xf numFmtId="166" fontId="10" fillId="4" borderId="31" xfId="1" applyNumberFormat="1" applyFont="1" applyFill="1" applyBorder="1" applyAlignment="1">
      <alignment horizontal="center" vertical="center" wrapText="1" readingOrder="2"/>
    </xf>
    <xf numFmtId="166" fontId="8" fillId="4" borderId="50" xfId="1" applyNumberFormat="1" applyFont="1" applyFill="1" applyBorder="1" applyAlignment="1">
      <alignment horizontal="center" vertical="center" wrapText="1" readingOrder="2"/>
    </xf>
    <xf numFmtId="166" fontId="10" fillId="4" borderId="50" xfId="1" applyNumberFormat="1" applyFont="1" applyFill="1" applyBorder="1" applyAlignment="1">
      <alignment horizontal="center" vertical="center" wrapText="1" readingOrder="2"/>
    </xf>
    <xf numFmtId="166" fontId="10" fillId="4" borderId="39" xfId="1" applyNumberFormat="1" applyFont="1" applyFill="1" applyBorder="1" applyAlignment="1">
      <alignment horizontal="center" vertical="center" wrapText="1" readingOrder="2"/>
    </xf>
    <xf numFmtId="166" fontId="8" fillId="4" borderId="46" xfId="1" applyNumberFormat="1" applyFont="1" applyFill="1" applyBorder="1" applyAlignment="1">
      <alignment horizontal="center" vertical="center" wrapText="1" readingOrder="2"/>
    </xf>
    <xf numFmtId="166" fontId="8" fillId="13" borderId="47" xfId="1" applyNumberFormat="1" applyFont="1" applyFill="1" applyBorder="1" applyAlignment="1">
      <alignment horizontal="center" vertical="center" wrapText="1" readingOrder="2"/>
    </xf>
    <xf numFmtId="0" fontId="8" fillId="4" borderId="4" xfId="1" applyFont="1" applyFill="1" applyBorder="1" applyAlignment="1">
      <alignment horizontal="center" vertical="center"/>
    </xf>
    <xf numFmtId="0" fontId="8" fillId="4" borderId="5" xfId="1" applyFont="1" applyFill="1" applyBorder="1" applyAlignment="1">
      <alignment horizontal="center" vertical="center"/>
    </xf>
    <xf numFmtId="0" fontId="8" fillId="4" borderId="36" xfId="1" applyFont="1" applyFill="1" applyBorder="1" applyAlignment="1">
      <alignment horizontal="center" vertical="center"/>
    </xf>
    <xf numFmtId="166" fontId="10" fillId="13" borderId="47" xfId="1" applyNumberFormat="1" applyFont="1" applyFill="1" applyBorder="1" applyAlignment="1">
      <alignment horizontal="center" vertical="center" wrapText="1" readingOrder="2"/>
    </xf>
    <xf numFmtId="166" fontId="10" fillId="4" borderId="46" xfId="1" applyNumberFormat="1" applyFont="1" applyFill="1" applyBorder="1" applyAlignment="1">
      <alignment horizontal="center" vertical="center" wrapText="1" readingOrder="2"/>
    </xf>
    <xf numFmtId="166" fontId="10" fillId="4" borderId="40" xfId="1" applyNumberFormat="1" applyFont="1" applyFill="1" applyBorder="1" applyAlignment="1">
      <alignment horizontal="center" vertical="center" wrapText="1" readingOrder="2"/>
    </xf>
    <xf numFmtId="0" fontId="8" fillId="0" borderId="1" xfId="1" applyFont="1" applyBorder="1" applyAlignment="1">
      <alignment vertical="center" wrapText="1" readingOrder="2"/>
    </xf>
    <xf numFmtId="166" fontId="10" fillId="4" borderId="42" xfId="1" applyNumberFormat="1" applyFont="1" applyFill="1" applyBorder="1" applyAlignment="1">
      <alignment horizontal="center" vertical="center" wrapText="1" readingOrder="2"/>
    </xf>
    <xf numFmtId="166" fontId="10" fillId="4" borderId="44" xfId="1" applyNumberFormat="1" applyFont="1" applyFill="1" applyBorder="1" applyAlignment="1">
      <alignment horizontal="center" vertical="center" wrapText="1" readingOrder="2"/>
    </xf>
    <xf numFmtId="0" fontId="12" fillId="0" borderId="0" xfId="4" applyFont="1" applyAlignment="1">
      <alignment vertical="center"/>
    </xf>
    <xf numFmtId="0" fontId="12" fillId="0" borderId="0" xfId="4" applyFont="1" applyAlignment="1">
      <alignment readingOrder="2"/>
    </xf>
    <xf numFmtId="0" fontId="12" fillId="0" borderId="0" xfId="4" applyFont="1" applyAlignment="1">
      <alignment vertical="center" readingOrder="2"/>
    </xf>
    <xf numFmtId="0" fontId="21" fillId="0" borderId="0" xfId="1" applyFont="1" applyAlignment="1">
      <alignment horizontal="center" vertical="center" readingOrder="2"/>
    </xf>
    <xf numFmtId="0" fontId="12" fillId="0" borderId="0" xfId="4" applyFont="1"/>
    <xf numFmtId="0" fontId="2" fillId="0" borderId="0" xfId="4"/>
    <xf numFmtId="0" fontId="34" fillId="0" borderId="0" xfId="4" applyFont="1"/>
    <xf numFmtId="0" fontId="56" fillId="0" borderId="0" xfId="4" applyFont="1" applyAlignment="1">
      <alignment horizontal="center" vertical="center"/>
    </xf>
    <xf numFmtId="0" fontId="14" fillId="0" borderId="0" xfId="4" applyFont="1" applyAlignment="1">
      <alignment horizontal="center" vertical="center"/>
    </xf>
    <xf numFmtId="0" fontId="57" fillId="0" borderId="0" xfId="4" applyFont="1" applyAlignment="1">
      <alignment horizontal="center" vertical="center"/>
    </xf>
    <xf numFmtId="0" fontId="13" fillId="11" borderId="0" xfId="4" applyFont="1" applyFill="1" applyAlignment="1">
      <alignment horizontal="center" vertical="center"/>
    </xf>
    <xf numFmtId="0" fontId="13" fillId="0" borderId="0" xfId="4" applyFont="1" applyAlignment="1">
      <alignment horizontal="center" vertical="center"/>
    </xf>
    <xf numFmtId="0" fontId="56" fillId="11" borderId="0" xfId="4" applyFont="1" applyFill="1" applyAlignment="1">
      <alignment horizontal="center" vertical="center"/>
    </xf>
    <xf numFmtId="0" fontId="13" fillId="11" borderId="91" xfId="4" applyFont="1" applyFill="1" applyBorder="1" applyAlignment="1">
      <alignment horizontal="center" vertical="center"/>
    </xf>
    <xf numFmtId="0" fontId="69" fillId="11" borderId="163" xfId="4" applyFont="1" applyFill="1" applyBorder="1" applyAlignment="1">
      <alignment horizontal="center" vertical="center"/>
    </xf>
    <xf numFmtId="0" fontId="69" fillId="11" borderId="163" xfId="4" applyFont="1" applyFill="1" applyBorder="1" applyAlignment="1">
      <alignment horizontal="center" vertical="center" wrapText="1"/>
    </xf>
    <xf numFmtId="3" fontId="8" fillId="4" borderId="0" xfId="4" applyNumberFormat="1" applyFont="1" applyFill="1" applyAlignment="1">
      <alignment horizontal="center" vertical="center"/>
    </xf>
    <xf numFmtId="3" fontId="8" fillId="4" borderId="99" xfId="4" applyNumberFormat="1" applyFont="1" applyFill="1" applyBorder="1" applyAlignment="1">
      <alignment horizontal="center" vertical="center"/>
    </xf>
    <xf numFmtId="0" fontId="8" fillId="0" borderId="0" xfId="4" applyFont="1" applyAlignment="1">
      <alignment vertical="center" readingOrder="2"/>
    </xf>
    <xf numFmtId="0" fontId="13" fillId="3" borderId="0" xfId="4" applyFont="1" applyFill="1" applyAlignment="1">
      <alignment horizontal="center" vertical="center"/>
    </xf>
    <xf numFmtId="0" fontId="51" fillId="4" borderId="0" xfId="4" applyFont="1" applyFill="1" applyAlignment="1">
      <alignment horizontal="center" vertical="center"/>
    </xf>
    <xf numFmtId="0" fontId="13" fillId="4" borderId="0" xfId="4" applyFont="1" applyFill="1" applyAlignment="1">
      <alignment horizontal="center" vertical="center"/>
    </xf>
    <xf numFmtId="0" fontId="4" fillId="0" borderId="0" xfId="1" applyFont="1"/>
    <xf numFmtId="0" fontId="8" fillId="0" borderId="0" xfId="1" applyFont="1" applyAlignment="1">
      <alignment readingOrder="2"/>
    </xf>
    <xf numFmtId="3" fontId="8" fillId="4" borderId="42" xfId="1" applyNumberFormat="1" applyFont="1" applyFill="1" applyBorder="1" applyAlignment="1">
      <alignment horizontal="center" vertical="center" wrapText="1" readingOrder="2"/>
    </xf>
    <xf numFmtId="166" fontId="10" fillId="4" borderId="114" xfId="1" applyNumberFormat="1" applyFont="1" applyFill="1" applyBorder="1" applyAlignment="1">
      <alignment horizontal="center" vertical="center" wrapText="1" readingOrder="2"/>
    </xf>
    <xf numFmtId="166" fontId="10" fillId="4" borderId="115" xfId="1" applyNumberFormat="1" applyFont="1" applyFill="1" applyBorder="1" applyAlignment="1">
      <alignment horizontal="center" vertical="center" wrapText="1" readingOrder="2"/>
    </xf>
    <xf numFmtId="0" fontId="9" fillId="4" borderId="145" xfId="1" applyFont="1" applyFill="1" applyBorder="1" applyAlignment="1">
      <alignment horizontal="center" vertical="center"/>
    </xf>
    <xf numFmtId="0" fontId="10" fillId="0" borderId="0" xfId="1" applyFont="1" applyAlignment="1">
      <alignment vertical="top" readingOrder="2"/>
    </xf>
    <xf numFmtId="3" fontId="8" fillId="0" borderId="183" xfId="1" applyNumberFormat="1" applyFont="1" applyBorder="1" applyAlignment="1" applyProtection="1">
      <alignment horizontal="center" vertical="center" wrapText="1" readingOrder="2"/>
      <protection locked="0"/>
    </xf>
    <xf numFmtId="3" fontId="8" fillId="0" borderId="56" xfId="1" applyNumberFormat="1" applyFont="1" applyBorder="1" applyAlignment="1" applyProtection="1">
      <alignment horizontal="center" vertical="center" wrapText="1" readingOrder="2"/>
      <protection locked="0"/>
    </xf>
    <xf numFmtId="3" fontId="8" fillId="0" borderId="145" xfId="1" applyNumberFormat="1" applyFont="1" applyBorder="1" applyAlignment="1" applyProtection="1">
      <alignment horizontal="center" vertical="center" wrapText="1" readingOrder="2"/>
      <protection locked="0"/>
    </xf>
    <xf numFmtId="0" fontId="8" fillId="16" borderId="10" xfId="1" applyFont="1" applyFill="1" applyBorder="1" applyAlignment="1">
      <alignment horizontal="center" vertical="center" wrapText="1" readingOrder="2"/>
    </xf>
    <xf numFmtId="0" fontId="8" fillId="16" borderId="2" xfId="1" applyFont="1" applyFill="1" applyBorder="1" applyAlignment="1">
      <alignment horizontal="center" vertical="center" wrapText="1" readingOrder="2"/>
    </xf>
    <xf numFmtId="0" fontId="8" fillId="16" borderId="82" xfId="1" applyFont="1" applyFill="1" applyBorder="1" applyAlignment="1">
      <alignment horizontal="center" vertical="center" wrapText="1" readingOrder="2"/>
    </xf>
    <xf numFmtId="0" fontId="8" fillId="16" borderId="11" xfId="1" applyFont="1" applyFill="1" applyBorder="1" applyAlignment="1">
      <alignment horizontal="center" vertical="center" wrapText="1" readingOrder="2"/>
    </xf>
    <xf numFmtId="0" fontId="7" fillId="13" borderId="54" xfId="1" applyFont="1" applyFill="1" applyBorder="1" applyAlignment="1">
      <alignment horizontal="center" vertical="center" wrapText="1" readingOrder="2"/>
    </xf>
    <xf numFmtId="3" fontId="8" fillId="13" borderId="285" xfId="1" applyNumberFormat="1" applyFont="1" applyFill="1" applyBorder="1" applyAlignment="1">
      <alignment horizontal="center" vertical="center" wrapText="1" readingOrder="2"/>
    </xf>
    <xf numFmtId="3" fontId="8" fillId="13" borderId="65" xfId="1" applyNumberFormat="1" applyFont="1" applyFill="1" applyBorder="1" applyAlignment="1">
      <alignment horizontal="center" vertical="center" wrapText="1" readingOrder="2"/>
    </xf>
    <xf numFmtId="3" fontId="8" fillId="4" borderId="65" xfId="1" applyNumberFormat="1" applyFont="1" applyFill="1" applyBorder="1" applyAlignment="1">
      <alignment horizontal="center" vertical="center" wrapText="1" readingOrder="2"/>
    </xf>
    <xf numFmtId="3" fontId="8" fillId="4" borderId="54" xfId="1" applyNumberFormat="1" applyFont="1" applyFill="1" applyBorder="1" applyAlignment="1">
      <alignment horizontal="center" vertical="center" wrapText="1" readingOrder="2"/>
    </xf>
    <xf numFmtId="3" fontId="7" fillId="13" borderId="65" xfId="1" applyNumberFormat="1" applyFont="1" applyFill="1" applyBorder="1" applyAlignment="1">
      <alignment horizontal="center" vertical="center" wrapText="1" readingOrder="2"/>
    </xf>
    <xf numFmtId="0" fontId="8" fillId="16" borderId="144" xfId="1" applyFont="1" applyFill="1" applyBorder="1" applyAlignment="1">
      <alignment horizontal="center" vertical="center" wrapText="1" readingOrder="2"/>
    </xf>
    <xf numFmtId="3" fontId="8" fillId="4" borderId="284" xfId="1" applyNumberFormat="1" applyFont="1" applyFill="1" applyBorder="1" applyAlignment="1">
      <alignment horizontal="center" vertical="center" wrapText="1" readingOrder="2"/>
    </xf>
    <xf numFmtId="3" fontId="8" fillId="4" borderId="145" xfId="1" applyNumberFormat="1" applyFont="1" applyFill="1" applyBorder="1" applyAlignment="1">
      <alignment horizontal="center" vertical="center" wrapText="1" readingOrder="2"/>
    </xf>
    <xf numFmtId="3" fontId="8" fillId="4" borderId="216" xfId="1" applyNumberFormat="1" applyFont="1" applyFill="1" applyBorder="1" applyAlignment="1">
      <alignment horizontal="center" vertical="center" wrapText="1" readingOrder="2"/>
    </xf>
    <xf numFmtId="3" fontId="8" fillId="4" borderId="5" xfId="1" applyNumberFormat="1" applyFont="1" applyFill="1" applyBorder="1" applyAlignment="1">
      <alignment horizontal="center" vertical="center" wrapText="1" readingOrder="2"/>
    </xf>
    <xf numFmtId="3" fontId="8" fillId="4" borderId="108" xfId="1" applyNumberFormat="1" applyFont="1" applyFill="1" applyBorder="1" applyAlignment="1">
      <alignment horizontal="center" vertical="center" wrapText="1" readingOrder="2"/>
    </xf>
    <xf numFmtId="0" fontId="8" fillId="28" borderId="118" xfId="1" applyFont="1" applyFill="1" applyBorder="1" applyAlignment="1" applyProtection="1">
      <alignment horizontal="center" vertical="center" wrapText="1" readingOrder="2"/>
      <protection locked="0" hidden="1"/>
    </xf>
    <xf numFmtId="0" fontId="6" fillId="28" borderId="107" xfId="1" applyFont="1" applyFill="1" applyBorder="1" applyAlignment="1" applyProtection="1">
      <alignment horizontal="center" vertical="center" wrapText="1" readingOrder="2"/>
      <protection locked="0" hidden="1"/>
    </xf>
    <xf numFmtId="0" fontId="8" fillId="28" borderId="108" xfId="1" applyFont="1" applyFill="1" applyBorder="1" applyAlignment="1" applyProtection="1">
      <alignment horizontal="center" vertical="center" wrapText="1" readingOrder="2"/>
      <protection locked="0" hidden="1"/>
    </xf>
    <xf numFmtId="0" fontId="6" fillId="28" borderId="108" xfId="1" applyFont="1" applyFill="1" applyBorder="1" applyAlignment="1" applyProtection="1">
      <alignment horizontal="center" vertical="center" wrapText="1" readingOrder="2"/>
      <protection locked="0" hidden="1"/>
    </xf>
    <xf numFmtId="0" fontId="3" fillId="0" borderId="1" xfId="1" applyFont="1" applyBorder="1" applyAlignment="1">
      <alignment horizontal="center" vertical="center" wrapText="1" readingOrder="2"/>
    </xf>
    <xf numFmtId="166" fontId="11" fillId="4" borderId="204" xfId="1" applyNumberFormat="1" applyFont="1" applyFill="1" applyBorder="1" applyAlignment="1">
      <alignment horizontal="center" vertical="center" wrapText="1" readingOrder="2"/>
    </xf>
    <xf numFmtId="166" fontId="11" fillId="4" borderId="203" xfId="1" applyNumberFormat="1" applyFont="1" applyFill="1" applyBorder="1" applyAlignment="1">
      <alignment horizontal="center" vertical="center" wrapText="1" readingOrder="2"/>
    </xf>
    <xf numFmtId="166" fontId="11" fillId="4" borderId="197" xfId="1" applyNumberFormat="1" applyFont="1" applyFill="1" applyBorder="1" applyAlignment="1">
      <alignment horizontal="center" vertical="center" wrapText="1" readingOrder="2"/>
    </xf>
    <xf numFmtId="166" fontId="11" fillId="4" borderId="161" xfId="1" applyNumberFormat="1" applyFont="1" applyFill="1" applyBorder="1" applyAlignment="1">
      <alignment horizontal="center" vertical="center" wrapText="1" readingOrder="2"/>
    </xf>
    <xf numFmtId="166" fontId="11" fillId="4" borderId="66" xfId="1" applyNumberFormat="1" applyFont="1" applyFill="1" applyBorder="1" applyAlignment="1">
      <alignment horizontal="center" vertical="center" wrapText="1" readingOrder="2"/>
    </xf>
    <xf numFmtId="166" fontId="11" fillId="4" borderId="67" xfId="1" applyNumberFormat="1" applyFont="1" applyFill="1" applyBorder="1" applyAlignment="1">
      <alignment horizontal="center" vertical="center" wrapText="1" readingOrder="2"/>
    </xf>
    <xf numFmtId="0" fontId="8" fillId="4" borderId="93" xfId="1" applyFont="1" applyFill="1" applyBorder="1" applyAlignment="1">
      <alignment horizontal="justify" vertical="center" wrapText="1" readingOrder="2"/>
    </xf>
    <xf numFmtId="166" fontId="8" fillId="4" borderId="19" xfId="1" applyNumberFormat="1" applyFont="1" applyFill="1" applyBorder="1" applyAlignment="1">
      <alignment horizontal="center" vertical="center" wrapText="1" readingOrder="2"/>
    </xf>
    <xf numFmtId="166" fontId="8" fillId="4" borderId="66" xfId="1" applyNumberFormat="1" applyFont="1" applyFill="1" applyBorder="1" applyAlignment="1">
      <alignment horizontal="center" vertical="center" wrapText="1" readingOrder="2"/>
    </xf>
    <xf numFmtId="0" fontId="13" fillId="4" borderId="93" xfId="1" applyFont="1" applyFill="1" applyBorder="1" applyAlignment="1">
      <alignment horizontal="justify" vertical="center" wrapText="1" readingOrder="2"/>
    </xf>
    <xf numFmtId="0" fontId="8" fillId="28" borderId="3" xfId="1" applyFont="1" applyFill="1" applyBorder="1" applyAlignment="1" applyProtection="1">
      <alignment horizontal="right" vertical="center" wrapText="1" readingOrder="2"/>
      <protection locked="0" hidden="1"/>
    </xf>
    <xf numFmtId="0" fontId="8" fillId="28" borderId="76" xfId="1" applyFont="1" applyFill="1" applyBorder="1" applyAlignment="1" applyProtection="1">
      <alignment horizontal="right" vertical="center" wrapText="1" readingOrder="2"/>
      <protection locked="0" hidden="1"/>
    </xf>
    <xf numFmtId="166" fontId="10" fillId="4" borderId="161" xfId="1" applyNumberFormat="1" applyFont="1" applyFill="1" applyBorder="1" applyAlignment="1">
      <alignment horizontal="center" vertical="center" wrapText="1" readingOrder="2"/>
    </xf>
    <xf numFmtId="166" fontId="10" fillId="4" borderId="67" xfId="1" applyNumberFormat="1" applyFont="1" applyFill="1" applyBorder="1" applyAlignment="1">
      <alignment horizontal="center" vertical="center" wrapText="1" readingOrder="2"/>
    </xf>
    <xf numFmtId="0" fontId="25" fillId="0" borderId="0" xfId="1" applyFont="1" applyAlignment="1">
      <alignment horizontal="center" vertical="center"/>
    </xf>
    <xf numFmtId="0" fontId="25" fillId="0" borderId="0" xfId="1" applyFont="1" applyAlignment="1">
      <alignment vertical="center" wrapText="1" readingOrder="2"/>
    </xf>
    <xf numFmtId="0" fontId="4" fillId="0" borderId="0" xfId="1" applyFont="1" applyAlignment="1">
      <alignment vertical="center"/>
    </xf>
    <xf numFmtId="0" fontId="28" fillId="0" borderId="1" xfId="1" applyFont="1" applyBorder="1" applyAlignment="1">
      <alignment vertical="center" readingOrder="2"/>
    </xf>
    <xf numFmtId="166" fontId="10" fillId="4" borderId="47" xfId="1" applyNumberFormat="1" applyFont="1" applyFill="1" applyBorder="1" applyAlignment="1">
      <alignment horizontal="center" vertical="center" readingOrder="2"/>
    </xf>
    <xf numFmtId="166" fontId="10" fillId="4" borderId="46" xfId="1" applyNumberFormat="1" applyFont="1" applyFill="1" applyBorder="1" applyAlignment="1">
      <alignment horizontal="center" vertical="center" readingOrder="2"/>
    </xf>
    <xf numFmtId="166" fontId="10" fillId="4" borderId="114" xfId="1" applyNumberFormat="1" applyFont="1" applyFill="1" applyBorder="1" applyAlignment="1">
      <alignment horizontal="center" vertical="center" readingOrder="2"/>
    </xf>
    <xf numFmtId="166" fontId="10" fillId="4" borderId="115" xfId="1" applyNumberFormat="1" applyFont="1" applyFill="1" applyBorder="1" applyAlignment="1">
      <alignment horizontal="center" vertical="center" readingOrder="2"/>
    </xf>
    <xf numFmtId="166" fontId="10" fillId="4" borderId="38" xfId="1" applyNumberFormat="1" applyFont="1" applyFill="1" applyBorder="1" applyAlignment="1">
      <alignment horizontal="center" vertical="center" readingOrder="2"/>
    </xf>
    <xf numFmtId="166" fontId="10" fillId="4" borderId="42" xfId="1" applyNumberFormat="1" applyFont="1" applyFill="1" applyBorder="1" applyAlignment="1">
      <alignment horizontal="center" vertical="center" readingOrder="2"/>
    </xf>
    <xf numFmtId="166" fontId="10" fillId="4" borderId="37" xfId="1" applyNumberFormat="1" applyFont="1" applyFill="1" applyBorder="1" applyAlignment="1">
      <alignment horizontal="center" vertical="center" readingOrder="2"/>
    </xf>
    <xf numFmtId="166" fontId="10" fillId="4" borderId="41" xfId="1" applyNumberFormat="1" applyFont="1" applyFill="1" applyBorder="1" applyAlignment="1">
      <alignment horizontal="center" vertical="center" readingOrder="2"/>
    </xf>
    <xf numFmtId="166" fontId="10" fillId="4" borderId="39" xfId="1" applyNumberFormat="1" applyFont="1" applyFill="1" applyBorder="1" applyAlignment="1">
      <alignment horizontal="center" vertical="center" readingOrder="2"/>
    </xf>
    <xf numFmtId="166" fontId="10" fillId="4" borderId="43" xfId="1" applyNumberFormat="1" applyFont="1" applyFill="1" applyBorder="1" applyAlignment="1">
      <alignment horizontal="center" vertical="center" readingOrder="2"/>
    </xf>
    <xf numFmtId="3" fontId="8" fillId="4" borderId="26" xfId="1" applyNumberFormat="1" applyFont="1" applyFill="1" applyBorder="1" applyAlignment="1">
      <alignment horizontal="center" vertical="center" readingOrder="2"/>
    </xf>
    <xf numFmtId="3" fontId="8" fillId="4" borderId="51" xfId="1" applyNumberFormat="1" applyFont="1" applyFill="1" applyBorder="1" applyAlignment="1">
      <alignment horizontal="center" vertical="center" readingOrder="2"/>
    </xf>
    <xf numFmtId="0" fontId="8" fillId="0" borderId="0" xfId="1" applyFont="1" applyAlignment="1">
      <alignment vertical="center" wrapText="1" readingOrder="2"/>
    </xf>
    <xf numFmtId="0" fontId="9" fillId="4" borderId="6" xfId="1" applyFont="1" applyFill="1" applyBorder="1" applyAlignment="1">
      <alignment horizontal="center" vertical="center"/>
    </xf>
    <xf numFmtId="3" fontId="10" fillId="4" borderId="38" xfId="1" applyNumberFormat="1" applyFont="1" applyFill="1" applyBorder="1" applyAlignment="1">
      <alignment horizontal="center" vertical="center" wrapText="1" readingOrder="2"/>
    </xf>
    <xf numFmtId="3" fontId="10" fillId="4" borderId="40" xfId="1" applyNumberFormat="1" applyFont="1" applyFill="1" applyBorder="1" applyAlignment="1">
      <alignment horizontal="center" vertical="center" wrapText="1" readingOrder="2"/>
    </xf>
    <xf numFmtId="3" fontId="10" fillId="4" borderId="44" xfId="1" applyNumberFormat="1" applyFont="1" applyFill="1" applyBorder="1" applyAlignment="1">
      <alignment horizontal="center" vertical="center" wrapText="1" readingOrder="2"/>
    </xf>
    <xf numFmtId="3" fontId="6" fillId="4" borderId="114" xfId="1" applyNumberFormat="1" applyFont="1" applyFill="1" applyBorder="1" applyAlignment="1">
      <alignment horizontal="center" vertical="center" wrapText="1" readingOrder="2"/>
    </xf>
    <xf numFmtId="3" fontId="6" fillId="4" borderId="38" xfId="1" applyNumberFormat="1" applyFont="1" applyFill="1" applyBorder="1" applyAlignment="1">
      <alignment horizontal="center" vertical="center" wrapText="1" readingOrder="2"/>
    </xf>
    <xf numFmtId="3" fontId="8" fillId="4" borderId="128" xfId="1" applyNumberFormat="1" applyFont="1" applyFill="1" applyBorder="1" applyAlignment="1">
      <alignment horizontal="center" vertical="center" wrapText="1" readingOrder="2"/>
    </xf>
    <xf numFmtId="3" fontId="13" fillId="4" borderId="65" xfId="1" applyNumberFormat="1" applyFont="1" applyFill="1" applyBorder="1" applyAlignment="1">
      <alignment horizontal="center" vertical="center" wrapText="1" readingOrder="2"/>
    </xf>
    <xf numFmtId="3" fontId="6" fillId="4" borderId="183" xfId="1" applyNumberFormat="1" applyFont="1" applyFill="1" applyBorder="1" applyAlignment="1">
      <alignment horizontal="center" vertical="center" wrapText="1" readingOrder="2"/>
    </xf>
    <xf numFmtId="3" fontId="6" fillId="4" borderId="56" xfId="1" applyNumberFormat="1" applyFont="1" applyFill="1" applyBorder="1" applyAlignment="1">
      <alignment horizontal="center" vertical="center" wrapText="1" readingOrder="2"/>
    </xf>
    <xf numFmtId="0" fontId="4" fillId="0" borderId="1" xfId="1" applyFont="1" applyBorder="1" applyAlignment="1">
      <alignment vertical="center" wrapText="1" readingOrder="2"/>
    </xf>
    <xf numFmtId="166" fontId="8" fillId="4" borderId="32" xfId="1" applyNumberFormat="1" applyFont="1" applyFill="1" applyBorder="1" applyAlignment="1">
      <alignment horizontal="center" vertical="center" readingOrder="2"/>
    </xf>
    <xf numFmtId="166" fontId="8" fillId="4" borderId="33" xfId="1" applyNumberFormat="1" applyFont="1" applyFill="1" applyBorder="1" applyAlignment="1">
      <alignment horizontal="center" vertical="center" readingOrder="2"/>
    </xf>
    <xf numFmtId="166" fontId="8" fillId="4" borderId="47" xfId="1" applyNumberFormat="1" applyFont="1" applyFill="1" applyBorder="1" applyAlignment="1">
      <alignment horizontal="center" vertical="center" readingOrder="2"/>
    </xf>
    <xf numFmtId="166" fontId="8" fillId="4" borderId="114" xfId="1" applyNumberFormat="1" applyFont="1" applyFill="1" applyBorder="1" applyAlignment="1">
      <alignment horizontal="center" vertical="center" readingOrder="2"/>
    </xf>
    <xf numFmtId="166" fontId="8" fillId="4" borderId="38" xfId="1" applyNumberFormat="1" applyFont="1" applyFill="1" applyBorder="1" applyAlignment="1">
      <alignment horizontal="center" vertical="center" readingOrder="2"/>
    </xf>
    <xf numFmtId="166" fontId="8" fillId="4" borderId="37" xfId="1" applyNumberFormat="1" applyFont="1" applyFill="1" applyBorder="1" applyAlignment="1">
      <alignment horizontal="center" vertical="center" readingOrder="2"/>
    </xf>
    <xf numFmtId="166" fontId="8" fillId="4" borderId="39" xfId="1" applyNumberFormat="1" applyFont="1" applyFill="1" applyBorder="1" applyAlignment="1">
      <alignment horizontal="center" vertical="center" readingOrder="2"/>
    </xf>
    <xf numFmtId="166" fontId="10" fillId="4" borderId="204" xfId="1" applyNumberFormat="1" applyFont="1" applyFill="1" applyBorder="1" applyAlignment="1">
      <alignment horizontal="center" vertical="center" wrapText="1" readingOrder="2"/>
    </xf>
    <xf numFmtId="166" fontId="10" fillId="4" borderId="197" xfId="1" applyNumberFormat="1" applyFont="1" applyFill="1" applyBorder="1" applyAlignment="1">
      <alignment horizontal="center" vertical="center" wrapText="1" readingOrder="2"/>
    </xf>
    <xf numFmtId="166" fontId="10" fillId="4" borderId="66" xfId="1" applyNumberFormat="1" applyFont="1" applyFill="1" applyBorder="1" applyAlignment="1">
      <alignment horizontal="center" vertical="center" wrapText="1" readingOrder="2"/>
    </xf>
    <xf numFmtId="0" fontId="13" fillId="0" borderId="1" xfId="1" applyFont="1" applyBorder="1" applyAlignment="1">
      <alignment vertical="center" wrapText="1" readingOrder="2"/>
    </xf>
    <xf numFmtId="0" fontId="22" fillId="0" borderId="0" xfId="1" applyFont="1" applyAlignment="1">
      <alignment horizontal="center" readingOrder="2"/>
    </xf>
    <xf numFmtId="0" fontId="22" fillId="0" borderId="0" xfId="1" applyFont="1" applyAlignment="1">
      <alignment readingOrder="2"/>
    </xf>
    <xf numFmtId="0" fontId="4" fillId="0" borderId="0" xfId="1" applyFont="1" applyAlignment="1">
      <alignment vertical="top" readingOrder="2"/>
    </xf>
    <xf numFmtId="0" fontId="8" fillId="15" borderId="19" xfId="1" applyFont="1" applyFill="1" applyBorder="1" applyAlignment="1">
      <alignment horizontal="center" vertical="center" wrapText="1" readingOrder="2"/>
    </xf>
    <xf numFmtId="0" fontId="8" fillId="15" borderId="66" xfId="1" applyFont="1" applyFill="1" applyBorder="1" applyAlignment="1">
      <alignment horizontal="center" vertical="center" wrapText="1" readingOrder="2"/>
    </xf>
    <xf numFmtId="0" fontId="8" fillId="15" borderId="67" xfId="1" applyFont="1" applyFill="1" applyBorder="1" applyAlignment="1">
      <alignment horizontal="center" vertical="center" wrapText="1" readingOrder="2"/>
    </xf>
    <xf numFmtId="0" fontId="8" fillId="15" borderId="155" xfId="1" applyFont="1" applyFill="1" applyBorder="1" applyAlignment="1">
      <alignment horizontal="center" vertical="center" wrapText="1" readingOrder="2"/>
    </xf>
    <xf numFmtId="0" fontId="8" fillId="4" borderId="32" xfId="1" applyFont="1" applyFill="1" applyBorder="1" applyAlignment="1">
      <alignment horizontal="justify" vertical="center" wrapText="1" readingOrder="2"/>
    </xf>
    <xf numFmtId="3" fontId="8" fillId="4" borderId="33" xfId="1" applyNumberFormat="1" applyFont="1" applyFill="1" applyBorder="1" applyAlignment="1">
      <alignment horizontal="center" vertical="center" wrapText="1" readingOrder="2"/>
    </xf>
    <xf numFmtId="3" fontId="8" fillId="4" borderId="47" xfId="1" applyNumberFormat="1" applyFont="1" applyFill="1" applyBorder="1" applyAlignment="1">
      <alignment horizontal="center" vertical="center" wrapText="1" readingOrder="2"/>
    </xf>
    <xf numFmtId="3" fontId="8" fillId="4" borderId="46" xfId="1" applyNumberFormat="1" applyFont="1" applyFill="1" applyBorder="1" applyAlignment="1">
      <alignment horizontal="center" vertical="center" wrapText="1" readingOrder="2"/>
    </xf>
    <xf numFmtId="3" fontId="8" fillId="4" borderId="34" xfId="1" applyNumberFormat="1" applyFont="1" applyFill="1" applyBorder="1" applyAlignment="1">
      <alignment horizontal="center" vertical="center" wrapText="1" readingOrder="2"/>
    </xf>
    <xf numFmtId="3" fontId="8" fillId="4" borderId="25" xfId="1" applyNumberFormat="1" applyFont="1" applyFill="1" applyBorder="1" applyAlignment="1">
      <alignment horizontal="center" vertical="center" wrapText="1" readingOrder="2"/>
    </xf>
    <xf numFmtId="3" fontId="8" fillId="4" borderId="31" xfId="1" applyNumberFormat="1" applyFont="1" applyFill="1" applyBorder="1" applyAlignment="1">
      <alignment horizontal="center" vertical="center" wrapText="1" readingOrder="2"/>
    </xf>
    <xf numFmtId="3" fontId="8" fillId="4" borderId="45" xfId="1" applyNumberFormat="1" applyFont="1" applyFill="1" applyBorder="1" applyAlignment="1">
      <alignment horizontal="center" vertical="center" wrapText="1" readingOrder="2"/>
    </xf>
    <xf numFmtId="3" fontId="10" fillId="4" borderId="33" xfId="1" applyNumberFormat="1" applyFont="1" applyFill="1" applyBorder="1" applyAlignment="1">
      <alignment horizontal="center" vertical="center" wrapText="1" readingOrder="2"/>
    </xf>
    <xf numFmtId="3" fontId="10" fillId="4" borderId="47" xfId="1" applyNumberFormat="1" applyFont="1" applyFill="1" applyBorder="1" applyAlignment="1">
      <alignment horizontal="center" vertical="center" wrapText="1" readingOrder="2"/>
    </xf>
    <xf numFmtId="3" fontId="10" fillId="4" borderId="46" xfId="1" applyNumberFormat="1" applyFont="1" applyFill="1" applyBorder="1" applyAlignment="1">
      <alignment horizontal="center" vertical="center" wrapText="1" readingOrder="2"/>
    </xf>
    <xf numFmtId="166" fontId="10" fillId="4" borderId="184" xfId="1" applyNumberFormat="1" applyFont="1" applyFill="1" applyBorder="1" applyAlignment="1">
      <alignment horizontal="center" vertical="center" wrapText="1" readingOrder="2"/>
    </xf>
    <xf numFmtId="3" fontId="10" fillId="4" borderId="37" xfId="1" applyNumberFormat="1" applyFont="1" applyFill="1" applyBorder="1" applyAlignment="1">
      <alignment horizontal="center" vertical="center" wrapText="1" readingOrder="2"/>
    </xf>
    <xf numFmtId="3" fontId="10" fillId="4" borderId="107" xfId="1" applyNumberFormat="1" applyFont="1" applyFill="1" applyBorder="1" applyAlignment="1">
      <alignment horizontal="center" vertical="center" wrapText="1" readingOrder="2"/>
    </xf>
    <xf numFmtId="3" fontId="10" fillId="4" borderId="22" xfId="1" applyNumberFormat="1" applyFont="1" applyFill="1" applyBorder="1" applyAlignment="1">
      <alignment horizontal="center" vertical="center" wrapText="1" readingOrder="2"/>
    </xf>
    <xf numFmtId="3" fontId="10" fillId="4" borderId="5" xfId="1" applyNumberFormat="1" applyFont="1" applyFill="1" applyBorder="1" applyAlignment="1">
      <alignment horizontal="center" vertical="center" wrapText="1" readingOrder="2"/>
    </xf>
    <xf numFmtId="3" fontId="10" fillId="4" borderId="108" xfId="1" applyNumberFormat="1" applyFont="1" applyFill="1" applyBorder="1" applyAlignment="1">
      <alignment horizontal="center" vertical="center" wrapText="1" readingOrder="2"/>
    </xf>
    <xf numFmtId="3" fontId="10" fillId="4" borderId="26" xfId="1" applyNumberFormat="1" applyFont="1" applyFill="1" applyBorder="1" applyAlignment="1">
      <alignment horizontal="center" vertical="center" wrapText="1" readingOrder="2"/>
    </xf>
    <xf numFmtId="3" fontId="10" fillId="4" borderId="6" xfId="1" applyNumberFormat="1" applyFont="1" applyFill="1" applyBorder="1" applyAlignment="1">
      <alignment horizontal="center" vertical="center" wrapText="1" readingOrder="2"/>
    </xf>
    <xf numFmtId="3" fontId="10" fillId="4" borderId="45" xfId="1" applyNumberFormat="1" applyFont="1" applyFill="1" applyBorder="1" applyAlignment="1">
      <alignment horizontal="center" vertical="center" wrapText="1" readingOrder="2"/>
    </xf>
    <xf numFmtId="166" fontId="10" fillId="3" borderId="142" xfId="1" applyNumberFormat="1" applyFont="1" applyFill="1" applyBorder="1" applyAlignment="1" applyProtection="1">
      <alignment horizontal="center" vertical="center" wrapText="1" readingOrder="2"/>
      <protection locked="0"/>
    </xf>
    <xf numFmtId="0" fontId="25" fillId="0" borderId="0" xfId="1" applyFont="1" applyAlignment="1">
      <alignment vertical="center"/>
    </xf>
    <xf numFmtId="0" fontId="2" fillId="0" borderId="0" xfId="2"/>
    <xf numFmtId="0" fontId="25" fillId="0" borderId="0" xfId="2" applyFont="1"/>
    <xf numFmtId="0" fontId="33" fillId="0" borderId="1" xfId="2" applyFont="1" applyBorder="1"/>
    <xf numFmtId="0" fontId="10" fillId="11" borderId="10" xfId="2" applyFont="1" applyFill="1" applyBorder="1" applyAlignment="1">
      <alignment horizontal="center" vertical="center" wrapText="1"/>
    </xf>
    <xf numFmtId="0" fontId="10" fillId="11" borderId="2" xfId="2" applyFont="1" applyFill="1" applyBorder="1" applyAlignment="1">
      <alignment horizontal="center" vertical="center" wrapText="1"/>
    </xf>
    <xf numFmtId="0" fontId="10" fillId="11" borderId="11" xfId="2" applyFont="1" applyFill="1" applyBorder="1" applyAlignment="1">
      <alignment horizontal="center" vertical="center" wrapText="1"/>
    </xf>
    <xf numFmtId="0" fontId="8" fillId="4" borderId="113" xfId="2" applyFont="1" applyFill="1" applyBorder="1" applyAlignment="1">
      <alignment horizontal="center" vertical="center" wrapText="1"/>
    </xf>
    <xf numFmtId="0" fontId="8" fillId="4" borderId="5" xfId="2" applyFont="1" applyFill="1" applyBorder="1" applyAlignment="1">
      <alignment horizontal="center" vertical="center" wrapText="1"/>
    </xf>
    <xf numFmtId="0" fontId="8" fillId="4" borderId="6" xfId="2" applyFont="1" applyFill="1" applyBorder="1" applyAlignment="1">
      <alignment horizontal="center" vertical="center" wrapText="1"/>
    </xf>
    <xf numFmtId="166" fontId="8" fillId="4" borderId="115" xfId="2" applyNumberFormat="1" applyFont="1" applyFill="1" applyBorder="1" applyAlignment="1">
      <alignment horizontal="center" vertical="center" wrapText="1"/>
    </xf>
    <xf numFmtId="166" fontId="8" fillId="4" borderId="44" xfId="2" applyNumberFormat="1" applyFont="1" applyFill="1" applyBorder="1" applyAlignment="1">
      <alignment horizontal="center" vertical="center" wrapText="1"/>
    </xf>
    <xf numFmtId="0" fontId="65" fillId="0" borderId="1" xfId="2" applyFont="1" applyBorder="1"/>
    <xf numFmtId="0" fontId="6" fillId="0" borderId="0" xfId="1" applyFont="1" applyAlignment="1">
      <alignment vertical="center"/>
    </xf>
    <xf numFmtId="0" fontId="6" fillId="0" borderId="0" xfId="1" applyFont="1" applyAlignment="1">
      <alignment horizontal="center" vertical="center"/>
    </xf>
    <xf numFmtId="0" fontId="9" fillId="0" borderId="0" xfId="1" applyFont="1" applyAlignment="1">
      <alignment horizontal="justify" vertical="center" wrapText="1" readingOrder="2"/>
    </xf>
    <xf numFmtId="0" fontId="8" fillId="28" borderId="188" xfId="1" applyFont="1" applyFill="1" applyBorder="1" applyAlignment="1" applyProtection="1">
      <alignment horizontal="right" vertical="center" wrapText="1" readingOrder="2"/>
      <protection locked="0" hidden="1"/>
    </xf>
    <xf numFmtId="0" fontId="13" fillId="0" borderId="1" xfId="1" applyFont="1" applyBorder="1" applyAlignment="1">
      <alignment horizontal="justify" vertical="center" wrapText="1" readingOrder="2"/>
    </xf>
    <xf numFmtId="0" fontId="8" fillId="28" borderId="179" xfId="1" applyFont="1" applyFill="1" applyBorder="1" applyAlignment="1" applyProtection="1">
      <alignment horizontal="right" vertical="center" wrapText="1" readingOrder="2"/>
      <protection locked="0" hidden="1"/>
    </xf>
    <xf numFmtId="3" fontId="8" fillId="4" borderId="199" xfId="1" applyNumberFormat="1" applyFont="1" applyFill="1" applyBorder="1" applyAlignment="1">
      <alignment horizontal="center" vertical="center"/>
    </xf>
    <xf numFmtId="3" fontId="8" fillId="4" borderId="47" xfId="1" applyNumberFormat="1" applyFont="1" applyFill="1" applyBorder="1" applyAlignment="1">
      <alignment horizontal="center" vertical="center"/>
    </xf>
    <xf numFmtId="3" fontId="8" fillId="4" borderId="46" xfId="1" applyNumberFormat="1" applyFont="1" applyFill="1" applyBorder="1" applyAlignment="1">
      <alignment horizontal="center" vertical="center"/>
    </xf>
    <xf numFmtId="3" fontId="8" fillId="4" borderId="33" xfId="1" applyNumberFormat="1" applyFont="1" applyFill="1" applyBorder="1" applyAlignment="1">
      <alignment horizontal="center" vertical="center"/>
    </xf>
    <xf numFmtId="0" fontId="8" fillId="4" borderId="185" xfId="1" applyFont="1" applyFill="1" applyBorder="1" applyAlignment="1">
      <alignment horizontal="center" vertical="center" wrapText="1" readingOrder="2"/>
    </xf>
    <xf numFmtId="0" fontId="8" fillId="4" borderId="177" xfId="1" applyFont="1" applyFill="1" applyBorder="1" applyAlignment="1">
      <alignment horizontal="center" vertical="center" wrapText="1" readingOrder="2"/>
    </xf>
    <xf numFmtId="0" fontId="8" fillId="11" borderId="140" xfId="1" applyFont="1" applyFill="1" applyBorder="1" applyAlignment="1">
      <alignment horizontal="center" vertical="center" wrapText="1" readingOrder="2"/>
    </xf>
    <xf numFmtId="0" fontId="8" fillId="11" borderId="142" xfId="1" applyFont="1" applyFill="1" applyBorder="1" applyAlignment="1">
      <alignment horizontal="center" vertical="center" wrapText="1" readingOrder="2"/>
    </xf>
    <xf numFmtId="0" fontId="11" fillId="17" borderId="35" xfId="1" applyFont="1" applyFill="1" applyBorder="1" applyAlignment="1">
      <alignment horizontal="right" vertical="center" wrapText="1" readingOrder="2"/>
    </xf>
    <xf numFmtId="3" fontId="8" fillId="17" borderId="33" xfId="1" applyNumberFormat="1" applyFont="1" applyFill="1" applyBorder="1" applyAlignment="1">
      <alignment horizontal="center" vertical="center" wrapText="1" readingOrder="2"/>
    </xf>
    <xf numFmtId="3" fontId="11" fillId="17" borderId="199" xfId="1" applyNumberFormat="1" applyFont="1" applyFill="1" applyBorder="1" applyAlignment="1">
      <alignment horizontal="center" vertical="center" wrapText="1" readingOrder="2"/>
    </xf>
    <xf numFmtId="3" fontId="11" fillId="17" borderId="33" xfId="1" applyNumberFormat="1" applyFont="1" applyFill="1" applyBorder="1" applyAlignment="1">
      <alignment horizontal="center" vertical="center" wrapText="1" readingOrder="2"/>
    </xf>
    <xf numFmtId="3" fontId="8" fillId="4" borderId="199" xfId="1" applyNumberFormat="1" applyFont="1" applyFill="1" applyBorder="1" applyAlignment="1">
      <alignment horizontal="center" vertical="center" wrapText="1" readingOrder="2"/>
    </xf>
    <xf numFmtId="3" fontId="8" fillId="4" borderId="180" xfId="1" applyNumberFormat="1" applyFont="1" applyFill="1" applyBorder="1" applyAlignment="1">
      <alignment horizontal="center" vertical="center" wrapText="1" readingOrder="2"/>
    </xf>
    <xf numFmtId="3" fontId="8" fillId="4" borderId="167" xfId="1" applyNumberFormat="1" applyFont="1" applyFill="1" applyBorder="1" applyAlignment="1">
      <alignment horizontal="center" vertical="center" wrapText="1" readingOrder="2"/>
    </xf>
    <xf numFmtId="0" fontId="9" fillId="0" borderId="0" xfId="1" applyFont="1"/>
    <xf numFmtId="0" fontId="13" fillId="0" borderId="0" xfId="1" applyFont="1"/>
    <xf numFmtId="0" fontId="8" fillId="11" borderId="90" xfId="1" applyFont="1" applyFill="1" applyBorder="1" applyAlignment="1">
      <alignment horizontal="center" vertical="center" wrapText="1" readingOrder="2"/>
    </xf>
    <xf numFmtId="0" fontId="8" fillId="11" borderId="112" xfId="1" applyFont="1" applyFill="1" applyBorder="1" applyAlignment="1">
      <alignment horizontal="center" vertical="center" wrapText="1" readingOrder="2"/>
    </xf>
    <xf numFmtId="3" fontId="8" fillId="4" borderId="175" xfId="1" applyNumberFormat="1" applyFont="1" applyFill="1" applyBorder="1" applyAlignment="1">
      <alignment horizontal="center" vertical="center" wrapText="1" readingOrder="2"/>
    </xf>
    <xf numFmtId="3" fontId="8" fillId="4" borderId="178" xfId="1" applyNumberFormat="1" applyFont="1" applyFill="1" applyBorder="1" applyAlignment="1">
      <alignment horizontal="center" vertical="center" wrapText="1" readingOrder="2"/>
    </xf>
    <xf numFmtId="0" fontId="8" fillId="4" borderId="186" xfId="1" applyFont="1" applyFill="1" applyBorder="1" applyAlignment="1">
      <alignment horizontal="center" vertical="center" wrapText="1" readingOrder="2"/>
    </xf>
    <xf numFmtId="3" fontId="8" fillId="4" borderId="140" xfId="1" applyNumberFormat="1" applyFont="1" applyFill="1" applyBorder="1" applyAlignment="1">
      <alignment horizontal="center" vertical="center" wrapText="1" readingOrder="2"/>
    </xf>
    <xf numFmtId="3" fontId="8" fillId="4" borderId="142" xfId="1" applyNumberFormat="1" applyFont="1" applyFill="1" applyBorder="1" applyAlignment="1">
      <alignment horizontal="center" vertical="center"/>
    </xf>
    <xf numFmtId="0" fontId="8" fillId="4" borderId="139" xfId="1" applyFont="1" applyFill="1" applyBorder="1" applyAlignment="1">
      <alignment horizontal="center" vertical="center" wrapText="1" readingOrder="2"/>
    </xf>
    <xf numFmtId="0" fontId="8" fillId="4" borderId="10" xfId="1" applyFont="1" applyFill="1" applyBorder="1" applyAlignment="1">
      <alignment horizontal="center" vertical="center" wrapText="1" readingOrder="2"/>
    </xf>
    <xf numFmtId="0" fontId="8" fillId="0" borderId="0" xfId="1" applyFont="1"/>
    <xf numFmtId="0" fontId="8" fillId="0" borderId="0" xfId="1" applyFont="1" applyAlignment="1">
      <alignment horizontal="center" readingOrder="2"/>
    </xf>
    <xf numFmtId="3" fontId="8" fillId="4" borderId="88" xfId="1" applyNumberFormat="1" applyFont="1" applyFill="1" applyBorder="1" applyAlignment="1">
      <alignment horizontal="center" vertical="center"/>
    </xf>
    <xf numFmtId="3" fontId="8" fillId="4" borderId="139" xfId="1" applyNumberFormat="1" applyFont="1" applyFill="1" applyBorder="1" applyAlignment="1">
      <alignment horizontal="center" vertical="center"/>
    </xf>
    <xf numFmtId="0" fontId="8" fillId="28" borderId="140" xfId="1" applyFont="1" applyFill="1" applyBorder="1" applyAlignment="1" applyProtection="1">
      <alignment horizontal="center" vertical="center" wrapText="1" readingOrder="2"/>
      <protection locked="0" hidden="1"/>
    </xf>
    <xf numFmtId="0" fontId="35" fillId="11" borderId="13" xfId="0" applyFont="1" applyFill="1" applyBorder="1" applyAlignment="1">
      <alignment horizontal="center" vertical="center" wrapText="1" readingOrder="2"/>
    </xf>
    <xf numFmtId="0" fontId="35" fillId="11" borderId="14" xfId="0" applyFont="1" applyFill="1" applyBorder="1" applyAlignment="1">
      <alignment horizontal="center" vertical="center" wrapText="1" readingOrder="2"/>
    </xf>
    <xf numFmtId="0" fontId="35" fillId="11" borderId="48" xfId="0" applyFont="1" applyFill="1" applyBorder="1" applyAlignment="1">
      <alignment horizontal="center" vertical="center" wrapText="1" readingOrder="2"/>
    </xf>
    <xf numFmtId="0" fontId="35" fillId="11" borderId="10" xfId="0" applyFont="1" applyFill="1" applyBorder="1" applyAlignment="1">
      <alignment horizontal="center" vertical="center" wrapText="1" readingOrder="2"/>
    </xf>
    <xf numFmtId="0" fontId="35" fillId="11" borderId="2" xfId="0" applyFont="1" applyFill="1" applyBorder="1" applyAlignment="1">
      <alignment horizontal="center" vertical="center" wrapText="1" readingOrder="2"/>
    </xf>
    <xf numFmtId="0" fontId="35" fillId="11" borderId="13" xfId="0" applyFont="1" applyFill="1" applyBorder="1" applyAlignment="1">
      <alignment horizontal="center" vertical="center" textRotation="90" wrapText="1" readingOrder="2"/>
    </xf>
    <xf numFmtId="0" fontId="35" fillId="11" borderId="215" xfId="0" applyFont="1" applyFill="1" applyBorder="1" applyAlignment="1">
      <alignment horizontal="center" vertical="center" textRotation="90" wrapText="1" readingOrder="2"/>
    </xf>
    <xf numFmtId="0" fontId="35" fillId="11" borderId="11" xfId="0" applyFont="1" applyFill="1" applyBorder="1" applyAlignment="1">
      <alignment horizontal="center" vertical="center" textRotation="90" wrapText="1" readingOrder="2"/>
    </xf>
    <xf numFmtId="0" fontId="112" fillId="3" borderId="0" xfId="17" applyFont="1" applyFill="1" applyAlignment="1">
      <alignment vertical="center" wrapText="1" readingOrder="2"/>
    </xf>
    <xf numFmtId="166" fontId="8" fillId="4" borderId="278" xfId="16" applyNumberFormat="1" applyFont="1" applyFill="1" applyBorder="1" applyAlignment="1" applyProtection="1">
      <alignment horizontal="center" vertical="center" wrapText="1" readingOrder="2"/>
    </xf>
    <xf numFmtId="166" fontId="8" fillId="4" borderId="276" xfId="16" applyNumberFormat="1" applyFont="1" applyFill="1" applyBorder="1" applyAlignment="1" applyProtection="1">
      <alignment horizontal="center" vertical="center" wrapText="1" readingOrder="2"/>
    </xf>
    <xf numFmtId="166" fontId="8" fillId="4" borderId="8" xfId="16" applyNumberFormat="1" applyFont="1" applyFill="1" applyBorder="1" applyAlignment="1" applyProtection="1">
      <alignment horizontal="center" vertical="center" wrapText="1" readingOrder="2"/>
    </xf>
    <xf numFmtId="166" fontId="13" fillId="4" borderId="277" xfId="16" applyNumberFormat="1" applyFont="1" applyFill="1" applyBorder="1" applyAlignment="1" applyProtection="1">
      <alignment horizontal="center" vertical="center" wrapText="1" readingOrder="2"/>
    </xf>
    <xf numFmtId="172" fontId="13" fillId="4" borderId="278" xfId="16" applyNumberFormat="1" applyFont="1" applyFill="1" applyBorder="1" applyAlignment="1" applyProtection="1">
      <alignment horizontal="center" vertical="center" wrapText="1" readingOrder="2"/>
    </xf>
    <xf numFmtId="166" fontId="13" fillId="4" borderId="278" xfId="16" applyNumberFormat="1" applyFont="1" applyFill="1" applyBorder="1" applyAlignment="1" applyProtection="1">
      <alignment horizontal="center" vertical="center" wrapText="1" readingOrder="2"/>
    </xf>
    <xf numFmtId="166" fontId="13" fillId="4" borderId="278" xfId="13" applyNumberFormat="1" applyFont="1" applyFill="1" applyBorder="1" applyAlignment="1" applyProtection="1">
      <alignment horizontal="center" vertical="center" wrapText="1" readingOrder="2"/>
    </xf>
    <xf numFmtId="166" fontId="13" fillId="4" borderId="188" xfId="16" applyNumberFormat="1" applyFont="1" applyFill="1" applyBorder="1" applyAlignment="1" applyProtection="1">
      <alignment horizontal="center" vertical="center" wrapText="1" readingOrder="2"/>
    </xf>
    <xf numFmtId="172" fontId="13" fillId="4" borderId="276" xfId="16" applyNumberFormat="1" applyFont="1" applyFill="1" applyBorder="1" applyAlignment="1" applyProtection="1">
      <alignment horizontal="center" vertical="center" wrapText="1" readingOrder="2"/>
    </xf>
    <xf numFmtId="166" fontId="13" fillId="4" borderId="276" xfId="16" applyNumberFormat="1" applyFont="1" applyFill="1" applyBorder="1" applyAlignment="1" applyProtection="1">
      <alignment horizontal="center" vertical="center" wrapText="1" readingOrder="2"/>
    </xf>
    <xf numFmtId="166" fontId="13" fillId="4" borderId="276" xfId="13" applyNumberFormat="1" applyFont="1" applyFill="1" applyBorder="1" applyAlignment="1" applyProtection="1">
      <alignment horizontal="center" vertical="center" wrapText="1" readingOrder="2"/>
    </xf>
    <xf numFmtId="172" fontId="13" fillId="4" borderId="8" xfId="16" applyNumberFormat="1" applyFont="1" applyFill="1" applyBorder="1" applyAlignment="1" applyProtection="1">
      <alignment horizontal="center" vertical="center" wrapText="1" readingOrder="2"/>
    </xf>
    <xf numFmtId="166" fontId="13" fillId="4" borderId="8" xfId="16" applyNumberFormat="1" applyFont="1" applyFill="1" applyBorder="1" applyAlignment="1" applyProtection="1">
      <alignment horizontal="center" vertical="center" wrapText="1" readingOrder="2"/>
    </xf>
    <xf numFmtId="166" fontId="13" fillId="4" borderId="8" xfId="13" applyNumberFormat="1" applyFont="1" applyFill="1" applyBorder="1" applyAlignment="1" applyProtection="1">
      <alignment horizontal="center" vertical="center" wrapText="1" readingOrder="2"/>
    </xf>
    <xf numFmtId="170" fontId="10" fillId="4" borderId="282" xfId="16" applyNumberFormat="1" applyFont="1" applyFill="1" applyBorder="1" applyAlignment="1" applyProtection="1">
      <alignment horizontal="center" vertical="center" wrapText="1" readingOrder="2"/>
    </xf>
    <xf numFmtId="3" fontId="10" fillId="4" borderId="278" xfId="16" applyNumberFormat="1" applyFont="1" applyFill="1" applyBorder="1" applyAlignment="1" applyProtection="1">
      <alignment horizontal="center" vertical="center" wrapText="1" readingOrder="2"/>
    </xf>
    <xf numFmtId="37" fontId="10" fillId="4" borderId="258" xfId="16" applyNumberFormat="1" applyFont="1" applyFill="1" applyBorder="1" applyAlignment="1" applyProtection="1">
      <alignment horizontal="center" vertical="center" wrapText="1" readingOrder="2"/>
    </xf>
    <xf numFmtId="37" fontId="10" fillId="4" borderId="276" xfId="16" applyNumberFormat="1" applyFont="1" applyFill="1" applyBorder="1" applyAlignment="1" applyProtection="1">
      <alignment horizontal="center" vertical="center" wrapText="1" readingOrder="2"/>
    </xf>
    <xf numFmtId="170" fontId="10" fillId="4" borderId="258" xfId="16" applyNumberFormat="1" applyFont="1" applyFill="1" applyBorder="1" applyAlignment="1" applyProtection="1">
      <alignment horizontal="center" vertical="center" wrapText="1" readingOrder="2"/>
    </xf>
    <xf numFmtId="37" fontId="10" fillId="4" borderId="280" xfId="16" applyNumberFormat="1" applyFont="1" applyFill="1" applyBorder="1" applyAlignment="1" applyProtection="1">
      <alignment horizontal="center" vertical="center" wrapText="1" readingOrder="2"/>
    </xf>
    <xf numFmtId="3" fontId="10" fillId="4" borderId="281" xfId="16" applyNumberFormat="1" applyFont="1" applyFill="1" applyBorder="1" applyAlignment="1" applyProtection="1">
      <alignment horizontal="center" vertical="center" wrapText="1" readingOrder="2"/>
    </xf>
    <xf numFmtId="3" fontId="8" fillId="0" borderId="95" xfId="1" applyNumberFormat="1" applyFont="1" applyBorder="1" applyAlignment="1" applyProtection="1">
      <alignment horizontal="center" vertical="center" wrapText="1" readingOrder="2"/>
      <protection locked="0"/>
    </xf>
    <xf numFmtId="3" fontId="35" fillId="0" borderId="0" xfId="0" applyNumberFormat="1" applyFont="1"/>
    <xf numFmtId="3" fontId="35" fillId="0" borderId="0" xfId="0" applyNumberFormat="1" applyFont="1" applyAlignment="1">
      <alignment horizontal="center" vertical="center"/>
    </xf>
    <xf numFmtId="3" fontId="35" fillId="0" borderId="140" xfId="0" applyNumberFormat="1" applyFont="1" applyBorder="1" applyAlignment="1">
      <alignment horizontal="center" vertical="center"/>
    </xf>
    <xf numFmtId="3" fontId="35" fillId="0" borderId="290" xfId="0" applyNumberFormat="1" applyFont="1" applyBorder="1" applyAlignment="1">
      <alignment horizontal="center" vertical="center"/>
    </xf>
    <xf numFmtId="3" fontId="35" fillId="30" borderId="287" xfId="0" applyNumberFormat="1" applyFont="1" applyFill="1" applyBorder="1" applyAlignment="1">
      <alignment horizontal="center" vertical="center"/>
    </xf>
    <xf numFmtId="3" fontId="35" fillId="30" borderId="172" xfId="0" applyNumberFormat="1" applyFont="1" applyFill="1" applyBorder="1" applyAlignment="1">
      <alignment horizontal="center" vertical="center"/>
    </xf>
    <xf numFmtId="3" fontId="35" fillId="30" borderId="288" xfId="0" applyNumberFormat="1" applyFont="1" applyFill="1" applyBorder="1" applyAlignment="1">
      <alignment horizontal="center" vertical="center"/>
    </xf>
    <xf numFmtId="3" fontId="36" fillId="30" borderId="291" xfId="0" applyNumberFormat="1" applyFont="1" applyFill="1" applyBorder="1" applyAlignment="1">
      <alignment horizontal="center" vertical="center"/>
    </xf>
    <xf numFmtId="3" fontId="36" fillId="30" borderId="65" xfId="0" applyNumberFormat="1" applyFont="1" applyFill="1" applyBorder="1" applyAlignment="1">
      <alignment horizontal="center" vertical="center"/>
    </xf>
    <xf numFmtId="3" fontId="36" fillId="30" borderId="292" xfId="0" applyNumberFormat="1" applyFont="1" applyFill="1" applyBorder="1" applyAlignment="1">
      <alignment horizontal="center" vertical="center"/>
    </xf>
    <xf numFmtId="3" fontId="35" fillId="31" borderId="289" xfId="0" applyNumberFormat="1" applyFont="1" applyFill="1" applyBorder="1" applyAlignment="1">
      <alignment horizontal="center" vertical="center"/>
    </xf>
    <xf numFmtId="3" fontId="35" fillId="32" borderId="289" xfId="0" applyNumberFormat="1" applyFont="1" applyFill="1" applyBorder="1" applyAlignment="1">
      <alignment horizontal="center" vertical="center"/>
    </xf>
    <xf numFmtId="3" fontId="35" fillId="33" borderId="289" xfId="0" applyNumberFormat="1" applyFont="1" applyFill="1" applyBorder="1" applyAlignment="1">
      <alignment horizontal="center" vertical="center"/>
    </xf>
    <xf numFmtId="3" fontId="35" fillId="9" borderId="289" xfId="0" applyNumberFormat="1" applyFont="1" applyFill="1" applyBorder="1" applyAlignment="1">
      <alignment horizontal="center" vertical="center"/>
    </xf>
    <xf numFmtId="3" fontId="35" fillId="8" borderId="289" xfId="0" applyNumberFormat="1" applyFont="1" applyFill="1" applyBorder="1" applyAlignment="1">
      <alignment horizontal="center" vertical="center"/>
    </xf>
    <xf numFmtId="3" fontId="35" fillId="34" borderId="289" xfId="0" applyNumberFormat="1" applyFont="1" applyFill="1" applyBorder="1" applyAlignment="1">
      <alignment horizontal="center" vertical="center"/>
    </xf>
    <xf numFmtId="3" fontId="35" fillId="35" borderId="289" xfId="0" applyNumberFormat="1" applyFont="1" applyFill="1" applyBorder="1" applyAlignment="1">
      <alignment horizontal="center" vertical="center"/>
    </xf>
    <xf numFmtId="3" fontId="35" fillId="36" borderId="289" xfId="0" applyNumberFormat="1" applyFont="1" applyFill="1" applyBorder="1" applyAlignment="1">
      <alignment horizontal="center" vertical="center"/>
    </xf>
    <xf numFmtId="3" fontId="35" fillId="37" borderId="289" xfId="0" applyNumberFormat="1" applyFont="1" applyFill="1" applyBorder="1" applyAlignment="1">
      <alignment horizontal="center" vertical="center"/>
    </xf>
    <xf numFmtId="3" fontId="41" fillId="0" borderId="62" xfId="0" applyNumberFormat="1" applyFont="1" applyBorder="1" applyAlignment="1">
      <alignment horizontal="center" vertical="center"/>
    </xf>
    <xf numFmtId="3" fontId="36" fillId="30" borderId="288" xfId="0" applyNumberFormat="1" applyFont="1" applyFill="1" applyBorder="1" applyAlignment="1">
      <alignment horizontal="center" vertical="center"/>
    </xf>
    <xf numFmtId="3" fontId="36" fillId="0" borderId="290" xfId="0" applyNumberFormat="1" applyFont="1" applyBorder="1" applyAlignment="1">
      <alignment horizontal="center" vertical="center"/>
    </xf>
    <xf numFmtId="3" fontId="36" fillId="0" borderId="0" xfId="0" applyNumberFormat="1" applyFont="1" applyAlignment="1">
      <alignment horizontal="center" vertical="center"/>
    </xf>
    <xf numFmtId="173" fontId="71" fillId="10" borderId="0" xfId="0" applyNumberFormat="1" applyFont="1" applyFill="1" applyProtection="1">
      <protection hidden="1"/>
    </xf>
    <xf numFmtId="1" fontId="71" fillId="10" borderId="0" xfId="0" applyNumberFormat="1" applyFont="1" applyFill="1" applyProtection="1">
      <protection hidden="1"/>
    </xf>
    <xf numFmtId="0" fontId="71" fillId="10" borderId="0" xfId="0" applyFont="1" applyFill="1" applyAlignment="1" applyProtection="1">
      <alignment horizontal="center" vertical="center"/>
      <protection hidden="1"/>
    </xf>
    <xf numFmtId="3" fontId="71" fillId="10" borderId="0" xfId="0" applyNumberFormat="1" applyFont="1" applyFill="1" applyAlignment="1" applyProtection="1">
      <alignment horizontal="center" vertical="center"/>
      <protection hidden="1"/>
    </xf>
    <xf numFmtId="174" fontId="71" fillId="10" borderId="0" xfId="0" applyNumberFormat="1" applyFont="1" applyFill="1" applyProtection="1">
      <protection hidden="1"/>
    </xf>
    <xf numFmtId="3" fontId="71" fillId="10" borderId="0" xfId="0" applyNumberFormat="1" applyFont="1" applyFill="1" applyProtection="1">
      <protection hidden="1"/>
    </xf>
    <xf numFmtId="166" fontId="71" fillId="10" borderId="0" xfId="0" applyNumberFormat="1" applyFont="1" applyFill="1" applyProtection="1">
      <protection hidden="1"/>
    </xf>
    <xf numFmtId="176" fontId="8" fillId="0" borderId="145" xfId="1" applyNumberFormat="1" applyFont="1" applyBorder="1" applyAlignment="1" applyProtection="1">
      <alignment horizontal="center" vertical="center" wrapText="1" readingOrder="2"/>
      <protection locked="0"/>
    </xf>
    <xf numFmtId="176" fontId="8" fillId="0" borderId="5" xfId="1" applyNumberFormat="1" applyFont="1" applyBorder="1" applyAlignment="1" applyProtection="1">
      <alignment horizontal="center" vertical="center" wrapText="1" readingOrder="2"/>
      <protection locked="0"/>
    </xf>
    <xf numFmtId="176" fontId="8" fillId="0" borderId="36" xfId="1" applyNumberFormat="1" applyFont="1" applyBorder="1" applyAlignment="1" applyProtection="1">
      <alignment horizontal="center" vertical="center" wrapText="1" readingOrder="2"/>
      <protection locked="0"/>
    </xf>
    <xf numFmtId="176" fontId="8" fillId="0" borderId="6" xfId="1" applyNumberFormat="1" applyFont="1" applyBorder="1" applyAlignment="1" applyProtection="1">
      <alignment horizontal="center" vertical="center" wrapText="1" readingOrder="2"/>
      <protection locked="0"/>
    </xf>
    <xf numFmtId="166" fontId="10" fillId="3" borderId="156" xfId="1" applyNumberFormat="1" applyFont="1" applyFill="1" applyBorder="1" applyAlignment="1" applyProtection="1">
      <alignment horizontal="center" vertical="center" wrapText="1" readingOrder="2"/>
      <protection locked="0"/>
    </xf>
    <xf numFmtId="166" fontId="10" fillId="3" borderId="164" xfId="1" applyNumberFormat="1" applyFont="1" applyFill="1" applyBorder="1" applyAlignment="1" applyProtection="1">
      <alignment horizontal="center" vertical="center" wrapText="1" readingOrder="2"/>
      <protection locked="0"/>
    </xf>
    <xf numFmtId="3" fontId="8" fillId="4" borderId="58" xfId="1" applyNumberFormat="1" applyFont="1" applyFill="1" applyBorder="1" applyAlignment="1">
      <alignment horizontal="center" vertical="center" wrapText="1" readingOrder="2"/>
    </xf>
    <xf numFmtId="3" fontId="8" fillId="4" borderId="59" xfId="1" applyNumberFormat="1" applyFont="1" applyFill="1" applyBorder="1" applyAlignment="1">
      <alignment horizontal="center" vertical="center" wrapText="1" readingOrder="2"/>
    </xf>
    <xf numFmtId="3" fontId="8" fillId="4" borderId="105" xfId="1" applyNumberFormat="1" applyFont="1" applyFill="1" applyBorder="1" applyAlignment="1">
      <alignment horizontal="center" vertical="center" wrapText="1" readingOrder="2"/>
    </xf>
    <xf numFmtId="3" fontId="8" fillId="4" borderId="87" xfId="1" applyNumberFormat="1" applyFont="1" applyFill="1" applyBorder="1" applyAlignment="1">
      <alignment horizontal="center" vertical="center" wrapText="1" readingOrder="2"/>
    </xf>
    <xf numFmtId="3" fontId="10" fillId="4" borderId="32" xfId="1" applyNumberFormat="1" applyFont="1" applyFill="1" applyBorder="1" applyAlignment="1">
      <alignment horizontal="center" vertical="center" wrapText="1" readingOrder="2"/>
    </xf>
    <xf numFmtId="3" fontId="8" fillId="0" borderId="294" xfId="1" applyNumberFormat="1" applyFont="1" applyBorder="1" applyAlignment="1" applyProtection="1">
      <alignment horizontal="center" vertical="center" wrapText="1" readingOrder="2"/>
      <protection locked="0"/>
    </xf>
    <xf numFmtId="3" fontId="8" fillId="0" borderId="295" xfId="1" applyNumberFormat="1" applyFont="1" applyBorder="1" applyAlignment="1" applyProtection="1">
      <alignment horizontal="center" vertical="center" wrapText="1" readingOrder="2"/>
      <protection locked="0"/>
    </xf>
    <xf numFmtId="3" fontId="8" fillId="0" borderId="296" xfId="1" applyNumberFormat="1" applyFont="1" applyBorder="1" applyAlignment="1" applyProtection="1">
      <alignment horizontal="center" vertical="center" wrapText="1" readingOrder="2"/>
      <protection locked="0"/>
    </xf>
    <xf numFmtId="166" fontId="8" fillId="3" borderId="281" xfId="1" applyNumberFormat="1" applyFont="1" applyFill="1" applyBorder="1" applyAlignment="1" applyProtection="1">
      <alignment horizontal="center" vertical="center" readingOrder="2"/>
      <protection locked="0"/>
    </xf>
    <xf numFmtId="166" fontId="35" fillId="3" borderId="14" xfId="3" applyNumberFormat="1" applyFont="1" applyFill="1" applyBorder="1" applyAlignment="1" applyProtection="1">
      <alignment horizontal="center" vertical="center"/>
      <protection locked="0"/>
    </xf>
    <xf numFmtId="0" fontId="37" fillId="0" borderId="0" xfId="0" applyFont="1" applyAlignment="1" applyProtection="1">
      <alignment vertical="top"/>
      <protection locked="0"/>
    </xf>
    <xf numFmtId="166" fontId="8" fillId="0" borderId="8" xfId="1" applyNumberFormat="1" applyFont="1" applyBorder="1" applyAlignment="1" applyProtection="1">
      <alignment horizontal="center" vertical="center" wrapText="1" readingOrder="2"/>
      <protection locked="0"/>
    </xf>
    <xf numFmtId="166" fontId="8" fillId="0" borderId="95" xfId="1" applyNumberFormat="1" applyFont="1" applyBorder="1" applyAlignment="1" applyProtection="1">
      <alignment horizontal="center" vertical="center" wrapText="1" readingOrder="2"/>
      <protection locked="0"/>
    </xf>
    <xf numFmtId="0" fontId="35" fillId="28" borderId="98" xfId="3" applyFont="1" applyFill="1" applyBorder="1" applyAlignment="1" applyProtection="1">
      <alignment horizontal="center" vertical="center"/>
      <protection locked="0" hidden="1"/>
    </xf>
    <xf numFmtId="0" fontId="35" fillId="28" borderId="89" xfId="3" applyFont="1" applyFill="1" applyBorder="1" applyAlignment="1" applyProtection="1">
      <alignment horizontal="center" vertical="center"/>
      <protection locked="0" hidden="1"/>
    </xf>
    <xf numFmtId="0" fontId="35" fillId="28" borderId="142" xfId="3" applyFont="1" applyFill="1" applyBorder="1" applyAlignment="1" applyProtection="1">
      <alignment horizontal="center" vertical="center"/>
      <protection locked="0" hidden="1"/>
    </xf>
    <xf numFmtId="0" fontId="35" fillId="28" borderId="11" xfId="3" applyFont="1" applyFill="1" applyBorder="1" applyAlignment="1" applyProtection="1">
      <alignment horizontal="center" vertical="center"/>
      <protection locked="0" hidden="1"/>
    </xf>
    <xf numFmtId="3" fontId="35" fillId="28" borderId="163" xfId="0" applyNumberFormat="1" applyFont="1" applyFill="1" applyBorder="1" applyAlignment="1" applyProtection="1">
      <alignment horizontal="center" vertical="center" wrapText="1" readingOrder="2"/>
      <protection locked="0" hidden="1"/>
    </xf>
    <xf numFmtId="0" fontId="20" fillId="0" borderId="0" xfId="0" applyFont="1" applyAlignment="1">
      <alignment horizontal="right" vertical="center" readingOrder="2"/>
    </xf>
    <xf numFmtId="0" fontId="8" fillId="11" borderId="13" xfId="1" applyFont="1" applyFill="1" applyBorder="1" applyAlignment="1">
      <alignment horizontal="center" vertical="center" wrapText="1" readingOrder="2"/>
    </xf>
    <xf numFmtId="0" fontId="21" fillId="0" borderId="0" xfId="1" applyFont="1" applyAlignment="1">
      <alignment horizontal="left" vertical="top" readingOrder="2"/>
    </xf>
    <xf numFmtId="0" fontId="8" fillId="11" borderId="14" xfId="1" applyFont="1" applyFill="1" applyBorder="1" applyAlignment="1">
      <alignment horizontal="center" vertical="center" wrapText="1" readingOrder="2"/>
    </xf>
    <xf numFmtId="0" fontId="16" fillId="0" borderId="0" xfId="1" applyFont="1" applyAlignment="1">
      <alignment horizontal="center" vertical="top" readingOrder="2"/>
    </xf>
    <xf numFmtId="0" fontId="69" fillId="11" borderId="91" xfId="4" applyFont="1" applyFill="1" applyBorder="1" applyAlignment="1">
      <alignment horizontal="center" vertical="center" wrapText="1"/>
    </xf>
    <xf numFmtId="0" fontId="69" fillId="11" borderId="91" xfId="4" applyFont="1" applyFill="1" applyBorder="1" applyAlignment="1">
      <alignment horizontal="center" vertical="center"/>
    </xf>
    <xf numFmtId="0" fontId="12" fillId="0" borderId="0" xfId="4" applyFont="1" applyAlignment="1">
      <alignment horizontal="center" readingOrder="2"/>
    </xf>
    <xf numFmtId="0" fontId="16" fillId="0" borderId="0" xfId="1" applyFont="1" applyAlignment="1">
      <alignment horizontal="center" vertical="center" readingOrder="2"/>
    </xf>
    <xf numFmtId="0" fontId="9" fillId="0" borderId="0" xfId="4" applyFont="1" applyAlignment="1" applyProtection="1">
      <alignment horizontal="center" wrapText="1" readingOrder="2"/>
      <protection locked="0"/>
    </xf>
    <xf numFmtId="0" fontId="12" fillId="0" borderId="0" xfId="4" applyFont="1" applyAlignment="1" applyProtection="1">
      <alignment horizontal="center" readingOrder="2"/>
      <protection locked="0"/>
    </xf>
    <xf numFmtId="0" fontId="8" fillId="15" borderId="10" xfId="1" applyFont="1" applyFill="1" applyBorder="1" applyAlignment="1">
      <alignment horizontal="center" vertical="center" wrapText="1" readingOrder="2"/>
    </xf>
    <xf numFmtId="0" fontId="8" fillId="15" borderId="2" xfId="1" applyFont="1" applyFill="1" applyBorder="1" applyAlignment="1">
      <alignment horizontal="center" vertical="center" wrapText="1" readingOrder="2"/>
    </xf>
    <xf numFmtId="0" fontId="8" fillId="15" borderId="11" xfId="1" applyFont="1" applyFill="1" applyBorder="1" applyAlignment="1">
      <alignment horizontal="center" vertical="center" wrapText="1" readingOrder="2"/>
    </xf>
    <xf numFmtId="0" fontId="9" fillId="0" borderId="0" xfId="1" applyFont="1" applyAlignment="1">
      <alignment horizontal="right" vertical="top" readingOrder="2"/>
    </xf>
    <xf numFmtId="0" fontId="9" fillId="0" borderId="0" xfId="1" applyFont="1" applyAlignment="1">
      <alignment horizontal="center" vertical="top" readingOrder="2"/>
    </xf>
    <xf numFmtId="0" fontId="8" fillId="0" borderId="0" xfId="1" applyFont="1" applyAlignment="1" applyProtection="1">
      <alignment horizontal="right" vertical="center" readingOrder="2"/>
      <protection locked="0"/>
    </xf>
    <xf numFmtId="0" fontId="9" fillId="0" borderId="0" xfId="1" applyFont="1" applyAlignment="1">
      <alignment horizontal="center" vertical="top" wrapText="1" readingOrder="2"/>
    </xf>
    <xf numFmtId="0" fontId="8" fillId="0" borderId="0" xfId="1" applyFont="1" applyAlignment="1" applyProtection="1">
      <alignment horizontal="center" vertical="center" readingOrder="2"/>
      <protection locked="0"/>
    </xf>
    <xf numFmtId="0" fontId="8" fillId="15" borderId="1" xfId="1" applyFont="1" applyFill="1" applyBorder="1" applyAlignment="1">
      <alignment horizontal="center" vertical="center" wrapText="1" readingOrder="2"/>
    </xf>
    <xf numFmtId="0" fontId="8" fillId="15" borderId="49" xfId="1" applyFont="1" applyFill="1" applyBorder="1" applyAlignment="1">
      <alignment horizontal="center" vertical="center" wrapText="1" readingOrder="2"/>
    </xf>
    <xf numFmtId="0" fontId="48" fillId="0" borderId="0" xfId="0" applyFont="1" applyAlignment="1" applyProtection="1">
      <alignment horizontal="right" vertical="center" readingOrder="2"/>
      <protection locked="0"/>
    </xf>
    <xf numFmtId="0" fontId="47" fillId="0" borderId="0" xfId="0" applyFont="1" applyProtection="1">
      <protection locked="0"/>
    </xf>
    <xf numFmtId="0" fontId="45" fillId="0" borderId="0" xfId="0" applyFont="1" applyAlignment="1" applyProtection="1">
      <alignment horizontal="right" vertical="center" readingOrder="2"/>
      <protection locked="0"/>
    </xf>
    <xf numFmtId="0" fontId="46" fillId="0" borderId="0" xfId="0" applyFont="1" applyAlignment="1" applyProtection="1">
      <alignment horizontal="center" vertical="center" readingOrder="2"/>
      <protection locked="0"/>
    </xf>
    <xf numFmtId="0" fontId="45" fillId="0" borderId="0" xfId="0" applyFont="1" applyAlignment="1" applyProtection="1">
      <alignment horizontal="center" vertical="center" readingOrder="2"/>
      <protection locked="0"/>
    </xf>
    <xf numFmtId="167" fontId="47" fillId="0" borderId="0" xfId="0" applyNumberFormat="1" applyFont="1" applyProtection="1">
      <protection locked="0"/>
    </xf>
    <xf numFmtId="14" fontId="47" fillId="0" borderId="0" xfId="0" applyNumberFormat="1" applyFont="1" applyProtection="1">
      <protection locked="0"/>
    </xf>
    <xf numFmtId="0" fontId="42" fillId="0" borderId="0" xfId="0" applyFont="1"/>
    <xf numFmtId="0" fontId="8" fillId="12" borderId="141" xfId="0" applyFont="1" applyFill="1" applyBorder="1" applyAlignment="1">
      <alignment horizontal="center" vertical="center" wrapText="1" readingOrder="2"/>
    </xf>
    <xf numFmtId="0" fontId="8" fillId="12" borderId="163" xfId="0" applyFont="1" applyFill="1" applyBorder="1" applyAlignment="1">
      <alignment horizontal="center" vertical="center" wrapText="1" readingOrder="2"/>
    </xf>
    <xf numFmtId="0" fontId="36" fillId="4" borderId="141" xfId="0" applyFont="1" applyFill="1" applyBorder="1" applyAlignment="1">
      <alignment horizontal="center" vertical="center" wrapText="1" readingOrder="2"/>
    </xf>
    <xf numFmtId="2" fontId="36" fillId="4" borderId="163" xfId="0" applyNumberFormat="1" applyFont="1" applyFill="1" applyBorder="1" applyAlignment="1">
      <alignment horizontal="center" vertical="center" wrapText="1" readingOrder="2"/>
    </xf>
    <xf numFmtId="0" fontId="8" fillId="11" borderId="226" xfId="0" applyFont="1" applyFill="1" applyBorder="1" applyAlignment="1">
      <alignment horizontal="center" vertical="center" wrapText="1" readingOrder="2"/>
    </xf>
    <xf numFmtId="0" fontId="8" fillId="11" borderId="226" xfId="0" applyFont="1" applyFill="1" applyBorder="1" applyAlignment="1">
      <alignment horizontal="center" vertical="center" readingOrder="2"/>
    </xf>
    <xf numFmtId="3" fontId="36" fillId="4" borderId="163" xfId="0" applyNumberFormat="1" applyFont="1" applyFill="1" applyBorder="1" applyAlignment="1">
      <alignment horizontal="center" vertical="center" wrapText="1" readingOrder="2"/>
    </xf>
    <xf numFmtId="0" fontId="36" fillId="4" borderId="222" xfId="0" applyFont="1" applyFill="1" applyBorder="1" applyAlignment="1">
      <alignment horizontal="center" vertical="center" wrapText="1" readingOrder="2"/>
    </xf>
    <xf numFmtId="0" fontId="36" fillId="4" borderId="224" xfId="0" applyFont="1" applyFill="1" applyBorder="1" applyAlignment="1">
      <alignment horizontal="center" vertical="center" wrapText="1" readingOrder="2"/>
    </xf>
    <xf numFmtId="0" fontId="3" fillId="0" borderId="0" xfId="1" applyFont="1" applyAlignment="1" applyProtection="1">
      <alignment horizontal="right" readingOrder="2"/>
      <protection locked="0"/>
    </xf>
    <xf numFmtId="0" fontId="82" fillId="0" borderId="0" xfId="1" applyFont="1" applyAlignment="1" applyProtection="1">
      <alignment horizontal="right" readingOrder="2"/>
      <protection locked="0"/>
    </xf>
    <xf numFmtId="0" fontId="3" fillId="0" borderId="0" xfId="1" applyFont="1" applyAlignment="1" applyProtection="1">
      <alignment readingOrder="2"/>
      <protection locked="0"/>
    </xf>
    <xf numFmtId="0" fontId="82" fillId="0" borderId="0" xfId="1" applyFont="1" applyAlignment="1" applyProtection="1">
      <alignment readingOrder="2"/>
      <protection locked="0"/>
    </xf>
    <xf numFmtId="166" fontId="8" fillId="13" borderId="47" xfId="1" applyNumberFormat="1" applyFont="1" applyFill="1" applyBorder="1" applyAlignment="1" applyProtection="1">
      <alignment horizontal="center" vertical="center" wrapText="1" readingOrder="2"/>
      <protection locked="0"/>
    </xf>
    <xf numFmtId="166" fontId="8" fillId="4" borderId="46" xfId="1" applyNumberFormat="1" applyFont="1" applyFill="1" applyBorder="1" applyAlignment="1" applyProtection="1">
      <alignment horizontal="center" vertical="center" wrapText="1" readingOrder="2"/>
      <protection locked="0"/>
    </xf>
    <xf numFmtId="0" fontId="13" fillId="0" borderId="0" xfId="1" applyFont="1" applyProtection="1">
      <protection locked="0"/>
    </xf>
    <xf numFmtId="0" fontId="13" fillId="0" borderId="0" xfId="1" applyFont="1" applyAlignment="1" applyProtection="1">
      <alignment wrapText="1"/>
      <protection locked="0"/>
    </xf>
    <xf numFmtId="0" fontId="75" fillId="0" borderId="0" xfId="1" applyFont="1" applyAlignment="1" applyProtection="1">
      <alignment wrapText="1"/>
      <protection locked="0"/>
    </xf>
    <xf numFmtId="166" fontId="8" fillId="4" borderId="25" xfId="1" applyNumberFormat="1" applyFont="1" applyFill="1" applyBorder="1" applyAlignment="1" applyProtection="1">
      <alignment horizontal="center" vertical="center" wrapText="1" readingOrder="2"/>
      <protection hidden="1"/>
    </xf>
    <xf numFmtId="166" fontId="8" fillId="4" borderId="31" xfId="1" applyNumberFormat="1" applyFont="1" applyFill="1" applyBorder="1" applyAlignment="1" applyProtection="1">
      <alignment horizontal="center" vertical="center" wrapText="1" readingOrder="2"/>
      <protection hidden="1"/>
    </xf>
    <xf numFmtId="166" fontId="8" fillId="4" borderId="50" xfId="1" applyNumberFormat="1" applyFont="1" applyFill="1" applyBorder="1" applyAlignment="1" applyProtection="1">
      <alignment horizontal="center" vertical="center" wrapText="1" readingOrder="2"/>
      <protection hidden="1"/>
    </xf>
    <xf numFmtId="0" fontId="8" fillId="4" borderId="37" xfId="1" applyFont="1" applyFill="1" applyBorder="1" applyAlignment="1" applyProtection="1">
      <alignment horizontal="right" vertical="center" wrapText="1" readingOrder="2"/>
      <protection hidden="1"/>
    </xf>
    <xf numFmtId="1" fontId="11" fillId="4" borderId="41" xfId="1" applyNumberFormat="1" applyFont="1" applyFill="1" applyBorder="1" applyAlignment="1" applyProtection="1">
      <alignment horizontal="center" vertical="center" wrapText="1" readingOrder="2"/>
      <protection hidden="1"/>
    </xf>
    <xf numFmtId="166" fontId="8" fillId="0" borderId="4" xfId="1" applyNumberFormat="1" applyFont="1" applyBorder="1" applyAlignment="1" applyProtection="1">
      <alignment horizontal="center" vertical="center" wrapText="1" readingOrder="2"/>
      <protection locked="0" hidden="1"/>
    </xf>
    <xf numFmtId="166" fontId="8" fillId="0" borderId="37" xfId="1" applyNumberFormat="1" applyFont="1" applyBorder="1" applyAlignment="1" applyProtection="1">
      <alignment horizontal="center" vertical="center" wrapText="1" readingOrder="2"/>
      <protection locked="0" hidden="1"/>
    </xf>
    <xf numFmtId="0" fontId="8" fillId="4" borderId="38" xfId="1" applyFont="1" applyFill="1" applyBorder="1" applyAlignment="1" applyProtection="1">
      <alignment horizontal="right" vertical="center" wrapText="1" readingOrder="2"/>
      <protection hidden="1"/>
    </xf>
    <xf numFmtId="1" fontId="11" fillId="4" borderId="42" xfId="1" applyNumberFormat="1" applyFont="1" applyFill="1" applyBorder="1" applyAlignment="1" applyProtection="1">
      <alignment horizontal="center" vertical="center" wrapText="1" readingOrder="2"/>
      <protection hidden="1"/>
    </xf>
    <xf numFmtId="166" fontId="8" fillId="0" borderId="5" xfId="1" applyNumberFormat="1" applyFont="1" applyBorder="1" applyAlignment="1" applyProtection="1">
      <alignment horizontal="center" vertical="center" wrapText="1" readingOrder="2"/>
      <protection locked="0" hidden="1"/>
    </xf>
    <xf numFmtId="166" fontId="8" fillId="0" borderId="38" xfId="1" applyNumberFormat="1" applyFont="1" applyBorder="1" applyAlignment="1" applyProtection="1">
      <alignment horizontal="center" vertical="center" wrapText="1" readingOrder="2"/>
      <protection locked="0" hidden="1"/>
    </xf>
    <xf numFmtId="0" fontId="8" fillId="4" borderId="39" xfId="1" applyFont="1" applyFill="1" applyBorder="1" applyAlignment="1" applyProtection="1">
      <alignment horizontal="right" vertical="center" wrapText="1" readingOrder="2"/>
      <protection hidden="1"/>
    </xf>
    <xf numFmtId="1" fontId="11" fillId="4" borderId="43" xfId="1" applyNumberFormat="1" applyFont="1" applyFill="1" applyBorder="1" applyAlignment="1" applyProtection="1">
      <alignment horizontal="center" vertical="center" wrapText="1" readingOrder="2"/>
      <protection hidden="1"/>
    </xf>
    <xf numFmtId="166" fontId="8" fillId="0" borderId="36" xfId="1" applyNumberFormat="1" applyFont="1" applyBorder="1" applyAlignment="1" applyProtection="1">
      <alignment horizontal="center" vertical="center" wrapText="1" readingOrder="2"/>
      <protection locked="0" hidden="1"/>
    </xf>
    <xf numFmtId="166" fontId="8" fillId="0" borderId="39" xfId="1" applyNumberFormat="1" applyFont="1" applyBorder="1" applyAlignment="1" applyProtection="1">
      <alignment horizontal="center" vertical="center" wrapText="1" readingOrder="2"/>
      <protection locked="0" hidden="1"/>
    </xf>
    <xf numFmtId="0" fontId="83" fillId="0" borderId="0" xfId="0" applyFont="1" applyProtection="1">
      <protection locked="0"/>
    </xf>
    <xf numFmtId="0" fontId="13" fillId="11" borderId="10" xfId="1" applyFont="1" applyFill="1" applyBorder="1" applyAlignment="1">
      <alignment horizontal="center" vertical="center"/>
    </xf>
    <xf numFmtId="0" fontId="13" fillId="11" borderId="2" xfId="1" applyFont="1" applyFill="1" applyBorder="1" applyAlignment="1">
      <alignment horizontal="center" vertical="center"/>
    </xf>
    <xf numFmtId="0" fontId="13" fillId="11" borderId="11" xfId="1" applyFont="1" applyFill="1" applyBorder="1" applyAlignment="1">
      <alignment horizontal="center" vertical="center" wrapText="1"/>
    </xf>
    <xf numFmtId="166" fontId="8" fillId="4" borderId="174" xfId="1" applyNumberFormat="1" applyFont="1" applyFill="1" applyBorder="1" applyAlignment="1">
      <alignment horizontal="center" vertical="center"/>
    </xf>
    <xf numFmtId="166" fontId="8" fillId="4" borderId="66" xfId="1" applyNumberFormat="1" applyFont="1" applyFill="1" applyBorder="1" applyAlignment="1">
      <alignment horizontal="center" vertical="center"/>
    </xf>
    <xf numFmtId="166" fontId="8" fillId="4" borderId="67" xfId="1" applyNumberFormat="1" applyFont="1" applyFill="1" applyBorder="1" applyAlignment="1">
      <alignment horizontal="center" vertical="center"/>
    </xf>
    <xf numFmtId="166" fontId="8" fillId="4" borderId="94" xfId="1" applyNumberFormat="1" applyFont="1" applyFill="1" applyBorder="1" applyAlignment="1">
      <alignment horizontal="center" vertical="center"/>
    </xf>
    <xf numFmtId="166" fontId="8" fillId="4" borderId="83" xfId="1" applyNumberFormat="1" applyFont="1" applyFill="1" applyBorder="1" applyAlignment="1">
      <alignment horizontal="center" vertical="center"/>
    </xf>
    <xf numFmtId="166" fontId="8" fillId="4" borderId="95" xfId="1" applyNumberFormat="1" applyFont="1" applyFill="1" applyBorder="1" applyAlignment="1">
      <alignment horizontal="center" vertical="center"/>
    </xf>
    <xf numFmtId="166" fontId="8" fillId="4" borderId="140" xfId="1" applyNumberFormat="1" applyFont="1" applyFill="1" applyBorder="1" applyAlignment="1">
      <alignment horizontal="center" vertical="center"/>
    </xf>
    <xf numFmtId="166" fontId="8" fillId="4" borderId="89" xfId="1" applyNumberFormat="1" applyFont="1" applyFill="1" applyBorder="1" applyAlignment="1">
      <alignment horizontal="center" vertical="center"/>
    </xf>
    <xf numFmtId="0" fontId="8" fillId="4" borderId="155" xfId="1" applyFont="1" applyFill="1" applyBorder="1" applyAlignment="1">
      <alignment horizontal="center" vertical="center"/>
    </xf>
    <xf numFmtId="0" fontId="9" fillId="11" borderId="140" xfId="1" applyFont="1" applyFill="1" applyBorder="1" applyAlignment="1">
      <alignment horizontal="center" vertical="center" wrapText="1" readingOrder="2"/>
    </xf>
    <xf numFmtId="0" fontId="9" fillId="11" borderId="142" xfId="1" applyFont="1" applyFill="1" applyBorder="1" applyAlignment="1">
      <alignment horizontal="center" vertical="center" wrapText="1" readingOrder="2"/>
    </xf>
    <xf numFmtId="0" fontId="36" fillId="3" borderId="139" xfId="0" applyFont="1" applyFill="1" applyBorder="1" applyAlignment="1">
      <alignment horizontal="center" vertical="center" wrapText="1" readingOrder="2"/>
    </xf>
    <xf numFmtId="166" fontId="35" fillId="4" borderId="140" xfId="0" applyNumberFormat="1" applyFont="1" applyFill="1" applyBorder="1" applyAlignment="1">
      <alignment horizontal="center" vertical="center"/>
    </xf>
    <xf numFmtId="166" fontId="35" fillId="4" borderId="142" xfId="0" applyNumberFormat="1" applyFont="1" applyFill="1" applyBorder="1" applyAlignment="1">
      <alignment horizontal="center" vertical="center"/>
    </xf>
    <xf numFmtId="0" fontId="36" fillId="3" borderId="10" xfId="0" applyFont="1" applyFill="1" applyBorder="1" applyAlignment="1">
      <alignment horizontal="center" vertical="center" wrapText="1" readingOrder="2"/>
    </xf>
    <xf numFmtId="166" fontId="35" fillId="4" borderId="2" xfId="0" applyNumberFormat="1" applyFont="1" applyFill="1" applyBorder="1" applyAlignment="1">
      <alignment horizontal="center" vertical="center"/>
    </xf>
    <xf numFmtId="166" fontId="35" fillId="4" borderId="11" xfId="0" applyNumberFormat="1" applyFont="1" applyFill="1" applyBorder="1" applyAlignment="1">
      <alignment horizontal="center" vertical="center"/>
    </xf>
    <xf numFmtId="9" fontId="0" fillId="0" borderId="0" xfId="0" applyNumberFormat="1"/>
    <xf numFmtId="38" fontId="35" fillId="4" borderId="140" xfId="0" applyNumberFormat="1" applyFont="1" applyFill="1" applyBorder="1" applyAlignment="1">
      <alignment horizontal="center" vertical="center"/>
    </xf>
    <xf numFmtId="9" fontId="35" fillId="4" borderId="140" xfId="0" applyNumberFormat="1" applyFont="1" applyFill="1" applyBorder="1" applyAlignment="1">
      <alignment horizontal="center" vertical="center"/>
    </xf>
    <xf numFmtId="9" fontId="35" fillId="4" borderId="142" xfId="0" applyNumberFormat="1" applyFont="1" applyFill="1" applyBorder="1" applyAlignment="1">
      <alignment horizontal="center" vertical="center"/>
    </xf>
    <xf numFmtId="9" fontId="35" fillId="4" borderId="2" xfId="0" applyNumberFormat="1" applyFont="1" applyFill="1" applyBorder="1" applyAlignment="1">
      <alignment horizontal="center" vertical="center"/>
    </xf>
    <xf numFmtId="38" fontId="35" fillId="4" borderId="2" xfId="0" applyNumberFormat="1" applyFont="1" applyFill="1" applyBorder="1" applyAlignment="1">
      <alignment horizontal="center" vertical="center"/>
    </xf>
    <xf numFmtId="9" fontId="35" fillId="4" borderId="11" xfId="0" applyNumberFormat="1" applyFont="1" applyFill="1" applyBorder="1" applyAlignment="1">
      <alignment horizontal="center" vertical="center"/>
    </xf>
    <xf numFmtId="0" fontId="36" fillId="4" borderId="10" xfId="0" applyFont="1" applyFill="1" applyBorder="1" applyAlignment="1">
      <alignment horizontal="center" vertical="center" wrapText="1" readingOrder="2"/>
    </xf>
    <xf numFmtId="3" fontId="8" fillId="21" borderId="95" xfId="1" applyNumberFormat="1" applyFont="1" applyFill="1" applyBorder="1" applyAlignment="1" applyProtection="1">
      <alignment horizontal="center" vertical="center" wrapText="1" readingOrder="2"/>
      <protection hidden="1"/>
    </xf>
    <xf numFmtId="3" fontId="11" fillId="21" borderId="89" xfId="1" applyNumberFormat="1" applyFont="1" applyFill="1" applyBorder="1" applyAlignment="1" applyProtection="1">
      <alignment horizontal="center" vertical="center" wrapText="1" readingOrder="2"/>
      <protection hidden="1"/>
    </xf>
    <xf numFmtId="3" fontId="35" fillId="21" borderId="140" xfId="1" applyNumberFormat="1" applyFont="1" applyFill="1" applyBorder="1" applyAlignment="1" applyProtection="1">
      <alignment horizontal="center" vertical="center" wrapText="1" readingOrder="2"/>
      <protection hidden="1"/>
    </xf>
    <xf numFmtId="3" fontId="49" fillId="21" borderId="142" xfId="1" applyNumberFormat="1" applyFont="1" applyFill="1" applyBorder="1" applyAlignment="1" applyProtection="1">
      <alignment horizontal="center" vertical="center" wrapText="1" readingOrder="2"/>
      <protection hidden="1"/>
    </xf>
    <xf numFmtId="3" fontId="49" fillId="21" borderId="143" xfId="1" applyNumberFormat="1" applyFont="1" applyFill="1" applyBorder="1" applyAlignment="1" applyProtection="1">
      <alignment horizontal="center" vertical="center" wrapText="1" readingOrder="2"/>
      <protection hidden="1"/>
    </xf>
    <xf numFmtId="3" fontId="8" fillId="21" borderId="140" xfId="1" applyNumberFormat="1" applyFont="1" applyFill="1" applyBorder="1" applyAlignment="1" applyProtection="1">
      <alignment horizontal="center" vertical="center" wrapText="1" readingOrder="2"/>
      <protection hidden="1"/>
    </xf>
    <xf numFmtId="3" fontId="11" fillId="21" borderId="142" xfId="1" applyNumberFormat="1" applyFont="1" applyFill="1" applyBorder="1" applyAlignment="1" applyProtection="1">
      <alignment horizontal="center" vertical="center" wrapText="1" readingOrder="2"/>
      <protection hidden="1"/>
    </xf>
    <xf numFmtId="3" fontId="8" fillId="21" borderId="2" xfId="1" applyNumberFormat="1" applyFont="1" applyFill="1" applyBorder="1" applyAlignment="1" applyProtection="1">
      <alignment horizontal="center" vertical="center" wrapText="1" readingOrder="2"/>
      <protection hidden="1"/>
    </xf>
    <xf numFmtId="3" fontId="11" fillId="21" borderId="11" xfId="1" applyNumberFormat="1" applyFont="1" applyFill="1" applyBorder="1" applyAlignment="1" applyProtection="1">
      <alignment horizontal="center" vertical="center" wrapText="1" readingOrder="2"/>
      <protection hidden="1"/>
    </xf>
    <xf numFmtId="3" fontId="8" fillId="21" borderId="85" xfId="1" applyNumberFormat="1" applyFont="1" applyFill="1" applyBorder="1" applyAlignment="1" applyProtection="1">
      <alignment horizontal="center" vertical="center" wrapText="1" readingOrder="2"/>
      <protection hidden="1"/>
    </xf>
    <xf numFmtId="3" fontId="11" fillId="21" borderId="83" xfId="1" applyNumberFormat="1" applyFont="1" applyFill="1" applyBorder="1" applyAlignment="1" applyProtection="1">
      <alignment horizontal="center" vertical="center" wrapText="1" readingOrder="2"/>
      <protection hidden="1"/>
    </xf>
    <xf numFmtId="3" fontId="49" fillId="21" borderId="140" xfId="1" applyNumberFormat="1" applyFont="1" applyFill="1" applyBorder="1" applyAlignment="1" applyProtection="1">
      <alignment horizontal="center" vertical="center" wrapText="1" readingOrder="2"/>
      <protection hidden="1"/>
    </xf>
    <xf numFmtId="3" fontId="8" fillId="21" borderId="97" xfId="1" applyNumberFormat="1" applyFont="1" applyFill="1" applyBorder="1" applyAlignment="1" applyProtection="1">
      <alignment horizontal="center" vertical="center" wrapText="1" readingOrder="2"/>
      <protection hidden="1"/>
    </xf>
    <xf numFmtId="3" fontId="11" fillId="21" borderId="98" xfId="1" applyNumberFormat="1" applyFont="1" applyFill="1" applyBorder="1" applyAlignment="1" applyProtection="1">
      <alignment horizontal="center" vertical="center" wrapText="1" readingOrder="2"/>
      <protection hidden="1"/>
    </xf>
    <xf numFmtId="3" fontId="35" fillId="0" borderId="171" xfId="1" applyNumberFormat="1" applyFont="1" applyBorder="1" applyAlignment="1" applyProtection="1">
      <alignment horizontal="center" vertical="center" wrapText="1" readingOrder="2"/>
      <protection locked="0" hidden="1"/>
    </xf>
    <xf numFmtId="3" fontId="8" fillId="21" borderId="143" xfId="1" applyNumberFormat="1" applyFont="1" applyFill="1" applyBorder="1" applyAlignment="1" applyProtection="1">
      <alignment horizontal="center" vertical="center" wrapText="1" readingOrder="2"/>
      <protection locked="0" hidden="1"/>
    </xf>
    <xf numFmtId="3" fontId="8" fillId="3" borderId="142" xfId="1" applyNumberFormat="1" applyFont="1" applyFill="1" applyBorder="1" applyAlignment="1" applyProtection="1">
      <alignment horizontal="center" vertical="center" wrapText="1" readingOrder="2"/>
      <protection locked="0" hidden="1"/>
    </xf>
    <xf numFmtId="3" fontId="8" fillId="22" borderId="143" xfId="1" applyNumberFormat="1" applyFont="1" applyFill="1" applyBorder="1" applyAlignment="1" applyProtection="1">
      <alignment horizontal="center" vertical="center" wrapText="1" readingOrder="2"/>
      <protection locked="0" hidden="1"/>
    </xf>
    <xf numFmtId="3" fontId="8" fillId="22" borderId="82" xfId="1" applyNumberFormat="1" applyFont="1" applyFill="1" applyBorder="1" applyAlignment="1" applyProtection="1">
      <alignment horizontal="center" vertical="center" wrapText="1" readingOrder="2"/>
      <protection locked="0" hidden="1"/>
    </xf>
    <xf numFmtId="3" fontId="8" fillId="3" borderId="11" xfId="1" applyNumberFormat="1" applyFont="1" applyFill="1" applyBorder="1" applyAlignment="1" applyProtection="1">
      <alignment horizontal="center" vertical="center" wrapText="1" readingOrder="2"/>
      <protection locked="0" hidden="1"/>
    </xf>
    <xf numFmtId="3" fontId="91" fillId="22" borderId="80" xfId="1" applyNumberFormat="1" applyFont="1" applyFill="1" applyBorder="1" applyAlignment="1" applyProtection="1">
      <alignment horizontal="center" vertical="center" wrapText="1" readingOrder="2"/>
      <protection locked="0" hidden="1"/>
    </xf>
    <xf numFmtId="3" fontId="35" fillId="0" borderId="201" xfId="1" applyNumberFormat="1" applyFont="1" applyBorder="1" applyAlignment="1" applyProtection="1">
      <alignment horizontal="center" vertical="center" wrapText="1" readingOrder="2"/>
      <protection locked="0" hidden="1"/>
    </xf>
    <xf numFmtId="3" fontId="35" fillId="3" borderId="83" xfId="1" applyNumberFormat="1" applyFont="1" applyFill="1" applyBorder="1" applyAlignment="1" applyProtection="1">
      <alignment horizontal="center" vertical="center" wrapText="1" readingOrder="2"/>
      <protection locked="0" hidden="1"/>
    </xf>
    <xf numFmtId="3" fontId="35" fillId="0" borderId="143" xfId="1" applyNumberFormat="1" applyFont="1" applyBorder="1" applyAlignment="1" applyProtection="1">
      <alignment horizontal="center" vertical="center" wrapText="1" readingOrder="2"/>
      <protection locked="0" hidden="1"/>
    </xf>
    <xf numFmtId="3" fontId="35" fillId="3" borderId="142" xfId="1" applyNumberFormat="1" applyFont="1" applyFill="1" applyBorder="1" applyAlignment="1" applyProtection="1">
      <alignment horizontal="center" vertical="center" wrapText="1" readingOrder="2"/>
      <protection locked="0" hidden="1"/>
    </xf>
    <xf numFmtId="3" fontId="8" fillId="21" borderId="94" xfId="1" applyNumberFormat="1" applyFont="1" applyFill="1" applyBorder="1" applyAlignment="1" applyProtection="1">
      <alignment horizontal="center" vertical="center" wrapText="1" readingOrder="2"/>
      <protection locked="0" hidden="1"/>
    </xf>
    <xf numFmtId="3" fontId="35" fillId="0" borderId="139" xfId="1" applyNumberFormat="1" applyFont="1" applyBorder="1" applyAlignment="1" applyProtection="1">
      <alignment horizontal="center" vertical="center" wrapText="1" readingOrder="2"/>
      <protection locked="0" hidden="1"/>
    </xf>
    <xf numFmtId="3" fontId="8" fillId="21" borderId="95" xfId="1" applyNumberFormat="1" applyFont="1" applyFill="1" applyBorder="1" applyAlignment="1" applyProtection="1">
      <alignment horizontal="center" vertical="center" wrapText="1" readingOrder="2"/>
      <protection locked="0" hidden="1"/>
    </xf>
    <xf numFmtId="3" fontId="8" fillId="21" borderId="140" xfId="1" applyNumberFormat="1" applyFont="1" applyFill="1" applyBorder="1" applyAlignment="1" applyProtection="1">
      <alignment horizontal="center" vertical="center" wrapText="1" readingOrder="2"/>
      <protection locked="0" hidden="1"/>
    </xf>
    <xf numFmtId="3" fontId="91" fillId="22" borderId="143" xfId="1" applyNumberFormat="1" applyFont="1" applyFill="1" applyBorder="1" applyAlignment="1" applyProtection="1">
      <alignment horizontal="center" vertical="center" wrapText="1" readingOrder="2"/>
      <protection locked="0" hidden="1"/>
    </xf>
    <xf numFmtId="3" fontId="91" fillId="22" borderId="82" xfId="1" applyNumberFormat="1" applyFont="1" applyFill="1" applyBorder="1" applyAlignment="1" applyProtection="1">
      <alignment horizontal="center" vertical="center" wrapText="1" readingOrder="2"/>
      <protection locked="0" hidden="1"/>
    </xf>
    <xf numFmtId="3" fontId="91" fillId="22" borderId="137" xfId="1" applyNumberFormat="1" applyFont="1" applyFill="1" applyBorder="1" applyAlignment="1" applyProtection="1">
      <alignment horizontal="center" vertical="center" wrapText="1" readingOrder="2"/>
      <protection locked="0" hidden="1"/>
    </xf>
    <xf numFmtId="3" fontId="8" fillId="21" borderId="85" xfId="1" applyNumberFormat="1" applyFont="1" applyFill="1" applyBorder="1" applyAlignment="1" applyProtection="1">
      <alignment horizontal="center" vertical="center" wrapText="1" readingOrder="2"/>
      <protection locked="0" hidden="1"/>
    </xf>
    <xf numFmtId="3" fontId="8" fillId="0" borderId="141" xfId="1" applyNumberFormat="1" applyFont="1" applyBorder="1" applyAlignment="1" applyProtection="1">
      <alignment horizontal="center" vertical="center" wrapText="1" readingOrder="2"/>
      <protection locked="0" hidden="1"/>
    </xf>
    <xf numFmtId="3" fontId="8" fillId="0" borderId="144" xfId="1" applyNumberFormat="1" applyFont="1" applyBorder="1" applyAlignment="1" applyProtection="1">
      <alignment horizontal="center" vertical="center" wrapText="1" readingOrder="2"/>
      <protection locked="0" hidden="1"/>
    </xf>
    <xf numFmtId="3" fontId="8" fillId="0" borderId="225" xfId="1" applyNumberFormat="1" applyFont="1" applyBorder="1" applyAlignment="1" applyProtection="1">
      <alignment horizontal="center" vertical="center" wrapText="1" readingOrder="2"/>
      <protection locked="0" hidden="1"/>
    </xf>
    <xf numFmtId="3" fontId="8" fillId="0" borderId="85" xfId="1" applyNumberFormat="1" applyFont="1" applyBorder="1" applyAlignment="1" applyProtection="1">
      <alignment horizontal="center" vertical="center" wrapText="1" readingOrder="2"/>
      <protection locked="0" hidden="1"/>
    </xf>
    <xf numFmtId="3" fontId="8" fillId="0" borderId="140" xfId="1" applyNumberFormat="1" applyFont="1" applyBorder="1" applyAlignment="1" applyProtection="1">
      <alignment horizontal="center" vertical="center" wrapText="1" readingOrder="2"/>
      <protection locked="0" hidden="1"/>
    </xf>
    <xf numFmtId="3" fontId="35" fillId="0" borderId="140" xfId="1" applyNumberFormat="1" applyFont="1" applyBorder="1" applyAlignment="1" applyProtection="1">
      <alignment horizontal="center" vertical="center" wrapText="1" readingOrder="2"/>
      <protection locked="0" hidden="1"/>
    </xf>
    <xf numFmtId="0" fontId="75" fillId="0" borderId="0" xfId="1" applyFont="1" applyAlignment="1" applyProtection="1">
      <alignment vertical="top" readingOrder="2"/>
      <protection locked="0"/>
    </xf>
    <xf numFmtId="0" fontId="4" fillId="0" borderId="0" xfId="1" applyFont="1" applyAlignment="1" applyProtection="1">
      <alignment horizontal="center" vertical="center"/>
      <protection locked="0"/>
    </xf>
    <xf numFmtId="0" fontId="23" fillId="0" borderId="0" xfId="0" applyFont="1" applyProtection="1">
      <protection locked="0"/>
    </xf>
    <xf numFmtId="3" fontId="8" fillId="4" borderId="99" xfId="4" applyNumberFormat="1" applyFont="1" applyFill="1" applyBorder="1" applyAlignment="1" applyProtection="1">
      <alignment horizontal="center" vertical="center"/>
      <protection locked="0"/>
    </xf>
    <xf numFmtId="3" fontId="8" fillId="14" borderId="99" xfId="4" applyNumberFormat="1" applyFont="1" applyFill="1" applyBorder="1" applyAlignment="1" applyProtection="1">
      <alignment horizontal="center" vertical="center"/>
      <protection locked="0"/>
    </xf>
    <xf numFmtId="49" fontId="8" fillId="0" borderId="0" xfId="1" applyNumberFormat="1" applyFont="1" applyAlignment="1" applyProtection="1">
      <alignment horizontal="right" vertical="center"/>
      <protection locked="0"/>
    </xf>
    <xf numFmtId="3" fontId="8" fillId="4" borderId="114" xfId="1" applyNumberFormat="1" applyFont="1" applyFill="1" applyBorder="1" applyAlignment="1" applyProtection="1">
      <alignment horizontal="center" vertical="center" wrapText="1" readingOrder="2"/>
      <protection hidden="1"/>
    </xf>
    <xf numFmtId="3" fontId="8" fillId="4" borderId="38" xfId="1" applyNumberFormat="1" applyFont="1" applyFill="1" applyBorder="1" applyAlignment="1" applyProtection="1">
      <alignment horizontal="center" vertical="center" wrapText="1" readingOrder="2"/>
      <protection hidden="1"/>
    </xf>
    <xf numFmtId="3" fontId="8" fillId="4" borderId="39" xfId="1" applyNumberFormat="1" applyFont="1" applyFill="1" applyBorder="1" applyAlignment="1" applyProtection="1">
      <alignment horizontal="center" vertical="center" wrapText="1" readingOrder="2"/>
      <protection hidden="1"/>
    </xf>
    <xf numFmtId="3" fontId="8" fillId="13" borderId="285" xfId="1" applyNumberFormat="1" applyFont="1" applyFill="1" applyBorder="1" applyAlignment="1" applyProtection="1">
      <alignment horizontal="center" vertical="center" wrapText="1" readingOrder="2"/>
      <protection locked="0"/>
    </xf>
    <xf numFmtId="3" fontId="8" fillId="13" borderId="65" xfId="1" applyNumberFormat="1" applyFont="1" applyFill="1" applyBorder="1" applyAlignment="1" applyProtection="1">
      <alignment horizontal="center" vertical="center" wrapText="1" readingOrder="2"/>
      <protection locked="0"/>
    </xf>
    <xf numFmtId="0" fontId="13" fillId="0" borderId="0" xfId="1" applyFont="1" applyAlignment="1" applyProtection="1">
      <alignment horizontal="center"/>
      <protection locked="0"/>
    </xf>
    <xf numFmtId="0" fontId="8" fillId="0" borderId="0" xfId="1" applyFont="1" applyAlignment="1" applyProtection="1">
      <alignment horizontal="center" vertical="top" wrapText="1" readingOrder="2"/>
      <protection locked="0"/>
    </xf>
    <xf numFmtId="0" fontId="8" fillId="0" borderId="0" xfId="1" applyFont="1" applyAlignment="1" applyProtection="1">
      <alignment horizontal="center" wrapText="1" readingOrder="2"/>
      <protection locked="0"/>
    </xf>
    <xf numFmtId="0" fontId="13" fillId="0" borderId="0" xfId="1" applyFont="1" applyAlignment="1" applyProtection="1">
      <alignment horizontal="center" vertical="top" wrapText="1" readingOrder="2"/>
      <protection locked="0"/>
    </xf>
    <xf numFmtId="0" fontId="8" fillId="0" borderId="0" xfId="1" applyFont="1" applyAlignment="1" applyProtection="1">
      <alignment horizontal="left" vertical="center" readingOrder="2"/>
      <protection locked="0"/>
    </xf>
    <xf numFmtId="3" fontId="8" fillId="28" borderId="114" xfId="1" applyNumberFormat="1" applyFont="1" applyFill="1" applyBorder="1" applyAlignment="1" applyProtection="1">
      <alignment horizontal="center" vertical="center" wrapText="1" readingOrder="2"/>
      <protection hidden="1"/>
    </xf>
    <xf numFmtId="3" fontId="8" fillId="28" borderId="38" xfId="1" applyNumberFormat="1" applyFont="1" applyFill="1" applyBorder="1" applyAlignment="1" applyProtection="1">
      <alignment horizontal="center" vertical="center" wrapText="1" readingOrder="2"/>
      <protection hidden="1"/>
    </xf>
    <xf numFmtId="0" fontId="8" fillId="4" borderId="118" xfId="1" applyFont="1" applyFill="1" applyBorder="1" applyAlignment="1" applyProtection="1">
      <alignment horizontal="center" vertical="center" wrapText="1" readingOrder="2"/>
      <protection hidden="1"/>
    </xf>
    <xf numFmtId="0" fontId="6" fillId="4" borderId="107" xfId="1" applyFont="1" applyFill="1" applyBorder="1" applyAlignment="1" applyProtection="1">
      <alignment horizontal="center" vertical="center" wrapText="1" readingOrder="2"/>
      <protection hidden="1"/>
    </xf>
    <xf numFmtId="0" fontId="8" fillId="4" borderId="108" xfId="1" applyFont="1" applyFill="1" applyBorder="1" applyAlignment="1" applyProtection="1">
      <alignment horizontal="center" vertical="center" wrapText="1" readingOrder="2"/>
      <protection hidden="1"/>
    </xf>
    <xf numFmtId="0" fontId="6" fillId="4" borderId="108" xfId="1" applyFont="1" applyFill="1" applyBorder="1" applyAlignment="1" applyProtection="1">
      <alignment horizontal="center" vertical="center" wrapText="1" readingOrder="2"/>
      <protection hidden="1"/>
    </xf>
    <xf numFmtId="0" fontId="8" fillId="4" borderId="207" xfId="1" applyFont="1" applyFill="1" applyBorder="1" applyAlignment="1" applyProtection="1">
      <alignment horizontal="center" vertical="center" wrapText="1" readingOrder="2"/>
      <protection hidden="1"/>
    </xf>
    <xf numFmtId="0" fontId="88" fillId="0" borderId="0" xfId="0" applyFont="1" applyAlignment="1" applyProtection="1">
      <alignment horizontal="center" vertical="center" readingOrder="2"/>
      <protection locked="0"/>
    </xf>
    <xf numFmtId="3" fontId="78" fillId="0" borderId="0" xfId="0" applyNumberFormat="1" applyFont="1" applyProtection="1">
      <protection locked="0"/>
    </xf>
    <xf numFmtId="0" fontId="13" fillId="0" borderId="64" xfId="1" applyFont="1" applyBorder="1" applyAlignment="1" applyProtection="1">
      <alignment horizontal="justify" vertical="center" wrapText="1" readingOrder="2"/>
      <protection locked="0"/>
    </xf>
    <xf numFmtId="0" fontId="118" fillId="0" borderId="0" xfId="0" applyFont="1" applyAlignment="1" applyProtection="1">
      <alignment horizontal="right"/>
      <protection locked="0"/>
    </xf>
    <xf numFmtId="0" fontId="9" fillId="0" borderId="0" xfId="0" applyFont="1" applyAlignment="1" applyProtection="1">
      <alignment horizontal="right"/>
      <protection locked="0"/>
    </xf>
    <xf numFmtId="0" fontId="36" fillId="0" borderId="0" xfId="0" applyFont="1" applyAlignment="1" applyProtection="1">
      <alignment horizontal="right"/>
      <protection locked="0"/>
    </xf>
    <xf numFmtId="0" fontId="53" fillId="0" borderId="0" xfId="0" applyFont="1" applyProtection="1">
      <protection locked="0"/>
    </xf>
    <xf numFmtId="0" fontId="25" fillId="0" borderId="0" xfId="1" applyFont="1" applyAlignment="1" applyProtection="1">
      <alignment horizontal="center" vertical="center"/>
      <protection locked="0"/>
    </xf>
    <xf numFmtId="3" fontId="8" fillId="4" borderId="5" xfId="1" applyNumberFormat="1" applyFont="1" applyFill="1" applyBorder="1" applyAlignment="1" applyProtection="1">
      <alignment horizontal="center" vertical="center" readingOrder="2"/>
      <protection hidden="1"/>
    </xf>
    <xf numFmtId="3" fontId="8" fillId="4" borderId="36" xfId="1" applyNumberFormat="1" applyFont="1" applyFill="1" applyBorder="1" applyAlignment="1" applyProtection="1">
      <alignment horizontal="center" vertical="center" readingOrder="2"/>
      <protection hidden="1"/>
    </xf>
    <xf numFmtId="0" fontId="22" fillId="0" borderId="0" xfId="1" applyFont="1" applyAlignment="1" applyProtection="1">
      <alignment readingOrder="2"/>
      <protection locked="0"/>
    </xf>
    <xf numFmtId="0" fontId="17" fillId="0" borderId="0" xfId="1" applyFont="1" applyAlignment="1" applyProtection="1">
      <alignment readingOrder="2"/>
      <protection locked="0"/>
    </xf>
    <xf numFmtId="0" fontId="9" fillId="0" borderId="0" xfId="1" applyFont="1" applyAlignment="1" applyProtection="1">
      <alignment vertical="center" wrapText="1" readingOrder="2"/>
      <protection locked="0"/>
    </xf>
    <xf numFmtId="0" fontId="9" fillId="0" borderId="3" xfId="1" applyFont="1" applyBorder="1" applyAlignment="1" applyProtection="1">
      <alignment vertical="center" wrapText="1" readingOrder="2"/>
      <protection locked="0"/>
    </xf>
    <xf numFmtId="3" fontId="9" fillId="0" borderId="0" xfId="1" applyNumberFormat="1" applyFont="1" applyAlignment="1" applyProtection="1">
      <alignment horizontal="center" vertical="center" wrapText="1" readingOrder="2"/>
      <protection locked="0"/>
    </xf>
    <xf numFmtId="0" fontId="9" fillId="0" borderId="0" xfId="1" applyFont="1" applyProtection="1">
      <protection locked="0"/>
    </xf>
    <xf numFmtId="0" fontId="9" fillId="0" borderId="0" xfId="1" applyFont="1" applyAlignment="1" applyProtection="1">
      <alignment horizontal="justify" readingOrder="2"/>
      <protection locked="0"/>
    </xf>
    <xf numFmtId="1" fontId="11" fillId="28" borderId="119" xfId="1" applyNumberFormat="1" applyFont="1" applyFill="1" applyBorder="1" applyAlignment="1" applyProtection="1">
      <alignment horizontal="center" vertical="center" wrapText="1" readingOrder="2"/>
      <protection hidden="1"/>
    </xf>
    <xf numFmtId="3" fontId="8" fillId="28" borderId="115" xfId="1" applyNumberFormat="1" applyFont="1" applyFill="1" applyBorder="1" applyAlignment="1" applyProtection="1">
      <alignment horizontal="center" vertical="center" wrapText="1" readingOrder="2"/>
      <protection hidden="1"/>
    </xf>
    <xf numFmtId="0" fontId="8" fillId="28" borderId="27" xfId="1" applyFont="1" applyFill="1" applyBorder="1" applyAlignment="1" applyProtection="1">
      <alignment horizontal="right" vertical="center" wrapText="1" readingOrder="2"/>
      <protection hidden="1"/>
    </xf>
    <xf numFmtId="0" fontId="11" fillId="28" borderId="122" xfId="1" applyFont="1" applyFill="1" applyBorder="1" applyAlignment="1" applyProtection="1">
      <alignment horizontal="center" vertical="center" wrapText="1" readingOrder="2"/>
      <protection hidden="1"/>
    </xf>
    <xf numFmtId="3" fontId="8" fillId="28" borderId="42" xfId="1" applyNumberFormat="1" applyFont="1" applyFill="1" applyBorder="1" applyAlignment="1" applyProtection="1">
      <alignment horizontal="center" vertical="center" wrapText="1" readingOrder="2"/>
      <protection hidden="1"/>
    </xf>
    <xf numFmtId="0" fontId="8" fillId="28" borderId="200" xfId="1" applyFont="1" applyFill="1" applyBorder="1" applyAlignment="1" applyProtection="1">
      <alignment horizontal="right" vertical="center" wrapText="1" readingOrder="2"/>
      <protection hidden="1"/>
    </xf>
    <xf numFmtId="0" fontId="11" fillId="28" borderId="168" xfId="1" applyFont="1" applyFill="1" applyBorder="1" applyAlignment="1" applyProtection="1">
      <alignment horizontal="center" vertical="center" wrapText="1" readingOrder="2"/>
      <protection hidden="1"/>
    </xf>
    <xf numFmtId="3" fontId="8" fillId="28" borderId="40" xfId="1" applyNumberFormat="1" applyFont="1" applyFill="1" applyBorder="1" applyAlignment="1" applyProtection="1">
      <alignment horizontal="center" vertical="center" wrapText="1" readingOrder="2"/>
      <protection hidden="1"/>
    </xf>
    <xf numFmtId="3" fontId="8" fillId="28" borderId="44" xfId="1" applyNumberFormat="1" applyFont="1" applyFill="1" applyBorder="1" applyAlignment="1" applyProtection="1">
      <alignment horizontal="center" vertical="center" wrapText="1" readingOrder="2"/>
      <protection hidden="1"/>
    </xf>
    <xf numFmtId="0" fontId="7" fillId="13" borderId="65" xfId="1" applyFont="1" applyFill="1" applyBorder="1" applyAlignment="1" applyProtection="1">
      <alignment horizontal="center" vertical="center" wrapText="1" readingOrder="2"/>
      <protection locked="0"/>
    </xf>
    <xf numFmtId="0" fontId="8" fillId="0" borderId="3" xfId="1" applyFont="1" applyBorder="1" applyAlignment="1" applyProtection="1">
      <alignment horizontal="center" vertical="center" wrapText="1" readingOrder="2"/>
      <protection locked="0"/>
    </xf>
    <xf numFmtId="3" fontId="10" fillId="0" borderId="3" xfId="1" applyNumberFormat="1" applyFont="1" applyBorder="1" applyAlignment="1" applyProtection="1">
      <alignment horizontal="center" vertical="center" wrapText="1" readingOrder="2"/>
      <protection locked="0"/>
    </xf>
    <xf numFmtId="3" fontId="10" fillId="0" borderId="0" xfId="1" applyNumberFormat="1" applyFont="1" applyAlignment="1" applyProtection="1">
      <alignment horizontal="center" vertical="center" wrapText="1" readingOrder="2"/>
      <protection locked="0"/>
    </xf>
    <xf numFmtId="3" fontId="6" fillId="0" borderId="0" xfId="1" applyNumberFormat="1" applyFont="1" applyAlignment="1" applyProtection="1">
      <alignment horizontal="center" vertical="center" wrapText="1" readingOrder="2"/>
      <protection locked="0"/>
    </xf>
    <xf numFmtId="3" fontId="7" fillId="0" borderId="0" xfId="1" applyNumberFormat="1" applyFont="1" applyAlignment="1" applyProtection="1">
      <alignment horizontal="center" vertical="center" wrapText="1" readingOrder="2"/>
      <protection locked="0"/>
    </xf>
    <xf numFmtId="3" fontId="13" fillId="0" borderId="0" xfId="1" applyNumberFormat="1" applyFont="1" applyAlignment="1" applyProtection="1">
      <alignment horizontal="center" vertical="center" wrapText="1" readingOrder="2"/>
      <protection locked="0"/>
    </xf>
    <xf numFmtId="3" fontId="8" fillId="28" borderId="24" xfId="1" applyNumberFormat="1" applyFont="1" applyFill="1" applyBorder="1" applyAlignment="1" applyProtection="1">
      <alignment horizontal="center" vertical="center" wrapText="1" readingOrder="2"/>
      <protection hidden="1"/>
    </xf>
    <xf numFmtId="3" fontId="8" fillId="28" borderId="118" xfId="1" applyNumberFormat="1" applyFont="1" applyFill="1" applyBorder="1" applyAlignment="1" applyProtection="1">
      <alignment horizontal="center" vertical="center" wrapText="1" readingOrder="2"/>
      <protection hidden="1"/>
    </xf>
    <xf numFmtId="3" fontId="8" fillId="28" borderId="30" xfId="1" applyNumberFormat="1" applyFont="1" applyFill="1" applyBorder="1" applyAlignment="1" applyProtection="1">
      <alignment horizontal="center" vertical="center" wrapText="1" readingOrder="2"/>
      <protection hidden="1"/>
    </xf>
    <xf numFmtId="3" fontId="8" fillId="28" borderId="28" xfId="1" applyNumberFormat="1" applyFont="1" applyFill="1" applyBorder="1" applyAlignment="1" applyProtection="1">
      <alignment horizontal="center" vertical="center" wrapText="1" readingOrder="2"/>
      <protection hidden="1"/>
    </xf>
    <xf numFmtId="0" fontId="0" fillId="3" borderId="0" xfId="0" applyFill="1"/>
    <xf numFmtId="166" fontId="8" fillId="4" borderId="94" xfId="1" applyNumberFormat="1" applyFont="1" applyFill="1" applyBorder="1" applyAlignment="1" applyProtection="1">
      <alignment horizontal="center" vertical="center"/>
      <protection hidden="1"/>
    </xf>
    <xf numFmtId="166" fontId="8" fillId="4" borderId="83" xfId="1" applyNumberFormat="1" applyFont="1" applyFill="1" applyBorder="1" applyAlignment="1" applyProtection="1">
      <alignment horizontal="center" vertical="center"/>
      <protection hidden="1"/>
    </xf>
    <xf numFmtId="166" fontId="8" fillId="4" borderId="95" xfId="1" applyNumberFormat="1" applyFont="1" applyFill="1" applyBorder="1" applyAlignment="1" applyProtection="1">
      <alignment horizontal="center" vertical="center"/>
      <protection hidden="1"/>
    </xf>
    <xf numFmtId="166" fontId="8" fillId="4" borderId="140" xfId="1" applyNumberFormat="1" applyFont="1" applyFill="1" applyBorder="1" applyAlignment="1" applyProtection="1">
      <alignment horizontal="center" vertical="center"/>
      <protection hidden="1"/>
    </xf>
    <xf numFmtId="166" fontId="8" fillId="4" borderId="89" xfId="1" applyNumberFormat="1" applyFont="1" applyFill="1" applyBorder="1" applyAlignment="1" applyProtection="1">
      <alignment horizontal="center" vertical="center"/>
      <protection hidden="1"/>
    </xf>
    <xf numFmtId="0" fontId="8" fillId="11" borderId="173" xfId="1" applyFont="1" applyFill="1" applyBorder="1" applyAlignment="1">
      <alignment horizontal="center" vertical="center" wrapText="1" readingOrder="2"/>
    </xf>
    <xf numFmtId="0" fontId="8" fillId="11" borderId="91" xfId="1" applyFont="1" applyFill="1" applyBorder="1" applyAlignment="1">
      <alignment horizontal="center" vertical="center" wrapText="1" readingOrder="2"/>
    </xf>
    <xf numFmtId="0" fontId="8" fillId="11" borderId="89" xfId="1" applyFont="1" applyFill="1" applyBorder="1" applyAlignment="1">
      <alignment horizontal="center" vertical="center" wrapText="1" readingOrder="2"/>
    </xf>
    <xf numFmtId="0" fontId="25" fillId="0" borderId="0" xfId="1" applyFont="1" applyAlignment="1" applyProtection="1">
      <alignment horizontal="justify" vertical="center" wrapText="1" readingOrder="2"/>
      <protection locked="0"/>
    </xf>
    <xf numFmtId="0" fontId="37" fillId="0" borderId="141" xfId="0" applyFont="1" applyBorder="1" applyAlignment="1" applyProtection="1">
      <alignment horizontal="center" vertical="center"/>
      <protection locked="0"/>
    </xf>
    <xf numFmtId="0" fontId="37" fillId="0" borderId="143" xfId="0" applyFont="1" applyBorder="1" applyAlignment="1" applyProtection="1">
      <alignment horizontal="center" vertical="center"/>
      <protection locked="0"/>
    </xf>
    <xf numFmtId="0" fontId="23" fillId="11" borderId="95" xfId="0" applyFont="1" applyFill="1" applyBorder="1" applyAlignment="1">
      <alignment horizontal="center" vertical="center" wrapText="1"/>
    </xf>
    <xf numFmtId="0" fontId="8" fillId="11" borderId="2" xfId="1" applyFont="1" applyFill="1" applyBorder="1" applyAlignment="1">
      <alignment horizontal="center" vertical="center" wrapText="1" readingOrder="2"/>
    </xf>
    <xf numFmtId="0" fontId="18" fillId="0" borderId="0" xfId="0" applyFont="1" applyAlignment="1">
      <alignment horizontal="center" vertical="center" wrapText="1" readingOrder="2"/>
    </xf>
    <xf numFmtId="0" fontId="114" fillId="3" borderId="0" xfId="17" applyFont="1" applyFill="1" applyAlignment="1">
      <alignment horizontal="center" vertical="center" readingOrder="2"/>
    </xf>
    <xf numFmtId="166" fontId="8" fillId="0" borderId="204" xfId="1" applyNumberFormat="1" applyFont="1" applyBorder="1" applyAlignment="1" applyProtection="1">
      <alignment horizontal="center" vertical="center" wrapText="1" readingOrder="2"/>
      <protection locked="0" hidden="1"/>
    </xf>
    <xf numFmtId="166" fontId="8" fillId="0" borderId="197" xfId="1" applyNumberFormat="1" applyFont="1" applyBorder="1" applyAlignment="1" applyProtection="1">
      <alignment horizontal="center" vertical="center" wrapText="1" readingOrder="2"/>
      <protection locked="0" hidden="1"/>
    </xf>
    <xf numFmtId="0" fontId="20" fillId="0" borderId="0" xfId="0" applyFont="1" applyAlignment="1" applyProtection="1">
      <alignment horizontal="right" vertical="center" readingOrder="2"/>
      <protection hidden="1"/>
    </xf>
    <xf numFmtId="0" fontId="41" fillId="0" borderId="0" xfId="0" applyFont="1" applyAlignment="1" applyProtection="1">
      <alignment horizontal="center" vertical="center" readingOrder="2"/>
      <protection hidden="1"/>
    </xf>
    <xf numFmtId="0" fontId="9" fillId="0" borderId="1" xfId="1" applyFont="1" applyBorder="1" applyAlignment="1" applyProtection="1">
      <alignment horizontal="right" vertical="center" wrapText="1" readingOrder="2"/>
      <protection hidden="1"/>
    </xf>
    <xf numFmtId="0" fontId="8" fillId="15" borderId="10" xfId="1" applyFont="1" applyFill="1" applyBorder="1" applyAlignment="1" applyProtection="1">
      <alignment horizontal="center" vertical="center" wrapText="1" readingOrder="2"/>
      <protection hidden="1"/>
    </xf>
    <xf numFmtId="0" fontId="8" fillId="15" borderId="2" xfId="1" applyFont="1" applyFill="1" applyBorder="1" applyAlignment="1" applyProtection="1">
      <alignment horizontal="center" vertical="center" wrapText="1" readingOrder="2"/>
      <protection hidden="1"/>
    </xf>
    <xf numFmtId="0" fontId="8" fillId="15" borderId="11" xfId="1" applyFont="1" applyFill="1" applyBorder="1" applyAlignment="1" applyProtection="1">
      <alignment horizontal="center" vertical="center" wrapText="1" readingOrder="2"/>
      <protection hidden="1"/>
    </xf>
    <xf numFmtId="3" fontId="8" fillId="4" borderId="19" xfId="1" applyNumberFormat="1" applyFont="1" applyFill="1" applyBorder="1" applyAlignment="1" applyProtection="1">
      <alignment horizontal="center" vertical="center" wrapText="1" readingOrder="2"/>
      <protection hidden="1"/>
    </xf>
    <xf numFmtId="0" fontId="9" fillId="4" borderId="93" xfId="1" applyFont="1" applyFill="1" applyBorder="1" applyAlignment="1" applyProtection="1">
      <alignment horizontal="justify" vertical="center" wrapText="1" readingOrder="2"/>
      <protection hidden="1"/>
    </xf>
    <xf numFmtId="0" fontId="14" fillId="4" borderId="93" xfId="1" applyFont="1" applyFill="1" applyBorder="1" applyAlignment="1" applyProtection="1">
      <alignment horizontal="justify" vertical="center" wrapText="1" readingOrder="2"/>
      <protection hidden="1"/>
    </xf>
    <xf numFmtId="3" fontId="8" fillId="4" borderId="66" xfId="1" applyNumberFormat="1" applyFont="1" applyFill="1" applyBorder="1" applyAlignment="1" applyProtection="1">
      <alignment horizontal="center" vertical="center" wrapText="1" readingOrder="2"/>
      <protection hidden="1"/>
    </xf>
    <xf numFmtId="166" fontId="11" fillId="4" borderId="204" xfId="1" applyNumberFormat="1" applyFont="1" applyFill="1" applyBorder="1" applyAlignment="1" applyProtection="1">
      <alignment horizontal="center" vertical="center" wrapText="1" readingOrder="2"/>
      <protection hidden="1"/>
    </xf>
    <xf numFmtId="166" fontId="11" fillId="4" borderId="203" xfId="1" applyNumberFormat="1" applyFont="1" applyFill="1" applyBorder="1" applyAlignment="1" applyProtection="1">
      <alignment horizontal="center" vertical="center" wrapText="1" readingOrder="2"/>
      <protection hidden="1"/>
    </xf>
    <xf numFmtId="166" fontId="11" fillId="4" borderId="197" xfId="1" applyNumberFormat="1" applyFont="1" applyFill="1" applyBorder="1" applyAlignment="1" applyProtection="1">
      <alignment horizontal="center" vertical="center" wrapText="1" readingOrder="2"/>
      <protection hidden="1"/>
    </xf>
    <xf numFmtId="166" fontId="11" fillId="4" borderId="161" xfId="1" applyNumberFormat="1" applyFont="1" applyFill="1" applyBorder="1" applyAlignment="1" applyProtection="1">
      <alignment horizontal="center" vertical="center" wrapText="1" readingOrder="2"/>
      <protection hidden="1"/>
    </xf>
    <xf numFmtId="166" fontId="11" fillId="4" borderId="66" xfId="1" applyNumberFormat="1" applyFont="1" applyFill="1" applyBorder="1" applyAlignment="1" applyProtection="1">
      <alignment horizontal="center" vertical="center" wrapText="1" readingOrder="2"/>
      <protection hidden="1"/>
    </xf>
    <xf numFmtId="166" fontId="11" fillId="4" borderId="67" xfId="1" applyNumberFormat="1" applyFont="1" applyFill="1" applyBorder="1" applyAlignment="1" applyProtection="1">
      <alignment horizontal="center" vertical="center" wrapText="1" readingOrder="2"/>
      <protection hidden="1"/>
    </xf>
    <xf numFmtId="3" fontId="8" fillId="0" borderId="204" xfId="1" applyNumberFormat="1" applyFont="1" applyBorder="1" applyAlignment="1" applyProtection="1">
      <alignment horizontal="center" vertical="center" wrapText="1" readingOrder="2"/>
      <protection locked="0" hidden="1"/>
    </xf>
    <xf numFmtId="3" fontId="8" fillId="0" borderId="197" xfId="1" applyNumberFormat="1" applyFont="1" applyBorder="1" applyAlignment="1" applyProtection="1">
      <alignment horizontal="center" vertical="center" wrapText="1" readingOrder="2"/>
      <protection locked="0" hidden="1"/>
    </xf>
    <xf numFmtId="0" fontId="29" fillId="0" borderId="0" xfId="2" applyFont="1" applyAlignment="1" applyProtection="1">
      <alignment vertical="center" readingOrder="2"/>
      <protection locked="0"/>
    </xf>
    <xf numFmtId="166" fontId="8" fillId="4" borderId="5" xfId="1" applyNumberFormat="1" applyFont="1" applyFill="1" applyBorder="1" applyAlignment="1" applyProtection="1">
      <alignment horizontal="center" vertical="center" readingOrder="2"/>
      <protection hidden="1"/>
    </xf>
    <xf numFmtId="166" fontId="8" fillId="4" borderId="22" xfId="1" applyNumberFormat="1" applyFont="1" applyFill="1" applyBorder="1" applyAlignment="1" applyProtection="1">
      <alignment horizontal="center" vertical="center" readingOrder="2"/>
      <protection hidden="1"/>
    </xf>
    <xf numFmtId="166" fontId="8" fillId="4" borderId="4" xfId="1" applyNumberFormat="1" applyFont="1" applyFill="1" applyBorder="1" applyAlignment="1" applyProtection="1">
      <alignment horizontal="center" vertical="center" readingOrder="2"/>
      <protection hidden="1"/>
    </xf>
    <xf numFmtId="166" fontId="8" fillId="4" borderId="26" xfId="1" applyNumberFormat="1" applyFont="1" applyFill="1" applyBorder="1" applyAlignment="1" applyProtection="1">
      <alignment horizontal="center" vertical="center" readingOrder="2"/>
      <protection hidden="1"/>
    </xf>
    <xf numFmtId="166" fontId="8" fillId="4" borderId="51" xfId="1" applyNumberFormat="1" applyFont="1" applyFill="1" applyBorder="1" applyAlignment="1" applyProtection="1">
      <alignment horizontal="center" vertical="center" readingOrder="2"/>
      <protection hidden="1"/>
    </xf>
    <xf numFmtId="166" fontId="8" fillId="4" borderId="36" xfId="1" applyNumberFormat="1" applyFont="1" applyFill="1" applyBorder="1" applyAlignment="1" applyProtection="1">
      <alignment horizontal="center" vertical="center" readingOrder="2"/>
      <protection hidden="1"/>
    </xf>
    <xf numFmtId="0" fontId="4" fillId="0" borderId="0" xfId="1" applyFont="1" applyAlignment="1" applyProtection="1">
      <alignment vertical="top" readingOrder="2"/>
      <protection locked="0"/>
    </xf>
    <xf numFmtId="0" fontId="7" fillId="0" borderId="0" xfId="1" applyFont="1" applyAlignment="1" applyProtection="1">
      <alignment horizontal="center" vertical="center" wrapText="1" readingOrder="2"/>
      <protection locked="0"/>
    </xf>
    <xf numFmtId="0" fontId="13" fillId="0" borderId="0" xfId="2" applyFont="1" applyAlignment="1" applyProtection="1">
      <alignment vertical="center"/>
      <protection locked="0"/>
    </xf>
    <xf numFmtId="0" fontId="54" fillId="0" borderId="0" xfId="2" applyFont="1" applyAlignment="1" applyProtection="1">
      <alignment vertical="center"/>
      <protection locked="0"/>
    </xf>
    <xf numFmtId="0" fontId="8" fillId="0" borderId="3" xfId="2" applyFont="1" applyBorder="1" applyAlignment="1" applyProtection="1">
      <alignment vertical="center" wrapText="1" readingOrder="2"/>
      <protection locked="0"/>
    </xf>
    <xf numFmtId="0" fontId="8" fillId="0" borderId="0" xfId="2" applyFont="1" applyAlignment="1" applyProtection="1">
      <alignment vertical="center" wrapText="1" readingOrder="2"/>
      <protection locked="0"/>
    </xf>
    <xf numFmtId="166" fontId="8" fillId="4" borderId="7" xfId="2" applyNumberFormat="1" applyFont="1" applyFill="1" applyBorder="1" applyAlignment="1" applyProtection="1">
      <alignment horizontal="center" vertical="center" readingOrder="2"/>
      <protection hidden="1"/>
    </xf>
    <xf numFmtId="0" fontId="4" fillId="0" borderId="0" xfId="1" applyFont="1" applyAlignment="1" applyProtection="1">
      <alignment horizontal="justify" vertical="center" wrapText="1" readingOrder="2"/>
      <protection locked="0"/>
    </xf>
    <xf numFmtId="0" fontId="13" fillId="0" borderId="0" xfId="1" applyFont="1" applyAlignment="1" applyProtection="1">
      <alignment horizontal="justify" vertical="center" wrapText="1" readingOrder="2"/>
      <protection locked="0"/>
    </xf>
    <xf numFmtId="0" fontId="13" fillId="4" borderId="22" xfId="1" applyFont="1" applyFill="1" applyBorder="1" applyAlignment="1" applyProtection="1">
      <alignment horizontal="justify" vertical="center" wrapText="1" readingOrder="2"/>
      <protection hidden="1"/>
    </xf>
    <xf numFmtId="3" fontId="8" fillId="4" borderId="25" xfId="1" applyNumberFormat="1" applyFont="1" applyFill="1" applyBorder="1" applyAlignment="1" applyProtection="1">
      <alignment horizontal="center" vertical="center" wrapText="1" readingOrder="2"/>
      <protection hidden="1"/>
    </xf>
    <xf numFmtId="3" fontId="8" fillId="4" borderId="58" xfId="1" applyNumberFormat="1" applyFont="1" applyFill="1" applyBorder="1" applyAlignment="1" applyProtection="1">
      <alignment horizontal="center" vertical="center" wrapText="1" readingOrder="2"/>
      <protection hidden="1"/>
    </xf>
    <xf numFmtId="0" fontId="13" fillId="4" borderId="26" xfId="1" applyFont="1" applyFill="1" applyBorder="1" applyAlignment="1" applyProtection="1">
      <alignment horizontal="justify" vertical="center" wrapText="1" readingOrder="2"/>
      <protection hidden="1"/>
    </xf>
    <xf numFmtId="3" fontId="8" fillId="4" borderId="31" xfId="1" applyNumberFormat="1" applyFont="1" applyFill="1" applyBorder="1" applyAlignment="1" applyProtection="1">
      <alignment horizontal="center" vertical="center" wrapText="1" readingOrder="2"/>
      <protection hidden="1"/>
    </xf>
    <xf numFmtId="3" fontId="8" fillId="4" borderId="59" xfId="1" applyNumberFormat="1" applyFont="1" applyFill="1" applyBorder="1" applyAlignment="1" applyProtection="1">
      <alignment horizontal="center" vertical="center" wrapText="1" readingOrder="2"/>
      <protection hidden="1"/>
    </xf>
    <xf numFmtId="0" fontId="13" fillId="4" borderId="149" xfId="1" applyFont="1" applyFill="1" applyBorder="1" applyAlignment="1" applyProtection="1">
      <alignment horizontal="justify" vertical="center" wrapText="1" readingOrder="2"/>
      <protection hidden="1"/>
    </xf>
    <xf numFmtId="3" fontId="8" fillId="4" borderId="45" xfId="1" applyNumberFormat="1" applyFont="1" applyFill="1" applyBorder="1" applyAlignment="1" applyProtection="1">
      <alignment horizontal="center" vertical="center" wrapText="1" readingOrder="2"/>
      <protection hidden="1"/>
    </xf>
    <xf numFmtId="3" fontId="8" fillId="4" borderId="105" xfId="1" applyNumberFormat="1" applyFont="1" applyFill="1" applyBorder="1" applyAlignment="1" applyProtection="1">
      <alignment horizontal="center" vertical="center" wrapText="1" readingOrder="2"/>
      <protection hidden="1"/>
    </xf>
    <xf numFmtId="0" fontId="59" fillId="4" borderId="206" xfId="1" applyFont="1" applyFill="1" applyBorder="1" applyAlignment="1">
      <alignment horizontal="right" vertical="center" wrapText="1" readingOrder="2"/>
    </xf>
    <xf numFmtId="0" fontId="8" fillId="4" borderId="209" xfId="1" applyFont="1" applyFill="1" applyBorder="1" applyAlignment="1">
      <alignment horizontal="right" vertical="center" wrapText="1" readingOrder="2"/>
    </xf>
    <xf numFmtId="0" fontId="8" fillId="4" borderId="159" xfId="1" applyFont="1" applyFill="1" applyBorder="1" applyAlignment="1">
      <alignment horizontal="right" vertical="center" wrapText="1" readingOrder="2"/>
    </xf>
    <xf numFmtId="0" fontId="59" fillId="4" borderId="170" xfId="1" applyFont="1" applyFill="1" applyBorder="1" applyAlignment="1">
      <alignment horizontal="center" vertical="center" wrapText="1" readingOrder="2"/>
    </xf>
    <xf numFmtId="0" fontId="59" fillId="4" borderId="210" xfId="1" applyFont="1" applyFill="1" applyBorder="1" applyAlignment="1">
      <alignment horizontal="right" vertical="center" wrapText="1" readingOrder="2"/>
    </xf>
    <xf numFmtId="0" fontId="9" fillId="4" borderId="75" xfId="1" applyFont="1" applyFill="1" applyBorder="1" applyAlignment="1">
      <alignment horizontal="center" vertical="center" wrapText="1" readingOrder="2"/>
    </xf>
    <xf numFmtId="0" fontId="59" fillId="4" borderId="75" xfId="1" applyFont="1" applyFill="1" applyBorder="1" applyAlignment="1">
      <alignment horizontal="center" vertical="center" wrapText="1" readingOrder="2"/>
    </xf>
    <xf numFmtId="0" fontId="9" fillId="4" borderId="155" xfId="1" applyFont="1" applyFill="1" applyBorder="1" applyAlignment="1">
      <alignment horizontal="center" vertical="center" wrapText="1" readingOrder="2"/>
    </xf>
    <xf numFmtId="0" fontId="4" fillId="0" borderId="0" xfId="1" applyFont="1" applyAlignment="1" applyProtection="1">
      <alignment horizontal="right" wrapText="1" readingOrder="2"/>
      <protection locked="0"/>
    </xf>
    <xf numFmtId="0" fontId="3" fillId="0" borderId="0" xfId="1" applyFont="1" applyProtection="1">
      <protection locked="0"/>
    </xf>
    <xf numFmtId="0" fontId="8" fillId="4" borderId="3" xfId="1" applyFont="1" applyFill="1" applyBorder="1" applyAlignment="1" applyProtection="1">
      <alignment horizontal="right" vertical="center" wrapText="1" readingOrder="2"/>
      <protection hidden="1"/>
    </xf>
    <xf numFmtId="0" fontId="13" fillId="0" borderId="0" xfId="1" applyFont="1" applyAlignment="1" applyProtection="1">
      <alignment vertical="center" wrapText="1" readingOrder="2"/>
      <protection locked="0"/>
    </xf>
    <xf numFmtId="0" fontId="4" fillId="0" borderId="0" xfId="1" applyFont="1" applyAlignment="1" applyProtection="1">
      <alignment horizontal="right" vertical="top" wrapText="1" readingOrder="2"/>
      <protection locked="0"/>
    </xf>
    <xf numFmtId="166" fontId="35" fillId="4" borderId="19" xfId="3" applyNumberFormat="1" applyFont="1" applyFill="1" applyBorder="1" applyAlignment="1" applyProtection="1">
      <alignment horizontal="center" vertical="center"/>
      <protection hidden="1"/>
    </xf>
    <xf numFmtId="165" fontId="75" fillId="0" borderId="0" xfId="1" applyNumberFormat="1" applyFont="1" applyProtection="1">
      <protection locked="0"/>
    </xf>
    <xf numFmtId="0" fontId="76" fillId="0" borderId="0" xfId="3" applyFont="1" applyAlignment="1" applyProtection="1">
      <alignment horizontal="center" vertical="center"/>
      <protection locked="0"/>
    </xf>
    <xf numFmtId="166" fontId="35" fillId="4" borderId="86" xfId="3" applyNumberFormat="1" applyFont="1" applyFill="1" applyBorder="1" applyAlignment="1" applyProtection="1">
      <alignment horizontal="center" vertical="center"/>
      <protection hidden="1"/>
    </xf>
    <xf numFmtId="0" fontId="2" fillId="0" borderId="0" xfId="2" applyProtection="1">
      <protection locked="0"/>
    </xf>
    <xf numFmtId="0" fontId="25" fillId="0" borderId="0" xfId="2" applyFont="1" applyProtection="1">
      <protection locked="0"/>
    </xf>
    <xf numFmtId="0" fontId="33" fillId="0" borderId="0" xfId="2" applyFont="1" applyProtection="1">
      <protection locked="0"/>
    </xf>
    <xf numFmtId="0" fontId="8" fillId="4" borderId="129" xfId="2" applyFont="1" applyFill="1" applyBorder="1" applyAlignment="1" applyProtection="1">
      <alignment horizontal="right" vertical="center"/>
      <protection hidden="1"/>
    </xf>
    <xf numFmtId="166" fontId="8" fillId="4" borderId="145" xfId="2" applyNumberFormat="1" applyFont="1" applyFill="1" applyBorder="1" applyAlignment="1" applyProtection="1">
      <alignment horizontal="center" vertical="center" wrapText="1"/>
      <protection hidden="1"/>
    </xf>
    <xf numFmtId="0" fontId="8" fillId="4" borderId="42" xfId="2" applyFont="1" applyFill="1" applyBorder="1" applyAlignment="1" applyProtection="1">
      <alignment horizontal="right" vertical="center"/>
      <protection hidden="1"/>
    </xf>
    <xf numFmtId="166" fontId="8" fillId="4" borderId="5" xfId="2" applyNumberFormat="1" applyFont="1" applyFill="1" applyBorder="1" applyAlignment="1" applyProtection="1">
      <alignment horizontal="center" vertical="center" wrapText="1"/>
      <protection hidden="1"/>
    </xf>
    <xf numFmtId="166" fontId="8" fillId="4" borderId="115" xfId="2" applyNumberFormat="1" applyFont="1" applyFill="1" applyBorder="1" applyAlignment="1" applyProtection="1">
      <alignment horizontal="center" vertical="center" wrapText="1"/>
      <protection hidden="1"/>
    </xf>
    <xf numFmtId="0" fontId="8" fillId="4" borderId="44" xfId="2" applyFont="1" applyFill="1" applyBorder="1" applyAlignment="1" applyProtection="1">
      <alignment horizontal="right" vertical="center"/>
      <protection hidden="1"/>
    </xf>
    <xf numFmtId="166" fontId="8" fillId="4" borderId="6" xfId="2" applyNumberFormat="1" applyFont="1" applyFill="1" applyBorder="1" applyAlignment="1" applyProtection="1">
      <alignment horizontal="center" vertical="center" wrapText="1"/>
      <protection hidden="1"/>
    </xf>
    <xf numFmtId="166" fontId="8" fillId="4" borderId="44" xfId="2" applyNumberFormat="1" applyFont="1" applyFill="1" applyBorder="1" applyAlignment="1" applyProtection="1">
      <alignment horizontal="center" vertical="center" wrapText="1"/>
      <protection hidden="1"/>
    </xf>
    <xf numFmtId="0" fontId="87" fillId="0" borderId="0" xfId="2" applyFont="1" applyProtection="1">
      <protection locked="0"/>
    </xf>
    <xf numFmtId="0" fontId="55" fillId="0" borderId="0" xfId="2" applyFont="1" applyProtection="1">
      <protection locked="0"/>
    </xf>
    <xf numFmtId="0" fontId="3" fillId="0" borderId="0" xfId="2" applyFont="1" applyAlignment="1" applyProtection="1">
      <alignment horizontal="right"/>
      <protection locked="0"/>
    </xf>
    <xf numFmtId="0" fontId="3" fillId="0" borderId="0" xfId="2" applyFont="1" applyProtection="1">
      <protection locked="0"/>
    </xf>
    <xf numFmtId="3" fontId="8" fillId="14" borderId="3" xfId="1" applyNumberFormat="1" applyFont="1" applyFill="1" applyBorder="1" applyAlignment="1" applyProtection="1">
      <alignment horizontal="center" vertical="center" readingOrder="2"/>
      <protection locked="0"/>
    </xf>
    <xf numFmtId="3" fontId="8" fillId="14" borderId="0" xfId="1" applyNumberFormat="1" applyFont="1" applyFill="1" applyAlignment="1" applyProtection="1">
      <alignment horizontal="center" vertical="center" readingOrder="2"/>
      <protection locked="0"/>
    </xf>
    <xf numFmtId="3" fontId="8" fillId="14" borderId="262" xfId="1" applyNumberFormat="1" applyFont="1" applyFill="1" applyBorder="1" applyAlignment="1" applyProtection="1">
      <alignment horizontal="center" vertical="center" readingOrder="2"/>
      <protection locked="0"/>
    </xf>
    <xf numFmtId="3" fontId="8" fillId="14" borderId="12" xfId="1" applyNumberFormat="1" applyFont="1" applyFill="1" applyBorder="1" applyAlignment="1" applyProtection="1">
      <alignment horizontal="center" vertical="center" readingOrder="2"/>
      <protection locked="0"/>
    </xf>
    <xf numFmtId="0" fontId="25" fillId="0" borderId="0" xfId="1" applyFont="1" applyAlignment="1" applyProtection="1">
      <alignment horizontal="right" vertical="center" readingOrder="2"/>
      <protection locked="0"/>
    </xf>
    <xf numFmtId="3" fontId="8" fillId="14" borderId="101" xfId="1" applyNumberFormat="1" applyFont="1" applyFill="1" applyBorder="1" applyAlignment="1" applyProtection="1">
      <alignment horizontal="center" vertical="center" readingOrder="2"/>
      <protection locked="0"/>
    </xf>
    <xf numFmtId="3" fontId="8" fillId="14" borderId="102" xfId="1" applyNumberFormat="1" applyFont="1" applyFill="1" applyBorder="1" applyAlignment="1" applyProtection="1">
      <alignment horizontal="center" vertical="center" readingOrder="2"/>
      <protection locked="0"/>
    </xf>
    <xf numFmtId="3" fontId="8" fillId="14" borderId="263" xfId="1" applyNumberFormat="1" applyFont="1" applyFill="1" applyBorder="1" applyAlignment="1" applyProtection="1">
      <alignment horizontal="center" vertical="center" readingOrder="2"/>
      <protection locked="0"/>
    </xf>
    <xf numFmtId="3" fontId="8" fillId="14" borderId="73" xfId="1" applyNumberFormat="1" applyFont="1" applyFill="1" applyBorder="1" applyAlignment="1" applyProtection="1">
      <alignment horizontal="center" vertical="center" readingOrder="2"/>
      <protection locked="0"/>
    </xf>
    <xf numFmtId="0" fontId="116" fillId="0" borderId="130" xfId="1" applyFont="1" applyBorder="1" applyAlignment="1" applyProtection="1">
      <alignment horizontal="left" vertical="center" readingOrder="2"/>
      <protection locked="0"/>
    </xf>
    <xf numFmtId="0" fontId="4" fillId="0" borderId="0" xfId="1" applyFont="1" applyAlignment="1" applyProtection="1">
      <alignment horizontal="right" vertical="center" readingOrder="2"/>
      <protection locked="0"/>
    </xf>
    <xf numFmtId="0" fontId="3" fillId="0" borderId="0" xfId="1" applyFont="1" applyAlignment="1" applyProtection="1">
      <alignment vertical="center"/>
      <protection locked="0"/>
    </xf>
    <xf numFmtId="0" fontId="3" fillId="0" borderId="0" xfId="1" applyFont="1" applyAlignment="1" applyProtection="1">
      <alignment vertical="center" readingOrder="2"/>
      <protection locked="0"/>
    </xf>
    <xf numFmtId="0" fontId="25" fillId="0" borderId="0" xfId="1" applyFont="1" applyAlignment="1" applyProtection="1">
      <alignment horizontal="center" vertical="center" readingOrder="2"/>
      <protection locked="0"/>
    </xf>
    <xf numFmtId="0" fontId="25" fillId="0" borderId="0" xfId="1" applyFont="1" applyAlignment="1" applyProtection="1">
      <alignment vertical="center" readingOrder="2"/>
      <protection locked="0"/>
    </xf>
    <xf numFmtId="0" fontId="8" fillId="4" borderId="142" xfId="1" applyFont="1" applyFill="1" applyBorder="1" applyAlignment="1" applyProtection="1">
      <alignment horizontal="center" vertical="center" wrapText="1" readingOrder="2"/>
      <protection hidden="1"/>
    </xf>
    <xf numFmtId="0" fontId="8" fillId="4" borderId="11" xfId="1" applyFont="1" applyFill="1" applyBorder="1" applyAlignment="1" applyProtection="1">
      <alignment horizontal="center" vertical="center" wrapText="1" readingOrder="2"/>
      <protection hidden="1"/>
    </xf>
    <xf numFmtId="0" fontId="36" fillId="0" borderId="0" xfId="0" applyFont="1"/>
    <xf numFmtId="0" fontId="23" fillId="11" borderId="86" xfId="0" applyFont="1" applyFill="1" applyBorder="1" applyAlignment="1">
      <alignment horizontal="center" vertical="center"/>
    </xf>
    <xf numFmtId="0" fontId="23" fillId="11" borderId="85" xfId="0" applyFont="1" applyFill="1" applyBorder="1" applyAlignment="1">
      <alignment horizontal="center" vertical="center"/>
    </xf>
    <xf numFmtId="0" fontId="23" fillId="11" borderId="85" xfId="0" applyFont="1" applyFill="1" applyBorder="1" applyAlignment="1">
      <alignment horizontal="center" vertical="center" wrapText="1"/>
    </xf>
    <xf numFmtId="0" fontId="23" fillId="11" borderId="83" xfId="0" applyFont="1" applyFill="1" applyBorder="1" applyAlignment="1">
      <alignment horizontal="center" vertical="center" wrapText="1"/>
    </xf>
    <xf numFmtId="0" fontId="71" fillId="10" borderId="0" xfId="0" applyFont="1" applyFill="1" applyProtection="1">
      <protection locked="0"/>
    </xf>
    <xf numFmtId="0" fontId="72" fillId="10" borderId="0" xfId="0" applyFont="1" applyFill="1" applyProtection="1">
      <protection locked="0"/>
    </xf>
    <xf numFmtId="0" fontId="0" fillId="11" borderId="0" xfId="0" applyFill="1" applyProtection="1">
      <protection locked="0"/>
    </xf>
    <xf numFmtId="0" fontId="92" fillId="10" borderId="0" xfId="0" applyFont="1" applyFill="1" applyProtection="1">
      <protection locked="0"/>
    </xf>
    <xf numFmtId="0" fontId="37" fillId="0" borderId="123" xfId="0" applyFont="1" applyBorder="1" applyAlignment="1" applyProtection="1">
      <alignment horizontal="center" vertical="center"/>
      <protection locked="0"/>
    </xf>
    <xf numFmtId="0" fontId="37" fillId="0" borderId="201" xfId="0" applyFont="1" applyBorder="1" applyAlignment="1" applyProtection="1">
      <alignment horizontal="center" vertical="center"/>
      <protection locked="0"/>
    </xf>
    <xf numFmtId="0" fontId="37" fillId="0" borderId="85" xfId="0" applyFont="1" applyBorder="1" applyAlignment="1" applyProtection="1">
      <alignment horizontal="center" vertical="center"/>
      <protection locked="0"/>
    </xf>
    <xf numFmtId="0" fontId="37" fillId="0" borderId="170" xfId="0" applyFont="1" applyBorder="1" applyAlignment="1" applyProtection="1">
      <alignment horizontal="center" vertical="center"/>
      <protection locked="0"/>
    </xf>
    <xf numFmtId="0" fontId="13" fillId="0" borderId="0" xfId="1" applyFont="1" applyAlignment="1">
      <alignment horizontal="justify" vertical="center" wrapText="1" readingOrder="2"/>
    </xf>
    <xf numFmtId="0" fontId="37" fillId="4" borderId="140" xfId="0" applyFont="1" applyFill="1" applyBorder="1" applyAlignment="1">
      <alignment horizontal="center" vertical="center"/>
    </xf>
    <xf numFmtId="0" fontId="36" fillId="4" borderId="11" xfId="0" applyFont="1" applyFill="1" applyBorder="1" applyAlignment="1">
      <alignment horizontal="center" vertical="center"/>
    </xf>
    <xf numFmtId="0" fontId="36" fillId="4" borderId="153" xfId="0" applyFont="1" applyFill="1" applyBorder="1" applyAlignment="1">
      <alignment horizontal="center" vertical="center"/>
    </xf>
    <xf numFmtId="0" fontId="36" fillId="3" borderId="84" xfId="0" applyFont="1" applyFill="1" applyBorder="1" applyAlignment="1" applyProtection="1">
      <alignment horizontal="center" vertical="center"/>
      <protection locked="0"/>
    </xf>
    <xf numFmtId="0" fontId="36" fillId="3" borderId="171" xfId="0" applyFont="1" applyFill="1" applyBorder="1" applyAlignment="1" applyProtection="1">
      <alignment horizontal="center" vertical="center"/>
      <protection locked="0"/>
    </xf>
    <xf numFmtId="0" fontId="36" fillId="0" borderId="0" xfId="0" applyFont="1" applyProtection="1">
      <protection locked="0"/>
    </xf>
    <xf numFmtId="0" fontId="18" fillId="0" borderId="0" xfId="0" applyFont="1" applyAlignment="1" applyProtection="1">
      <alignment vertical="center" wrapText="1" readingOrder="2"/>
      <protection locked="0"/>
    </xf>
    <xf numFmtId="3" fontId="100" fillId="0" borderId="0" xfId="8" applyNumberFormat="1" applyFont="1" applyAlignment="1" applyProtection="1">
      <alignment horizontal="center" vertical="center" wrapText="1"/>
      <protection locked="0"/>
    </xf>
    <xf numFmtId="3" fontId="37" fillId="0" borderId="230" xfId="8" applyNumberFormat="1" applyFont="1" applyBorder="1" applyAlignment="1" applyProtection="1">
      <alignment horizontal="center" vertical="center" wrapText="1"/>
      <protection locked="0"/>
    </xf>
    <xf numFmtId="3" fontId="37" fillId="0" borderId="95" xfId="8" applyNumberFormat="1" applyFont="1" applyBorder="1" applyAlignment="1" applyProtection="1">
      <alignment horizontal="center" vertical="center" wrapText="1"/>
      <protection locked="0"/>
    </xf>
    <xf numFmtId="3" fontId="37" fillId="0" borderId="173" xfId="8" applyNumberFormat="1" applyFont="1" applyBorder="1" applyAlignment="1" applyProtection="1">
      <alignment horizontal="center" vertical="center" wrapText="1"/>
      <protection locked="0"/>
    </xf>
    <xf numFmtId="3" fontId="37" fillId="0" borderId="233" xfId="8" applyNumberFormat="1" applyFont="1" applyBorder="1" applyAlignment="1" applyProtection="1">
      <alignment horizontal="center" vertical="center" wrapText="1"/>
      <protection locked="0"/>
    </xf>
    <xf numFmtId="3" fontId="37" fillId="0" borderId="97" xfId="8" applyNumberFormat="1" applyFont="1" applyBorder="1" applyAlignment="1" applyProtection="1">
      <alignment horizontal="center" vertical="center" wrapText="1"/>
      <protection locked="0"/>
    </xf>
    <xf numFmtId="3" fontId="37" fillId="0" borderId="225" xfId="8" applyNumberFormat="1" applyFont="1" applyBorder="1" applyAlignment="1" applyProtection="1">
      <alignment horizontal="center" vertical="center" wrapText="1"/>
      <protection locked="0"/>
    </xf>
    <xf numFmtId="3" fontId="37" fillId="0" borderId="236" xfId="8" applyNumberFormat="1" applyFont="1" applyBorder="1" applyAlignment="1" applyProtection="1">
      <alignment horizontal="center" vertical="center" wrapText="1"/>
      <protection locked="0"/>
    </xf>
    <xf numFmtId="3" fontId="37" fillId="0" borderId="85" xfId="8" applyNumberFormat="1" applyFont="1" applyBorder="1" applyAlignment="1" applyProtection="1">
      <alignment horizontal="center" vertical="center" wrapText="1"/>
      <protection locked="0"/>
    </xf>
    <xf numFmtId="3" fontId="37" fillId="0" borderId="83" xfId="8" applyNumberFormat="1" applyFont="1" applyBorder="1" applyAlignment="1" applyProtection="1">
      <alignment horizontal="center" vertical="center" wrapText="1"/>
      <protection locked="0"/>
    </xf>
    <xf numFmtId="3" fontId="37" fillId="0" borderId="239" xfId="8" applyNumberFormat="1" applyFont="1" applyBorder="1" applyAlignment="1" applyProtection="1">
      <alignment horizontal="center" vertical="center" wrapText="1"/>
      <protection locked="0"/>
    </xf>
    <xf numFmtId="3" fontId="37" fillId="0" borderId="2" xfId="8" applyNumberFormat="1" applyFont="1" applyBorder="1" applyAlignment="1" applyProtection="1">
      <alignment horizontal="center" vertical="center" wrapText="1"/>
      <protection locked="0"/>
    </xf>
    <xf numFmtId="3" fontId="37" fillId="0" borderId="11" xfId="8" applyNumberFormat="1" applyFont="1" applyBorder="1" applyAlignment="1" applyProtection="1">
      <alignment horizontal="center" vertical="center" wrapText="1"/>
      <protection locked="0"/>
    </xf>
    <xf numFmtId="3" fontId="13" fillId="0" borderId="236" xfId="8" applyNumberFormat="1" applyFont="1" applyBorder="1" applyAlignment="1" applyProtection="1">
      <alignment horizontal="center" vertical="center" wrapText="1"/>
      <protection locked="0"/>
    </xf>
    <xf numFmtId="3" fontId="13" fillId="0" borderId="85" xfId="8" applyNumberFormat="1" applyFont="1" applyBorder="1" applyAlignment="1" applyProtection="1">
      <alignment horizontal="center" vertical="center" wrapText="1"/>
      <protection locked="0"/>
    </xf>
    <xf numFmtId="3" fontId="37" fillId="0" borderId="98" xfId="8" applyNumberFormat="1" applyFont="1" applyBorder="1" applyAlignment="1" applyProtection="1">
      <alignment horizontal="center" vertical="center" wrapText="1"/>
      <protection locked="0"/>
    </xf>
    <xf numFmtId="3" fontId="101" fillId="0" borderId="0" xfId="8" applyNumberFormat="1" applyFont="1" applyAlignment="1" applyProtection="1">
      <alignment horizontal="center" vertical="center" wrapText="1"/>
      <protection locked="0"/>
    </xf>
    <xf numFmtId="3" fontId="103" fillId="3" borderId="0" xfId="8" applyNumberFormat="1" applyFont="1" applyFill="1" applyAlignment="1" applyProtection="1">
      <alignment horizontal="center" vertical="center" wrapText="1"/>
      <protection locked="0"/>
    </xf>
    <xf numFmtId="3" fontId="102" fillId="0" borderId="0" xfId="8" applyNumberFormat="1" applyFont="1" applyAlignment="1" applyProtection="1">
      <alignment horizontal="right" vertical="center" wrapText="1"/>
      <protection locked="0"/>
    </xf>
    <xf numFmtId="3" fontId="104" fillId="3" borderId="0" xfId="8" applyNumberFormat="1" applyFont="1" applyFill="1" applyAlignment="1" applyProtection="1">
      <alignment vertical="top" wrapText="1"/>
      <protection locked="0"/>
    </xf>
    <xf numFmtId="3" fontId="105" fillId="3" borderId="0" xfId="8" applyNumberFormat="1" applyFont="1" applyFill="1" applyAlignment="1" applyProtection="1">
      <alignment horizontal="center" vertical="center" wrapText="1"/>
      <protection locked="0"/>
    </xf>
    <xf numFmtId="0" fontId="106" fillId="0" borderId="0" xfId="0" applyFont="1" applyAlignment="1" applyProtection="1">
      <alignment vertical="center"/>
      <protection locked="0"/>
    </xf>
    <xf numFmtId="0" fontId="107" fillId="0" borderId="0" xfId="0" applyFont="1" applyAlignment="1" applyProtection="1">
      <alignment vertical="center"/>
      <protection locked="0"/>
    </xf>
    <xf numFmtId="0" fontId="108" fillId="0" borderId="0" xfId="0" applyFont="1" applyAlignment="1" applyProtection="1">
      <alignment horizontal="right" vertical="center" readingOrder="2"/>
      <protection locked="0"/>
    </xf>
    <xf numFmtId="0" fontId="0" fillId="0" borderId="0" xfId="0" applyAlignment="1" applyProtection="1">
      <alignment vertical="center"/>
      <protection locked="0"/>
    </xf>
    <xf numFmtId="0" fontId="37" fillId="0" borderId="0" xfId="0" applyFont="1" applyAlignment="1" applyProtection="1">
      <alignment horizontal="center" vertical="center"/>
      <protection locked="0"/>
    </xf>
    <xf numFmtId="0" fontId="0" fillId="3" borderId="0" xfId="0" applyFill="1" applyAlignment="1" applyProtection="1">
      <alignment vertical="center"/>
      <protection locked="0"/>
    </xf>
    <xf numFmtId="0" fontId="112" fillId="3" borderId="0" xfId="17" applyFont="1" applyFill="1" applyAlignment="1" applyProtection="1">
      <alignment vertical="center" wrapText="1" readingOrder="2"/>
      <protection locked="0"/>
    </xf>
    <xf numFmtId="0" fontId="113" fillId="0" borderId="0" xfId="0" applyFont="1" applyProtection="1">
      <protection locked="0"/>
    </xf>
    <xf numFmtId="0" fontId="8" fillId="0" borderId="0" xfId="15" applyFont="1" applyAlignment="1" applyProtection="1">
      <alignment horizontal="center" vertical="center" wrapText="1" readingOrder="2"/>
      <protection locked="0"/>
    </xf>
    <xf numFmtId="165" fontId="8" fillId="0" borderId="0" xfId="15" applyNumberFormat="1" applyFont="1" applyAlignment="1" applyProtection="1">
      <alignment horizontal="center" vertical="center" wrapText="1" readingOrder="2"/>
      <protection locked="0"/>
    </xf>
    <xf numFmtId="165" fontId="11" fillId="0" borderId="0" xfId="15" applyNumberFormat="1" applyFont="1" applyAlignment="1" applyProtection="1">
      <alignment horizontal="center" vertical="center" wrapText="1" readingOrder="2"/>
      <protection locked="0"/>
    </xf>
    <xf numFmtId="3" fontId="8" fillId="0" borderId="0" xfId="15" applyNumberFormat="1" applyFont="1" applyAlignment="1" applyProtection="1">
      <alignment horizontal="center" vertical="center" wrapText="1" readingOrder="2"/>
      <protection locked="0"/>
    </xf>
    <xf numFmtId="0" fontId="8" fillId="0" borderId="0" xfId="15" applyFont="1" applyAlignment="1" applyProtection="1">
      <alignment horizontal="center" vertical="center" readingOrder="2"/>
      <protection locked="0"/>
    </xf>
    <xf numFmtId="166" fontId="8" fillId="4" borderId="278" xfId="16" applyNumberFormat="1" applyFont="1" applyFill="1" applyBorder="1" applyAlignment="1" applyProtection="1">
      <alignment horizontal="center" vertical="center" wrapText="1" readingOrder="2"/>
      <protection hidden="1"/>
    </xf>
    <xf numFmtId="166" fontId="8" fillId="4" borderId="276" xfId="16" applyNumberFormat="1" applyFont="1" applyFill="1" applyBorder="1" applyAlignment="1" applyProtection="1">
      <alignment horizontal="center" vertical="center" wrapText="1" readingOrder="2"/>
      <protection hidden="1"/>
    </xf>
    <xf numFmtId="166" fontId="8" fillId="4" borderId="8" xfId="16" applyNumberFormat="1" applyFont="1" applyFill="1" applyBorder="1" applyAlignment="1" applyProtection="1">
      <alignment horizontal="center" vertical="center" wrapText="1" readingOrder="2"/>
      <protection hidden="1"/>
    </xf>
    <xf numFmtId="0" fontId="47" fillId="0" borderId="0" xfId="0" applyFont="1" applyAlignment="1" applyProtection="1">
      <alignment horizontal="center" vertical="center"/>
      <protection locked="0"/>
    </xf>
    <xf numFmtId="0" fontId="37" fillId="0" borderId="63" xfId="0" applyFont="1" applyBorder="1" applyAlignment="1" applyProtection="1">
      <alignment horizontal="center" vertical="center"/>
      <protection locked="0"/>
    </xf>
    <xf numFmtId="0" fontId="37" fillId="0" borderId="83" xfId="0" applyFont="1" applyBorder="1" applyAlignment="1" applyProtection="1">
      <alignment horizontal="center" vertical="center"/>
      <protection locked="0"/>
    </xf>
    <xf numFmtId="0" fontId="37" fillId="0" borderId="220" xfId="0" applyFont="1" applyBorder="1" applyAlignment="1" applyProtection="1">
      <alignment horizontal="center" vertical="center"/>
      <protection locked="0"/>
    </xf>
    <xf numFmtId="0" fontId="37" fillId="0" borderId="142" xfId="0" applyFont="1" applyBorder="1" applyAlignment="1" applyProtection="1">
      <alignment horizontal="center" vertical="center"/>
      <protection locked="0"/>
    </xf>
    <xf numFmtId="0" fontId="37" fillId="0" borderId="95" xfId="0" applyFont="1" applyBorder="1" applyAlignment="1" applyProtection="1">
      <alignment horizontal="center" vertical="center"/>
      <protection locked="0"/>
    </xf>
    <xf numFmtId="0" fontId="37" fillId="0" borderId="89" xfId="0" applyFont="1" applyBorder="1" applyAlignment="1" applyProtection="1">
      <alignment horizontal="center" vertical="center"/>
      <protection locked="0"/>
    </xf>
    <xf numFmtId="0" fontId="37" fillId="0" borderId="86" xfId="0" applyFont="1" applyBorder="1" applyAlignment="1" applyProtection="1">
      <alignment horizontal="center" vertical="center"/>
      <protection locked="0"/>
    </xf>
    <xf numFmtId="0" fontId="37" fillId="0" borderId="139" xfId="0" applyFont="1" applyBorder="1" applyAlignment="1" applyProtection="1">
      <alignment horizontal="center" vertical="center"/>
      <protection locked="0"/>
    </xf>
    <xf numFmtId="0" fontId="37" fillId="0" borderId="112" xfId="0" applyFont="1" applyBorder="1" applyAlignment="1" applyProtection="1">
      <alignment horizontal="center" vertical="center"/>
      <protection locked="0"/>
    </xf>
    <xf numFmtId="0" fontId="37" fillId="0" borderId="88" xfId="0" applyFont="1" applyBorder="1" applyAlignment="1" applyProtection="1">
      <alignment horizontal="center" vertical="center"/>
      <protection locked="0"/>
    </xf>
    <xf numFmtId="0" fontId="8" fillId="11" borderId="10" xfId="1" applyFont="1" applyFill="1" applyBorder="1" applyAlignment="1">
      <alignment horizontal="center" vertical="center" wrapText="1" readingOrder="2"/>
    </xf>
    <xf numFmtId="0" fontId="8" fillId="11" borderId="11" xfId="1" applyFont="1" applyFill="1" applyBorder="1" applyAlignment="1">
      <alignment horizontal="center" vertical="center" wrapText="1" readingOrder="2"/>
    </xf>
    <xf numFmtId="0" fontId="36" fillId="4" borderId="10" xfId="0" applyFont="1" applyFill="1" applyBorder="1" applyAlignment="1">
      <alignment horizontal="center" vertical="center"/>
    </xf>
    <xf numFmtId="0" fontId="36" fillId="4" borderId="2" xfId="0" applyFont="1" applyFill="1" applyBorder="1" applyAlignment="1">
      <alignment horizontal="center" vertical="center"/>
    </xf>
    <xf numFmtId="3" fontId="8" fillId="0" borderId="38" xfId="1" applyNumberFormat="1" applyFont="1" applyBorder="1" applyAlignment="1" applyProtection="1">
      <alignment horizontal="center" vertical="center" readingOrder="2"/>
      <protection locked="0"/>
    </xf>
    <xf numFmtId="3" fontId="8" fillId="0" borderId="39" xfId="1" applyNumberFormat="1" applyFont="1" applyBorder="1" applyAlignment="1" applyProtection="1">
      <alignment horizontal="center" vertical="center" readingOrder="2"/>
      <protection locked="0"/>
    </xf>
    <xf numFmtId="0" fontId="64" fillId="0" borderId="0" xfId="0" applyFont="1" applyProtection="1">
      <protection hidden="1"/>
    </xf>
    <xf numFmtId="0" fontId="66" fillId="0" borderId="0" xfId="0" applyFont="1" applyProtection="1">
      <protection hidden="1"/>
    </xf>
    <xf numFmtId="0" fontId="25" fillId="0" borderId="0" xfId="1" applyFont="1" applyAlignment="1" applyProtection="1">
      <alignment vertical="center"/>
      <protection hidden="1"/>
    </xf>
    <xf numFmtId="0" fontId="113" fillId="0" borderId="0" xfId="0" applyFont="1" applyProtection="1">
      <protection hidden="1"/>
    </xf>
    <xf numFmtId="0" fontId="78" fillId="0" borderId="0" xfId="0" applyFont="1" applyProtection="1">
      <protection hidden="1"/>
    </xf>
    <xf numFmtId="166" fontId="8" fillId="0" borderId="5" xfId="1" applyNumberFormat="1" applyFont="1" applyBorder="1" applyAlignment="1" applyProtection="1">
      <alignment horizontal="center" vertical="center" readingOrder="2"/>
      <protection locked="0" hidden="1"/>
    </xf>
    <xf numFmtId="0" fontId="8" fillId="0" borderId="0" xfId="1" applyFont="1" applyAlignment="1" applyProtection="1">
      <alignment horizontal="center" readingOrder="2"/>
      <protection locked="0"/>
    </xf>
    <xf numFmtId="166" fontId="8" fillId="0" borderId="38" xfId="1" applyNumberFormat="1" applyFont="1" applyBorder="1" applyAlignment="1" applyProtection="1">
      <alignment horizontal="center" vertical="center" readingOrder="2"/>
      <protection locked="0"/>
    </xf>
    <xf numFmtId="0" fontId="9" fillId="0" borderId="0" xfId="4" applyFont="1" applyAlignment="1">
      <alignment horizontal="right" vertical="center"/>
    </xf>
    <xf numFmtId="0" fontId="70" fillId="0" borderId="0" xfId="0" applyFont="1" applyAlignment="1" applyProtection="1">
      <alignment horizontal="left" vertical="center"/>
      <protection locked="0"/>
    </xf>
    <xf numFmtId="0" fontId="48" fillId="0" borderId="0" xfId="0" applyFont="1" applyProtection="1">
      <protection locked="0"/>
    </xf>
    <xf numFmtId="0" fontId="32" fillId="0" borderId="0" xfId="1" applyFont="1" applyAlignment="1">
      <alignment horizontal="left" vertical="center" wrapText="1" readingOrder="2"/>
    </xf>
    <xf numFmtId="0" fontId="32" fillId="0" borderId="0" xfId="1" applyFont="1" applyAlignment="1">
      <alignment horizontal="center" vertical="center" wrapText="1" readingOrder="2"/>
    </xf>
    <xf numFmtId="0" fontId="49" fillId="0" borderId="222" xfId="0" applyFont="1" applyBorder="1" applyAlignment="1" applyProtection="1">
      <alignment horizontal="right" vertical="center" wrapText="1" readingOrder="2"/>
      <protection locked="0"/>
    </xf>
    <xf numFmtId="0" fontId="49" fillId="0" borderId="222" xfId="0" applyFont="1" applyBorder="1" applyAlignment="1" applyProtection="1">
      <alignment horizontal="right" vertical="center" wrapText="1"/>
      <protection locked="0"/>
    </xf>
    <xf numFmtId="0" fontId="49" fillId="0" borderId="222" xfId="0" applyFont="1" applyBorder="1" applyAlignment="1" applyProtection="1">
      <alignment horizontal="center" vertical="center" wrapText="1"/>
      <protection locked="0"/>
    </xf>
    <xf numFmtId="0" fontId="49" fillId="0" borderId="222" xfId="0" applyFont="1" applyBorder="1" applyAlignment="1" applyProtection="1">
      <alignment horizontal="center" vertical="center"/>
      <protection locked="0"/>
    </xf>
    <xf numFmtId="0" fontId="11" fillId="0" borderId="222" xfId="0" applyFont="1" applyBorder="1" applyAlignment="1" applyProtection="1">
      <alignment horizontal="center" vertical="center" readingOrder="2"/>
      <protection locked="0"/>
    </xf>
    <xf numFmtId="166" fontId="8" fillId="4" borderId="36" xfId="1" applyNumberFormat="1" applyFont="1" applyFill="1" applyBorder="1" applyAlignment="1" applyProtection="1">
      <alignment horizontal="center" vertical="center" wrapText="1" readingOrder="2"/>
      <protection locked="0"/>
    </xf>
    <xf numFmtId="166" fontId="8" fillId="4" borderId="4" xfId="1" applyNumberFormat="1" applyFont="1" applyFill="1" applyBorder="1" applyAlignment="1">
      <alignment horizontal="center" vertical="center" wrapText="1" readingOrder="2"/>
    </xf>
    <xf numFmtId="166" fontId="10" fillId="4" borderId="22" xfId="1" applyNumberFormat="1" applyFont="1" applyFill="1" applyBorder="1" applyAlignment="1">
      <alignment horizontal="center" vertical="center" wrapText="1" readingOrder="2"/>
    </xf>
    <xf numFmtId="166" fontId="8" fillId="4" borderId="36" xfId="1" applyNumberFormat="1" applyFont="1" applyFill="1" applyBorder="1" applyAlignment="1">
      <alignment horizontal="center" vertical="center" wrapText="1" readingOrder="2"/>
    </xf>
    <xf numFmtId="166" fontId="10" fillId="4" borderId="51" xfId="1" applyNumberFormat="1" applyFont="1" applyFill="1" applyBorder="1" applyAlignment="1">
      <alignment horizontal="center" vertical="center" wrapText="1" readingOrder="2"/>
    </xf>
    <xf numFmtId="166" fontId="9" fillId="4" borderId="33" xfId="1" applyNumberFormat="1" applyFont="1" applyFill="1" applyBorder="1" applyAlignment="1">
      <alignment horizontal="center" vertical="center" wrapText="1" readingOrder="2"/>
    </xf>
    <xf numFmtId="166" fontId="8" fillId="4" borderId="33" xfId="1" applyNumberFormat="1" applyFont="1" applyFill="1" applyBorder="1" applyAlignment="1">
      <alignment horizontal="center" vertical="center" wrapText="1" readingOrder="2"/>
    </xf>
    <xf numFmtId="166" fontId="8" fillId="4" borderId="32" xfId="1" applyNumberFormat="1" applyFont="1" applyFill="1" applyBorder="1" applyAlignment="1">
      <alignment horizontal="center" vertical="center" wrapText="1" readingOrder="2"/>
    </xf>
    <xf numFmtId="166" fontId="8" fillId="4" borderId="4" xfId="1" applyNumberFormat="1" applyFont="1" applyFill="1" applyBorder="1" applyAlignment="1" applyProtection="1">
      <alignment horizontal="center" vertical="center" wrapText="1" readingOrder="2"/>
      <protection locked="0"/>
    </xf>
    <xf numFmtId="166" fontId="8" fillId="4" borderId="41" xfId="1" applyNumberFormat="1" applyFont="1" applyFill="1" applyBorder="1" applyAlignment="1" applyProtection="1">
      <alignment horizontal="center" vertical="center" wrapText="1" readingOrder="2"/>
      <protection locked="0"/>
    </xf>
    <xf numFmtId="166" fontId="8" fillId="4" borderId="43" xfId="1" applyNumberFormat="1" applyFont="1" applyFill="1" applyBorder="1" applyAlignment="1" applyProtection="1">
      <alignment horizontal="center" vertical="center" wrapText="1" readingOrder="2"/>
      <protection locked="0"/>
    </xf>
    <xf numFmtId="166" fontId="9" fillId="4" borderId="33" xfId="1" applyNumberFormat="1" applyFont="1" applyFill="1" applyBorder="1" applyAlignment="1" applyProtection="1">
      <alignment horizontal="center" vertical="center" wrapText="1" readingOrder="2"/>
      <protection locked="0"/>
    </xf>
    <xf numFmtId="166" fontId="9" fillId="4" borderId="46" xfId="1" applyNumberFormat="1" applyFont="1" applyFill="1" applyBorder="1" applyAlignment="1" applyProtection="1">
      <alignment horizontal="center" vertical="center" wrapText="1" readingOrder="2"/>
      <protection locked="0"/>
    </xf>
    <xf numFmtId="3" fontId="8" fillId="0" borderId="36" xfId="1" applyNumberFormat="1" applyFont="1" applyBorder="1" applyAlignment="1" applyProtection="1">
      <alignment horizontal="center" vertical="center" wrapText="1" readingOrder="2"/>
      <protection locked="0"/>
    </xf>
    <xf numFmtId="3" fontId="8" fillId="0" borderId="33" xfId="1" applyNumberFormat="1" applyFont="1" applyBorder="1" applyAlignment="1" applyProtection="1">
      <alignment horizontal="center" vertical="center"/>
      <protection locked="0"/>
    </xf>
    <xf numFmtId="0" fontId="61" fillId="0" borderId="0" xfId="1" applyFont="1" applyAlignment="1">
      <alignment readingOrder="2"/>
    </xf>
    <xf numFmtId="0" fontId="35" fillId="0" borderId="109" xfId="0" applyFont="1" applyBorder="1" applyAlignment="1" applyProtection="1">
      <alignment horizontal="center" vertical="center" wrapText="1" readingOrder="2"/>
      <protection locked="0"/>
    </xf>
    <xf numFmtId="3" fontId="11" fillId="0" borderId="37" xfId="1" applyNumberFormat="1" applyFont="1" applyBorder="1" applyAlignment="1" applyProtection="1">
      <alignment horizontal="center" vertical="center" wrapText="1" readingOrder="2"/>
      <protection locked="0"/>
    </xf>
    <xf numFmtId="3" fontId="11" fillId="0" borderId="38" xfId="1" applyNumberFormat="1" applyFont="1" applyBorder="1" applyAlignment="1" applyProtection="1">
      <alignment horizontal="center" vertical="center" wrapText="1" readingOrder="2"/>
      <protection locked="0"/>
    </xf>
    <xf numFmtId="3" fontId="11" fillId="0" borderId="39" xfId="1" applyNumberFormat="1" applyFont="1" applyBorder="1" applyAlignment="1" applyProtection="1">
      <alignment horizontal="center" vertical="center" wrapText="1" readingOrder="2"/>
      <protection locked="0"/>
    </xf>
    <xf numFmtId="3" fontId="11" fillId="0" borderId="40" xfId="1" applyNumberFormat="1" applyFont="1" applyBorder="1" applyAlignment="1" applyProtection="1">
      <alignment horizontal="center" vertical="center" wrapText="1" readingOrder="2"/>
      <protection locked="0"/>
    </xf>
    <xf numFmtId="3" fontId="8" fillId="4" borderId="0" xfId="4" applyNumberFormat="1" applyFont="1" applyFill="1" applyAlignment="1" applyProtection="1">
      <alignment horizontal="center" vertical="center"/>
      <protection locked="0"/>
    </xf>
    <xf numFmtId="0" fontId="18" fillId="0" borderId="0" xfId="4" applyFont="1" applyAlignment="1">
      <alignment readingOrder="2"/>
    </xf>
    <xf numFmtId="166" fontId="8" fillId="0" borderId="184" xfId="1" applyNumberFormat="1" applyFont="1" applyBorder="1" applyAlignment="1" applyProtection="1">
      <alignment horizontal="center" vertical="center" wrapText="1" readingOrder="2"/>
      <protection locked="0"/>
    </xf>
    <xf numFmtId="166" fontId="8" fillId="0" borderId="177" xfId="1" applyNumberFormat="1" applyFont="1" applyBorder="1" applyAlignment="1" applyProtection="1">
      <alignment horizontal="center" vertical="center" wrapText="1" readingOrder="2"/>
      <protection locked="0"/>
    </xf>
    <xf numFmtId="166" fontId="8" fillId="0" borderId="19" xfId="1" applyNumberFormat="1" applyFont="1" applyBorder="1" applyAlignment="1" applyProtection="1">
      <alignment horizontal="center" vertical="center" wrapText="1" readingOrder="2"/>
      <protection locked="0"/>
    </xf>
    <xf numFmtId="3" fontId="8" fillId="0" borderId="177" xfId="1" applyNumberFormat="1" applyFont="1" applyBorder="1" applyAlignment="1" applyProtection="1">
      <alignment horizontal="center" vertical="center" wrapText="1" readingOrder="2"/>
      <protection locked="0" hidden="1"/>
    </xf>
    <xf numFmtId="3" fontId="8" fillId="0" borderId="26" xfId="1" applyNumberFormat="1" applyFont="1" applyBorder="1" applyAlignment="1" applyProtection="1">
      <alignment horizontal="center" vertical="center" readingOrder="2"/>
      <protection locked="0"/>
    </xf>
    <xf numFmtId="3" fontId="8" fillId="0" borderId="36" xfId="1" applyNumberFormat="1" applyFont="1" applyBorder="1" applyAlignment="1" applyProtection="1">
      <alignment horizontal="center" vertical="center" readingOrder="2"/>
      <protection locked="0"/>
    </xf>
    <xf numFmtId="166" fontId="8" fillId="0" borderId="36" xfId="1" applyNumberFormat="1" applyFont="1" applyBorder="1" applyAlignment="1" applyProtection="1">
      <alignment horizontal="center" vertical="center" readingOrder="2"/>
      <protection locked="0"/>
    </xf>
    <xf numFmtId="0" fontId="61" fillId="0" borderId="0" xfId="1" applyFont="1" applyAlignment="1" applyProtection="1">
      <alignment readingOrder="2"/>
      <protection hidden="1"/>
    </xf>
    <xf numFmtId="3" fontId="8" fillId="0" borderId="177" xfId="1" applyNumberFormat="1" applyFont="1" applyBorder="1" applyAlignment="1" applyProtection="1">
      <alignment horizontal="center" vertical="center" wrapText="1" readingOrder="2"/>
      <protection hidden="1"/>
    </xf>
    <xf numFmtId="166" fontId="8" fillId="0" borderId="145" xfId="1" applyNumberFormat="1" applyFont="1" applyBorder="1" applyAlignment="1" applyProtection="1">
      <alignment horizontal="center" vertical="center" readingOrder="2"/>
      <protection locked="0"/>
    </xf>
    <xf numFmtId="166" fontId="8" fillId="0" borderId="26" xfId="1" applyNumberFormat="1" applyFont="1" applyBorder="1" applyAlignment="1" applyProtection="1">
      <alignment horizontal="center" vertical="center" readingOrder="2"/>
      <protection locked="0"/>
    </xf>
    <xf numFmtId="166" fontId="8" fillId="0" borderId="5" xfId="1" applyNumberFormat="1" applyFont="1" applyBorder="1" applyAlignment="1" applyProtection="1">
      <alignment horizontal="center" vertical="center" readingOrder="2"/>
      <protection locked="0"/>
    </xf>
    <xf numFmtId="166" fontId="8" fillId="0" borderId="4" xfId="2" applyNumberFormat="1" applyFont="1" applyBorder="1" applyAlignment="1" applyProtection="1">
      <alignment horizontal="center" vertical="center" readingOrder="2"/>
      <protection locked="0"/>
    </xf>
    <xf numFmtId="166" fontId="8" fillId="0" borderId="77" xfId="2" applyNumberFormat="1" applyFont="1" applyBorder="1" applyAlignment="1" applyProtection="1">
      <alignment horizontal="center" vertical="center" readingOrder="2"/>
      <protection locked="0"/>
    </xf>
    <xf numFmtId="166" fontId="8" fillId="0" borderId="17" xfId="2" applyNumberFormat="1" applyFont="1" applyBorder="1" applyAlignment="1" applyProtection="1">
      <alignment horizontal="center" vertical="center" readingOrder="2"/>
      <protection locked="0"/>
    </xf>
    <xf numFmtId="0" fontId="4" fillId="0" borderId="0" xfId="1" applyFont="1" applyAlignment="1">
      <alignment horizontal="justify" vertical="center" wrapText="1" readingOrder="2"/>
    </xf>
    <xf numFmtId="166" fontId="8" fillId="0" borderId="7" xfId="1" applyNumberFormat="1" applyFont="1" applyBorder="1" applyAlignment="1" applyProtection="1">
      <alignment horizontal="center" vertical="center" wrapText="1" readingOrder="2"/>
      <protection locked="0"/>
    </xf>
    <xf numFmtId="3" fontId="8" fillId="0" borderId="70" xfId="1" applyNumberFormat="1" applyFont="1" applyBorder="1" applyAlignment="1" applyProtection="1">
      <alignment horizontal="center" vertical="center" readingOrder="2"/>
      <protection locked="0"/>
    </xf>
    <xf numFmtId="166" fontId="8" fillId="0" borderId="88" xfId="1" applyNumberFormat="1" applyFont="1" applyBorder="1" applyAlignment="1" applyProtection="1">
      <alignment horizontal="center" vertical="center" wrapText="1" readingOrder="2"/>
      <protection locked="0"/>
    </xf>
    <xf numFmtId="166" fontId="8" fillId="0" borderId="100" xfId="1" applyNumberFormat="1" applyFont="1" applyBorder="1" applyAlignment="1" applyProtection="1">
      <alignment horizontal="center" vertical="center" wrapText="1" readingOrder="2"/>
      <protection locked="0"/>
    </xf>
    <xf numFmtId="0" fontId="63" fillId="0" borderId="0" xfId="1" applyFont="1" applyProtection="1">
      <protection locked="0"/>
    </xf>
    <xf numFmtId="0" fontId="35" fillId="4" borderId="142" xfId="3" applyFont="1" applyFill="1" applyBorder="1" applyAlignment="1">
      <alignment horizontal="center" vertical="center"/>
    </xf>
    <xf numFmtId="166" fontId="35" fillId="0" borderId="171" xfId="3" applyNumberFormat="1" applyFont="1" applyBorder="1" applyAlignment="1" applyProtection="1">
      <alignment horizontal="center" vertical="center"/>
      <protection locked="0"/>
    </xf>
    <xf numFmtId="166" fontId="35" fillId="0" borderId="135" xfId="3" applyNumberFormat="1" applyFont="1" applyBorder="1" applyAlignment="1" applyProtection="1">
      <alignment horizontal="center" vertical="center"/>
      <protection locked="0"/>
    </xf>
    <xf numFmtId="166" fontId="35" fillId="0" borderId="91" xfId="3" applyNumberFormat="1" applyFont="1" applyBorder="1" applyAlignment="1" applyProtection="1">
      <alignment horizontal="center" vertical="center"/>
      <protection locked="0"/>
    </xf>
    <xf numFmtId="166" fontId="35" fillId="0" borderId="163" xfId="3" applyNumberFormat="1" applyFont="1" applyBorder="1" applyAlignment="1" applyProtection="1">
      <alignment horizontal="center" vertical="center"/>
      <protection locked="0"/>
    </xf>
    <xf numFmtId="3" fontId="8" fillId="0" borderId="123" xfId="1" applyNumberFormat="1" applyFont="1" applyBorder="1" applyAlignment="1" applyProtection="1">
      <alignment horizontal="center" vertical="center" readingOrder="2"/>
      <protection locked="0"/>
    </xf>
    <xf numFmtId="0" fontId="35" fillId="4" borderId="83" xfId="22" applyFont="1" applyFill="1" applyBorder="1" applyAlignment="1" applyProtection="1">
      <alignment horizontal="center" vertical="center"/>
      <protection hidden="1"/>
    </xf>
    <xf numFmtId="0" fontId="35" fillId="4" borderId="142" xfId="22" applyFont="1" applyFill="1" applyBorder="1" applyAlignment="1" applyProtection="1">
      <alignment horizontal="center" vertical="center"/>
      <protection hidden="1"/>
    </xf>
    <xf numFmtId="0" fontId="35" fillId="28" borderId="142" xfId="22" applyFont="1" applyFill="1" applyBorder="1" applyAlignment="1" applyProtection="1">
      <alignment horizontal="center" vertical="center"/>
      <protection locked="0" hidden="1"/>
    </xf>
    <xf numFmtId="0" fontId="35" fillId="28" borderId="98" xfId="22" applyFont="1" applyFill="1" applyBorder="1" applyAlignment="1" applyProtection="1">
      <alignment horizontal="center" vertical="center"/>
      <protection locked="0" hidden="1"/>
    </xf>
    <xf numFmtId="166" fontId="35" fillId="0" borderId="220" xfId="3" applyNumberFormat="1" applyFont="1" applyBorder="1" applyAlignment="1" applyProtection="1">
      <alignment horizontal="center" vertical="center"/>
      <protection locked="0"/>
    </xf>
    <xf numFmtId="166" fontId="35" fillId="0" borderId="211" xfId="3" applyNumberFormat="1" applyFont="1" applyBorder="1" applyAlignment="1" applyProtection="1">
      <alignment horizontal="center" vertical="center"/>
      <protection locked="0"/>
    </xf>
    <xf numFmtId="166" fontId="35" fillId="0" borderId="92" xfId="3" applyNumberFormat="1" applyFont="1" applyBorder="1" applyAlignment="1" applyProtection="1">
      <alignment horizontal="center" vertical="center"/>
      <protection locked="0"/>
    </xf>
    <xf numFmtId="166" fontId="35" fillId="0" borderId="15" xfId="3" applyNumberFormat="1" applyFont="1" applyBorder="1" applyAlignment="1" applyProtection="1">
      <alignment horizontal="center" vertical="center"/>
      <protection locked="0"/>
    </xf>
    <xf numFmtId="166" fontId="35" fillId="0" borderId="49" xfId="3" applyNumberFormat="1" applyFont="1" applyBorder="1" applyAlignment="1" applyProtection="1">
      <alignment horizontal="center" vertical="center"/>
      <protection locked="0"/>
    </xf>
    <xf numFmtId="166" fontId="35" fillId="0" borderId="37" xfId="3" applyNumberFormat="1" applyFont="1" applyBorder="1" applyAlignment="1" applyProtection="1">
      <alignment horizontal="center" vertical="center"/>
      <protection locked="0"/>
    </xf>
    <xf numFmtId="166" fontId="8" fillId="0" borderId="179" xfId="1" applyNumberFormat="1" applyFont="1" applyBorder="1" applyAlignment="1" applyProtection="1">
      <alignment horizontal="center" vertical="center" readingOrder="2"/>
      <protection locked="0"/>
    </xf>
    <xf numFmtId="166" fontId="8" fillId="0" borderId="188" xfId="1" applyNumberFormat="1" applyFont="1" applyBorder="1" applyAlignment="1" applyProtection="1">
      <alignment horizontal="center" vertical="center" readingOrder="2"/>
      <protection locked="0"/>
    </xf>
    <xf numFmtId="166" fontId="8" fillId="0" borderId="298" xfId="1" applyNumberFormat="1" applyFont="1" applyBorder="1" applyAlignment="1" applyProtection="1">
      <alignment horizontal="center" vertical="center" readingOrder="2"/>
      <protection locked="0"/>
    </xf>
    <xf numFmtId="166" fontId="8" fillId="0" borderId="257" xfId="1" applyNumberFormat="1" applyFont="1" applyBorder="1" applyAlignment="1" applyProtection="1">
      <alignment horizontal="center" vertical="center" readingOrder="2"/>
      <protection locked="0"/>
    </xf>
    <xf numFmtId="166" fontId="8" fillId="0" borderId="191" xfId="1" applyNumberFormat="1" applyFont="1" applyBorder="1" applyAlignment="1" applyProtection="1">
      <alignment horizontal="center" vertical="center" readingOrder="2"/>
      <protection locked="0"/>
    </xf>
    <xf numFmtId="0" fontId="8" fillId="0" borderId="208" xfId="1" applyFont="1" applyBorder="1" applyAlignment="1" applyProtection="1">
      <alignment horizontal="center" vertical="center" wrapText="1" readingOrder="2"/>
      <protection locked="0"/>
    </xf>
    <xf numFmtId="166" fontId="8" fillId="0" borderId="277" xfId="16" applyNumberFormat="1" applyFont="1" applyFill="1" applyBorder="1" applyAlignment="1" applyProtection="1">
      <alignment horizontal="center" vertical="center" wrapText="1" readingOrder="2"/>
      <protection locked="0"/>
    </xf>
    <xf numFmtId="166" fontId="8" fillId="0" borderId="188" xfId="17" applyNumberFormat="1" applyFont="1" applyBorder="1" applyAlignment="1" applyProtection="1">
      <alignment horizontal="center" vertical="center" wrapText="1" readingOrder="2"/>
      <protection locked="0"/>
    </xf>
    <xf numFmtId="166" fontId="8" fillId="0" borderId="7" xfId="17" applyNumberFormat="1" applyFont="1" applyBorder="1" applyAlignment="1" applyProtection="1">
      <alignment horizontal="center" vertical="center" wrapText="1" readingOrder="2"/>
      <protection locked="0"/>
    </xf>
    <xf numFmtId="166" fontId="8" fillId="0" borderId="278" xfId="16" applyNumberFormat="1" applyFont="1" applyFill="1" applyBorder="1" applyAlignment="1" applyProtection="1">
      <alignment horizontal="center" vertical="center" wrapText="1" readingOrder="2"/>
      <protection locked="0"/>
    </xf>
    <xf numFmtId="166" fontId="8" fillId="0" borderId="278" xfId="13" applyNumberFormat="1" applyFont="1" applyFill="1" applyBorder="1" applyAlignment="1" applyProtection="1">
      <alignment horizontal="center" vertical="center" wrapText="1" readingOrder="2"/>
      <protection locked="0"/>
    </xf>
    <xf numFmtId="166" fontId="8" fillId="0" borderId="276" xfId="16" applyNumberFormat="1" applyFont="1" applyFill="1" applyBorder="1" applyAlignment="1" applyProtection="1">
      <alignment horizontal="center" vertical="center" wrapText="1" readingOrder="2"/>
      <protection locked="0"/>
    </xf>
    <xf numFmtId="166" fontId="8" fillId="0" borderId="276" xfId="13" applyNumberFormat="1" applyFont="1" applyFill="1" applyBorder="1" applyAlignment="1" applyProtection="1">
      <alignment horizontal="center" vertical="center" wrapText="1" readingOrder="2"/>
      <protection locked="0"/>
    </xf>
    <xf numFmtId="166" fontId="8" fillId="0" borderId="8" xfId="16" applyNumberFormat="1" applyFont="1" applyFill="1" applyBorder="1" applyAlignment="1" applyProtection="1">
      <alignment horizontal="center" vertical="center" wrapText="1" readingOrder="2"/>
      <protection locked="0"/>
    </xf>
    <xf numFmtId="166" fontId="8" fillId="0" borderId="8" xfId="13" applyNumberFormat="1" applyFont="1" applyFill="1" applyBorder="1" applyAlignment="1" applyProtection="1">
      <alignment horizontal="center" vertical="center" wrapText="1" readingOrder="2"/>
      <protection locked="0"/>
    </xf>
    <xf numFmtId="166" fontId="8" fillId="0" borderId="278" xfId="17" applyNumberFormat="1" applyFont="1" applyBorder="1" applyAlignment="1" applyProtection="1">
      <alignment horizontal="center" vertical="center" wrapText="1" readingOrder="2"/>
      <protection locked="0"/>
    </xf>
    <xf numFmtId="166" fontId="8" fillId="0" borderId="276" xfId="17" applyNumberFormat="1" applyFont="1" applyBorder="1" applyAlignment="1" applyProtection="1">
      <alignment horizontal="center" vertical="center" wrapText="1" readingOrder="2"/>
      <protection locked="0"/>
    </xf>
    <xf numFmtId="166" fontId="8" fillId="0" borderId="8" xfId="17" applyNumberFormat="1" applyFont="1" applyBorder="1" applyAlignment="1" applyProtection="1">
      <alignment horizontal="center" vertical="center" wrapText="1" readingOrder="2"/>
      <protection locked="0"/>
    </xf>
    <xf numFmtId="170" fontId="8" fillId="0" borderId="277" xfId="16" applyNumberFormat="1" applyFont="1" applyFill="1" applyBorder="1" applyAlignment="1" applyProtection="1">
      <alignment horizontal="center" vertical="center" wrapText="1" readingOrder="2"/>
      <protection locked="0"/>
    </xf>
    <xf numFmtId="3" fontId="8" fillId="0" borderId="278" xfId="16" applyNumberFormat="1" applyFont="1" applyFill="1" applyBorder="1" applyAlignment="1" applyProtection="1">
      <alignment horizontal="center" vertical="center" wrapText="1" readingOrder="2"/>
      <protection locked="0"/>
    </xf>
    <xf numFmtId="3" fontId="8" fillId="0" borderId="278" xfId="17" applyNumberFormat="1" applyFont="1" applyBorder="1" applyAlignment="1" applyProtection="1">
      <alignment horizontal="center" vertical="center" wrapText="1" readingOrder="2"/>
      <protection locked="0"/>
    </xf>
    <xf numFmtId="37" fontId="8" fillId="0" borderId="188" xfId="16" applyNumberFormat="1" applyFont="1" applyFill="1" applyBorder="1" applyAlignment="1" applyProtection="1">
      <alignment horizontal="center" vertical="center" wrapText="1" readingOrder="2"/>
      <protection locked="0"/>
    </xf>
    <xf numFmtId="37" fontId="8" fillId="0" borderId="276" xfId="16" applyNumberFormat="1" applyFont="1" applyFill="1" applyBorder="1" applyAlignment="1" applyProtection="1">
      <alignment horizontal="center" vertical="center" wrapText="1" readingOrder="2"/>
      <protection locked="0"/>
    </xf>
    <xf numFmtId="3" fontId="8" fillId="0" borderId="276" xfId="17" applyNumberFormat="1" applyFont="1" applyBorder="1" applyAlignment="1" applyProtection="1">
      <alignment horizontal="center" vertical="center" wrapText="1" readingOrder="2"/>
      <protection locked="0"/>
    </xf>
    <xf numFmtId="170" fontId="8" fillId="0" borderId="188" xfId="16" applyNumberFormat="1" applyFont="1" applyFill="1" applyBorder="1" applyAlignment="1" applyProtection="1">
      <alignment horizontal="center" vertical="center" wrapText="1" readingOrder="2"/>
      <protection locked="0"/>
    </xf>
    <xf numFmtId="37" fontId="8" fillId="0" borderId="280" xfId="16" applyNumberFormat="1" applyFont="1" applyFill="1" applyBorder="1" applyAlignment="1" applyProtection="1">
      <alignment horizontal="center" vertical="center" wrapText="1" readingOrder="2"/>
      <protection locked="0"/>
    </xf>
    <xf numFmtId="3" fontId="8" fillId="0" borderId="188" xfId="17" applyNumberFormat="1" applyFont="1" applyBorder="1" applyAlignment="1" applyProtection="1">
      <alignment horizontal="center" vertical="center" wrapText="1" readingOrder="2"/>
      <protection locked="0"/>
    </xf>
    <xf numFmtId="3" fontId="8" fillId="0" borderId="7" xfId="17" applyNumberFormat="1" applyFont="1" applyBorder="1" applyAlignment="1" applyProtection="1">
      <alignment horizontal="center" vertical="center" wrapText="1" readingOrder="2"/>
      <protection locked="0"/>
    </xf>
    <xf numFmtId="3" fontId="8" fillId="0" borderId="281" xfId="16" applyNumberFormat="1" applyFont="1" applyFill="1" applyBorder="1" applyAlignment="1" applyProtection="1">
      <alignment horizontal="center" vertical="center" wrapText="1" readingOrder="2"/>
      <protection locked="0"/>
    </xf>
    <xf numFmtId="3" fontId="8" fillId="0" borderId="8" xfId="17" applyNumberFormat="1" applyFont="1" applyBorder="1" applyAlignment="1" applyProtection="1">
      <alignment horizontal="center" vertical="center" wrapText="1" readingOrder="2"/>
      <protection locked="0"/>
    </xf>
    <xf numFmtId="166" fontId="7" fillId="0" borderId="0" xfId="0" applyNumberFormat="1" applyFont="1" applyAlignment="1">
      <alignment horizontal="right" readingOrder="1"/>
    </xf>
    <xf numFmtId="0" fontId="118" fillId="0" borderId="0" xfId="1" applyFont="1" applyAlignment="1" applyProtection="1">
      <alignment horizontal="center" vertical="center" wrapText="1" readingOrder="2"/>
      <protection locked="0"/>
    </xf>
    <xf numFmtId="3" fontId="8" fillId="3" borderId="51" xfId="1" applyNumberFormat="1" applyFont="1" applyFill="1" applyBorder="1" applyAlignment="1" applyProtection="1">
      <alignment horizontal="center" vertical="center" readingOrder="2"/>
      <protection locked="0"/>
    </xf>
    <xf numFmtId="3" fontId="8" fillId="3" borderId="39" xfId="1" applyNumberFormat="1" applyFont="1" applyFill="1" applyBorder="1" applyAlignment="1" applyProtection="1">
      <alignment horizontal="center" vertical="center" readingOrder="2"/>
      <protection locked="0"/>
    </xf>
    <xf numFmtId="3" fontId="8" fillId="4" borderId="64" xfId="1" applyNumberFormat="1" applyFont="1" applyFill="1" applyBorder="1" applyAlignment="1">
      <alignment horizontal="center" vertical="center" wrapText="1" readingOrder="2"/>
    </xf>
    <xf numFmtId="3" fontId="10" fillId="4" borderId="0" xfId="1" applyNumberFormat="1" applyFont="1" applyFill="1" applyAlignment="1">
      <alignment horizontal="center" vertical="center" wrapText="1" readingOrder="2"/>
    </xf>
    <xf numFmtId="0" fontId="75" fillId="0" borderId="0" xfId="1" applyFont="1" applyAlignment="1" applyProtection="1">
      <alignment vertical="center"/>
      <protection hidden="1"/>
    </xf>
    <xf numFmtId="0" fontId="122" fillId="0" borderId="0" xfId="1" applyFont="1" applyAlignment="1" applyProtection="1">
      <alignment vertical="center"/>
      <protection hidden="1"/>
    </xf>
    <xf numFmtId="0" fontId="4" fillId="0" borderId="0" xfId="1" applyFont="1" applyAlignment="1" applyProtection="1">
      <alignment vertical="center"/>
      <protection hidden="1"/>
    </xf>
    <xf numFmtId="3" fontId="8" fillId="0" borderId="167" xfId="1" applyNumberFormat="1" applyFont="1" applyBorder="1" applyAlignment="1" applyProtection="1">
      <alignment horizontal="center" vertical="center" readingOrder="2"/>
      <protection locked="0"/>
    </xf>
    <xf numFmtId="0" fontId="122" fillId="0" borderId="0" xfId="1" applyFont="1" applyProtection="1">
      <protection hidden="1"/>
    </xf>
    <xf numFmtId="166" fontId="122" fillId="0" borderId="0" xfId="1" applyNumberFormat="1" applyFont="1" applyAlignment="1" applyProtection="1">
      <alignment vertical="center"/>
      <protection hidden="1"/>
    </xf>
    <xf numFmtId="0" fontId="85" fillId="0" borderId="0" xfId="1" applyFont="1" applyAlignment="1" applyProtection="1">
      <alignment vertical="center"/>
      <protection hidden="1"/>
    </xf>
    <xf numFmtId="0" fontId="123" fillId="0" borderId="0" xfId="1" applyFont="1" applyAlignment="1" applyProtection="1">
      <alignment vertical="center"/>
      <protection hidden="1"/>
    </xf>
    <xf numFmtId="0" fontId="125" fillId="6" borderId="0" xfId="3" applyFont="1" applyFill="1" applyAlignment="1" applyProtection="1">
      <alignment horizontal="left" vertical="center" indent="2"/>
      <protection locked="0"/>
    </xf>
    <xf numFmtId="0" fontId="69" fillId="3" borderId="301" xfId="0" applyFont="1" applyFill="1" applyBorder="1" applyAlignment="1" applyProtection="1">
      <alignment horizontal="center" vertical="center" readingOrder="2"/>
      <protection locked="0"/>
    </xf>
    <xf numFmtId="0" fontId="18" fillId="0" borderId="0" xfId="1" applyFont="1" applyAlignment="1">
      <alignment horizontal="centerContinuous" vertical="center" wrapText="1" readingOrder="2"/>
    </xf>
    <xf numFmtId="0" fontId="32" fillId="0" borderId="0" xfId="1" applyFont="1" applyAlignment="1">
      <alignment horizontal="centerContinuous" vertical="center" wrapText="1" readingOrder="2"/>
    </xf>
    <xf numFmtId="0" fontId="129" fillId="0" borderId="0" xfId="1" applyFont="1" applyAlignment="1">
      <alignment horizontal="centerContinuous" vertical="center" wrapText="1" readingOrder="2"/>
    </xf>
    <xf numFmtId="0" fontId="126" fillId="0" borderId="0" xfId="0" applyFont="1" applyAlignment="1">
      <alignment horizontal="centerContinuous" vertical="center" readingOrder="2"/>
    </xf>
    <xf numFmtId="0" fontId="61" fillId="0" borderId="0" xfId="1" applyFont="1" applyAlignment="1">
      <alignment horizontal="centerContinuous" readingOrder="2"/>
    </xf>
    <xf numFmtId="0" fontId="130" fillId="0" borderId="0" xfId="1" applyFont="1" applyAlignment="1">
      <alignment horizontal="centerContinuous" readingOrder="2"/>
    </xf>
    <xf numFmtId="0" fontId="131" fillId="0" borderId="0" xfId="1" applyFont="1" applyAlignment="1">
      <alignment horizontal="left" vertical="center" readingOrder="2"/>
    </xf>
    <xf numFmtId="0" fontId="128" fillId="0" borderId="0" xfId="1" applyFont="1" applyAlignment="1">
      <alignment horizontal="left" vertical="center" readingOrder="2"/>
    </xf>
    <xf numFmtId="0" fontId="9" fillId="11" borderId="84" xfId="1" applyFont="1" applyFill="1" applyBorder="1" applyAlignment="1">
      <alignment horizontal="centerContinuous" vertical="center" wrapText="1" readingOrder="2"/>
    </xf>
    <xf numFmtId="0" fontId="85" fillId="0" borderId="0" xfId="1" applyFont="1" applyAlignment="1" applyProtection="1">
      <alignment horizontal="right" readingOrder="2"/>
      <protection locked="0"/>
    </xf>
    <xf numFmtId="0" fontId="130" fillId="0" borderId="0" xfId="0" applyFont="1" applyAlignment="1">
      <alignment horizontal="centerContinuous"/>
    </xf>
    <xf numFmtId="0" fontId="26" fillId="11" borderId="93" xfId="1" applyFont="1" applyFill="1" applyBorder="1" applyAlignment="1">
      <alignment horizontal="centerContinuous" vertical="center"/>
    </xf>
    <xf numFmtId="0" fontId="26" fillId="11" borderId="61" xfId="1" applyFont="1" applyFill="1" applyBorder="1" applyAlignment="1">
      <alignment horizontal="centerContinuous" vertical="center"/>
    </xf>
    <xf numFmtId="0" fontId="26" fillId="11" borderId="62" xfId="1" applyFont="1" applyFill="1" applyBorder="1" applyAlignment="1">
      <alignment horizontal="centerContinuous" vertical="center"/>
    </xf>
    <xf numFmtId="0" fontId="9" fillId="11" borderId="84" xfId="1" applyFont="1" applyFill="1" applyBorder="1" applyAlignment="1">
      <alignment horizontal="centerContinuous" vertical="center" readingOrder="2"/>
    </xf>
    <xf numFmtId="0" fontId="9" fillId="11" borderId="57" xfId="1" applyFont="1" applyFill="1" applyBorder="1" applyAlignment="1">
      <alignment horizontal="centerContinuous" vertical="center" readingOrder="2"/>
    </xf>
    <xf numFmtId="0" fontId="9" fillId="11" borderId="63" xfId="1" applyFont="1" applyFill="1" applyBorder="1" applyAlignment="1">
      <alignment horizontal="centerContinuous" vertical="center" readingOrder="2"/>
    </xf>
    <xf numFmtId="0" fontId="9" fillId="11" borderId="57" xfId="1" applyFont="1" applyFill="1" applyBorder="1" applyAlignment="1">
      <alignment horizontal="centerContinuous" vertical="center" wrapText="1" readingOrder="2"/>
    </xf>
    <xf numFmtId="0" fontId="9" fillId="11" borderId="63" xfId="1" applyFont="1" applyFill="1" applyBorder="1" applyAlignment="1">
      <alignment horizontal="centerContinuous" vertical="center" wrapText="1" readingOrder="2"/>
    </xf>
    <xf numFmtId="0" fontId="9" fillId="15" borderId="84" xfId="1" applyFont="1" applyFill="1" applyBorder="1" applyAlignment="1">
      <alignment horizontal="centerContinuous" vertical="center" wrapText="1" readingOrder="2"/>
    </xf>
    <xf numFmtId="0" fontId="113" fillId="0" borderId="0" xfId="0" applyFont="1" applyAlignment="1" applyProtection="1">
      <alignment horizontal="left" vertical="center"/>
      <protection locked="0"/>
    </xf>
    <xf numFmtId="0" fontId="8" fillId="15" borderId="84" xfId="1" applyFont="1" applyFill="1" applyBorder="1" applyAlignment="1">
      <alignment horizontal="centerContinuous" vertical="center" wrapText="1" readingOrder="2"/>
    </xf>
    <xf numFmtId="0" fontId="8" fillId="15" borderId="57" xfId="1" applyFont="1" applyFill="1" applyBorder="1" applyAlignment="1">
      <alignment horizontal="centerContinuous" vertical="center" wrapText="1" readingOrder="2"/>
    </xf>
    <xf numFmtId="0" fontId="8" fillId="15" borderId="63" xfId="1" applyFont="1" applyFill="1" applyBorder="1" applyAlignment="1">
      <alignment horizontal="centerContinuous" vertical="center" wrapText="1" readingOrder="2"/>
    </xf>
    <xf numFmtId="0" fontId="128" fillId="0" borderId="1" xfId="1" applyFont="1" applyBorder="1" applyAlignment="1">
      <alignment horizontal="left" vertical="center" readingOrder="2"/>
    </xf>
    <xf numFmtId="0" fontId="9" fillId="15" borderId="74" xfId="1" applyFont="1" applyFill="1" applyBorder="1" applyAlignment="1">
      <alignment horizontal="center" vertical="center" wrapText="1" readingOrder="2"/>
    </xf>
    <xf numFmtId="166" fontId="59" fillId="4" borderId="151" xfId="1" applyNumberFormat="1" applyFont="1" applyFill="1" applyBorder="1" applyAlignment="1">
      <alignment horizontal="center" vertical="center" wrapText="1" readingOrder="2"/>
    </xf>
    <xf numFmtId="166" fontId="9" fillId="4" borderId="93" xfId="1" applyNumberFormat="1" applyFont="1" applyFill="1" applyBorder="1" applyAlignment="1">
      <alignment horizontal="center" vertical="center" wrapText="1" readingOrder="2"/>
    </xf>
    <xf numFmtId="166" fontId="8" fillId="0" borderId="306" xfId="1" applyNumberFormat="1" applyFont="1" applyBorder="1" applyAlignment="1" applyProtection="1">
      <alignment horizontal="center" vertical="center" wrapText="1" readingOrder="1"/>
      <protection locked="0"/>
    </xf>
    <xf numFmtId="166" fontId="59" fillId="4" borderId="171" xfId="1" applyNumberFormat="1" applyFont="1" applyFill="1" applyBorder="1" applyAlignment="1">
      <alignment horizontal="center" vertical="center" wrapText="1" readingOrder="2"/>
    </xf>
    <xf numFmtId="166" fontId="9" fillId="4" borderId="151" xfId="1" applyNumberFormat="1" applyFont="1" applyFill="1" applyBorder="1" applyAlignment="1">
      <alignment horizontal="center" vertical="center" wrapText="1" readingOrder="2"/>
    </xf>
    <xf numFmtId="166" fontId="8" fillId="4" borderId="160" xfId="1" applyNumberFormat="1" applyFont="1" applyFill="1" applyBorder="1" applyAlignment="1">
      <alignment horizontal="center" vertical="center" wrapText="1" readingOrder="2"/>
    </xf>
    <xf numFmtId="166" fontId="13" fillId="4" borderId="70" xfId="1" applyNumberFormat="1" applyFont="1" applyFill="1" applyBorder="1" applyAlignment="1">
      <alignment horizontal="center" vertical="center" wrapText="1" readingOrder="2"/>
    </xf>
    <xf numFmtId="166" fontId="8" fillId="0" borderId="191" xfId="1" applyNumberFormat="1" applyFont="1" applyBorder="1" applyAlignment="1" applyProtection="1">
      <alignment horizontal="center" vertical="center" wrapText="1" readingOrder="2"/>
      <protection locked="0"/>
    </xf>
    <xf numFmtId="166" fontId="8" fillId="0" borderId="307" xfId="1" applyNumberFormat="1" applyFont="1" applyBorder="1" applyAlignment="1" applyProtection="1">
      <alignment horizontal="center" vertical="center" wrapText="1" readingOrder="2"/>
      <protection locked="0"/>
    </xf>
    <xf numFmtId="0" fontId="130" fillId="0" borderId="0" xfId="1" applyFont="1" applyAlignment="1" applyProtection="1">
      <alignment readingOrder="2"/>
      <protection locked="0"/>
    </xf>
    <xf numFmtId="0" fontId="86" fillId="0" borderId="0" xfId="1" applyFont="1" applyAlignment="1" applyProtection="1">
      <alignment vertical="top" readingOrder="2"/>
      <protection locked="0"/>
    </xf>
    <xf numFmtId="0" fontId="128" fillId="0" borderId="1" xfId="1" applyFont="1" applyBorder="1" applyAlignment="1">
      <alignment horizontal="left" vertical="center"/>
    </xf>
    <xf numFmtId="0" fontId="9" fillId="0" borderId="0" xfId="1" applyFont="1" applyAlignment="1">
      <alignment vertical="center" wrapText="1" readingOrder="2"/>
    </xf>
    <xf numFmtId="166" fontId="13" fillId="4" borderId="74" xfId="1" applyNumberFormat="1" applyFont="1" applyFill="1" applyBorder="1" applyAlignment="1">
      <alignment horizontal="center" vertical="center" wrapText="1" readingOrder="2"/>
    </xf>
    <xf numFmtId="166" fontId="8" fillId="0" borderId="309" xfId="1" applyNumberFormat="1" applyFont="1" applyBorder="1" applyAlignment="1" applyProtection="1">
      <alignment horizontal="center" vertical="center" wrapText="1" readingOrder="1"/>
      <protection locked="0"/>
    </xf>
    <xf numFmtId="166" fontId="59" fillId="4" borderId="153" xfId="1" applyNumberFormat="1" applyFont="1" applyFill="1" applyBorder="1" applyAlignment="1">
      <alignment horizontal="center" vertical="center" wrapText="1" readingOrder="2"/>
    </xf>
    <xf numFmtId="166" fontId="8" fillId="4" borderId="22" xfId="1" applyNumberFormat="1" applyFont="1" applyFill="1" applyBorder="1" applyAlignment="1">
      <alignment horizontal="center" vertical="center" wrapText="1" readingOrder="2"/>
    </xf>
    <xf numFmtId="166" fontId="8" fillId="4" borderId="159" xfId="1" applyNumberFormat="1" applyFont="1" applyFill="1" applyBorder="1" applyAlignment="1">
      <alignment horizontal="center" vertical="center" wrapText="1" readingOrder="2"/>
    </xf>
    <xf numFmtId="166" fontId="59" fillId="4" borderId="170" xfId="1" applyNumberFormat="1" applyFont="1" applyFill="1" applyBorder="1" applyAlignment="1">
      <alignment horizontal="center" vertical="center" wrapText="1" readingOrder="2"/>
    </xf>
    <xf numFmtId="166" fontId="9" fillId="4" borderId="153" xfId="1" applyNumberFormat="1" applyFont="1" applyFill="1" applyBorder="1" applyAlignment="1">
      <alignment horizontal="center" vertical="center" wrapText="1" readingOrder="2"/>
    </xf>
    <xf numFmtId="166" fontId="9" fillId="4" borderId="155" xfId="1" applyNumberFormat="1" applyFont="1" applyFill="1" applyBorder="1" applyAlignment="1">
      <alignment horizontal="center" vertical="center" wrapText="1" readingOrder="2"/>
    </xf>
    <xf numFmtId="0" fontId="15" fillId="0" borderId="0" xfId="1" applyFont="1" applyAlignment="1" applyProtection="1">
      <alignment horizontal="right" vertical="top" readingOrder="2"/>
      <protection locked="0"/>
    </xf>
    <xf numFmtId="0" fontId="130" fillId="0" borderId="0" xfId="1" applyFont="1" applyAlignment="1">
      <alignment horizontal="centerContinuous" vertical="center" readingOrder="2"/>
    </xf>
    <xf numFmtId="0" fontId="37" fillId="0" borderId="141" xfId="0" applyFont="1" applyBorder="1" applyAlignment="1" applyProtection="1">
      <alignment horizontal="center" vertical="center" wrapText="1"/>
      <protection locked="0"/>
    </xf>
    <xf numFmtId="0" fontId="9" fillId="11" borderId="78" xfId="1" applyFont="1" applyFill="1" applyBorder="1" applyAlignment="1">
      <alignment horizontal="center" vertical="center" wrapText="1" readingOrder="2"/>
    </xf>
    <xf numFmtId="0" fontId="9" fillId="11" borderId="74" xfId="1" applyFont="1" applyFill="1" applyBorder="1" applyAlignment="1">
      <alignment horizontal="center" vertical="center" wrapText="1" readingOrder="2"/>
    </xf>
    <xf numFmtId="0" fontId="128" fillId="0" borderId="1" xfId="1" applyFont="1" applyBorder="1" applyAlignment="1">
      <alignment horizontal="left"/>
    </xf>
    <xf numFmtId="0" fontId="36" fillId="11" borderId="76" xfId="0" applyFont="1" applyFill="1" applyBorder="1" applyAlignment="1">
      <alignment horizontal="centerContinuous" vertical="center"/>
    </xf>
    <xf numFmtId="0" fontId="36" fillId="11" borderId="64" xfId="0" applyFont="1" applyFill="1" applyBorder="1" applyAlignment="1">
      <alignment horizontal="centerContinuous" vertical="center"/>
    </xf>
    <xf numFmtId="0" fontId="36" fillId="11" borderId="78" xfId="0" applyFont="1" applyFill="1" applyBorder="1" applyAlignment="1">
      <alignment horizontal="centerContinuous" vertical="center"/>
    </xf>
    <xf numFmtId="0" fontId="137" fillId="0" borderId="0" xfId="0" applyFont="1" applyAlignment="1">
      <alignment horizontal="left" vertical="center"/>
    </xf>
    <xf numFmtId="0" fontId="128" fillId="0" borderId="1" xfId="1" applyFont="1" applyBorder="1" applyAlignment="1">
      <alignment horizontal="left" readingOrder="2"/>
    </xf>
    <xf numFmtId="0" fontId="128" fillId="0" borderId="0" xfId="0" applyFont="1" applyAlignment="1">
      <alignment horizontal="left" vertical="center" wrapText="1" readingOrder="2"/>
    </xf>
    <xf numFmtId="0" fontId="18" fillId="0" borderId="0" xfId="0" applyFont="1" applyAlignment="1">
      <alignment horizontal="centerContinuous" vertical="center" wrapText="1" readingOrder="2"/>
    </xf>
    <xf numFmtId="0" fontId="128" fillId="3" borderId="0" xfId="17" applyFont="1" applyFill="1" applyAlignment="1">
      <alignment horizontal="left" vertical="center" wrapText="1" readingOrder="2"/>
    </xf>
    <xf numFmtId="0" fontId="128" fillId="3" borderId="0" xfId="17" applyFont="1" applyFill="1" applyAlignment="1">
      <alignment horizontal="left" vertical="center" readingOrder="2"/>
    </xf>
    <xf numFmtId="0" fontId="128" fillId="0" borderId="0" xfId="17" applyFont="1" applyAlignment="1">
      <alignment horizontal="left" vertical="center" readingOrder="2"/>
    </xf>
    <xf numFmtId="170" fontId="0" fillId="0" borderId="0" xfId="0" applyNumberFormat="1" applyProtection="1">
      <protection hidden="1"/>
    </xf>
    <xf numFmtId="0" fontId="9" fillId="11" borderId="63" xfId="1" applyFont="1" applyFill="1" applyBorder="1" applyAlignment="1">
      <alignment horizontal="center" vertical="center" readingOrder="2"/>
    </xf>
    <xf numFmtId="0" fontId="35" fillId="0" borderId="222" xfId="0" applyFont="1" applyBorder="1" applyAlignment="1" applyProtection="1">
      <alignment horizontal="center" vertical="center" wrapText="1" readingOrder="2"/>
      <protection locked="0"/>
    </xf>
    <xf numFmtId="0" fontId="49" fillId="0" borderId="314" xfId="0" applyFont="1" applyBorder="1" applyAlignment="1" applyProtection="1">
      <alignment horizontal="right" vertical="center" wrapText="1" readingOrder="2"/>
      <protection locked="0"/>
    </xf>
    <xf numFmtId="0" fontId="49" fillId="0" borderId="316" xfId="0" applyFont="1" applyBorder="1" applyAlignment="1" applyProtection="1">
      <alignment horizontal="right" vertical="center" wrapText="1" readingOrder="2"/>
      <protection locked="0"/>
    </xf>
    <xf numFmtId="0" fontId="49" fillId="0" borderId="317" xfId="0" applyFont="1" applyBorder="1" applyAlignment="1" applyProtection="1">
      <alignment horizontal="right" vertical="center" wrapText="1" readingOrder="2"/>
      <protection locked="0"/>
    </xf>
    <xf numFmtId="0" fontId="35" fillId="0" borderId="316" xfId="0" applyFont="1" applyBorder="1" applyAlignment="1" applyProtection="1">
      <alignment horizontal="center" vertical="center" wrapText="1" readingOrder="2"/>
      <protection locked="0"/>
    </xf>
    <xf numFmtId="166" fontId="7" fillId="9" borderId="0" xfId="0" applyNumberFormat="1" applyFont="1" applyFill="1"/>
    <xf numFmtId="0" fontId="35" fillId="0" borderId="0" xfId="0" applyFont="1" applyAlignment="1" applyProtection="1">
      <alignment vertical="center" wrapText="1" readingOrder="2"/>
      <protection locked="0"/>
    </xf>
    <xf numFmtId="0" fontId="35" fillId="4" borderId="313" xfId="0" applyFont="1" applyFill="1" applyBorder="1" applyAlignment="1" applyProtection="1">
      <alignment horizontal="center" vertical="center"/>
      <protection locked="0"/>
    </xf>
    <xf numFmtId="0" fontId="35" fillId="4" borderId="315" xfId="0" applyFont="1" applyFill="1" applyBorder="1" applyAlignment="1" applyProtection="1">
      <alignment horizontal="center" vertical="center"/>
      <protection locked="0"/>
    </xf>
    <xf numFmtId="0" fontId="43" fillId="0" borderId="0" xfId="0" applyFont="1" applyProtection="1">
      <protection hidden="1"/>
    </xf>
    <xf numFmtId="0" fontId="127" fillId="0" borderId="0" xfId="0" applyFont="1" applyAlignment="1">
      <alignment horizontal="centerContinuous" vertical="center" wrapText="1" readingOrder="2"/>
    </xf>
    <xf numFmtId="0" fontId="19" fillId="12" borderId="310" xfId="0" applyFont="1" applyFill="1" applyBorder="1" applyAlignment="1">
      <alignment horizontal="center" vertical="center" readingOrder="2"/>
    </xf>
    <xf numFmtId="0" fontId="19" fillId="12" borderId="311" xfId="0" applyFont="1" applyFill="1" applyBorder="1" applyAlignment="1">
      <alignment horizontal="center" vertical="center" readingOrder="2"/>
    </xf>
    <xf numFmtId="0" fontId="19" fillId="12" borderId="312" xfId="0" applyFont="1" applyFill="1" applyBorder="1" applyAlignment="1">
      <alignment horizontal="center" vertical="center" readingOrder="2"/>
    </xf>
    <xf numFmtId="0" fontId="69" fillId="4" borderId="313" xfId="0" applyFont="1" applyFill="1" applyBorder="1" applyAlignment="1" applyProtection="1">
      <alignment horizontal="center" vertical="center" readingOrder="2"/>
      <protection locked="0"/>
    </xf>
    <xf numFmtId="0" fontId="69" fillId="4" borderId="315" xfId="0" applyFont="1" applyFill="1" applyBorder="1" applyAlignment="1" applyProtection="1">
      <alignment horizontal="center" vertical="center" readingOrder="2"/>
      <protection locked="0"/>
    </xf>
    <xf numFmtId="0" fontId="127" fillId="0" borderId="0" xfId="0" applyFont="1" applyAlignment="1">
      <alignment horizontal="centerContinuous" vertical="center" readingOrder="2"/>
    </xf>
    <xf numFmtId="0" fontId="8" fillId="12" borderId="311" xfId="0" applyFont="1" applyFill="1" applyBorder="1" applyAlignment="1">
      <alignment horizontal="centerContinuous" vertical="center" wrapText="1"/>
    </xf>
    <xf numFmtId="0" fontId="8" fillId="12" borderId="311" xfId="0" applyFont="1" applyFill="1" applyBorder="1" applyAlignment="1">
      <alignment horizontal="centerContinuous" vertical="center"/>
    </xf>
    <xf numFmtId="0" fontId="11" fillId="11" borderId="222" xfId="0" applyFont="1" applyFill="1" applyBorder="1" applyAlignment="1">
      <alignment horizontal="center" vertical="center" wrapText="1"/>
    </xf>
    <xf numFmtId="0" fontId="11" fillId="11" borderId="222" xfId="0" applyFont="1" applyFill="1" applyBorder="1" applyAlignment="1">
      <alignment horizontal="center" vertical="center" textRotation="90"/>
    </xf>
    <xf numFmtId="0" fontId="69" fillId="4" borderId="221" xfId="0" applyFont="1" applyFill="1" applyBorder="1" applyAlignment="1" applyProtection="1">
      <alignment horizontal="center" vertical="center" readingOrder="2"/>
      <protection locked="0"/>
    </xf>
    <xf numFmtId="0" fontId="121" fillId="0" borderId="0" xfId="0" applyFont="1" applyAlignment="1" applyProtection="1">
      <alignment horizontal="center" vertical="center"/>
      <protection hidden="1"/>
    </xf>
    <xf numFmtId="0" fontId="71" fillId="0" borderId="0" xfId="0" applyFont="1" applyProtection="1">
      <protection hidden="1"/>
    </xf>
    <xf numFmtId="0" fontId="127" fillId="0" borderId="226" xfId="0" applyFont="1" applyBorder="1" applyAlignment="1">
      <alignment horizontal="centerContinuous" vertical="center" readingOrder="2"/>
    </xf>
    <xf numFmtId="0" fontId="8" fillId="12" borderId="221" xfId="0" applyFont="1" applyFill="1" applyBorder="1" applyAlignment="1">
      <alignment horizontal="center" vertical="center" textRotation="90" readingOrder="2"/>
    </xf>
    <xf numFmtId="0" fontId="8" fillId="12" borderId="222" xfId="0" applyFont="1" applyFill="1" applyBorder="1" applyAlignment="1">
      <alignment horizontal="center" vertical="center" wrapText="1"/>
    </xf>
    <xf numFmtId="0" fontId="8" fillId="12" borderId="301" xfId="0" applyFont="1" applyFill="1" applyBorder="1" applyAlignment="1">
      <alignment horizontal="center" vertical="center" wrapText="1"/>
    </xf>
    <xf numFmtId="0" fontId="8" fillId="12" borderId="301" xfId="0" applyFont="1" applyFill="1" applyBorder="1" applyAlignment="1">
      <alignment horizontal="center" vertical="center"/>
    </xf>
    <xf numFmtId="0" fontId="8" fillId="12" borderId="302" xfId="0" applyFont="1" applyFill="1" applyBorder="1" applyAlignment="1">
      <alignment horizontal="center" vertical="center"/>
    </xf>
    <xf numFmtId="0" fontId="69" fillId="4" borderId="304" xfId="0" applyFont="1" applyFill="1" applyBorder="1" applyAlignment="1">
      <alignment horizontal="center" vertical="center" readingOrder="2"/>
    </xf>
    <xf numFmtId="0" fontId="69" fillId="4" borderId="305" xfId="0" applyFont="1" applyFill="1" applyBorder="1" applyAlignment="1">
      <alignment horizontal="center" vertical="center" readingOrder="2"/>
    </xf>
    <xf numFmtId="0" fontId="38" fillId="0" borderId="0" xfId="0" applyFont="1" applyAlignment="1">
      <alignment horizontal="centerContinuous" vertical="center" wrapText="1" readingOrder="2"/>
    </xf>
    <xf numFmtId="0" fontId="129" fillId="0" borderId="0" xfId="1" applyFont="1" applyAlignment="1" applyProtection="1">
      <alignment horizontal="centerContinuous" vertical="center" wrapText="1" readingOrder="2"/>
      <protection locked="0"/>
    </xf>
    <xf numFmtId="0" fontId="32" fillId="0" borderId="0" xfId="1" applyFont="1" applyAlignment="1" applyProtection="1">
      <alignment horizontal="centerContinuous" vertical="center" wrapText="1" readingOrder="2"/>
      <protection locked="0"/>
    </xf>
    <xf numFmtId="0" fontId="9" fillId="0" borderId="1" xfId="1" applyFont="1" applyBorder="1" applyAlignment="1" applyProtection="1">
      <alignment vertical="center" wrapText="1" readingOrder="2"/>
      <protection locked="0"/>
    </xf>
    <xf numFmtId="0" fontId="7" fillId="0" borderId="0" xfId="0" applyFont="1" applyAlignment="1" applyProtection="1">
      <alignment horizontal="center" vertical="center"/>
      <protection hidden="1"/>
    </xf>
    <xf numFmtId="0" fontId="8" fillId="4" borderId="4" xfId="1" applyFont="1" applyFill="1" applyBorder="1" applyAlignment="1" applyProtection="1">
      <alignment horizontal="center" vertical="center"/>
      <protection locked="0"/>
    </xf>
    <xf numFmtId="0" fontId="8" fillId="4" borderId="5" xfId="1" applyFont="1" applyFill="1" applyBorder="1" applyAlignment="1" applyProtection="1">
      <alignment horizontal="center" vertical="center"/>
      <protection locked="0"/>
    </xf>
    <xf numFmtId="0" fontId="8" fillId="4" borderId="36" xfId="1" applyFont="1" applyFill="1" applyBorder="1" applyAlignment="1" applyProtection="1">
      <alignment horizontal="center" vertical="center"/>
      <protection locked="0"/>
    </xf>
    <xf numFmtId="0" fontId="9" fillId="11" borderId="76" xfId="1" applyFont="1" applyFill="1" applyBorder="1" applyAlignment="1">
      <alignment horizontal="centerContinuous" vertical="center" wrapText="1" readingOrder="2"/>
    </xf>
    <xf numFmtId="0" fontId="9" fillId="11" borderId="64" xfId="1" applyFont="1" applyFill="1" applyBorder="1" applyAlignment="1">
      <alignment horizontal="centerContinuous" vertical="center" wrapText="1" readingOrder="2"/>
    </xf>
    <xf numFmtId="0" fontId="9" fillId="11" borderId="78" xfId="1" applyFont="1" applyFill="1" applyBorder="1" applyAlignment="1">
      <alignment horizontal="centerContinuous" vertical="center" wrapText="1" readingOrder="2"/>
    </xf>
    <xf numFmtId="0" fontId="8" fillId="11" borderId="57" xfId="1" applyFont="1" applyFill="1" applyBorder="1" applyAlignment="1">
      <alignment horizontal="centerContinuous" vertical="center" wrapText="1" readingOrder="2"/>
    </xf>
    <xf numFmtId="0" fontId="8" fillId="11" borderId="63" xfId="1" applyFont="1" applyFill="1" applyBorder="1" applyAlignment="1">
      <alignment horizontal="centerContinuous" vertical="center" wrapText="1" readingOrder="2"/>
    </xf>
    <xf numFmtId="0" fontId="8" fillId="4" borderId="37" xfId="1" applyFont="1" applyFill="1" applyBorder="1" applyAlignment="1">
      <alignment horizontal="right" vertical="center" wrapText="1" readingOrder="2"/>
    </xf>
    <xf numFmtId="0" fontId="8" fillId="4" borderId="38" xfId="1" applyFont="1" applyFill="1" applyBorder="1" applyAlignment="1">
      <alignment horizontal="right" vertical="center" wrapText="1" readingOrder="2"/>
    </xf>
    <xf numFmtId="1" fontId="11" fillId="4" borderId="42" xfId="1" applyNumberFormat="1" applyFont="1" applyFill="1" applyBorder="1" applyAlignment="1">
      <alignment horizontal="center" vertical="center" wrapText="1" readingOrder="2"/>
    </xf>
    <xf numFmtId="0" fontId="8" fillId="4" borderId="39" xfId="1" applyFont="1" applyFill="1" applyBorder="1" applyAlignment="1">
      <alignment horizontal="right" vertical="center" wrapText="1" readingOrder="2"/>
    </xf>
    <xf numFmtId="1" fontId="11" fillId="4" borderId="43" xfId="1" applyNumberFormat="1" applyFont="1" applyFill="1" applyBorder="1" applyAlignment="1">
      <alignment horizontal="center" vertical="center" wrapText="1" readingOrder="2"/>
    </xf>
    <xf numFmtId="3" fontId="35" fillId="4" borderId="5" xfId="0" applyNumberFormat="1" applyFont="1" applyFill="1" applyBorder="1" applyAlignment="1" applyProtection="1">
      <alignment horizontal="center" vertical="center" wrapText="1"/>
      <protection hidden="1"/>
    </xf>
    <xf numFmtId="0" fontId="35" fillId="4" borderId="222" xfId="0" applyFont="1" applyFill="1" applyBorder="1" applyAlignment="1" applyProtection="1">
      <alignment horizontal="center" vertical="center" wrapText="1"/>
      <protection hidden="1"/>
    </xf>
    <xf numFmtId="0" fontId="49" fillId="4" borderId="222" xfId="0" applyFont="1" applyFill="1" applyBorder="1" applyAlignment="1" applyProtection="1">
      <alignment horizontal="right" vertical="center" wrapText="1" readingOrder="2"/>
      <protection hidden="1"/>
    </xf>
    <xf numFmtId="166" fontId="8" fillId="4" borderId="4" xfId="1" applyNumberFormat="1" applyFont="1" applyFill="1" applyBorder="1" applyAlignment="1" applyProtection="1">
      <alignment horizontal="center" vertical="center" wrapText="1" readingOrder="2"/>
      <protection hidden="1"/>
    </xf>
    <xf numFmtId="166" fontId="8" fillId="4" borderId="37" xfId="1" applyNumberFormat="1" applyFont="1" applyFill="1" applyBorder="1" applyAlignment="1" applyProtection="1">
      <alignment horizontal="center" vertical="center" wrapText="1" readingOrder="2"/>
      <protection hidden="1"/>
    </xf>
    <xf numFmtId="166" fontId="8" fillId="4" borderId="5" xfId="1" applyNumberFormat="1" applyFont="1" applyFill="1" applyBorder="1" applyAlignment="1" applyProtection="1">
      <alignment horizontal="center" vertical="center" wrapText="1" readingOrder="2"/>
      <protection hidden="1"/>
    </xf>
    <xf numFmtId="166" fontId="8" fillId="4" borderId="38" xfId="1" applyNumberFormat="1" applyFont="1" applyFill="1" applyBorder="1" applyAlignment="1" applyProtection="1">
      <alignment horizontal="center" vertical="center" wrapText="1" readingOrder="2"/>
      <protection hidden="1"/>
    </xf>
    <xf numFmtId="166" fontId="8" fillId="4" borderId="36" xfId="1" applyNumberFormat="1" applyFont="1" applyFill="1" applyBorder="1" applyAlignment="1" applyProtection="1">
      <alignment horizontal="center" vertical="center" wrapText="1" readingOrder="2"/>
      <protection hidden="1"/>
    </xf>
    <xf numFmtId="166" fontId="8" fillId="4" borderId="39" xfId="1" applyNumberFormat="1" applyFont="1" applyFill="1" applyBorder="1" applyAlignment="1" applyProtection="1">
      <alignment horizontal="center" vertical="center" wrapText="1" readingOrder="2"/>
      <protection hidden="1"/>
    </xf>
    <xf numFmtId="0" fontId="7" fillId="0" borderId="0" xfId="0" applyFont="1" applyProtection="1">
      <protection hidden="1"/>
    </xf>
    <xf numFmtId="166" fontId="8" fillId="13" borderId="66" xfId="1" applyNumberFormat="1" applyFont="1" applyFill="1" applyBorder="1" applyAlignment="1">
      <alignment horizontal="center" vertical="center" wrapText="1" readingOrder="2"/>
    </xf>
    <xf numFmtId="166" fontId="8" fillId="4" borderId="67" xfId="1" applyNumberFormat="1" applyFont="1" applyFill="1" applyBorder="1" applyAlignment="1">
      <alignment horizontal="center" vertical="center" wrapText="1" readingOrder="2"/>
    </xf>
    <xf numFmtId="166" fontId="10" fillId="13" borderId="66" xfId="1" applyNumberFormat="1" applyFont="1" applyFill="1" applyBorder="1" applyAlignment="1">
      <alignment horizontal="center" vertical="center" wrapText="1" readingOrder="2"/>
    </xf>
    <xf numFmtId="0" fontId="8" fillId="4" borderId="6" xfId="1" applyFont="1" applyFill="1" applyBorder="1" applyAlignment="1" applyProtection="1">
      <alignment horizontal="center" vertical="center"/>
      <protection locked="0"/>
    </xf>
    <xf numFmtId="0" fontId="8" fillId="0" borderId="0" xfId="1" applyFont="1" applyAlignment="1">
      <alignment vertical="center"/>
    </xf>
    <xf numFmtId="0" fontId="131" fillId="0" borderId="0" xfId="1" applyFont="1" applyAlignment="1">
      <alignment vertical="center" readingOrder="2"/>
    </xf>
    <xf numFmtId="0" fontId="134" fillId="0" borderId="0" xfId="1" applyFont="1" applyAlignment="1">
      <alignment horizontal="left" vertical="center" wrapText="1" readingOrder="2"/>
    </xf>
    <xf numFmtId="0" fontId="128" fillId="0" borderId="0" xfId="1" applyFont="1" applyAlignment="1">
      <alignment horizontal="center" vertical="center"/>
    </xf>
    <xf numFmtId="0" fontId="128" fillId="0" borderId="0" xfId="1" applyFont="1" applyAlignment="1">
      <alignment horizontal="left" vertical="center"/>
    </xf>
    <xf numFmtId="0" fontId="11" fillId="4" borderId="37" xfId="1" applyFont="1" applyFill="1" applyBorder="1" applyAlignment="1" applyProtection="1">
      <alignment horizontal="center" vertical="center" wrapText="1" readingOrder="2"/>
      <protection hidden="1"/>
    </xf>
    <xf numFmtId="0" fontId="11" fillId="4" borderId="38" xfId="1" applyFont="1" applyFill="1" applyBorder="1" applyAlignment="1" applyProtection="1">
      <alignment horizontal="center" vertical="center" wrapText="1" readingOrder="2"/>
      <protection hidden="1"/>
    </xf>
    <xf numFmtId="0" fontId="11" fillId="4" borderId="39" xfId="1" applyFont="1" applyFill="1" applyBorder="1" applyAlignment="1" applyProtection="1">
      <alignment horizontal="center" vertical="center" wrapText="1" readingOrder="2"/>
      <protection hidden="1"/>
    </xf>
    <xf numFmtId="3" fontId="11" fillId="4" borderId="37" xfId="1" applyNumberFormat="1" applyFont="1" applyFill="1" applyBorder="1" applyAlignment="1" applyProtection="1">
      <alignment horizontal="center" vertical="center" wrapText="1" readingOrder="2"/>
      <protection hidden="1"/>
    </xf>
    <xf numFmtId="3" fontId="11" fillId="4" borderId="38" xfId="1" applyNumberFormat="1" applyFont="1" applyFill="1" applyBorder="1" applyAlignment="1" applyProtection="1">
      <alignment horizontal="center" vertical="center" wrapText="1" readingOrder="2"/>
      <protection hidden="1"/>
    </xf>
    <xf numFmtId="3" fontId="11" fillId="4" borderId="39" xfId="1" applyNumberFormat="1" applyFont="1" applyFill="1" applyBorder="1" applyAlignment="1" applyProtection="1">
      <alignment horizontal="center" vertical="center" wrapText="1" readingOrder="2"/>
      <protection hidden="1"/>
    </xf>
    <xf numFmtId="3" fontId="11" fillId="4" borderId="40" xfId="1" applyNumberFormat="1" applyFont="1" applyFill="1" applyBorder="1" applyAlignment="1" applyProtection="1">
      <alignment horizontal="center" vertical="center" wrapText="1" readingOrder="2"/>
      <protection hidden="1"/>
    </xf>
    <xf numFmtId="166" fontId="8" fillId="27" borderId="66" xfId="1" applyNumberFormat="1" applyFont="1" applyFill="1" applyBorder="1" applyAlignment="1">
      <alignment horizontal="center" vertical="center" wrapText="1" readingOrder="2"/>
    </xf>
    <xf numFmtId="0" fontId="128" fillId="0" borderId="0" xfId="1" applyFont="1" applyAlignment="1">
      <alignment horizontal="left" vertical="center" wrapText="1" readingOrder="2"/>
    </xf>
    <xf numFmtId="0" fontId="9" fillId="11" borderId="76" xfId="1" applyFont="1" applyFill="1" applyBorder="1" applyAlignment="1">
      <alignment horizontal="center" vertical="center" wrapText="1" readingOrder="2"/>
    </xf>
    <xf numFmtId="0" fontId="9" fillId="11" borderId="2" xfId="1" applyFont="1" applyFill="1" applyBorder="1" applyAlignment="1">
      <alignment horizontal="center" vertical="center" wrapText="1" readingOrder="2"/>
    </xf>
    <xf numFmtId="0" fontId="8" fillId="15" borderId="74" xfId="1" applyFont="1" applyFill="1" applyBorder="1" applyAlignment="1">
      <alignment horizontal="center" vertical="center" wrapText="1" readingOrder="2"/>
    </xf>
    <xf numFmtId="0" fontId="9" fillId="15" borderId="10" xfId="1" applyFont="1" applyFill="1" applyBorder="1" applyAlignment="1">
      <alignment horizontal="center" vertical="center" wrapText="1" readingOrder="2"/>
    </xf>
    <xf numFmtId="0" fontId="9" fillId="15" borderId="2" xfId="1" applyFont="1" applyFill="1" applyBorder="1" applyAlignment="1">
      <alignment horizontal="center" vertical="center" wrapText="1" readingOrder="2"/>
    </xf>
    <xf numFmtId="0" fontId="9" fillId="15" borderId="11" xfId="1" applyFont="1" applyFill="1" applyBorder="1" applyAlignment="1">
      <alignment horizontal="center" vertical="center" wrapText="1" readingOrder="2"/>
    </xf>
    <xf numFmtId="0" fontId="9" fillId="4" borderId="35" xfId="1" applyFont="1" applyFill="1" applyBorder="1" applyAlignment="1">
      <alignment horizontal="justify" vertical="center" wrapText="1" readingOrder="2"/>
    </xf>
    <xf numFmtId="0" fontId="8" fillId="15" borderId="48" xfId="1" applyFont="1" applyFill="1" applyBorder="1" applyAlignment="1">
      <alignment horizontal="center" vertical="center" wrapText="1" readingOrder="2"/>
    </xf>
    <xf numFmtId="0" fontId="8" fillId="15" borderId="139" xfId="1" applyFont="1" applyFill="1" applyBorder="1" applyAlignment="1">
      <alignment horizontal="center" vertical="center" wrapText="1" readingOrder="2"/>
    </xf>
    <xf numFmtId="0" fontId="8" fillId="15" borderId="142" xfId="1" applyFont="1" applyFill="1" applyBorder="1" applyAlignment="1">
      <alignment horizontal="center" vertical="center" wrapText="1" readingOrder="2"/>
    </xf>
    <xf numFmtId="0" fontId="8" fillId="15" borderId="86" xfId="1" applyFont="1" applyFill="1" applyBorder="1" applyAlignment="1">
      <alignment horizontal="center" vertical="center" wrapText="1" readingOrder="2"/>
    </xf>
    <xf numFmtId="0" fontId="130" fillId="0" borderId="0" xfId="1" applyFont="1" applyAlignment="1" applyProtection="1">
      <alignment horizontal="centerContinuous" readingOrder="2"/>
      <protection locked="0"/>
    </xf>
    <xf numFmtId="0" fontId="9" fillId="4" borderId="145" xfId="1" applyFont="1" applyFill="1" applyBorder="1" applyAlignment="1" applyProtection="1">
      <alignment horizontal="center" vertical="center"/>
      <protection locked="0"/>
    </xf>
    <xf numFmtId="0" fontId="9" fillId="4" borderId="5" xfId="1" applyFont="1" applyFill="1" applyBorder="1" applyAlignment="1" applyProtection="1">
      <alignment horizontal="center" vertical="center"/>
      <protection locked="0"/>
    </xf>
    <xf numFmtId="0" fontId="9" fillId="4" borderId="36" xfId="1" applyFont="1" applyFill="1" applyBorder="1" applyAlignment="1" applyProtection="1">
      <alignment horizontal="center" vertical="center"/>
      <protection locked="0"/>
    </xf>
    <xf numFmtId="0" fontId="75" fillId="0" borderId="0" xfId="1" applyFont="1" applyProtection="1">
      <protection hidden="1"/>
    </xf>
    <xf numFmtId="0" fontId="4" fillId="0" borderId="0" xfId="1" applyFont="1" applyProtection="1">
      <protection hidden="1"/>
    </xf>
    <xf numFmtId="3" fontId="8" fillId="4" borderId="115" xfId="1" applyNumberFormat="1" applyFont="1" applyFill="1" applyBorder="1" applyAlignment="1" applyProtection="1">
      <alignment horizontal="center" vertical="center" wrapText="1" readingOrder="2"/>
      <protection hidden="1"/>
    </xf>
    <xf numFmtId="0" fontId="8" fillId="4" borderId="27" xfId="1" applyFont="1" applyFill="1" applyBorder="1" applyAlignment="1" applyProtection="1">
      <alignment horizontal="right" vertical="center" wrapText="1" readingOrder="2"/>
      <protection hidden="1"/>
    </xf>
    <xf numFmtId="3" fontId="8" fillId="4" borderId="42" xfId="1" applyNumberFormat="1" applyFont="1" applyFill="1" applyBorder="1" applyAlignment="1" applyProtection="1">
      <alignment horizontal="center" vertical="center" wrapText="1" readingOrder="2"/>
      <protection hidden="1"/>
    </xf>
    <xf numFmtId="0" fontId="8" fillId="4" borderId="52" xfId="1" applyFont="1" applyFill="1" applyBorder="1" applyAlignment="1" applyProtection="1">
      <alignment horizontal="right" vertical="center" wrapText="1" readingOrder="2"/>
      <protection hidden="1"/>
    </xf>
    <xf numFmtId="3" fontId="8" fillId="4" borderId="43" xfId="1" applyNumberFormat="1" applyFont="1" applyFill="1" applyBorder="1" applyAlignment="1" applyProtection="1">
      <alignment horizontal="center" vertical="center" wrapText="1" readingOrder="2"/>
      <protection hidden="1"/>
    </xf>
    <xf numFmtId="3" fontId="8" fillId="4" borderId="145" xfId="1" applyNumberFormat="1" applyFont="1" applyFill="1" applyBorder="1" applyAlignment="1" applyProtection="1">
      <alignment horizontal="center" vertical="center" wrapText="1" readingOrder="2"/>
      <protection hidden="1"/>
    </xf>
    <xf numFmtId="3" fontId="8" fillId="4" borderId="5" xfId="1" applyNumberFormat="1" applyFont="1" applyFill="1" applyBorder="1" applyAlignment="1" applyProtection="1">
      <alignment horizontal="center" vertical="center" wrapText="1" readingOrder="2"/>
      <protection hidden="1"/>
    </xf>
    <xf numFmtId="3" fontId="8" fillId="4" borderId="36" xfId="1" applyNumberFormat="1" applyFont="1" applyFill="1" applyBorder="1" applyAlignment="1" applyProtection="1">
      <alignment horizontal="center" vertical="center" wrapText="1" readingOrder="2"/>
      <protection hidden="1"/>
    </xf>
    <xf numFmtId="3" fontId="8" fillId="4" borderId="115" xfId="1" applyNumberFormat="1" applyFont="1" applyFill="1" applyBorder="1" applyAlignment="1">
      <alignment horizontal="center" vertical="center" wrapText="1" readingOrder="2"/>
    </xf>
    <xf numFmtId="3" fontId="8" fillId="4" borderId="43" xfId="1" applyNumberFormat="1" applyFont="1" applyFill="1" applyBorder="1" applyAlignment="1">
      <alignment horizontal="center" vertical="center" wrapText="1" readingOrder="2"/>
    </xf>
    <xf numFmtId="0" fontId="10" fillId="0" borderId="0" xfId="1" applyFont="1" applyAlignment="1">
      <alignment vertical="center" readingOrder="2"/>
    </xf>
    <xf numFmtId="0" fontId="9" fillId="15" borderId="57" xfId="1" applyFont="1" applyFill="1" applyBorder="1" applyAlignment="1">
      <alignment horizontal="centerContinuous" vertical="center" wrapText="1" readingOrder="2"/>
    </xf>
    <xf numFmtId="0" fontId="9" fillId="15" borderId="63" xfId="1" applyFont="1" applyFill="1" applyBorder="1" applyAlignment="1">
      <alignment horizontal="centerContinuous" vertical="center" wrapText="1" readingOrder="2"/>
    </xf>
    <xf numFmtId="0" fontId="9" fillId="15" borderId="76" xfId="1" applyFont="1" applyFill="1" applyBorder="1" applyAlignment="1">
      <alignment horizontal="centerContinuous" vertical="center" wrapText="1" readingOrder="2"/>
    </xf>
    <xf numFmtId="0" fontId="9" fillId="15" borderId="64" xfId="1" applyFont="1" applyFill="1" applyBorder="1" applyAlignment="1">
      <alignment horizontal="centerContinuous" vertical="center" wrapText="1" readingOrder="2"/>
    </xf>
    <xf numFmtId="0" fontId="9" fillId="15" borderId="78" xfId="1" applyFont="1" applyFill="1" applyBorder="1" applyAlignment="1">
      <alignment horizontal="centerContinuous" vertical="center" wrapText="1" readingOrder="2"/>
    </xf>
    <xf numFmtId="3" fontId="9" fillId="14" borderId="283" xfId="1" applyNumberFormat="1" applyFont="1" applyFill="1" applyBorder="1" applyAlignment="1">
      <alignment horizontal="center" vertical="center"/>
    </xf>
    <xf numFmtId="3" fontId="8" fillId="14" borderId="46" xfId="1" applyNumberFormat="1" applyFont="1" applyFill="1" applyBorder="1" applyAlignment="1">
      <alignment horizontal="center" vertical="center"/>
    </xf>
    <xf numFmtId="0" fontId="8" fillId="4" borderId="154" xfId="1" applyFont="1" applyFill="1" applyBorder="1" applyAlignment="1">
      <alignment horizontal="right" vertical="center" wrapText="1" readingOrder="2"/>
    </xf>
    <xf numFmtId="1" fontId="11" fillId="4" borderId="115" xfId="1" applyNumberFormat="1" applyFont="1" applyFill="1" applyBorder="1" applyAlignment="1">
      <alignment horizontal="center" vertical="center" wrapText="1" readingOrder="2"/>
    </xf>
    <xf numFmtId="0" fontId="8" fillId="4" borderId="59" xfId="1" applyFont="1" applyFill="1" applyBorder="1" applyAlignment="1">
      <alignment horizontal="right" vertical="center" wrapText="1" readingOrder="2"/>
    </xf>
    <xf numFmtId="0" fontId="11" fillId="4" borderId="42" xfId="1" applyFont="1" applyFill="1" applyBorder="1" applyAlignment="1">
      <alignment horizontal="center" vertical="center" wrapText="1" readingOrder="2"/>
    </xf>
    <xf numFmtId="0" fontId="9" fillId="4" borderId="36" xfId="1" applyFont="1" applyFill="1" applyBorder="1" applyAlignment="1">
      <alignment horizontal="center" vertical="center"/>
    </xf>
    <xf numFmtId="0" fontId="8" fillId="4" borderId="60" xfId="1" applyFont="1" applyFill="1" applyBorder="1" applyAlignment="1">
      <alignment horizontal="right" vertical="center" wrapText="1" readingOrder="2"/>
    </xf>
    <xf numFmtId="0" fontId="11" fillId="4" borderId="43" xfId="1" applyFont="1" applyFill="1" applyBorder="1" applyAlignment="1">
      <alignment horizontal="center" vertical="center" wrapText="1" readingOrder="2"/>
    </xf>
    <xf numFmtId="0" fontId="8" fillId="4" borderId="105" xfId="1" applyFont="1" applyFill="1" applyBorder="1" applyAlignment="1">
      <alignment horizontal="right" vertical="center" wrapText="1" readingOrder="2"/>
    </xf>
    <xf numFmtId="0" fontId="11" fillId="4" borderId="44" xfId="1" applyFont="1" applyFill="1" applyBorder="1" applyAlignment="1">
      <alignment horizontal="center" vertical="center" wrapText="1" readingOrder="2"/>
    </xf>
    <xf numFmtId="0" fontId="113" fillId="0" borderId="0" xfId="0" applyFont="1" applyAlignment="1">
      <alignment horizontal="left" vertical="center"/>
    </xf>
    <xf numFmtId="0" fontId="9" fillId="16" borderId="125" xfId="1" applyFont="1" applyFill="1" applyBorder="1" applyAlignment="1">
      <alignment horizontal="centerContinuous" vertical="center" wrapText="1" readingOrder="2"/>
    </xf>
    <xf numFmtId="0" fontId="9" fillId="16" borderId="124" xfId="1" applyFont="1" applyFill="1" applyBorder="1" applyAlignment="1">
      <alignment horizontal="centerContinuous" vertical="center" wrapText="1" readingOrder="2"/>
    </xf>
    <xf numFmtId="0" fontId="9" fillId="16" borderId="126" xfId="1" applyFont="1" applyFill="1" applyBorder="1" applyAlignment="1">
      <alignment horizontal="centerContinuous" vertical="center" wrapText="1" readingOrder="2"/>
    </xf>
    <xf numFmtId="0" fontId="9" fillId="16" borderId="132" xfId="1" applyFont="1" applyFill="1" applyBorder="1" applyAlignment="1">
      <alignment horizontal="centerContinuous" vertical="center" wrapText="1" readingOrder="2"/>
    </xf>
    <xf numFmtId="0" fontId="9" fillId="16" borderId="133" xfId="1" applyFont="1" applyFill="1" applyBorder="1" applyAlignment="1">
      <alignment horizontal="centerContinuous" vertical="center" wrapText="1" readingOrder="2"/>
    </xf>
    <xf numFmtId="0" fontId="9" fillId="16" borderId="84" xfId="1" applyFont="1" applyFill="1" applyBorder="1" applyAlignment="1">
      <alignment horizontal="centerContinuous" vertical="center" wrapText="1" readingOrder="2"/>
    </xf>
    <xf numFmtId="0" fontId="9" fillId="16" borderId="57" xfId="1" applyFont="1" applyFill="1" applyBorder="1" applyAlignment="1">
      <alignment horizontal="centerContinuous" vertical="center" wrapText="1" readingOrder="2"/>
    </xf>
    <xf numFmtId="0" fontId="9" fillId="16" borderId="63" xfId="1" applyFont="1" applyFill="1" applyBorder="1" applyAlignment="1">
      <alignment horizontal="centerContinuous" vertical="center" wrapText="1" readingOrder="2"/>
    </xf>
    <xf numFmtId="0" fontId="8" fillId="16" borderId="104" xfId="1" applyFont="1" applyFill="1" applyBorder="1" applyAlignment="1">
      <alignment horizontal="centerContinuous" vertical="center" wrapText="1" readingOrder="2"/>
    </xf>
    <xf numFmtId="0" fontId="8" fillId="16" borderId="135" xfId="1" applyFont="1" applyFill="1" applyBorder="1" applyAlignment="1">
      <alignment horizontal="centerContinuous" vertical="center" wrapText="1" readingOrder="2"/>
    </xf>
    <xf numFmtId="0" fontId="8" fillId="16" borderId="103" xfId="1" applyFont="1" applyFill="1" applyBorder="1" applyAlignment="1">
      <alignment horizontal="centerContinuous" vertical="center" wrapText="1" readingOrder="2"/>
    </xf>
    <xf numFmtId="0" fontId="8" fillId="16" borderId="110" xfId="1" applyFont="1" applyFill="1" applyBorder="1" applyAlignment="1">
      <alignment horizontal="centerContinuous" vertical="center" wrapText="1" readingOrder="2"/>
    </xf>
    <xf numFmtId="0" fontId="8" fillId="16" borderId="321" xfId="1" applyFont="1" applyFill="1" applyBorder="1" applyAlignment="1">
      <alignment horizontal="centerContinuous" vertical="center" wrapText="1" readingOrder="2"/>
    </xf>
    <xf numFmtId="0" fontId="8" fillId="16" borderId="111" xfId="1" applyFont="1" applyFill="1" applyBorder="1" applyAlignment="1">
      <alignment horizontal="centerContinuous" vertical="center" wrapText="1" readingOrder="2"/>
    </xf>
    <xf numFmtId="0" fontId="7" fillId="13" borderId="144" xfId="1" applyFont="1" applyFill="1" applyBorder="1" applyAlignment="1">
      <alignment horizontal="center" vertical="center" wrapText="1" readingOrder="2"/>
    </xf>
    <xf numFmtId="3" fontId="8" fillId="13" borderId="10" xfId="1" applyNumberFormat="1" applyFont="1" applyFill="1" applyBorder="1" applyAlignment="1">
      <alignment horizontal="center" vertical="center" wrapText="1" readingOrder="2"/>
    </xf>
    <xf numFmtId="3" fontId="8" fillId="13" borderId="2" xfId="1" applyNumberFormat="1" applyFont="1" applyFill="1" applyBorder="1" applyAlignment="1">
      <alignment horizontal="center" vertical="center" wrapText="1" readingOrder="2"/>
    </xf>
    <xf numFmtId="0" fontId="8" fillId="4" borderId="114" xfId="1" applyFont="1" applyFill="1" applyBorder="1" applyAlignment="1">
      <alignment horizontal="center" vertical="center" wrapText="1" readingOrder="2"/>
    </xf>
    <xf numFmtId="0" fontId="8" fillId="4" borderId="38" xfId="1" applyFont="1" applyFill="1" applyBorder="1" applyAlignment="1">
      <alignment horizontal="center" vertical="center" wrapText="1" readingOrder="2"/>
    </xf>
    <xf numFmtId="0" fontId="7" fillId="13" borderId="284" xfId="1" applyFont="1" applyFill="1" applyBorder="1" applyAlignment="1">
      <alignment horizontal="center" vertical="center" wrapText="1" readingOrder="2"/>
    </xf>
    <xf numFmtId="3" fontId="8" fillId="13" borderId="264" xfId="1" applyNumberFormat="1" applyFont="1" applyFill="1" applyBorder="1" applyAlignment="1">
      <alignment horizontal="center" vertical="center" wrapText="1" readingOrder="2"/>
    </xf>
    <xf numFmtId="0" fontId="8" fillId="4" borderId="118" xfId="1" applyFont="1" applyFill="1" applyBorder="1" applyAlignment="1">
      <alignment horizontal="center" vertical="center" wrapText="1" readingOrder="2"/>
    </xf>
    <xf numFmtId="0" fontId="6" fillId="4" borderId="107" xfId="1" applyFont="1" applyFill="1" applyBorder="1" applyAlignment="1">
      <alignment horizontal="center" vertical="center" wrapText="1" readingOrder="2"/>
    </xf>
    <xf numFmtId="0" fontId="8" fillId="4" borderId="108" xfId="1" applyFont="1" applyFill="1" applyBorder="1" applyAlignment="1">
      <alignment horizontal="center" vertical="center" wrapText="1" readingOrder="2"/>
    </xf>
    <xf numFmtId="0" fontId="6" fillId="4" borderId="108" xfId="1" applyFont="1" applyFill="1" applyBorder="1" applyAlignment="1">
      <alignment horizontal="center" vertical="center" wrapText="1" readingOrder="2"/>
    </xf>
    <xf numFmtId="0" fontId="8" fillId="4" borderId="207" xfId="1" applyFont="1" applyFill="1" applyBorder="1" applyAlignment="1">
      <alignment horizontal="center" vertical="center" wrapText="1" readingOrder="2"/>
    </xf>
    <xf numFmtId="0" fontId="14" fillId="13" borderId="144" xfId="1" applyFont="1" applyFill="1" applyBorder="1" applyAlignment="1">
      <alignment horizontal="center" vertical="center" wrapText="1" readingOrder="2"/>
    </xf>
    <xf numFmtId="3" fontId="9" fillId="13" borderId="10" xfId="1" applyNumberFormat="1" applyFont="1" applyFill="1" applyBorder="1" applyAlignment="1">
      <alignment horizontal="center" vertical="center" wrapText="1" readingOrder="2"/>
    </xf>
    <xf numFmtId="3" fontId="9" fillId="13" borderId="2" xfId="1" applyNumberFormat="1" applyFont="1" applyFill="1" applyBorder="1" applyAlignment="1">
      <alignment horizontal="center" vertical="center" wrapText="1" readingOrder="2"/>
    </xf>
    <xf numFmtId="3" fontId="9" fillId="4" borderId="11" xfId="1" applyNumberFormat="1" applyFont="1" applyFill="1" applyBorder="1" applyAlignment="1">
      <alignment horizontal="center" vertical="center" wrapText="1" readingOrder="2"/>
    </xf>
    <xf numFmtId="3" fontId="9" fillId="13" borderId="82" xfId="1" applyNumberFormat="1" applyFont="1" applyFill="1" applyBorder="1" applyAlignment="1">
      <alignment horizontal="center" vertical="center" wrapText="1" readingOrder="2"/>
    </xf>
    <xf numFmtId="3" fontId="9" fillId="4" borderId="144" xfId="1" applyNumberFormat="1" applyFont="1" applyFill="1" applyBorder="1" applyAlignment="1">
      <alignment horizontal="center" vertical="center" wrapText="1" readingOrder="2"/>
    </xf>
    <xf numFmtId="0" fontId="9" fillId="4" borderId="11" xfId="1" applyFont="1" applyFill="1" applyBorder="1" applyAlignment="1">
      <alignment horizontal="center" vertical="center" wrapText="1" readingOrder="2"/>
    </xf>
    <xf numFmtId="3" fontId="14" fillId="13" borderId="82" xfId="1" applyNumberFormat="1" applyFont="1" applyFill="1" applyBorder="1" applyAlignment="1">
      <alignment horizontal="center" vertical="center" wrapText="1" readingOrder="2"/>
    </xf>
    <xf numFmtId="3" fontId="78" fillId="0" borderId="0" xfId="0" applyNumberFormat="1" applyFont="1" applyProtection="1">
      <protection hidden="1"/>
    </xf>
    <xf numFmtId="0" fontId="8" fillId="4" borderId="76" xfId="1" applyFont="1" applyFill="1" applyBorder="1" applyAlignment="1" applyProtection="1">
      <alignment horizontal="right" vertical="center" wrapText="1" readingOrder="2"/>
      <protection hidden="1"/>
    </xf>
    <xf numFmtId="166" fontId="8" fillId="4" borderId="93" xfId="1" applyNumberFormat="1" applyFont="1" applyFill="1" applyBorder="1" applyAlignment="1">
      <alignment horizontal="center" vertical="center" wrapText="1" readingOrder="2"/>
    </xf>
    <xf numFmtId="166" fontId="8" fillId="4" borderId="184" xfId="1" applyNumberFormat="1" applyFont="1" applyFill="1" applyBorder="1" applyAlignment="1" applyProtection="1">
      <alignment horizontal="center" vertical="center" wrapText="1" readingOrder="2"/>
      <protection hidden="1"/>
    </xf>
    <xf numFmtId="166" fontId="8" fillId="4" borderId="177" xfId="1" applyNumberFormat="1" applyFont="1" applyFill="1" applyBorder="1" applyAlignment="1" applyProtection="1">
      <alignment horizontal="center" vertical="center" wrapText="1" readingOrder="2"/>
      <protection hidden="1"/>
    </xf>
    <xf numFmtId="166" fontId="8" fillId="4" borderId="19" xfId="1" applyNumberFormat="1" applyFont="1" applyFill="1" applyBorder="1" applyAlignment="1" applyProtection="1">
      <alignment horizontal="center" vertical="center" wrapText="1" readingOrder="2"/>
      <protection hidden="1"/>
    </xf>
    <xf numFmtId="0" fontId="9" fillId="4" borderId="93" xfId="1" applyFont="1" applyFill="1" applyBorder="1" applyAlignment="1">
      <alignment horizontal="justify" vertical="center" wrapText="1" readingOrder="2"/>
    </xf>
    <xf numFmtId="3" fontId="8" fillId="4" borderId="19" xfId="1" applyNumberFormat="1" applyFont="1" applyFill="1" applyBorder="1" applyAlignment="1">
      <alignment horizontal="center" vertical="center" wrapText="1" readingOrder="2"/>
    </xf>
    <xf numFmtId="3" fontId="8" fillId="4" borderId="66" xfId="1" applyNumberFormat="1" applyFont="1" applyFill="1" applyBorder="1" applyAlignment="1">
      <alignment horizontal="center" vertical="center" wrapText="1" readingOrder="2"/>
    </xf>
    <xf numFmtId="3" fontId="8" fillId="4" borderId="177" xfId="1" applyNumberFormat="1" applyFont="1" applyFill="1" applyBorder="1" applyAlignment="1" applyProtection="1">
      <alignment horizontal="center" vertical="center" wrapText="1" readingOrder="2"/>
      <protection hidden="1"/>
    </xf>
    <xf numFmtId="3" fontId="4" fillId="0" borderId="0" xfId="1" applyNumberFormat="1" applyFont="1" applyAlignment="1" applyProtection="1">
      <alignment vertical="center"/>
      <protection hidden="1"/>
    </xf>
    <xf numFmtId="0" fontId="9" fillId="15" borderId="86" xfId="1" applyFont="1" applyFill="1" applyBorder="1" applyAlignment="1">
      <alignment horizontal="centerContinuous" vertical="center" wrapText="1" readingOrder="2"/>
    </xf>
    <xf numFmtId="0" fontId="9" fillId="15" borderId="85" xfId="1" applyFont="1" applyFill="1" applyBorder="1" applyAlignment="1">
      <alignment horizontal="centerContinuous" vertical="center" wrapText="1" readingOrder="2"/>
    </xf>
    <xf numFmtId="0" fontId="8" fillId="4" borderId="148" xfId="1" applyFont="1" applyFill="1" applyBorder="1" applyAlignment="1">
      <alignment horizontal="justify" vertical="center" wrapText="1" readingOrder="2"/>
    </xf>
    <xf numFmtId="0" fontId="8" fillId="4" borderId="17" xfId="1" applyFont="1" applyFill="1" applyBorder="1" applyAlignment="1">
      <alignment horizontal="justify" vertical="center" wrapText="1" readingOrder="2"/>
    </xf>
    <xf numFmtId="0" fontId="8" fillId="4" borderId="17" xfId="1" applyFont="1" applyFill="1" applyBorder="1" applyAlignment="1">
      <alignment horizontal="right" vertical="center" wrapText="1" readingOrder="2"/>
    </xf>
    <xf numFmtId="0" fontId="59" fillId="4" borderId="16" xfId="1" applyFont="1" applyFill="1" applyBorder="1" applyAlignment="1">
      <alignment horizontal="justify" vertical="center" wrapText="1" readingOrder="2"/>
    </xf>
    <xf numFmtId="0" fontId="8" fillId="4" borderId="18" xfId="1" applyFont="1" applyFill="1" applyBorder="1" applyAlignment="1">
      <alignment horizontal="justify" vertical="center" wrapText="1" readingOrder="2"/>
    </xf>
    <xf numFmtId="3" fontId="8" fillId="4" borderId="114" xfId="1" applyNumberFormat="1" applyFont="1" applyFill="1" applyBorder="1" applyAlignment="1">
      <alignment horizontal="center" vertical="center" readingOrder="2"/>
    </xf>
    <xf numFmtId="3" fontId="8" fillId="4" borderId="38" xfId="1" applyNumberFormat="1" applyFont="1" applyFill="1" applyBorder="1" applyAlignment="1">
      <alignment horizontal="center" vertical="center" readingOrder="2"/>
    </xf>
    <xf numFmtId="3" fontId="59" fillId="4" borderId="37" xfId="1" applyNumberFormat="1" applyFont="1" applyFill="1" applyBorder="1" applyAlignment="1">
      <alignment horizontal="center" vertical="center" readingOrder="2"/>
    </xf>
    <xf numFmtId="3" fontId="8" fillId="4" borderId="39" xfId="1" applyNumberFormat="1" applyFont="1" applyFill="1" applyBorder="1" applyAlignment="1">
      <alignment horizontal="center" vertical="center" readingOrder="2"/>
    </xf>
    <xf numFmtId="3" fontId="59" fillId="4" borderId="22" xfId="1" applyNumberFormat="1" applyFont="1" applyFill="1" applyBorder="1" applyAlignment="1">
      <alignment horizontal="center" vertical="center" readingOrder="2"/>
    </xf>
    <xf numFmtId="3" fontId="59" fillId="4" borderId="4" xfId="1" applyNumberFormat="1" applyFont="1" applyFill="1" applyBorder="1" applyAlignment="1">
      <alignment horizontal="center" vertical="center" readingOrder="2"/>
    </xf>
    <xf numFmtId="3" fontId="8" fillId="4" borderId="5" xfId="1" applyNumberFormat="1" applyFont="1" applyFill="1" applyBorder="1" applyAlignment="1">
      <alignment horizontal="center" vertical="center" readingOrder="2"/>
    </xf>
    <xf numFmtId="3" fontId="8" fillId="4" borderId="36" xfId="1" applyNumberFormat="1" applyFont="1" applyFill="1" applyBorder="1" applyAlignment="1">
      <alignment horizontal="center" vertical="center" readingOrder="2"/>
    </xf>
    <xf numFmtId="0" fontId="129" fillId="0" borderId="0" xfId="1" applyFont="1" applyAlignment="1">
      <alignment horizontal="centerContinuous" wrapText="1" readingOrder="2"/>
    </xf>
    <xf numFmtId="0" fontId="129" fillId="0" borderId="0" xfId="1" applyFont="1" applyAlignment="1">
      <alignment horizontal="centerContinuous" vertical="top" wrapText="1" readingOrder="2"/>
    </xf>
    <xf numFmtId="0" fontId="8" fillId="0" borderId="0" xfId="1" applyFont="1" applyAlignment="1">
      <alignment vertical="top" wrapText="1" readingOrder="2"/>
    </xf>
    <xf numFmtId="0" fontId="10" fillId="0" borderId="0" xfId="1" applyFont="1" applyAlignment="1">
      <alignment horizontal="center" wrapText="1" readingOrder="2"/>
    </xf>
    <xf numFmtId="0" fontId="8" fillId="15" borderId="181" xfId="1" applyFont="1" applyFill="1" applyBorder="1" applyAlignment="1">
      <alignment horizontal="center" vertical="center" wrapText="1" readingOrder="2"/>
    </xf>
    <xf numFmtId="0" fontId="10" fillId="0" borderId="0" xfId="1" applyFont="1" applyAlignment="1">
      <alignment wrapText="1" readingOrder="2"/>
    </xf>
    <xf numFmtId="0" fontId="4" fillId="0" borderId="0" xfId="1" applyFont="1" applyAlignment="1">
      <alignment wrapText="1"/>
    </xf>
    <xf numFmtId="0" fontId="25" fillId="0" borderId="0" xfId="1" applyFont="1" applyAlignment="1">
      <alignment wrapText="1"/>
    </xf>
    <xf numFmtId="0" fontId="8" fillId="15" borderId="170" xfId="1" applyFont="1" applyFill="1" applyBorder="1" applyAlignment="1">
      <alignment horizontal="center" vertical="center" wrapText="1" readingOrder="2"/>
    </xf>
    <xf numFmtId="0" fontId="8" fillId="15" borderId="140" xfId="1" applyFont="1" applyFill="1" applyBorder="1" applyAlignment="1">
      <alignment horizontal="center" vertical="center" wrapText="1" readingOrder="2"/>
    </xf>
    <xf numFmtId="49" fontId="8" fillId="4" borderId="113" xfId="1" applyNumberFormat="1" applyFont="1" applyFill="1" applyBorder="1" applyAlignment="1">
      <alignment horizontal="center" vertical="center"/>
    </xf>
    <xf numFmtId="166" fontId="11" fillId="4" borderId="217" xfId="1" applyNumberFormat="1" applyFont="1" applyFill="1" applyBorder="1" applyAlignment="1">
      <alignment horizontal="right" vertical="center" wrapText="1" readingOrder="2"/>
    </xf>
    <xf numFmtId="166" fontId="11" fillId="4" borderId="129" xfId="1" applyNumberFormat="1" applyFont="1" applyFill="1" applyBorder="1" applyAlignment="1">
      <alignment horizontal="center" vertical="center" wrapText="1" readingOrder="2"/>
    </xf>
    <xf numFmtId="49" fontId="8" fillId="4" borderId="5" xfId="1" applyNumberFormat="1" applyFont="1" applyFill="1" applyBorder="1" applyAlignment="1">
      <alignment horizontal="center" vertical="center"/>
    </xf>
    <xf numFmtId="166" fontId="11" fillId="4" borderId="38" xfId="1" applyNumberFormat="1" applyFont="1" applyFill="1" applyBorder="1" applyAlignment="1">
      <alignment horizontal="right" vertical="center" wrapText="1" readingOrder="2"/>
    </xf>
    <xf numFmtId="166" fontId="11" fillId="4" borderId="42" xfId="1" applyNumberFormat="1" applyFont="1" applyFill="1" applyBorder="1" applyAlignment="1">
      <alignment horizontal="center" vertical="center" wrapText="1" readingOrder="2"/>
    </xf>
    <xf numFmtId="49" fontId="8" fillId="4" borderId="36" xfId="1" applyNumberFormat="1" applyFont="1" applyFill="1" applyBorder="1" applyAlignment="1">
      <alignment horizontal="center" vertical="center"/>
    </xf>
    <xf numFmtId="166" fontId="11" fillId="4" borderId="39" xfId="1" applyNumberFormat="1" applyFont="1" applyFill="1" applyBorder="1" applyAlignment="1">
      <alignment horizontal="right" vertical="center" wrapText="1" readingOrder="2"/>
    </xf>
    <xf numFmtId="166" fontId="11" fillId="4" borderId="43" xfId="1" applyNumberFormat="1" applyFont="1" applyFill="1" applyBorder="1" applyAlignment="1">
      <alignment horizontal="center" vertical="center" wrapText="1" readingOrder="2"/>
    </xf>
    <xf numFmtId="49" fontId="8" fillId="4" borderId="6" xfId="1" applyNumberFormat="1" applyFont="1" applyFill="1" applyBorder="1" applyAlignment="1">
      <alignment horizontal="center" vertical="center"/>
    </xf>
    <xf numFmtId="166" fontId="11" fillId="4" borderId="40" xfId="1" applyNumberFormat="1" applyFont="1" applyFill="1" applyBorder="1" applyAlignment="1">
      <alignment horizontal="right" vertical="center" wrapText="1" readingOrder="2"/>
    </xf>
    <xf numFmtId="166" fontId="11" fillId="4" borderId="44" xfId="1" applyNumberFormat="1" applyFont="1" applyFill="1" applyBorder="1" applyAlignment="1">
      <alignment horizontal="center" vertical="center" wrapText="1" readingOrder="2"/>
    </xf>
    <xf numFmtId="166" fontId="8" fillId="4" borderId="114" xfId="1" applyNumberFormat="1" applyFont="1" applyFill="1" applyBorder="1" applyAlignment="1">
      <alignment horizontal="center" vertical="center" wrapText="1" readingOrder="2"/>
    </xf>
    <xf numFmtId="166" fontId="11" fillId="4" borderId="115" xfId="1" applyNumberFormat="1" applyFont="1" applyFill="1" applyBorder="1" applyAlignment="1">
      <alignment horizontal="center" vertical="center" wrapText="1" readingOrder="2"/>
    </xf>
    <xf numFmtId="166" fontId="8" fillId="4" borderId="38" xfId="1" applyNumberFormat="1" applyFont="1" applyFill="1" applyBorder="1" applyAlignment="1">
      <alignment horizontal="center" vertical="center" wrapText="1" readingOrder="2"/>
    </xf>
    <xf numFmtId="166" fontId="8" fillId="4" borderId="39" xfId="1" applyNumberFormat="1" applyFont="1" applyFill="1" applyBorder="1" applyAlignment="1">
      <alignment horizontal="center" vertical="center" wrapText="1" readingOrder="2"/>
    </xf>
    <xf numFmtId="166" fontId="8" fillId="4" borderId="40" xfId="1" applyNumberFormat="1" applyFont="1" applyFill="1" applyBorder="1" applyAlignment="1">
      <alignment horizontal="center" vertical="center" wrapText="1" readingOrder="2"/>
    </xf>
    <xf numFmtId="166" fontId="11" fillId="4" borderId="116" xfId="1" applyNumberFormat="1" applyFont="1" applyFill="1" applyBorder="1" applyAlignment="1">
      <alignment horizontal="center" vertical="center" wrapText="1" readingOrder="2"/>
    </xf>
    <xf numFmtId="166" fontId="8" fillId="4" borderId="22" xfId="1" applyNumberFormat="1" applyFont="1" applyFill="1" applyBorder="1" applyAlignment="1">
      <alignment horizontal="center" vertical="center" wrapText="1"/>
    </xf>
    <xf numFmtId="166" fontId="11" fillId="4" borderId="31" xfId="1" applyNumberFormat="1" applyFont="1" applyFill="1" applyBorder="1" applyAlignment="1">
      <alignment horizontal="center" vertical="center" wrapText="1" readingOrder="2"/>
    </xf>
    <xf numFmtId="166" fontId="8" fillId="4" borderId="26" xfId="1" applyNumberFormat="1" applyFont="1" applyFill="1" applyBorder="1" applyAlignment="1">
      <alignment horizontal="center" vertical="center" wrapText="1"/>
    </xf>
    <xf numFmtId="166" fontId="11" fillId="4" borderId="50" xfId="1" applyNumberFormat="1" applyFont="1" applyFill="1" applyBorder="1" applyAlignment="1">
      <alignment horizontal="center" vertical="center" wrapText="1" readingOrder="2"/>
    </xf>
    <xf numFmtId="166" fontId="8" fillId="4" borderId="51" xfId="1" applyNumberFormat="1" applyFont="1" applyFill="1" applyBorder="1" applyAlignment="1">
      <alignment horizontal="center" vertical="center" wrapText="1"/>
    </xf>
    <xf numFmtId="166" fontId="11" fillId="4" borderId="45" xfId="1" applyNumberFormat="1" applyFont="1" applyFill="1" applyBorder="1" applyAlignment="1">
      <alignment horizontal="center" vertical="center" wrapText="1" readingOrder="2"/>
    </xf>
    <xf numFmtId="166" fontId="8" fillId="4" borderId="149" xfId="1" applyNumberFormat="1" applyFont="1" applyFill="1" applyBorder="1" applyAlignment="1">
      <alignment horizontal="center" vertical="center" wrapText="1"/>
    </xf>
    <xf numFmtId="3" fontId="9" fillId="4" borderId="155" xfId="1" applyNumberFormat="1" applyFont="1" applyFill="1" applyBorder="1" applyAlignment="1">
      <alignment horizontal="center" vertical="center" readingOrder="2"/>
    </xf>
    <xf numFmtId="3" fontId="9" fillId="4" borderId="19" xfId="1" applyNumberFormat="1" applyFont="1" applyFill="1" applyBorder="1" applyAlignment="1">
      <alignment horizontal="center" vertical="center" readingOrder="2"/>
    </xf>
    <xf numFmtId="3" fontId="9" fillId="4" borderId="66" xfId="1" applyNumberFormat="1" applyFont="1" applyFill="1" applyBorder="1" applyAlignment="1">
      <alignment horizontal="center" vertical="center" readingOrder="2"/>
    </xf>
    <xf numFmtId="166" fontId="8" fillId="4" borderId="66" xfId="1" applyNumberFormat="1" applyFont="1" applyFill="1" applyBorder="1" applyAlignment="1">
      <alignment horizontal="center" vertical="center" readingOrder="2"/>
    </xf>
    <xf numFmtId="176" fontId="8" fillId="4" borderId="120" xfId="1" applyNumberFormat="1" applyFont="1" applyFill="1" applyBorder="1" applyAlignment="1" applyProtection="1">
      <alignment horizontal="center" vertical="center" wrapText="1" readingOrder="2"/>
      <protection hidden="1"/>
    </xf>
    <xf numFmtId="176" fontId="8" fillId="4" borderId="30" xfId="1" applyNumberFormat="1" applyFont="1" applyFill="1" applyBorder="1" applyAlignment="1" applyProtection="1">
      <alignment horizontal="center" vertical="center" wrapText="1" readingOrder="2"/>
      <protection hidden="1"/>
    </xf>
    <xf numFmtId="176" fontId="8" fillId="4" borderId="53" xfId="1" applyNumberFormat="1" applyFont="1" applyFill="1" applyBorder="1" applyAlignment="1" applyProtection="1">
      <alignment horizontal="center" vertical="center" wrapText="1" readingOrder="2"/>
      <protection hidden="1"/>
    </xf>
    <xf numFmtId="176" fontId="8" fillId="4" borderId="218" xfId="1" applyNumberFormat="1" applyFont="1" applyFill="1" applyBorder="1" applyAlignment="1" applyProtection="1">
      <alignment horizontal="center" vertical="center" wrapText="1" readingOrder="2"/>
      <protection hidden="1"/>
    </xf>
    <xf numFmtId="0" fontId="9" fillId="4" borderId="6" xfId="1" applyFont="1" applyFill="1" applyBorder="1" applyAlignment="1" applyProtection="1">
      <alignment horizontal="center" vertical="center"/>
      <protection locked="0"/>
    </xf>
    <xf numFmtId="3" fontId="10" fillId="4" borderId="42" xfId="1" applyNumberFormat="1" applyFont="1" applyFill="1" applyBorder="1" applyAlignment="1">
      <alignment horizontal="center" vertical="center" wrapText="1" readingOrder="2"/>
    </xf>
    <xf numFmtId="3" fontId="8" fillId="4" borderId="6" xfId="1" applyNumberFormat="1" applyFont="1" applyFill="1" applyBorder="1" applyAlignment="1" applyProtection="1">
      <alignment horizontal="center" vertical="center" wrapText="1" readingOrder="2"/>
      <protection hidden="1"/>
    </xf>
    <xf numFmtId="1" fontId="8" fillId="4" borderId="114" xfId="1" applyNumberFormat="1" applyFont="1" applyFill="1" applyBorder="1" applyAlignment="1" applyProtection="1">
      <alignment horizontal="center" vertical="center" wrapText="1" readingOrder="2"/>
      <protection hidden="1"/>
    </xf>
    <xf numFmtId="1" fontId="8" fillId="4" borderId="41" xfId="1" applyNumberFormat="1" applyFont="1" applyFill="1" applyBorder="1" applyAlignment="1" applyProtection="1">
      <alignment horizontal="center" vertical="center" wrapText="1" readingOrder="2"/>
      <protection hidden="1"/>
    </xf>
    <xf numFmtId="3" fontId="8" fillId="4" borderId="40" xfId="1" applyNumberFormat="1" applyFont="1" applyFill="1" applyBorder="1" applyAlignment="1" applyProtection="1">
      <alignment horizontal="center" vertical="center" wrapText="1" readingOrder="2"/>
      <protection hidden="1"/>
    </xf>
    <xf numFmtId="3" fontId="8" fillId="4" borderId="44" xfId="1" applyNumberFormat="1" applyFont="1" applyFill="1" applyBorder="1" applyAlignment="1" applyProtection="1">
      <alignment horizontal="center" vertical="center" wrapText="1" readingOrder="2"/>
      <protection hidden="1"/>
    </xf>
    <xf numFmtId="3" fontId="8" fillId="4" borderId="4" xfId="1" applyNumberFormat="1" applyFont="1" applyFill="1" applyBorder="1" applyAlignment="1" applyProtection="1">
      <alignment horizontal="center" vertical="center" wrapText="1" readingOrder="2"/>
      <protection hidden="1"/>
    </xf>
    <xf numFmtId="0" fontId="8" fillId="0" borderId="3" xfId="1" applyFont="1" applyBorder="1" applyAlignment="1" applyProtection="1">
      <alignment vertical="center" wrapText="1" readingOrder="2"/>
      <protection locked="0"/>
    </xf>
    <xf numFmtId="166" fontId="4" fillId="0" borderId="0" xfId="1" applyNumberFormat="1" applyFont="1" applyAlignment="1" applyProtection="1">
      <alignment vertical="center"/>
      <protection hidden="1"/>
    </xf>
    <xf numFmtId="0" fontId="8" fillId="4" borderId="16" xfId="1" applyFont="1" applyFill="1" applyBorder="1" applyAlignment="1">
      <alignment horizontal="justify" vertical="center" wrapText="1" readingOrder="2"/>
    </xf>
    <xf numFmtId="0" fontId="8" fillId="4" borderId="150" xfId="1" applyFont="1" applyFill="1" applyBorder="1" applyAlignment="1">
      <alignment horizontal="justify" vertical="center" wrapText="1" readingOrder="2"/>
    </xf>
    <xf numFmtId="166" fontId="8" fillId="4" borderId="22" xfId="1" applyNumberFormat="1" applyFont="1" applyFill="1" applyBorder="1" applyAlignment="1">
      <alignment horizontal="center" vertical="center" readingOrder="2"/>
    </xf>
    <xf numFmtId="166" fontId="8" fillId="4" borderId="4" xfId="1" applyNumberFormat="1" applyFont="1" applyFill="1" applyBorder="1" applyAlignment="1">
      <alignment horizontal="center" vertical="center" readingOrder="2"/>
    </xf>
    <xf numFmtId="166" fontId="8" fillId="4" borderId="26" xfId="1" applyNumberFormat="1" applyFont="1" applyFill="1" applyBorder="1" applyAlignment="1">
      <alignment horizontal="center" vertical="center" readingOrder="2"/>
    </xf>
    <xf numFmtId="166" fontId="8" fillId="4" borderId="5" xfId="1" applyNumberFormat="1" applyFont="1" applyFill="1" applyBorder="1" applyAlignment="1">
      <alignment horizontal="center" vertical="center" readingOrder="2"/>
    </xf>
    <xf numFmtId="166" fontId="8" fillId="4" borderId="51" xfId="1" applyNumberFormat="1" applyFont="1" applyFill="1" applyBorder="1" applyAlignment="1">
      <alignment horizontal="center" vertical="center" readingOrder="2"/>
    </xf>
    <xf numFmtId="166" fontId="8" fillId="4" borderId="36" xfId="1" applyNumberFormat="1" applyFont="1" applyFill="1" applyBorder="1" applyAlignment="1">
      <alignment horizontal="center" vertical="center" readingOrder="2"/>
    </xf>
    <xf numFmtId="166" fontId="8" fillId="4" borderId="145" xfId="1" applyNumberFormat="1" applyFont="1" applyFill="1" applyBorder="1" applyAlignment="1" applyProtection="1">
      <alignment horizontal="center" vertical="center" readingOrder="2"/>
      <protection hidden="1"/>
    </xf>
    <xf numFmtId="0" fontId="8" fillId="4" borderId="3" xfId="1" applyFont="1" applyFill="1" applyBorder="1" applyAlignment="1" applyProtection="1">
      <alignment horizontal="justify" vertical="center" wrapText="1" readingOrder="2"/>
      <protection hidden="1"/>
    </xf>
    <xf numFmtId="0" fontId="8" fillId="4" borderId="24" xfId="1" applyFont="1" applyFill="1" applyBorder="1" applyAlignment="1" applyProtection="1">
      <alignment horizontal="center" vertical="center"/>
      <protection locked="0"/>
    </xf>
    <xf numFmtId="0" fontId="8" fillId="4" borderId="30" xfId="1" applyFont="1" applyFill="1" applyBorder="1" applyAlignment="1" applyProtection="1">
      <alignment horizontal="center" vertical="center"/>
      <protection locked="0"/>
    </xf>
    <xf numFmtId="0" fontId="8" fillId="4" borderId="53" xfId="1" applyFont="1" applyFill="1" applyBorder="1" applyAlignment="1" applyProtection="1">
      <alignment horizontal="center" vertical="center"/>
      <protection locked="0"/>
    </xf>
    <xf numFmtId="0" fontId="7" fillId="0" borderId="1" xfId="1" applyFont="1" applyBorder="1" applyAlignment="1">
      <alignment vertical="center" wrapText="1" readingOrder="2"/>
    </xf>
    <xf numFmtId="0" fontId="21" fillId="0" borderId="1" xfId="1" applyFont="1" applyBorder="1" applyAlignment="1">
      <alignment vertical="top" readingOrder="2"/>
    </xf>
    <xf numFmtId="3" fontId="8" fillId="4" borderId="323" xfId="1" applyNumberFormat="1" applyFont="1" applyFill="1" applyBorder="1" applyAlignment="1">
      <alignment horizontal="center" vertical="center" wrapText="1" readingOrder="2"/>
    </xf>
    <xf numFmtId="3" fontId="8" fillId="13" borderId="11" xfId="1" applyNumberFormat="1" applyFont="1" applyFill="1" applyBorder="1" applyAlignment="1">
      <alignment horizontal="center" vertical="center" wrapText="1" readingOrder="2"/>
    </xf>
    <xf numFmtId="0" fontId="9" fillId="0" borderId="0" xfId="2" applyFont="1" applyAlignment="1">
      <alignment horizontal="right" vertical="center" readingOrder="2"/>
    </xf>
    <xf numFmtId="0" fontId="13" fillId="0" borderId="1" xfId="2" applyFont="1" applyBorder="1" applyAlignment="1">
      <alignment vertical="center" readingOrder="2"/>
    </xf>
    <xf numFmtId="0" fontId="13" fillId="0" borderId="0" xfId="2" applyFont="1" applyAlignment="1">
      <alignment vertical="center" readingOrder="2"/>
    </xf>
    <xf numFmtId="0" fontId="16" fillId="0" borderId="1" xfId="1" applyFont="1" applyBorder="1" applyAlignment="1">
      <alignment horizontal="center" vertical="top" readingOrder="2"/>
    </xf>
    <xf numFmtId="0" fontId="13" fillId="0" borderId="0" xfId="2" applyFont="1" applyAlignment="1">
      <alignment vertical="center"/>
    </xf>
    <xf numFmtId="165" fontId="8" fillId="4" borderId="157" xfId="2" applyNumberFormat="1" applyFont="1" applyFill="1" applyBorder="1" applyAlignment="1">
      <alignment horizontal="right" vertical="center" wrapText="1" readingOrder="2"/>
    </xf>
    <xf numFmtId="165" fontId="8" fillId="4" borderId="162" xfId="2" applyNumberFormat="1" applyFont="1" applyFill="1" applyBorder="1" applyAlignment="1">
      <alignment horizontal="right" vertical="center" wrapText="1" readingOrder="2"/>
    </xf>
    <xf numFmtId="165" fontId="8" fillId="4" borderId="76" xfId="2" applyNumberFormat="1" applyFont="1" applyFill="1" applyBorder="1" applyAlignment="1">
      <alignment horizontal="right" vertical="center" wrapText="1" readingOrder="2"/>
    </xf>
    <xf numFmtId="165" fontId="8" fillId="4" borderId="166" xfId="2" applyNumberFormat="1" applyFont="1" applyFill="1" applyBorder="1" applyAlignment="1">
      <alignment horizontal="right" vertical="center" wrapText="1" readingOrder="2"/>
    </xf>
    <xf numFmtId="165" fontId="8" fillId="4" borderId="93" xfId="2" applyNumberFormat="1" applyFont="1" applyFill="1" applyBorder="1" applyAlignment="1">
      <alignment horizontal="right" vertical="center" wrapText="1" readingOrder="2"/>
    </xf>
    <xf numFmtId="166" fontId="8" fillId="4" borderId="76" xfId="2" applyNumberFormat="1" applyFont="1" applyFill="1" applyBorder="1" applyAlignment="1">
      <alignment horizontal="center" vertical="center" readingOrder="2"/>
    </xf>
    <xf numFmtId="166" fontId="8" fillId="4" borderId="70" xfId="2" applyNumberFormat="1" applyFont="1" applyFill="1" applyBorder="1" applyAlignment="1">
      <alignment horizontal="center" vertical="center" readingOrder="2"/>
    </xf>
    <xf numFmtId="166" fontId="8" fillId="4" borderId="71" xfId="2" applyNumberFormat="1" applyFont="1" applyFill="1" applyBorder="1" applyAlignment="1">
      <alignment horizontal="center" vertical="center" readingOrder="2"/>
    </xf>
    <xf numFmtId="166" fontId="10" fillId="4" borderId="71" xfId="2" applyNumberFormat="1" applyFont="1" applyFill="1" applyBorder="1" applyAlignment="1">
      <alignment horizontal="center" vertical="center" readingOrder="2"/>
    </xf>
    <xf numFmtId="166" fontId="8" fillId="4" borderId="38" xfId="2" applyNumberFormat="1" applyFont="1" applyFill="1" applyBorder="1" applyAlignment="1">
      <alignment horizontal="center" vertical="center" readingOrder="2"/>
    </xf>
    <xf numFmtId="166" fontId="10" fillId="4" borderId="38" xfId="2" applyNumberFormat="1" applyFont="1" applyFill="1" applyBorder="1" applyAlignment="1">
      <alignment horizontal="center" vertical="center"/>
    </xf>
    <xf numFmtId="166" fontId="8" fillId="4" borderId="8" xfId="2" applyNumberFormat="1" applyFont="1" applyFill="1" applyBorder="1" applyAlignment="1">
      <alignment horizontal="center" vertical="center" readingOrder="2"/>
    </xf>
    <xf numFmtId="166" fontId="10" fillId="4" borderId="14" xfId="2" applyNumberFormat="1" applyFont="1" applyFill="1" applyBorder="1" applyAlignment="1">
      <alignment horizontal="center" vertical="center"/>
    </xf>
    <xf numFmtId="166" fontId="8" fillId="4" borderId="66" xfId="2" applyNumberFormat="1" applyFont="1" applyFill="1" applyBorder="1" applyAlignment="1">
      <alignment horizontal="center" vertical="center" readingOrder="2"/>
    </xf>
    <xf numFmtId="166" fontId="10" fillId="4" borderId="66" xfId="2" applyNumberFormat="1" applyFont="1" applyFill="1" applyBorder="1" applyAlignment="1">
      <alignment horizontal="center" vertical="center" readingOrder="2"/>
    </xf>
    <xf numFmtId="166" fontId="8" fillId="4" borderId="93" xfId="2" applyNumberFormat="1" applyFont="1" applyFill="1" applyBorder="1" applyAlignment="1">
      <alignment horizontal="center" vertical="center" readingOrder="2"/>
    </xf>
    <xf numFmtId="166" fontId="8" fillId="4" borderId="19" xfId="2" applyNumberFormat="1" applyFont="1" applyFill="1" applyBorder="1" applyAlignment="1">
      <alignment horizontal="center" vertical="center" readingOrder="2"/>
    </xf>
    <xf numFmtId="166" fontId="8" fillId="4" borderId="7" xfId="2" applyNumberFormat="1" applyFont="1" applyFill="1" applyBorder="1" applyAlignment="1">
      <alignment horizontal="center" vertical="center" readingOrder="2"/>
    </xf>
    <xf numFmtId="166" fontId="8" fillId="4" borderId="8" xfId="2" applyNumberFormat="1" applyFont="1" applyFill="1" applyBorder="1" applyAlignment="1">
      <alignment horizontal="center" vertical="center"/>
    </xf>
    <xf numFmtId="166" fontId="10" fillId="4" borderId="8" xfId="2" applyNumberFormat="1" applyFont="1" applyFill="1" applyBorder="1" applyAlignment="1">
      <alignment horizontal="center" vertical="center"/>
    </xf>
    <xf numFmtId="166" fontId="8" fillId="4" borderId="37" xfId="2" applyNumberFormat="1" applyFont="1" applyFill="1" applyBorder="1" applyAlignment="1">
      <alignment horizontal="center" vertical="center" readingOrder="2"/>
    </xf>
    <xf numFmtId="166" fontId="8" fillId="4" borderId="5" xfId="2" applyNumberFormat="1" applyFont="1" applyFill="1" applyBorder="1" applyAlignment="1" applyProtection="1">
      <alignment horizontal="center" vertical="center" readingOrder="2"/>
      <protection hidden="1"/>
    </xf>
    <xf numFmtId="0" fontId="9" fillId="15" borderId="155" xfId="1" applyFont="1" applyFill="1" applyBorder="1" applyAlignment="1">
      <alignment horizontal="centerContinuous" vertical="center" wrapText="1" readingOrder="2"/>
    </xf>
    <xf numFmtId="0" fontId="13" fillId="4" borderId="22" xfId="1" applyFont="1" applyFill="1" applyBorder="1" applyAlignment="1">
      <alignment horizontal="justify" vertical="center" wrapText="1" readingOrder="2"/>
    </xf>
    <xf numFmtId="0" fontId="13" fillId="4" borderId="26" xfId="1" applyFont="1" applyFill="1" applyBorder="1" applyAlignment="1">
      <alignment horizontal="justify" vertical="center" wrapText="1" readingOrder="2"/>
    </xf>
    <xf numFmtId="0" fontId="13" fillId="4" borderId="149" xfId="1" applyFont="1" applyFill="1" applyBorder="1" applyAlignment="1">
      <alignment horizontal="justify" vertical="center" wrapText="1" readingOrder="2"/>
    </xf>
    <xf numFmtId="0" fontId="8" fillId="4" borderId="155" xfId="1" applyFont="1" applyFill="1" applyBorder="1" applyAlignment="1">
      <alignment horizontal="justify" vertical="center" wrapText="1" readingOrder="2"/>
    </xf>
    <xf numFmtId="3" fontId="8" fillId="4" borderId="67" xfId="1" applyNumberFormat="1" applyFont="1" applyFill="1" applyBorder="1" applyAlignment="1">
      <alignment horizontal="center" vertical="center" wrapText="1" readingOrder="2"/>
    </xf>
    <xf numFmtId="3" fontId="8" fillId="4" borderId="62" xfId="1" applyNumberFormat="1" applyFont="1" applyFill="1" applyBorder="1" applyAlignment="1">
      <alignment horizontal="center" vertical="center" wrapText="1" readingOrder="2"/>
    </xf>
    <xf numFmtId="3" fontId="10" fillId="4" borderId="19" xfId="1" applyNumberFormat="1" applyFont="1" applyFill="1" applyBorder="1" applyAlignment="1">
      <alignment horizontal="center" vertical="center" wrapText="1" readingOrder="2"/>
    </xf>
    <xf numFmtId="3" fontId="10" fillId="4" borderId="67" xfId="1" applyNumberFormat="1" applyFont="1" applyFill="1" applyBorder="1" applyAlignment="1">
      <alignment horizontal="center" vertical="center" wrapText="1" readingOrder="2"/>
    </xf>
    <xf numFmtId="3" fontId="8" fillId="4" borderId="37" xfId="1" applyNumberFormat="1" applyFont="1" applyFill="1" applyBorder="1" applyAlignment="1" applyProtection="1">
      <alignment horizontal="center" vertical="center" wrapText="1" readingOrder="2"/>
      <protection hidden="1"/>
    </xf>
    <xf numFmtId="3" fontId="8" fillId="4" borderId="41" xfId="1" applyNumberFormat="1" applyFont="1" applyFill="1" applyBorder="1" applyAlignment="1" applyProtection="1">
      <alignment horizontal="center" vertical="center" wrapText="1" readingOrder="2"/>
      <protection hidden="1"/>
    </xf>
    <xf numFmtId="0" fontId="4" fillId="0" borderId="0" xfId="1" applyFont="1" applyAlignment="1" applyProtection="1">
      <alignment horizontal="justify" vertical="center" wrapText="1" readingOrder="2"/>
      <protection hidden="1"/>
    </xf>
    <xf numFmtId="0" fontId="4" fillId="0" borderId="0" xfId="1" applyFont="1" applyAlignment="1" applyProtection="1">
      <alignment horizontal="center" vertical="center" wrapText="1" readingOrder="2"/>
      <protection hidden="1"/>
    </xf>
    <xf numFmtId="3" fontId="8" fillId="3" borderId="294" xfId="1" applyNumberFormat="1" applyFont="1" applyFill="1" applyBorder="1" applyAlignment="1" applyProtection="1">
      <alignment horizontal="center" vertical="center" wrapText="1" readingOrder="2"/>
      <protection locked="0"/>
    </xf>
    <xf numFmtId="3" fontId="8" fillId="3" borderId="296" xfId="1" applyNumberFormat="1" applyFont="1" applyFill="1" applyBorder="1" applyAlignment="1" applyProtection="1">
      <alignment horizontal="center" vertical="center" wrapText="1" readingOrder="2"/>
      <protection locked="0"/>
    </xf>
    <xf numFmtId="3" fontId="10" fillId="4" borderId="4" xfId="1" applyNumberFormat="1" applyFont="1" applyFill="1" applyBorder="1" applyAlignment="1">
      <alignment horizontal="center" vertical="center" wrapText="1" readingOrder="2"/>
    </xf>
    <xf numFmtId="3" fontId="10" fillId="4" borderId="41" xfId="1" applyNumberFormat="1" applyFont="1" applyFill="1" applyBorder="1" applyAlignment="1">
      <alignment horizontal="center" vertical="center" wrapText="1" readingOrder="2"/>
    </xf>
    <xf numFmtId="3" fontId="10" fillId="4" borderId="34" xfId="1" applyNumberFormat="1" applyFont="1" applyFill="1" applyBorder="1" applyAlignment="1">
      <alignment horizontal="center" vertical="center" wrapText="1" readingOrder="2"/>
    </xf>
    <xf numFmtId="3" fontId="8" fillId="4" borderId="297" xfId="1" applyNumberFormat="1" applyFont="1" applyFill="1" applyBorder="1" applyAlignment="1">
      <alignment horizontal="center" vertical="center" wrapText="1" readingOrder="2"/>
    </xf>
    <xf numFmtId="0" fontId="128" fillId="0" borderId="1" xfId="1" applyFont="1" applyBorder="1" applyAlignment="1" applyProtection="1">
      <alignment horizontal="left" vertical="center"/>
      <protection locked="0"/>
    </xf>
    <xf numFmtId="0" fontId="8" fillId="0" borderId="0" xfId="1" applyFont="1" applyAlignment="1" applyProtection="1">
      <alignment vertical="center" readingOrder="2"/>
      <protection hidden="1"/>
    </xf>
    <xf numFmtId="0" fontId="9" fillId="15" borderId="155" xfId="1" applyFont="1" applyFill="1" applyBorder="1" applyAlignment="1">
      <alignment horizontal="center" vertical="center" wrapText="1" readingOrder="2"/>
    </xf>
    <xf numFmtId="0" fontId="122" fillId="0" borderId="0" xfId="1" applyFont="1" applyAlignment="1" applyProtection="1">
      <alignment vertical="center"/>
      <protection locked="0"/>
    </xf>
    <xf numFmtId="0" fontId="122" fillId="0" borderId="0" xfId="1" applyFont="1" applyProtection="1">
      <protection locked="0"/>
    </xf>
    <xf numFmtId="166" fontId="122" fillId="0" borderId="0" xfId="1" applyNumberFormat="1" applyFont="1" applyAlignment="1" applyProtection="1">
      <alignment vertical="center"/>
      <protection locked="0"/>
    </xf>
    <xf numFmtId="0" fontId="123" fillId="0" borderId="0" xfId="1" applyFont="1" applyAlignment="1" applyProtection="1">
      <alignment vertical="center"/>
      <protection locked="0"/>
    </xf>
    <xf numFmtId="3" fontId="8" fillId="0" borderId="161" xfId="1" applyNumberFormat="1" applyFont="1" applyBorder="1" applyAlignment="1" applyProtection="1">
      <alignment horizontal="center" vertical="center" readingOrder="2"/>
      <protection locked="0"/>
    </xf>
    <xf numFmtId="0" fontId="8" fillId="4" borderId="159" xfId="1" applyFont="1" applyFill="1" applyBorder="1" applyAlignment="1" applyProtection="1">
      <alignment horizontal="right" vertical="center" readingOrder="2"/>
      <protection hidden="1"/>
    </xf>
    <xf numFmtId="0" fontId="9" fillId="4" borderId="157" xfId="1" applyFont="1" applyFill="1" applyBorder="1" applyAlignment="1">
      <alignment horizontal="centerContinuous" vertical="center" wrapText="1" readingOrder="2"/>
    </xf>
    <xf numFmtId="0" fontId="9" fillId="4" borderId="165" xfId="1" applyFont="1" applyFill="1" applyBorder="1" applyAlignment="1">
      <alignment horizontal="centerContinuous" vertical="center" wrapText="1" readingOrder="2"/>
    </xf>
    <xf numFmtId="0" fontId="9" fillId="4" borderId="158" xfId="1" applyFont="1" applyFill="1" applyBorder="1" applyAlignment="1">
      <alignment horizontal="centerContinuous" vertical="center" wrapText="1" readingOrder="2"/>
    </xf>
    <xf numFmtId="166" fontId="8" fillId="4" borderId="306" xfId="1" applyNumberFormat="1" applyFont="1" applyFill="1" applyBorder="1" applyAlignment="1">
      <alignment horizontal="center" vertical="center" wrapText="1" readingOrder="1"/>
    </xf>
    <xf numFmtId="166" fontId="8" fillId="4" borderId="309" xfId="1" applyNumberFormat="1" applyFont="1" applyFill="1" applyBorder="1" applyAlignment="1">
      <alignment horizontal="center" vertical="center" wrapText="1" readingOrder="1"/>
    </xf>
    <xf numFmtId="166" fontId="8" fillId="4" borderId="306" xfId="1" applyNumberFormat="1" applyFont="1" applyFill="1" applyBorder="1" applyAlignment="1" applyProtection="1">
      <alignment horizontal="center" vertical="center" wrapText="1" readingOrder="1"/>
      <protection locked="0"/>
    </xf>
    <xf numFmtId="166" fontId="8" fillId="4" borderId="309" xfId="1" applyNumberFormat="1" applyFont="1" applyFill="1" applyBorder="1" applyAlignment="1" applyProtection="1">
      <alignment horizontal="center" vertical="center" wrapText="1" readingOrder="1"/>
      <protection locked="0"/>
    </xf>
    <xf numFmtId="3" fontId="9" fillId="4" borderId="67" xfId="1" applyNumberFormat="1" applyFont="1" applyFill="1" applyBorder="1" applyAlignment="1">
      <alignment horizontal="center" vertical="center" readingOrder="2"/>
    </xf>
    <xf numFmtId="3" fontId="9" fillId="4" borderId="62" xfId="1" applyNumberFormat="1" applyFont="1" applyFill="1" applyBorder="1" applyAlignment="1">
      <alignment horizontal="center" vertical="center" readingOrder="2"/>
    </xf>
    <xf numFmtId="166" fontId="8" fillId="4" borderId="145" xfId="1" applyNumberFormat="1" applyFont="1" applyFill="1" applyBorder="1" applyAlignment="1">
      <alignment horizontal="center" vertical="center" wrapText="1" readingOrder="2"/>
    </xf>
    <xf numFmtId="166" fontId="8" fillId="4" borderId="117" xfId="1" applyNumberFormat="1" applyFont="1" applyFill="1" applyBorder="1" applyAlignment="1">
      <alignment horizontal="center" vertical="center" wrapText="1" readingOrder="2"/>
    </xf>
    <xf numFmtId="0" fontId="16" fillId="0" borderId="1" xfId="1" applyFont="1" applyBorder="1" applyAlignment="1">
      <alignment readingOrder="2"/>
    </xf>
    <xf numFmtId="0" fontId="4" fillId="0" borderId="0" xfId="1" applyFont="1" applyAlignment="1">
      <alignment horizontal="right" wrapText="1" readingOrder="2"/>
    </xf>
    <xf numFmtId="0" fontId="8" fillId="4" borderId="3" xfId="1" applyFont="1" applyFill="1" applyBorder="1" applyAlignment="1">
      <alignment horizontal="right" vertical="center" wrapText="1" indent="1" readingOrder="2"/>
    </xf>
    <xf numFmtId="166" fontId="8" fillId="4" borderId="100" xfId="1" applyNumberFormat="1" applyFont="1" applyFill="1" applyBorder="1" applyAlignment="1">
      <alignment horizontal="center" vertical="center" wrapText="1" readingOrder="2"/>
    </xf>
    <xf numFmtId="166" fontId="8" fillId="4" borderId="7" xfId="1" applyNumberFormat="1" applyFont="1" applyFill="1" applyBorder="1" applyAlignment="1">
      <alignment horizontal="center" vertical="center" wrapText="1" readingOrder="2"/>
    </xf>
    <xf numFmtId="166" fontId="8" fillId="4" borderId="8" xfId="1" applyNumberFormat="1" applyFont="1" applyFill="1" applyBorder="1" applyAlignment="1">
      <alignment horizontal="center" vertical="center" wrapText="1" readingOrder="2"/>
    </xf>
    <xf numFmtId="166" fontId="10" fillId="4" borderId="8" xfId="1" applyNumberFormat="1" applyFont="1" applyFill="1" applyBorder="1" applyAlignment="1">
      <alignment horizontal="center" vertical="center" wrapText="1" readingOrder="2"/>
    </xf>
    <xf numFmtId="0" fontId="12" fillId="4" borderId="76" xfId="1" applyFont="1" applyFill="1" applyBorder="1" applyAlignment="1">
      <alignment horizontal="right" vertical="center" wrapText="1" indent="1" readingOrder="2"/>
    </xf>
    <xf numFmtId="166" fontId="9" fillId="4" borderId="182" xfId="1" applyNumberFormat="1" applyFont="1" applyFill="1" applyBorder="1" applyAlignment="1">
      <alignment horizontal="center" vertical="center" wrapText="1" readingOrder="2"/>
    </xf>
    <xf numFmtId="166" fontId="9" fillId="4" borderId="70" xfId="1" applyNumberFormat="1" applyFont="1" applyFill="1" applyBorder="1" applyAlignment="1">
      <alignment horizontal="center" vertical="center" wrapText="1" readingOrder="2"/>
    </xf>
    <xf numFmtId="166" fontId="9" fillId="4" borderId="71" xfId="1" applyNumberFormat="1" applyFont="1" applyFill="1" applyBorder="1" applyAlignment="1">
      <alignment horizontal="center" vertical="center" wrapText="1" readingOrder="2"/>
    </xf>
    <xf numFmtId="166" fontId="10" fillId="4" borderId="71" xfId="1" applyNumberFormat="1" applyFont="1" applyFill="1" applyBorder="1" applyAlignment="1">
      <alignment horizontal="center" vertical="center" wrapText="1" readingOrder="2"/>
    </xf>
    <xf numFmtId="0" fontId="8" fillId="4" borderId="77" xfId="1" applyFont="1" applyFill="1" applyBorder="1" applyAlignment="1">
      <alignment horizontal="right" vertical="center" wrapText="1" indent="1" readingOrder="2"/>
    </xf>
    <xf numFmtId="166" fontId="8" fillId="4" borderId="75" xfId="1" applyNumberFormat="1" applyFont="1" applyFill="1" applyBorder="1" applyAlignment="1">
      <alignment horizontal="center" vertical="center" wrapText="1" readingOrder="2"/>
    </xf>
    <xf numFmtId="166" fontId="8" fillId="4" borderId="13" xfId="1" applyNumberFormat="1" applyFont="1" applyFill="1" applyBorder="1" applyAlignment="1">
      <alignment horizontal="center" vertical="center" wrapText="1" readingOrder="2"/>
    </xf>
    <xf numFmtId="166" fontId="8" fillId="4" borderId="14" xfId="1" applyNumberFormat="1" applyFont="1" applyFill="1" applyBorder="1" applyAlignment="1">
      <alignment horizontal="center" vertical="center" wrapText="1" readingOrder="2"/>
    </xf>
    <xf numFmtId="166" fontId="10" fillId="4" borderId="14" xfId="1" applyNumberFormat="1" applyFont="1" applyFill="1" applyBorder="1" applyAlignment="1">
      <alignment horizontal="center" vertical="center" wrapText="1" readingOrder="2"/>
    </xf>
    <xf numFmtId="0" fontId="12" fillId="4" borderId="93" xfId="1" applyFont="1" applyFill="1" applyBorder="1" applyAlignment="1">
      <alignment horizontal="right" vertical="center" wrapText="1" readingOrder="2"/>
    </xf>
    <xf numFmtId="166" fontId="9" fillId="4" borderId="19" xfId="1" applyNumberFormat="1" applyFont="1" applyFill="1" applyBorder="1" applyAlignment="1">
      <alignment horizontal="center" vertical="center" wrapText="1" readingOrder="2"/>
    </xf>
    <xf numFmtId="166" fontId="9" fillId="4" borderId="66" xfId="1" applyNumberFormat="1" applyFont="1" applyFill="1" applyBorder="1" applyAlignment="1">
      <alignment horizontal="center" vertical="center" wrapText="1" readingOrder="2"/>
    </xf>
    <xf numFmtId="0" fontId="3" fillId="0" borderId="0" xfId="1" applyFont="1" applyAlignment="1">
      <alignment horizontal="right" vertical="top" wrapText="1" readingOrder="2"/>
    </xf>
    <xf numFmtId="3" fontId="3" fillId="0" borderId="0" xfId="1" applyNumberFormat="1" applyFont="1" applyAlignment="1">
      <alignment horizontal="center" vertical="center" wrapText="1" readingOrder="2"/>
    </xf>
    <xf numFmtId="0" fontId="3" fillId="0" borderId="0" xfId="1" applyFont="1"/>
    <xf numFmtId="0" fontId="78" fillId="0" borderId="0" xfId="0" applyFont="1"/>
    <xf numFmtId="0" fontId="15" fillId="0" borderId="0" xfId="1" applyFont="1" applyAlignment="1">
      <alignment horizontal="right" vertical="top" readingOrder="2"/>
    </xf>
    <xf numFmtId="0" fontId="119" fillId="0" borderId="0" xfId="0" applyFont="1"/>
    <xf numFmtId="0" fontId="64" fillId="0" borderId="0" xfId="0" applyFont="1"/>
    <xf numFmtId="0" fontId="9" fillId="0" borderId="1" xfId="1" applyFont="1" applyBorder="1" applyAlignment="1">
      <alignment vertical="top" wrapText="1" readingOrder="2"/>
    </xf>
    <xf numFmtId="0" fontId="8" fillId="4" borderId="3" xfId="1" applyFont="1" applyFill="1" applyBorder="1" applyAlignment="1">
      <alignment horizontal="right" vertical="center" wrapText="1" readingOrder="2"/>
    </xf>
    <xf numFmtId="0" fontId="12" fillId="4" borderId="171" xfId="1" applyFont="1" applyFill="1" applyBorder="1" applyAlignment="1">
      <alignment horizontal="right" vertical="center" wrapText="1" readingOrder="2"/>
    </xf>
    <xf numFmtId="166" fontId="9" fillId="4" borderId="170" xfId="1" applyNumberFormat="1" applyFont="1" applyFill="1" applyBorder="1" applyAlignment="1">
      <alignment horizontal="center" vertical="center" wrapText="1" readingOrder="2"/>
    </xf>
    <xf numFmtId="166" fontId="9" fillId="4" borderId="139" xfId="1" applyNumberFormat="1" applyFont="1" applyFill="1" applyBorder="1" applyAlignment="1">
      <alignment horizontal="center" vertical="center" wrapText="1" readingOrder="2"/>
    </xf>
    <xf numFmtId="166" fontId="9" fillId="4" borderId="140" xfId="1" applyNumberFormat="1" applyFont="1" applyFill="1" applyBorder="1" applyAlignment="1">
      <alignment horizontal="center" vertical="center" wrapText="1" readingOrder="2"/>
    </xf>
    <xf numFmtId="166" fontId="10" fillId="4" borderId="140" xfId="1" applyNumberFormat="1" applyFont="1" applyFill="1" applyBorder="1" applyAlignment="1">
      <alignment horizontal="center" vertical="center" wrapText="1" readingOrder="2"/>
    </xf>
    <xf numFmtId="0" fontId="12" fillId="4" borderId="136" xfId="1" applyFont="1" applyFill="1" applyBorder="1" applyAlignment="1">
      <alignment horizontal="right" vertical="center" wrapText="1" readingOrder="2"/>
    </xf>
    <xf numFmtId="166" fontId="8" fillId="4" borderId="109" xfId="1" applyNumberFormat="1" applyFont="1" applyFill="1" applyBorder="1" applyAlignment="1">
      <alignment horizontal="center" vertical="center" wrapText="1" readingOrder="2"/>
    </xf>
    <xf numFmtId="166" fontId="8" fillId="4" borderId="96" xfId="1" applyNumberFormat="1" applyFont="1" applyFill="1" applyBorder="1" applyAlignment="1">
      <alignment horizontal="center" vertical="center" wrapText="1" readingOrder="2"/>
    </xf>
    <xf numFmtId="166" fontId="8" fillId="4" borderId="97" xfId="1" applyNumberFormat="1" applyFont="1" applyFill="1" applyBorder="1" applyAlignment="1">
      <alignment horizontal="center" vertical="center" wrapText="1" readingOrder="2"/>
    </xf>
    <xf numFmtId="166" fontId="10" fillId="4" borderId="97" xfId="1" applyNumberFormat="1" applyFont="1" applyFill="1" applyBorder="1" applyAlignment="1">
      <alignment horizontal="center" vertical="center" wrapText="1" readingOrder="2"/>
    </xf>
    <xf numFmtId="0" fontId="12" fillId="4" borderId="76" xfId="1" applyFont="1" applyFill="1" applyBorder="1" applyAlignment="1">
      <alignment horizontal="right" vertical="center" wrapText="1" readingOrder="2"/>
    </xf>
    <xf numFmtId="166" fontId="9" fillId="4" borderId="181" xfId="1" applyNumberFormat="1" applyFont="1" applyFill="1" applyBorder="1" applyAlignment="1">
      <alignment horizontal="center" vertical="center" wrapText="1" readingOrder="2"/>
    </xf>
    <xf numFmtId="0" fontId="8" fillId="0" borderId="0" xfId="1" applyFont="1" applyAlignment="1">
      <alignment horizontal="left" vertical="center" readingOrder="2"/>
    </xf>
    <xf numFmtId="0" fontId="8" fillId="0" borderId="0" xfId="1" applyFont="1" applyAlignment="1">
      <alignment vertical="center" readingOrder="2"/>
    </xf>
    <xf numFmtId="0" fontId="13" fillId="0" borderId="0" xfId="1" applyFont="1" applyAlignment="1">
      <alignment vertical="center" wrapText="1" readingOrder="2"/>
    </xf>
    <xf numFmtId="0" fontId="4" fillId="0" borderId="0" xfId="1" applyFont="1" applyAlignment="1">
      <alignment horizontal="right" vertical="top" wrapText="1" readingOrder="2"/>
    </xf>
    <xf numFmtId="0" fontId="15" fillId="0" borderId="0" xfId="1" applyFont="1" applyAlignment="1" applyProtection="1">
      <alignment horizontal="right" vertical="top" readingOrder="2"/>
      <protection hidden="1"/>
    </xf>
    <xf numFmtId="166" fontId="4" fillId="0" borderId="0" xfId="1" applyNumberFormat="1" applyFont="1" applyProtection="1">
      <protection hidden="1"/>
    </xf>
    <xf numFmtId="0" fontId="8" fillId="11" borderId="13" xfId="1" applyFont="1" applyFill="1" applyBorder="1" applyAlignment="1" applyProtection="1">
      <alignment horizontal="center" vertical="center" wrapText="1" readingOrder="2"/>
      <protection locked="0"/>
    </xf>
    <xf numFmtId="0" fontId="8" fillId="11" borderId="14" xfId="1" applyFont="1" applyFill="1" applyBorder="1" applyAlignment="1" applyProtection="1">
      <alignment horizontal="center" vertical="center" wrapText="1" readingOrder="2"/>
      <protection locked="0"/>
    </xf>
    <xf numFmtId="0" fontId="4" fillId="0" borderId="0" xfId="1" applyFont="1" applyAlignment="1" applyProtection="1">
      <alignment horizontal="right" vertical="top" readingOrder="2"/>
      <protection hidden="1"/>
    </xf>
    <xf numFmtId="3" fontId="25" fillId="0" borderId="0" xfId="1" applyNumberFormat="1" applyFont="1" applyAlignment="1" applyProtection="1">
      <alignment vertical="center"/>
      <protection hidden="1"/>
    </xf>
    <xf numFmtId="0" fontId="59" fillId="4" borderId="76" xfId="1" applyFont="1" applyFill="1" applyBorder="1" applyAlignment="1">
      <alignment horizontal="right" vertical="center" wrapText="1" readingOrder="2"/>
    </xf>
    <xf numFmtId="0" fontId="13" fillId="4" borderId="3" xfId="1" applyFont="1" applyFill="1" applyBorder="1" applyAlignment="1">
      <alignment horizontal="right" vertical="center" wrapText="1" readingOrder="2"/>
    </xf>
    <xf numFmtId="0" fontId="59" fillId="4" borderId="3" xfId="1" applyFont="1" applyFill="1" applyBorder="1" applyAlignment="1">
      <alignment horizontal="right" vertical="center" wrapText="1" readingOrder="2"/>
    </xf>
    <xf numFmtId="0" fontId="62" fillId="4" borderId="171" xfId="1" applyFont="1" applyFill="1" applyBorder="1" applyAlignment="1">
      <alignment horizontal="right" vertical="center" wrapText="1" readingOrder="2"/>
    </xf>
    <xf numFmtId="165" fontId="9" fillId="0" borderId="0" xfId="1" applyNumberFormat="1" applyFont="1" applyAlignment="1" applyProtection="1">
      <alignment horizontal="right" vertical="top" readingOrder="2"/>
      <protection locked="0"/>
    </xf>
    <xf numFmtId="165" fontId="9" fillId="0" borderId="0" xfId="1" applyNumberFormat="1" applyFont="1" applyAlignment="1" applyProtection="1">
      <alignment horizontal="right" vertical="top" wrapText="1" readingOrder="2"/>
      <protection locked="0"/>
    </xf>
    <xf numFmtId="165" fontId="14" fillId="0" borderId="0" xfId="1" applyNumberFormat="1" applyFont="1" applyAlignment="1" applyProtection="1">
      <alignment horizontal="right" vertical="top" wrapText="1" readingOrder="2"/>
      <protection locked="0"/>
    </xf>
    <xf numFmtId="165" fontId="10" fillId="0" borderId="0" xfId="1" applyNumberFormat="1" applyFont="1" applyAlignment="1" applyProtection="1">
      <alignment horizontal="center" vertical="top" readingOrder="2"/>
      <protection locked="0"/>
    </xf>
    <xf numFmtId="0" fontId="36" fillId="11" borderId="93" xfId="3" applyFont="1" applyFill="1" applyBorder="1" applyAlignment="1" applyProtection="1">
      <alignment horizontal="centerContinuous" vertical="center"/>
      <protection locked="0"/>
    </xf>
    <xf numFmtId="0" fontId="36" fillId="11" borderId="61" xfId="3" applyFont="1" applyFill="1" applyBorder="1" applyAlignment="1" applyProtection="1">
      <alignment horizontal="centerContinuous" vertical="center"/>
      <protection locked="0"/>
    </xf>
    <xf numFmtId="0" fontId="36" fillId="11" borderId="62" xfId="3" applyFont="1" applyFill="1" applyBorder="1" applyAlignment="1" applyProtection="1">
      <alignment horizontal="centerContinuous" vertical="center"/>
      <protection locked="0"/>
    </xf>
    <xf numFmtId="0" fontId="36" fillId="11" borderId="19" xfId="3" applyFont="1" applyFill="1" applyBorder="1" applyAlignment="1" applyProtection="1">
      <alignment horizontal="centerContinuous" vertical="center" wrapText="1"/>
      <protection locked="0"/>
    </xf>
    <xf numFmtId="0" fontId="36" fillId="11" borderId="66" xfId="3" applyFont="1" applyFill="1" applyBorder="1" applyAlignment="1" applyProtection="1">
      <alignment horizontal="centerContinuous" vertical="center" wrapText="1"/>
      <protection locked="0"/>
    </xf>
    <xf numFmtId="0" fontId="36" fillId="11" borderId="67" xfId="3" applyFont="1" applyFill="1" applyBorder="1" applyAlignment="1" applyProtection="1">
      <alignment horizontal="centerContinuous" vertical="center" wrapText="1"/>
      <protection locked="0"/>
    </xf>
    <xf numFmtId="0" fontId="37" fillId="11" borderId="93" xfId="3" applyFont="1" applyFill="1" applyBorder="1" applyAlignment="1" applyProtection="1">
      <alignment horizontal="center" vertical="center"/>
      <protection locked="0"/>
    </xf>
    <xf numFmtId="0" fontId="36" fillId="11" borderId="81" xfId="3" applyFont="1" applyFill="1" applyBorder="1" applyAlignment="1" applyProtection="1">
      <alignment horizontal="center" vertical="center"/>
      <protection locked="0"/>
    </xf>
    <xf numFmtId="0" fontId="36" fillId="11" borderId="14" xfId="3" applyFont="1" applyFill="1" applyBorder="1" applyAlignment="1" applyProtection="1">
      <alignment horizontal="center" vertical="center"/>
      <protection locked="0"/>
    </xf>
    <xf numFmtId="0" fontId="36" fillId="11" borderId="48" xfId="3" applyFont="1" applyFill="1" applyBorder="1" applyAlignment="1" applyProtection="1">
      <alignment horizontal="center" vertical="center"/>
      <protection locked="0"/>
    </xf>
    <xf numFmtId="0" fontId="10" fillId="11" borderId="14" xfId="1" applyFont="1" applyFill="1" applyBorder="1" applyAlignment="1" applyProtection="1">
      <alignment horizontal="center" vertical="center" wrapText="1" readingOrder="2"/>
      <protection locked="0"/>
    </xf>
    <xf numFmtId="0" fontId="10" fillId="11" borderId="48" xfId="1" applyFont="1" applyFill="1" applyBorder="1" applyAlignment="1" applyProtection="1">
      <alignment horizontal="center" vertical="center" wrapText="1" readingOrder="2"/>
      <protection locked="0"/>
    </xf>
    <xf numFmtId="166" fontId="23" fillId="4" borderId="85" xfId="3" applyNumberFormat="1" applyFont="1" applyFill="1" applyBorder="1" applyAlignment="1" applyProtection="1">
      <alignment horizontal="center" vertical="center"/>
      <protection locked="0"/>
    </xf>
    <xf numFmtId="166" fontId="23" fillId="4" borderId="83" xfId="3" applyNumberFormat="1" applyFont="1" applyFill="1" applyBorder="1" applyAlignment="1" applyProtection="1">
      <alignment horizontal="center" vertical="center"/>
      <protection locked="0"/>
    </xf>
    <xf numFmtId="166" fontId="23" fillId="4" borderId="140" xfId="3" applyNumberFormat="1" applyFont="1" applyFill="1" applyBorder="1" applyAlignment="1" applyProtection="1">
      <alignment horizontal="center" vertical="center"/>
      <protection locked="0"/>
    </xf>
    <xf numFmtId="166" fontId="23" fillId="4" borderId="142" xfId="3" applyNumberFormat="1" applyFont="1" applyFill="1" applyBorder="1" applyAlignment="1" applyProtection="1">
      <alignment horizontal="center" vertical="center"/>
      <protection locked="0"/>
    </xf>
    <xf numFmtId="166" fontId="23" fillId="4" borderId="97" xfId="3" applyNumberFormat="1" applyFont="1" applyFill="1" applyBorder="1" applyAlignment="1" applyProtection="1">
      <alignment horizontal="center" vertical="center"/>
      <protection locked="0"/>
    </xf>
    <xf numFmtId="166" fontId="23" fillId="4" borderId="98" xfId="3" applyNumberFormat="1" applyFont="1" applyFill="1" applyBorder="1" applyAlignment="1" applyProtection="1">
      <alignment horizontal="center" vertical="center"/>
      <protection locked="0"/>
    </xf>
    <xf numFmtId="166" fontId="35" fillId="4" borderId="61" xfId="3" applyNumberFormat="1" applyFont="1" applyFill="1" applyBorder="1" applyAlignment="1" applyProtection="1">
      <alignment horizontal="center" vertical="center"/>
      <protection locked="0"/>
    </xf>
    <xf numFmtId="166" fontId="35" fillId="4" borderId="66" xfId="3" applyNumberFormat="1" applyFont="1" applyFill="1" applyBorder="1" applyAlignment="1" applyProtection="1">
      <alignment horizontal="center" vertical="center"/>
      <protection locked="0"/>
    </xf>
    <xf numFmtId="166" fontId="23" fillId="4" borderId="66" xfId="3" applyNumberFormat="1" applyFont="1" applyFill="1" applyBorder="1" applyAlignment="1" applyProtection="1">
      <alignment horizontal="center" vertical="center"/>
      <protection locked="0"/>
    </xf>
    <xf numFmtId="166" fontId="23" fillId="4" borderId="67" xfId="3" applyNumberFormat="1" applyFont="1" applyFill="1" applyBorder="1" applyAlignment="1" applyProtection="1">
      <alignment horizontal="center" vertical="center"/>
      <protection locked="0"/>
    </xf>
    <xf numFmtId="166" fontId="23" fillId="4" borderId="95" xfId="3" applyNumberFormat="1" applyFont="1" applyFill="1" applyBorder="1" applyAlignment="1" applyProtection="1">
      <alignment horizontal="center" vertical="center"/>
      <protection locked="0"/>
    </xf>
    <xf numFmtId="166" fontId="23" fillId="4" borderId="89" xfId="3" applyNumberFormat="1" applyFont="1" applyFill="1" applyBorder="1" applyAlignment="1" applyProtection="1">
      <alignment horizontal="center" vertical="center"/>
      <protection locked="0"/>
    </xf>
    <xf numFmtId="0" fontId="35" fillId="4" borderId="140" xfId="3" applyFont="1" applyFill="1" applyBorder="1" applyAlignment="1" applyProtection="1">
      <alignment horizontal="center" vertical="center"/>
      <protection locked="0"/>
    </xf>
    <xf numFmtId="166" fontId="35" fillId="4" borderId="171" xfId="3" applyNumberFormat="1" applyFont="1" applyFill="1" applyBorder="1" applyAlignment="1" applyProtection="1">
      <alignment horizontal="center" vertical="center"/>
      <protection locked="0"/>
    </xf>
    <xf numFmtId="166" fontId="35" fillId="4" borderId="140" xfId="3" applyNumberFormat="1" applyFont="1" applyFill="1" applyBorder="1" applyAlignment="1" applyProtection="1">
      <alignment horizontal="center" vertical="center"/>
      <protection locked="0"/>
    </xf>
    <xf numFmtId="0" fontId="119" fillId="0" borderId="0" xfId="0" applyFont="1" applyProtection="1">
      <protection hidden="1"/>
    </xf>
    <xf numFmtId="165" fontId="4" fillId="0" borderId="0" xfId="1" applyNumberFormat="1" applyFont="1" applyProtection="1">
      <protection hidden="1"/>
    </xf>
    <xf numFmtId="0" fontId="13" fillId="0" borderId="0" xfId="3" applyFont="1" applyAlignment="1" applyProtection="1">
      <alignment horizontal="center" vertical="center"/>
      <protection hidden="1"/>
    </xf>
    <xf numFmtId="166" fontId="13" fillId="0" borderId="0" xfId="3" applyNumberFormat="1" applyFont="1" applyAlignment="1" applyProtection="1">
      <alignment horizontal="center" vertical="center"/>
      <protection hidden="1"/>
    </xf>
    <xf numFmtId="0" fontId="35" fillId="4" borderId="67" xfId="3" applyFont="1" applyFill="1" applyBorder="1" applyAlignment="1" applyProtection="1">
      <alignment horizontal="centerContinuous" vertical="center"/>
      <protection locked="0"/>
    </xf>
    <xf numFmtId="0" fontId="35" fillId="4" borderId="66" xfId="3" applyFont="1" applyFill="1" applyBorder="1" applyAlignment="1" applyProtection="1">
      <alignment horizontal="centerContinuous" vertical="center"/>
      <protection locked="0"/>
    </xf>
    <xf numFmtId="0" fontId="35" fillId="4" borderId="174" xfId="3" applyFont="1" applyFill="1" applyBorder="1" applyAlignment="1" applyProtection="1">
      <alignment horizontal="centerContinuous" vertical="center"/>
      <protection locked="0"/>
    </xf>
    <xf numFmtId="0" fontId="35" fillId="4" borderId="61" xfId="3" applyFont="1" applyFill="1" applyBorder="1" applyAlignment="1" applyProtection="1">
      <alignment horizontal="centerContinuous" vertical="center"/>
      <protection locked="0"/>
    </xf>
    <xf numFmtId="0" fontId="35" fillId="4" borderId="142" xfId="3" applyFont="1" applyFill="1" applyBorder="1" applyAlignment="1" applyProtection="1">
      <alignment horizontal="center" vertical="center"/>
      <protection locked="0" hidden="1"/>
    </xf>
    <xf numFmtId="0" fontId="35" fillId="4" borderId="67" xfId="3" applyFont="1" applyFill="1" applyBorder="1" applyAlignment="1" applyProtection="1">
      <alignment horizontal="centerContinuous" vertical="center"/>
      <protection locked="0" hidden="1"/>
    </xf>
    <xf numFmtId="0" fontId="35" fillId="4" borderId="142" xfId="3" applyFont="1" applyFill="1" applyBorder="1" applyAlignment="1" applyProtection="1">
      <alignment horizontal="center" vertical="center"/>
      <protection hidden="1"/>
    </xf>
    <xf numFmtId="0" fontId="35" fillId="4" borderId="89" xfId="3" applyFont="1" applyFill="1" applyBorder="1" applyAlignment="1">
      <alignment horizontal="center" vertical="center"/>
    </xf>
    <xf numFmtId="166" fontId="35" fillId="4" borderId="139" xfId="3" applyNumberFormat="1" applyFont="1" applyFill="1" applyBorder="1" applyAlignment="1" applyProtection="1">
      <alignment horizontal="center" vertical="center"/>
      <protection hidden="1"/>
    </xf>
    <xf numFmtId="166" fontId="35" fillId="4" borderId="96" xfId="3" applyNumberFormat="1" applyFont="1" applyFill="1" applyBorder="1" applyAlignment="1" applyProtection="1">
      <alignment horizontal="center" vertical="center"/>
      <protection hidden="1"/>
    </xf>
    <xf numFmtId="166" fontId="35" fillId="4" borderId="88" xfId="3" applyNumberFormat="1" applyFont="1" applyFill="1" applyBorder="1" applyAlignment="1" applyProtection="1">
      <alignment horizontal="center" vertical="center"/>
      <protection hidden="1"/>
    </xf>
    <xf numFmtId="0" fontId="35" fillId="4" borderId="62" xfId="3" applyFont="1" applyFill="1" applyBorder="1" applyAlignment="1" applyProtection="1">
      <alignment horizontal="centerContinuous" vertical="center"/>
      <protection locked="0"/>
    </xf>
    <xf numFmtId="0" fontId="8" fillId="12" borderId="311" xfId="0" applyFont="1" applyFill="1" applyBorder="1" applyAlignment="1">
      <alignment horizontal="center" vertical="center" wrapText="1"/>
    </xf>
    <xf numFmtId="0" fontId="35" fillId="4" borderId="15" xfId="3" applyFont="1" applyFill="1" applyBorder="1" applyAlignment="1" applyProtection="1">
      <alignment horizontal="centerContinuous" vertical="center"/>
      <protection hidden="1"/>
    </xf>
    <xf numFmtId="0" fontId="9" fillId="15" borderId="62" xfId="1" applyFont="1" applyFill="1" applyBorder="1" applyAlignment="1">
      <alignment horizontal="center" vertical="center" wrapText="1" readingOrder="2"/>
    </xf>
    <xf numFmtId="0" fontId="35" fillId="4" borderId="83" xfId="22" applyFont="1" applyFill="1" applyBorder="1" applyAlignment="1" applyProtection="1">
      <alignment horizontal="center" vertical="center"/>
      <protection locked="0" hidden="1"/>
    </xf>
    <xf numFmtId="0" fontId="35" fillId="4" borderId="142" xfId="22" applyFont="1" applyFill="1" applyBorder="1" applyAlignment="1" applyProtection="1">
      <alignment horizontal="center" vertical="center"/>
      <protection locked="0" hidden="1"/>
    </xf>
    <xf numFmtId="165" fontId="9" fillId="0" borderId="0" xfId="1" applyNumberFormat="1" applyFont="1" applyAlignment="1">
      <alignment horizontal="right" vertical="top" readingOrder="2"/>
    </xf>
    <xf numFmtId="165" fontId="9" fillId="0" borderId="0" xfId="1" applyNumberFormat="1" applyFont="1" applyAlignment="1">
      <alignment horizontal="right" vertical="top" wrapText="1" readingOrder="2"/>
    </xf>
    <xf numFmtId="165" fontId="14" fillId="0" borderId="0" xfId="1" applyNumberFormat="1" applyFont="1" applyAlignment="1">
      <alignment horizontal="right" vertical="top" wrapText="1" readingOrder="2"/>
    </xf>
    <xf numFmtId="165" fontId="10" fillId="0" borderId="0" xfId="1" applyNumberFormat="1" applyFont="1" applyAlignment="1">
      <alignment horizontal="center" vertical="top" readingOrder="2"/>
    </xf>
    <xf numFmtId="0" fontId="36" fillId="11" borderId="93" xfId="3" applyFont="1" applyFill="1" applyBorder="1" applyAlignment="1">
      <alignment horizontal="centerContinuous" vertical="center"/>
    </xf>
    <xf numFmtId="0" fontId="36" fillId="11" borderId="61" xfId="3" applyFont="1" applyFill="1" applyBorder="1" applyAlignment="1">
      <alignment horizontal="centerContinuous" vertical="center"/>
    </xf>
    <xf numFmtId="0" fontId="36" fillId="11" borderId="62" xfId="3" applyFont="1" applyFill="1" applyBorder="1" applyAlignment="1">
      <alignment horizontal="centerContinuous" vertical="center"/>
    </xf>
    <xf numFmtId="0" fontId="36" fillId="11" borderId="19" xfId="3" applyFont="1" applyFill="1" applyBorder="1" applyAlignment="1">
      <alignment horizontal="centerContinuous" vertical="center" wrapText="1"/>
    </xf>
    <xf numFmtId="0" fontId="36" fillId="11" borderId="66" xfId="3" applyFont="1" applyFill="1" applyBorder="1" applyAlignment="1">
      <alignment horizontal="centerContinuous" vertical="center" wrapText="1"/>
    </xf>
    <xf numFmtId="0" fontId="36" fillId="11" borderId="67" xfId="3" applyFont="1" applyFill="1" applyBorder="1" applyAlignment="1">
      <alignment horizontal="centerContinuous" vertical="center" wrapText="1"/>
    </xf>
    <xf numFmtId="0" fontId="37" fillId="11" borderId="93" xfId="3" applyFont="1" applyFill="1" applyBorder="1" applyAlignment="1">
      <alignment horizontal="center" vertical="center"/>
    </xf>
    <xf numFmtId="0" fontId="36" fillId="11" borderId="81" xfId="3" applyFont="1" applyFill="1" applyBorder="1" applyAlignment="1">
      <alignment horizontal="center" vertical="center"/>
    </xf>
    <xf numFmtId="0" fontId="36" fillId="11" borderId="14" xfId="3" applyFont="1" applyFill="1" applyBorder="1" applyAlignment="1">
      <alignment horizontal="center" vertical="center"/>
    </xf>
    <xf numFmtId="0" fontId="36" fillId="11" borderId="48" xfId="3" applyFont="1" applyFill="1" applyBorder="1" applyAlignment="1">
      <alignment horizontal="center" vertical="center"/>
    </xf>
    <xf numFmtId="0" fontId="10" fillId="11" borderId="14" xfId="1" applyFont="1" applyFill="1" applyBorder="1" applyAlignment="1">
      <alignment horizontal="center" vertical="center" wrapText="1" readingOrder="2"/>
    </xf>
    <xf numFmtId="0" fontId="10" fillId="11" borderId="48" xfId="1" applyFont="1" applyFill="1" applyBorder="1" applyAlignment="1">
      <alignment horizontal="center" vertical="center" wrapText="1" readingOrder="2"/>
    </xf>
    <xf numFmtId="166" fontId="23" fillId="4" borderId="85" xfId="3" applyNumberFormat="1" applyFont="1" applyFill="1" applyBorder="1" applyAlignment="1">
      <alignment horizontal="center" vertical="center"/>
    </xf>
    <xf numFmtId="166" fontId="23" fillId="4" borderId="83" xfId="3" applyNumberFormat="1" applyFont="1" applyFill="1" applyBorder="1" applyAlignment="1">
      <alignment horizontal="center" vertical="center"/>
    </xf>
    <xf numFmtId="166" fontId="23" fillId="4" borderId="140" xfId="3" applyNumberFormat="1" applyFont="1" applyFill="1" applyBorder="1" applyAlignment="1">
      <alignment horizontal="center" vertical="center"/>
    </xf>
    <xf numFmtId="166" fontId="23" fillId="4" borderId="142" xfId="3" applyNumberFormat="1" applyFont="1" applyFill="1" applyBorder="1" applyAlignment="1">
      <alignment horizontal="center" vertical="center"/>
    </xf>
    <xf numFmtId="166" fontId="23" fillId="4" borderId="97" xfId="3" applyNumberFormat="1" applyFont="1" applyFill="1" applyBorder="1" applyAlignment="1">
      <alignment horizontal="center" vertical="center"/>
    </xf>
    <xf numFmtId="166" fontId="23" fillId="4" borderId="98" xfId="3" applyNumberFormat="1" applyFont="1" applyFill="1" applyBorder="1" applyAlignment="1">
      <alignment horizontal="center" vertical="center"/>
    </xf>
    <xf numFmtId="166" fontId="23" fillId="4" borderId="66" xfId="3" applyNumberFormat="1" applyFont="1" applyFill="1" applyBorder="1" applyAlignment="1">
      <alignment horizontal="center" vertical="center"/>
    </xf>
    <xf numFmtId="166" fontId="23" fillId="4" borderId="67" xfId="3" applyNumberFormat="1" applyFont="1" applyFill="1" applyBorder="1" applyAlignment="1">
      <alignment horizontal="center" vertical="center"/>
    </xf>
    <xf numFmtId="166" fontId="23" fillId="4" borderId="95" xfId="3" applyNumberFormat="1" applyFont="1" applyFill="1" applyBorder="1" applyAlignment="1">
      <alignment horizontal="center" vertical="center"/>
    </xf>
    <xf numFmtId="166" fontId="23" fillId="4" borderId="89" xfId="3" applyNumberFormat="1" applyFont="1" applyFill="1" applyBorder="1" applyAlignment="1">
      <alignment horizontal="center" vertical="center"/>
    </xf>
    <xf numFmtId="166" fontId="23" fillId="4" borderId="2" xfId="3" applyNumberFormat="1" applyFont="1" applyFill="1" applyBorder="1" applyAlignment="1">
      <alignment horizontal="center" vertical="center"/>
    </xf>
    <xf numFmtId="166" fontId="23" fillId="4" borderId="11" xfId="3" applyNumberFormat="1" applyFont="1" applyFill="1" applyBorder="1" applyAlignment="1">
      <alignment horizontal="center" vertical="center"/>
    </xf>
    <xf numFmtId="0" fontId="35" fillId="4" borderId="61" xfId="3" applyFont="1" applyFill="1" applyBorder="1" applyAlignment="1">
      <alignment horizontal="centerContinuous" vertical="center"/>
    </xf>
    <xf numFmtId="166" fontId="35" fillId="4" borderId="62" xfId="3" applyNumberFormat="1" applyFont="1" applyFill="1" applyBorder="1" applyAlignment="1">
      <alignment horizontal="center" vertical="center"/>
    </xf>
    <xf numFmtId="166" fontId="35" fillId="4" borderId="66" xfId="3" applyNumberFormat="1" applyFont="1" applyFill="1" applyBorder="1" applyAlignment="1">
      <alignment horizontal="center" vertical="center"/>
    </xf>
    <xf numFmtId="0" fontId="35" fillId="4" borderId="174" xfId="3" applyFont="1" applyFill="1" applyBorder="1" applyAlignment="1">
      <alignment horizontal="centerContinuous" vertical="center"/>
    </xf>
    <xf numFmtId="0" fontId="35" fillId="4" borderId="66" xfId="3" applyFont="1" applyFill="1" applyBorder="1" applyAlignment="1">
      <alignment horizontal="centerContinuous" vertical="center"/>
    </xf>
    <xf numFmtId="0" fontId="35" fillId="4" borderId="67" xfId="3" applyFont="1" applyFill="1" applyBorder="1" applyAlignment="1" applyProtection="1">
      <alignment horizontal="centerContinuous" vertical="center"/>
      <protection hidden="1"/>
    </xf>
    <xf numFmtId="166" fontId="35" fillId="4" borderId="63" xfId="3" applyNumberFormat="1" applyFont="1" applyFill="1" applyBorder="1" applyAlignment="1">
      <alignment horizontal="center" vertical="center"/>
    </xf>
    <xf numFmtId="166" fontId="35" fillId="4" borderId="85" xfId="3" applyNumberFormat="1" applyFont="1" applyFill="1" applyBorder="1" applyAlignment="1">
      <alignment horizontal="center" vertical="center"/>
    </xf>
    <xf numFmtId="0" fontId="35" fillId="4" borderId="152" xfId="3" applyFont="1" applyFill="1" applyBorder="1" applyAlignment="1">
      <alignment horizontal="centerContinuous" vertical="center"/>
    </xf>
    <xf numFmtId="0" fontId="35" fillId="4" borderId="140" xfId="3" applyFont="1" applyFill="1" applyBorder="1" applyAlignment="1">
      <alignment horizontal="center" vertical="center"/>
    </xf>
    <xf numFmtId="0" fontId="35" fillId="4" borderId="62" xfId="3" applyFont="1" applyFill="1" applyBorder="1" applyAlignment="1" applyProtection="1">
      <alignment horizontal="centerContinuous" vertical="center"/>
      <protection hidden="1"/>
    </xf>
    <xf numFmtId="0" fontId="35" fillId="4" borderId="93" xfId="3" applyFont="1" applyFill="1" applyBorder="1" applyAlignment="1" applyProtection="1">
      <alignment horizontal="centerContinuous" vertical="center"/>
      <protection locked="0"/>
    </xf>
    <xf numFmtId="0" fontId="35" fillId="4" borderId="93" xfId="3" applyFont="1" applyFill="1" applyBorder="1" applyAlignment="1">
      <alignment horizontal="centerContinuous" vertical="center"/>
    </xf>
    <xf numFmtId="0" fontId="35" fillId="4" borderId="151" xfId="3" applyFont="1" applyFill="1" applyBorder="1" applyAlignment="1">
      <alignment horizontal="centerContinuous" vertical="center"/>
    </xf>
    <xf numFmtId="0" fontId="2" fillId="0" borderId="0" xfId="2" applyProtection="1">
      <protection hidden="1"/>
    </xf>
    <xf numFmtId="0" fontId="9" fillId="0" borderId="0" xfId="2" applyFont="1" applyAlignment="1">
      <alignment vertical="center" wrapText="1"/>
    </xf>
    <xf numFmtId="0" fontId="10" fillId="0" borderId="1" xfId="2" applyFont="1" applyBorder="1"/>
    <xf numFmtId="0" fontId="128" fillId="0" borderId="1" xfId="2" applyFont="1" applyBorder="1" applyAlignment="1">
      <alignment horizontal="left" vertical="center"/>
    </xf>
    <xf numFmtId="0" fontId="9" fillId="11" borderId="84" xfId="2" applyFont="1" applyFill="1" applyBorder="1" applyAlignment="1">
      <alignment horizontal="centerContinuous" vertical="center" wrapText="1"/>
    </xf>
    <xf numFmtId="0" fontId="9" fillId="11" borderId="57" xfId="2" applyFont="1" applyFill="1" applyBorder="1" applyAlignment="1">
      <alignment horizontal="centerContinuous" vertical="center" wrapText="1"/>
    </xf>
    <xf numFmtId="0" fontId="9" fillId="11" borderId="63" xfId="2" applyFont="1" applyFill="1" applyBorder="1" applyAlignment="1">
      <alignment horizontal="centerContinuous" vertical="center" wrapText="1"/>
    </xf>
    <xf numFmtId="0" fontId="8" fillId="11" borderId="84" xfId="2" applyFont="1" applyFill="1" applyBorder="1" applyAlignment="1">
      <alignment horizontal="centerContinuous" vertical="center" wrapText="1"/>
    </xf>
    <xf numFmtId="0" fontId="8" fillId="11" borderId="57" xfId="2" applyFont="1" applyFill="1" applyBorder="1" applyAlignment="1">
      <alignment horizontal="centerContinuous" vertical="center" wrapText="1"/>
    </xf>
    <xf numFmtId="0" fontId="8" fillId="11" borderId="63" xfId="2" applyFont="1" applyFill="1" applyBorder="1" applyAlignment="1">
      <alignment horizontal="centerContinuous" vertical="center" wrapText="1"/>
    </xf>
    <xf numFmtId="0" fontId="8" fillId="4" borderId="129" xfId="2" applyFont="1" applyFill="1" applyBorder="1" applyAlignment="1">
      <alignment horizontal="right" vertical="center"/>
    </xf>
    <xf numFmtId="166" fontId="8" fillId="4" borderId="145" xfId="2" applyNumberFormat="1" applyFont="1" applyFill="1" applyBorder="1" applyAlignment="1">
      <alignment horizontal="center" vertical="center" wrapText="1"/>
    </xf>
    <xf numFmtId="0" fontId="8" fillId="4" borderId="42" xfId="2" applyFont="1" applyFill="1" applyBorder="1" applyAlignment="1">
      <alignment horizontal="right" vertical="center"/>
    </xf>
    <xf numFmtId="166" fontId="8" fillId="4" borderId="5" xfId="2" applyNumberFormat="1" applyFont="1" applyFill="1" applyBorder="1" applyAlignment="1">
      <alignment horizontal="center" vertical="center" wrapText="1"/>
    </xf>
    <xf numFmtId="0" fontId="8" fillId="4" borderId="36" xfId="2" applyFont="1" applyFill="1" applyBorder="1" applyAlignment="1">
      <alignment horizontal="center" vertical="center" wrapText="1"/>
    </xf>
    <xf numFmtId="0" fontId="8" fillId="4" borderId="43" xfId="2" applyFont="1" applyFill="1" applyBorder="1" applyAlignment="1">
      <alignment horizontal="right" vertical="center"/>
    </xf>
    <xf numFmtId="166" fontId="8" fillId="4" borderId="36" xfId="2" applyNumberFormat="1" applyFont="1" applyFill="1" applyBorder="1" applyAlignment="1">
      <alignment horizontal="center" vertical="center" wrapText="1"/>
    </xf>
    <xf numFmtId="0" fontId="8" fillId="4" borderId="44" xfId="2" applyFont="1" applyFill="1" applyBorder="1" applyAlignment="1">
      <alignment horizontal="right" vertical="center"/>
    </xf>
    <xf numFmtId="166" fontId="8" fillId="4" borderId="6" xfId="2" applyNumberFormat="1" applyFont="1" applyFill="1" applyBorder="1" applyAlignment="1">
      <alignment horizontal="center" vertical="center" wrapText="1"/>
    </xf>
    <xf numFmtId="166" fontId="8" fillId="4" borderId="116" xfId="2" applyNumberFormat="1" applyFont="1" applyFill="1" applyBorder="1" applyAlignment="1">
      <alignment horizontal="center" vertical="center" wrapText="1"/>
    </xf>
    <xf numFmtId="0" fontId="87" fillId="0" borderId="0" xfId="2" applyFont="1" applyProtection="1">
      <protection hidden="1"/>
    </xf>
    <xf numFmtId="166" fontId="8" fillId="4" borderId="114" xfId="2" applyNumberFormat="1" applyFont="1" applyFill="1" applyBorder="1" applyAlignment="1">
      <alignment horizontal="center" vertical="center" wrapText="1"/>
    </xf>
    <xf numFmtId="166" fontId="8" fillId="4" borderId="38" xfId="2" applyNumberFormat="1" applyFont="1" applyFill="1" applyBorder="1" applyAlignment="1">
      <alignment horizontal="center" vertical="center" wrapText="1"/>
    </xf>
    <xf numFmtId="166" fontId="8" fillId="4" borderId="40" xfId="2" applyNumberFormat="1" applyFont="1" applyFill="1" applyBorder="1" applyAlignment="1">
      <alignment horizontal="center" vertical="center" wrapText="1"/>
    </xf>
    <xf numFmtId="0" fontId="61" fillId="0" borderId="0" xfId="1" applyFont="1" applyAlignment="1" applyProtection="1">
      <alignment horizontal="centerContinuous" readingOrder="2"/>
      <protection locked="0"/>
    </xf>
    <xf numFmtId="0" fontId="13" fillId="0" borderId="1" xfId="1" applyFont="1" applyBorder="1" applyAlignment="1" applyProtection="1">
      <alignment vertical="center" wrapText="1" readingOrder="2"/>
      <protection locked="0"/>
    </xf>
    <xf numFmtId="0" fontId="128" fillId="0" borderId="0" xfId="1" applyFont="1" applyAlignment="1" applyProtection="1">
      <alignment horizontal="left" vertical="center" readingOrder="2"/>
      <protection locked="0"/>
    </xf>
    <xf numFmtId="3" fontId="8" fillId="0" borderId="190" xfId="1" applyNumberFormat="1" applyFont="1" applyBorder="1" applyAlignment="1" applyProtection="1">
      <alignment horizontal="center" vertical="center" readingOrder="2"/>
      <protection locked="0"/>
    </xf>
    <xf numFmtId="3" fontId="8" fillId="0" borderId="191" xfId="1" applyNumberFormat="1" applyFont="1" applyBorder="1" applyAlignment="1" applyProtection="1">
      <alignment horizontal="center" vertical="center" readingOrder="2"/>
      <protection locked="0"/>
    </xf>
    <xf numFmtId="3" fontId="8" fillId="0" borderId="193" xfId="1" applyNumberFormat="1" applyFont="1" applyBorder="1" applyAlignment="1" applyProtection="1">
      <alignment horizontal="center" vertical="center" readingOrder="2"/>
      <protection locked="0"/>
    </xf>
    <xf numFmtId="0" fontId="8" fillId="15" borderId="260" xfId="1" applyFont="1" applyFill="1" applyBorder="1" applyAlignment="1">
      <alignment horizontal="centerContinuous" vertical="center" wrapText="1" readingOrder="2"/>
    </xf>
    <xf numFmtId="0" fontId="8" fillId="15" borderId="266" xfId="1" applyFont="1" applyFill="1" applyBorder="1" applyAlignment="1">
      <alignment horizontal="center" vertical="center" wrapText="1" readingOrder="2"/>
    </xf>
    <xf numFmtId="3" fontId="8" fillId="4" borderId="117" xfId="1" applyNumberFormat="1" applyFont="1" applyFill="1" applyBorder="1" applyAlignment="1">
      <alignment horizontal="center" vertical="center" readingOrder="2"/>
    </xf>
    <xf numFmtId="3" fontId="8" fillId="4" borderId="22" xfId="1" applyNumberFormat="1" applyFont="1" applyFill="1" applyBorder="1" applyAlignment="1">
      <alignment horizontal="center" vertical="center" readingOrder="2"/>
    </xf>
    <xf numFmtId="3" fontId="8" fillId="4" borderId="25" xfId="1" applyNumberFormat="1" applyFont="1" applyFill="1" applyBorder="1" applyAlignment="1">
      <alignment horizontal="center" vertical="center" readingOrder="2"/>
    </xf>
    <xf numFmtId="3" fontId="8" fillId="4" borderId="4" xfId="1" applyNumberFormat="1" applyFont="1" applyFill="1" applyBorder="1" applyAlignment="1">
      <alignment horizontal="center" vertical="center" readingOrder="2"/>
    </xf>
    <xf numFmtId="3" fontId="8" fillId="4" borderId="41" xfId="1" applyNumberFormat="1" applyFont="1" applyFill="1" applyBorder="1" applyAlignment="1">
      <alignment horizontal="center" vertical="center" readingOrder="2"/>
    </xf>
    <xf numFmtId="3" fontId="8" fillId="4" borderId="270" xfId="1" applyNumberFormat="1" applyFont="1" applyFill="1" applyBorder="1" applyAlignment="1">
      <alignment horizontal="center" vertical="center" readingOrder="2"/>
    </xf>
    <xf numFmtId="3" fontId="8" fillId="4" borderId="55" xfId="1" applyNumberFormat="1" applyFont="1" applyFill="1" applyBorder="1" applyAlignment="1">
      <alignment horizontal="center" vertical="center" readingOrder="2"/>
    </xf>
    <xf numFmtId="3" fontId="8" fillId="4" borderId="62" xfId="1" applyNumberFormat="1" applyFont="1" applyFill="1" applyBorder="1" applyAlignment="1">
      <alignment horizontal="center" vertical="center"/>
    </xf>
    <xf numFmtId="3" fontId="8" fillId="4" borderId="19" xfId="1" applyNumberFormat="1" applyFont="1" applyFill="1" applyBorder="1" applyAlignment="1">
      <alignment horizontal="center" vertical="center"/>
    </xf>
    <xf numFmtId="3" fontId="8" fillId="4" borderId="67" xfId="1" applyNumberFormat="1" applyFont="1" applyFill="1" applyBorder="1" applyAlignment="1">
      <alignment horizontal="center" vertical="center"/>
    </xf>
    <xf numFmtId="3" fontId="8" fillId="4" borderId="272" xfId="1" applyNumberFormat="1" applyFont="1" applyFill="1" applyBorder="1" applyAlignment="1">
      <alignment horizontal="center" vertical="center"/>
    </xf>
    <xf numFmtId="3" fontId="8" fillId="4" borderId="174" xfId="1" applyNumberFormat="1" applyFont="1" applyFill="1" applyBorder="1" applyAlignment="1">
      <alignment horizontal="center" vertical="center"/>
    </xf>
    <xf numFmtId="3" fontId="8" fillId="4" borderId="155" xfId="1" applyNumberFormat="1" applyFont="1" applyFill="1" applyBorder="1" applyAlignment="1">
      <alignment horizontal="center" vertical="center" readingOrder="2"/>
    </xf>
    <xf numFmtId="3" fontId="8" fillId="4" borderId="62" xfId="1" applyNumberFormat="1" applyFont="1" applyFill="1" applyBorder="1" applyAlignment="1">
      <alignment horizontal="center" vertical="center" readingOrder="2"/>
    </xf>
    <xf numFmtId="3" fontId="8" fillId="4" borderId="34" xfId="1" applyNumberFormat="1" applyFont="1" applyFill="1" applyBorder="1" applyAlignment="1">
      <alignment horizontal="center" vertical="center" readingOrder="2"/>
    </xf>
    <xf numFmtId="3" fontId="8" fillId="4" borderId="32" xfId="1" applyNumberFormat="1" applyFont="1" applyFill="1" applyBorder="1" applyAlignment="1">
      <alignment horizontal="center" vertical="center" readingOrder="2"/>
    </xf>
    <xf numFmtId="3" fontId="8" fillId="4" borderId="179" xfId="1" applyNumberFormat="1" applyFont="1" applyFill="1" applyBorder="1" applyAlignment="1" applyProtection="1">
      <alignment horizontal="center" vertical="center" readingOrder="2"/>
      <protection hidden="1"/>
    </xf>
    <xf numFmtId="3" fontId="8" fillId="4" borderId="187" xfId="1" applyNumberFormat="1" applyFont="1" applyFill="1" applyBorder="1" applyAlignment="1" applyProtection="1">
      <alignment horizontal="center" vertical="center" readingOrder="2"/>
      <protection hidden="1"/>
    </xf>
    <xf numFmtId="3" fontId="8" fillId="4" borderId="267" xfId="1" applyNumberFormat="1" applyFont="1" applyFill="1" applyBorder="1" applyAlignment="1" applyProtection="1">
      <alignment horizontal="center" vertical="center" readingOrder="2"/>
      <protection hidden="1"/>
    </xf>
    <xf numFmtId="3" fontId="8" fillId="4" borderId="188" xfId="1" applyNumberFormat="1" applyFont="1" applyFill="1" applyBorder="1" applyAlignment="1" applyProtection="1">
      <alignment horizontal="center" vertical="center" readingOrder="2"/>
      <protection hidden="1"/>
    </xf>
    <xf numFmtId="3" fontId="8" fillId="4" borderId="189" xfId="1" applyNumberFormat="1" applyFont="1" applyFill="1" applyBorder="1" applyAlignment="1" applyProtection="1">
      <alignment horizontal="center" vertical="center" readingOrder="2"/>
      <protection hidden="1"/>
    </xf>
    <xf numFmtId="3" fontId="8" fillId="4" borderId="268" xfId="1" applyNumberFormat="1" applyFont="1" applyFill="1" applyBorder="1" applyAlignment="1" applyProtection="1">
      <alignment horizontal="center" vertical="center" readingOrder="2"/>
      <protection hidden="1"/>
    </xf>
    <xf numFmtId="3" fontId="8" fillId="4" borderId="189" xfId="1" applyNumberFormat="1" applyFont="1" applyFill="1" applyBorder="1" applyAlignment="1" applyProtection="1">
      <alignment horizontal="center" vertical="center"/>
      <protection hidden="1"/>
    </xf>
    <xf numFmtId="3" fontId="8" fillId="4" borderId="192" xfId="1" applyNumberFormat="1" applyFont="1" applyFill="1" applyBorder="1" applyAlignment="1" applyProtection="1">
      <alignment horizontal="center" vertical="center" readingOrder="2"/>
      <protection hidden="1"/>
    </xf>
    <xf numFmtId="3" fontId="8" fillId="4" borderId="194" xfId="1" applyNumberFormat="1" applyFont="1" applyFill="1" applyBorder="1" applyAlignment="1" applyProtection="1">
      <alignment horizontal="center" vertical="center" readingOrder="2"/>
      <protection hidden="1"/>
    </xf>
    <xf numFmtId="3" fontId="8" fillId="4" borderId="269" xfId="1" applyNumberFormat="1" applyFont="1" applyFill="1" applyBorder="1" applyAlignment="1" applyProtection="1">
      <alignment horizontal="center" vertical="center" readingOrder="2"/>
      <protection hidden="1"/>
    </xf>
    <xf numFmtId="3" fontId="8" fillId="4" borderId="145" xfId="1" applyNumberFormat="1" applyFont="1" applyFill="1" applyBorder="1" applyAlignment="1" applyProtection="1">
      <alignment horizontal="center" vertical="center" readingOrder="2"/>
      <protection hidden="1"/>
    </xf>
    <xf numFmtId="3" fontId="8" fillId="4" borderId="115" xfId="1" applyNumberFormat="1" applyFont="1" applyFill="1" applyBorder="1" applyAlignment="1" applyProtection="1">
      <alignment horizontal="center" vertical="center" readingOrder="2"/>
      <protection hidden="1"/>
    </xf>
    <xf numFmtId="3" fontId="8" fillId="4" borderId="216" xfId="1" applyNumberFormat="1" applyFont="1" applyFill="1" applyBorder="1" applyAlignment="1" applyProtection="1">
      <alignment horizontal="center" vertical="center" readingOrder="2"/>
      <protection hidden="1"/>
    </xf>
    <xf numFmtId="3" fontId="8" fillId="4" borderId="271" xfId="1" applyNumberFormat="1" applyFont="1" applyFill="1" applyBorder="1" applyAlignment="1" applyProtection="1">
      <alignment horizontal="center" vertical="center" readingOrder="2"/>
      <protection hidden="1"/>
    </xf>
    <xf numFmtId="0" fontId="9" fillId="0" borderId="0" xfId="1" applyFont="1" applyAlignment="1" applyProtection="1">
      <alignment horizontal="justify" vertical="center" wrapText="1" readingOrder="2"/>
      <protection locked="0"/>
    </xf>
    <xf numFmtId="166" fontId="8" fillId="0" borderId="190" xfId="1" applyNumberFormat="1" applyFont="1" applyBorder="1" applyAlignment="1" applyProtection="1">
      <alignment horizontal="center" vertical="center" wrapText="1" readingOrder="2"/>
      <protection locked="0"/>
    </xf>
    <xf numFmtId="0" fontId="9" fillId="4" borderId="153" xfId="1" applyFont="1" applyFill="1" applyBorder="1" applyAlignment="1">
      <alignment horizontal="center" vertical="center" wrapText="1" readingOrder="2"/>
    </xf>
    <xf numFmtId="166" fontId="9" fillId="4" borderId="15" xfId="1" applyNumberFormat="1" applyFont="1" applyFill="1" applyBorder="1" applyAlignment="1">
      <alignment horizontal="center" vertical="center" wrapText="1" readingOrder="2"/>
    </xf>
    <xf numFmtId="0" fontId="8" fillId="4" borderId="176" xfId="1" applyFont="1" applyFill="1" applyBorder="1" applyAlignment="1">
      <alignment horizontal="right" vertical="center" wrapText="1" readingOrder="2"/>
    </xf>
    <xf numFmtId="0" fontId="9" fillId="11" borderId="84" xfId="1" applyFont="1" applyFill="1" applyBorder="1" applyAlignment="1" applyProtection="1">
      <alignment horizontal="right" vertical="center" wrapText="1" readingOrder="2"/>
      <protection locked="0"/>
    </xf>
    <xf numFmtId="0" fontId="9" fillId="11" borderId="57" xfId="1" applyFont="1" applyFill="1" applyBorder="1" applyAlignment="1" applyProtection="1">
      <alignment vertical="center" wrapText="1" readingOrder="2"/>
      <protection locked="0"/>
    </xf>
    <xf numFmtId="0" fontId="9" fillId="11" borderId="63" xfId="1" applyFont="1" applyFill="1" applyBorder="1" applyAlignment="1" applyProtection="1">
      <alignment vertical="center" wrapText="1" readingOrder="2"/>
      <protection locked="0"/>
    </xf>
    <xf numFmtId="166" fontId="10" fillId="4" borderId="286" xfId="1" applyNumberFormat="1" applyFont="1" applyFill="1" applyBorder="1" applyAlignment="1" applyProtection="1">
      <alignment horizontal="center" vertical="center" readingOrder="2"/>
      <protection locked="0"/>
    </xf>
    <xf numFmtId="166" fontId="10" fillId="4" borderId="273" xfId="1" applyNumberFormat="1" applyFont="1" applyFill="1" applyBorder="1" applyAlignment="1" applyProtection="1">
      <alignment horizontal="center" vertical="center" readingOrder="2"/>
      <protection locked="0"/>
    </xf>
    <xf numFmtId="166" fontId="10" fillId="4" borderId="256" xfId="1" applyNumberFormat="1" applyFont="1" applyFill="1" applyBorder="1" applyAlignment="1" applyProtection="1">
      <alignment horizontal="center" vertical="center" readingOrder="2"/>
      <protection locked="0"/>
    </xf>
    <xf numFmtId="166" fontId="8" fillId="4" borderId="15" xfId="1" applyNumberFormat="1" applyFont="1" applyFill="1" applyBorder="1" applyAlignment="1" applyProtection="1">
      <alignment horizontal="center" vertical="center" readingOrder="2"/>
      <protection locked="0"/>
    </xf>
    <xf numFmtId="166" fontId="8" fillId="4" borderId="10" xfId="1" applyNumberFormat="1" applyFont="1" applyFill="1" applyBorder="1" applyAlignment="1" applyProtection="1">
      <alignment horizontal="center" vertical="center" readingOrder="2"/>
      <protection locked="0"/>
    </xf>
    <xf numFmtId="166" fontId="8" fillId="4" borderId="2" xfId="1" applyNumberFormat="1" applyFont="1" applyFill="1" applyBorder="1" applyAlignment="1" applyProtection="1">
      <alignment horizontal="center" vertical="center" readingOrder="2"/>
      <protection locked="0"/>
    </xf>
    <xf numFmtId="166" fontId="10" fillId="4" borderId="144" xfId="1" applyNumberFormat="1" applyFont="1" applyFill="1" applyBorder="1" applyAlignment="1" applyProtection="1">
      <alignment horizontal="center" vertical="center" readingOrder="2"/>
      <protection locked="0"/>
    </xf>
    <xf numFmtId="166" fontId="9" fillId="11" borderId="57" xfId="1" applyNumberFormat="1" applyFont="1" applyFill="1" applyBorder="1" applyAlignment="1" applyProtection="1">
      <alignment vertical="center" wrapText="1" readingOrder="2"/>
      <protection locked="0"/>
    </xf>
    <xf numFmtId="166" fontId="9" fillId="11" borderId="63" xfId="1" applyNumberFormat="1" applyFont="1" applyFill="1" applyBorder="1" applyAlignment="1" applyProtection="1">
      <alignment vertical="center" wrapText="1" readingOrder="2"/>
      <protection locked="0"/>
    </xf>
    <xf numFmtId="166" fontId="8" fillId="4" borderId="82" xfId="1" applyNumberFormat="1" applyFont="1" applyFill="1" applyBorder="1" applyAlignment="1" applyProtection="1">
      <alignment horizontal="center" vertical="center" readingOrder="2"/>
      <protection locked="0"/>
    </xf>
    <xf numFmtId="166" fontId="8" fillId="4" borderId="205" xfId="1" applyNumberFormat="1" applyFont="1" applyFill="1" applyBorder="1" applyAlignment="1" applyProtection="1">
      <alignment horizontal="center" vertical="center" readingOrder="2"/>
      <protection hidden="1"/>
    </xf>
    <xf numFmtId="166" fontId="8" fillId="4" borderId="179" xfId="1" applyNumberFormat="1" applyFont="1" applyFill="1" applyBorder="1" applyAlignment="1" applyProtection="1">
      <alignment horizontal="center" vertical="center" readingOrder="2"/>
      <protection hidden="1"/>
    </xf>
    <xf numFmtId="166" fontId="8" fillId="4" borderId="188" xfId="1" applyNumberFormat="1" applyFont="1" applyFill="1" applyBorder="1" applyAlignment="1" applyProtection="1">
      <alignment horizontal="center" vertical="center" readingOrder="2"/>
      <protection hidden="1"/>
    </xf>
    <xf numFmtId="0" fontId="8" fillId="4" borderId="179" xfId="1" applyFont="1" applyFill="1" applyBorder="1" applyAlignment="1" applyProtection="1">
      <alignment horizontal="right" vertical="center" wrapText="1" readingOrder="2"/>
      <protection hidden="1"/>
    </xf>
    <xf numFmtId="166" fontId="8" fillId="0" borderId="190" xfId="1" applyNumberFormat="1" applyFont="1" applyBorder="1" applyAlignment="1" applyProtection="1">
      <alignment horizontal="center" vertical="center" readingOrder="2"/>
      <protection locked="0"/>
    </xf>
    <xf numFmtId="0" fontId="8" fillId="4" borderId="299" xfId="1" applyFont="1" applyFill="1" applyBorder="1" applyAlignment="1" applyProtection="1">
      <alignment horizontal="right" vertical="center" wrapText="1" readingOrder="2"/>
      <protection hidden="1"/>
    </xf>
    <xf numFmtId="0" fontId="8" fillId="4" borderId="210" xfId="1" applyFont="1" applyFill="1" applyBorder="1" applyAlignment="1" applyProtection="1">
      <alignment horizontal="right" vertical="center" wrapText="1" readingOrder="2"/>
      <protection hidden="1"/>
    </xf>
    <xf numFmtId="0" fontId="9" fillId="4" borderId="153" xfId="1" applyFont="1" applyFill="1" applyBorder="1" applyAlignment="1" applyProtection="1">
      <alignment vertical="center" wrapText="1" readingOrder="2"/>
      <protection locked="0"/>
    </xf>
    <xf numFmtId="0" fontId="9" fillId="4" borderId="155" xfId="1" applyFont="1" applyFill="1" applyBorder="1" applyAlignment="1" applyProtection="1">
      <alignment vertical="center" wrapText="1" readingOrder="2"/>
      <protection locked="0"/>
    </xf>
    <xf numFmtId="166" fontId="8" fillId="4" borderId="62" xfId="1" applyNumberFormat="1" applyFont="1" applyFill="1" applyBorder="1" applyAlignment="1" applyProtection="1">
      <alignment horizontal="center" vertical="center" readingOrder="2"/>
      <protection locked="0"/>
    </xf>
    <xf numFmtId="166" fontId="8" fillId="4" borderId="174" xfId="1" applyNumberFormat="1" applyFont="1" applyFill="1" applyBorder="1" applyAlignment="1" applyProtection="1">
      <alignment horizontal="center" vertical="center" readingOrder="2"/>
      <protection locked="0"/>
    </xf>
    <xf numFmtId="166" fontId="8" fillId="4" borderId="66" xfId="1" applyNumberFormat="1" applyFont="1" applyFill="1" applyBorder="1" applyAlignment="1" applyProtection="1">
      <alignment horizontal="center" vertical="center" readingOrder="2"/>
      <protection locked="0"/>
    </xf>
    <xf numFmtId="166" fontId="10" fillId="4" borderId="169" xfId="1" applyNumberFormat="1" applyFont="1" applyFill="1" applyBorder="1" applyAlignment="1" applyProtection="1">
      <alignment horizontal="center" vertical="center" readingOrder="2"/>
      <protection locked="0"/>
    </xf>
    <xf numFmtId="0" fontId="9" fillId="4" borderId="153" xfId="1" applyFont="1" applyFill="1" applyBorder="1" applyAlignment="1" applyProtection="1">
      <alignment horizontal="right" vertical="center" wrapText="1" readingOrder="2"/>
      <protection locked="0"/>
    </xf>
    <xf numFmtId="0" fontId="8" fillId="4" borderId="324" xfId="1" applyFont="1" applyFill="1" applyBorder="1" applyAlignment="1" applyProtection="1">
      <alignment horizontal="right" vertical="center" wrapText="1" readingOrder="2"/>
      <protection hidden="1"/>
    </xf>
    <xf numFmtId="166" fontId="8" fillId="4" borderId="257" xfId="1" applyNumberFormat="1" applyFont="1" applyFill="1" applyBorder="1" applyAlignment="1" applyProtection="1">
      <alignment horizontal="center" vertical="center" readingOrder="2"/>
      <protection hidden="1"/>
    </xf>
    <xf numFmtId="166" fontId="8" fillId="4" borderId="258" xfId="1" applyNumberFormat="1" applyFont="1" applyFill="1" applyBorder="1" applyAlignment="1" applyProtection="1">
      <alignment horizontal="center" vertical="center" readingOrder="2"/>
      <protection hidden="1"/>
    </xf>
    <xf numFmtId="0" fontId="8" fillId="38" borderId="175" xfId="1" applyFont="1" applyFill="1" applyBorder="1" applyAlignment="1" applyProtection="1">
      <alignment horizontal="center" vertical="center" wrapText="1" readingOrder="2"/>
      <protection locked="0"/>
    </xf>
    <xf numFmtId="0" fontId="11" fillId="38" borderId="186" xfId="1" applyFont="1" applyFill="1" applyBorder="1" applyAlignment="1" applyProtection="1">
      <alignment horizontal="center" vertical="center" wrapText="1" readingOrder="2"/>
      <protection locked="0"/>
    </xf>
    <xf numFmtId="3" fontId="8" fillId="38" borderId="185" xfId="1" applyNumberFormat="1" applyFont="1" applyFill="1" applyBorder="1" applyAlignment="1" applyProtection="1">
      <alignment horizontal="center" vertical="center" wrapText="1" readingOrder="2"/>
      <protection locked="0"/>
    </xf>
    <xf numFmtId="3" fontId="11" fillId="38" borderId="195" xfId="1" applyNumberFormat="1" applyFont="1" applyFill="1" applyBorder="1" applyAlignment="1" applyProtection="1">
      <alignment horizontal="center" vertical="center" wrapText="1" readingOrder="2"/>
      <protection locked="0"/>
    </xf>
    <xf numFmtId="3" fontId="11" fillId="38" borderId="185" xfId="1" applyNumberFormat="1" applyFont="1" applyFill="1" applyBorder="1" applyAlignment="1" applyProtection="1">
      <alignment horizontal="center" vertical="center" wrapText="1" readingOrder="2"/>
      <protection locked="0"/>
    </xf>
    <xf numFmtId="3" fontId="10" fillId="38" borderId="176" xfId="1" applyNumberFormat="1" applyFont="1" applyFill="1" applyBorder="1" applyAlignment="1" applyProtection="1">
      <alignment horizontal="center" vertical="center" wrapText="1" readingOrder="2"/>
      <protection locked="0"/>
    </xf>
    <xf numFmtId="0" fontId="8" fillId="38" borderId="178" xfId="1" applyFont="1" applyFill="1" applyBorder="1" applyAlignment="1" applyProtection="1">
      <alignment horizontal="center" vertical="center" wrapText="1" readingOrder="2"/>
      <protection locked="0"/>
    </xf>
    <xf numFmtId="0" fontId="11" fillId="38" borderId="160" xfId="1" applyFont="1" applyFill="1" applyBorder="1" applyAlignment="1" applyProtection="1">
      <alignment horizontal="center" vertical="center" wrapText="1" readingOrder="2"/>
      <protection locked="0"/>
    </xf>
    <xf numFmtId="3" fontId="8" fillId="38" borderId="177" xfId="1" applyNumberFormat="1" applyFont="1" applyFill="1" applyBorder="1" applyAlignment="1" applyProtection="1">
      <alignment horizontal="center" vertical="center" wrapText="1" readingOrder="2"/>
      <protection locked="0"/>
    </xf>
    <xf numFmtId="3" fontId="11" fillId="38" borderId="197" xfId="1" applyNumberFormat="1" applyFont="1" applyFill="1" applyBorder="1" applyAlignment="1" applyProtection="1">
      <alignment horizontal="center" vertical="center" wrapText="1" readingOrder="2"/>
      <protection locked="0"/>
    </xf>
    <xf numFmtId="3" fontId="11" fillId="38" borderId="177" xfId="1" applyNumberFormat="1" applyFont="1" applyFill="1" applyBorder="1" applyAlignment="1" applyProtection="1">
      <alignment horizontal="center" vertical="center" wrapText="1" readingOrder="2"/>
      <protection locked="0"/>
    </xf>
    <xf numFmtId="3" fontId="10" fillId="38" borderId="159" xfId="1" applyNumberFormat="1" applyFont="1" applyFill="1" applyBorder="1" applyAlignment="1" applyProtection="1">
      <alignment horizontal="center" vertical="center" wrapText="1" readingOrder="2"/>
      <protection locked="0"/>
    </xf>
    <xf numFmtId="0" fontId="23" fillId="11" borderId="86" xfId="0" applyFont="1" applyFill="1" applyBorder="1" applyAlignment="1" applyProtection="1">
      <alignment horizontal="center" vertical="center"/>
      <protection locked="0"/>
    </xf>
    <xf numFmtId="0" fontId="23" fillId="11" borderId="138" xfId="0" applyFont="1" applyFill="1" applyBorder="1" applyAlignment="1" applyProtection="1">
      <alignment horizontal="center" vertical="center"/>
      <protection locked="0"/>
    </xf>
    <xf numFmtId="0" fontId="23" fillId="11" borderId="138" xfId="0" applyFont="1" applyFill="1" applyBorder="1" applyAlignment="1" applyProtection="1">
      <alignment horizontal="center" vertical="center" wrapText="1"/>
      <protection locked="0"/>
    </xf>
    <xf numFmtId="0" fontId="23" fillId="11" borderId="83" xfId="0" applyFont="1" applyFill="1" applyBorder="1" applyAlignment="1" applyProtection="1">
      <alignment horizontal="center" vertical="center"/>
      <protection locked="0"/>
    </xf>
    <xf numFmtId="0" fontId="43" fillId="0" borderId="142" xfId="0" applyFont="1" applyBorder="1" applyAlignment="1" applyProtection="1">
      <alignment horizontal="center"/>
      <protection locked="0"/>
    </xf>
    <xf numFmtId="0" fontId="37" fillId="0" borderId="10" xfId="0" applyFont="1" applyBorder="1" applyAlignment="1" applyProtection="1">
      <alignment horizontal="center" vertical="center" wrapText="1"/>
      <protection locked="0"/>
    </xf>
    <xf numFmtId="0" fontId="37" fillId="0" borderId="144" xfId="0" applyFont="1" applyBorder="1" applyAlignment="1" applyProtection="1">
      <alignment horizontal="center" vertical="center" wrapText="1"/>
      <protection locked="0"/>
    </xf>
    <xf numFmtId="0" fontId="37" fillId="0" borderId="144" xfId="0" applyFont="1" applyBorder="1" applyAlignment="1" applyProtection="1">
      <alignment horizontal="center" vertical="center"/>
      <protection locked="0"/>
    </xf>
    <xf numFmtId="0" fontId="43" fillId="0" borderId="11" xfId="0" applyFont="1" applyBorder="1" applyAlignment="1" applyProtection="1">
      <alignment horizontal="center"/>
      <protection locked="0"/>
    </xf>
    <xf numFmtId="0" fontId="72" fillId="10" borderId="0" xfId="0" applyFont="1" applyFill="1" applyProtection="1">
      <protection hidden="1"/>
    </xf>
    <xf numFmtId="3" fontId="35" fillId="4" borderId="89" xfId="1" applyNumberFormat="1" applyFont="1" applyFill="1" applyBorder="1" applyAlignment="1">
      <alignment horizontal="center" vertical="center"/>
    </xf>
    <xf numFmtId="3" fontId="35" fillId="4" borderId="142" xfId="1" applyNumberFormat="1" applyFont="1" applyFill="1" applyBorder="1" applyAlignment="1">
      <alignment horizontal="center" vertical="center"/>
    </xf>
    <xf numFmtId="3" fontId="8" fillId="4" borderId="95" xfId="1" applyNumberFormat="1" applyFont="1" applyFill="1" applyBorder="1" applyAlignment="1" applyProtection="1">
      <alignment horizontal="center" vertical="center" wrapText="1" readingOrder="2"/>
      <protection hidden="1"/>
    </xf>
    <xf numFmtId="3" fontId="8" fillId="4" borderId="140" xfId="1" applyNumberFormat="1" applyFont="1" applyFill="1" applyBorder="1" applyAlignment="1" applyProtection="1">
      <alignment horizontal="center" vertical="center" wrapText="1" readingOrder="2"/>
      <protection hidden="1"/>
    </xf>
    <xf numFmtId="0" fontId="8" fillId="4" borderId="95" xfId="1" applyFont="1" applyFill="1" applyBorder="1" applyAlignment="1" applyProtection="1">
      <alignment horizontal="center" vertical="center" wrapText="1" readingOrder="2"/>
      <protection hidden="1"/>
    </xf>
    <xf numFmtId="0" fontId="8" fillId="4" borderId="140" xfId="1" applyFont="1" applyFill="1" applyBorder="1" applyAlignment="1" applyProtection="1">
      <alignment horizontal="center" vertical="center" wrapText="1" readingOrder="2"/>
      <protection hidden="1"/>
    </xf>
    <xf numFmtId="0" fontId="138" fillId="0" borderId="145" xfId="0" applyFont="1" applyBorder="1" applyAlignment="1" applyProtection="1">
      <alignment horizontal="center" vertical="center" wrapText="1" readingOrder="2"/>
      <protection locked="0"/>
    </xf>
    <xf numFmtId="0" fontId="138" fillId="0" borderId="114" xfId="0" applyFont="1" applyBorder="1" applyAlignment="1" applyProtection="1">
      <alignment horizontal="center" vertical="center" wrapText="1" readingOrder="2"/>
      <protection locked="0"/>
    </xf>
    <xf numFmtId="0" fontId="138" fillId="4" borderId="115" xfId="0" applyFont="1" applyFill="1" applyBorder="1" applyAlignment="1">
      <alignment horizontal="center" vertical="center" wrapText="1" readingOrder="2"/>
    </xf>
    <xf numFmtId="0" fontId="138" fillId="0" borderId="145" xfId="0" applyFont="1" applyBorder="1" applyAlignment="1" applyProtection="1">
      <alignment horizontal="center" vertical="center"/>
      <protection locked="0"/>
    </xf>
    <xf numFmtId="3" fontId="23" fillId="0" borderId="216" xfId="0" applyNumberFormat="1" applyFont="1" applyBorder="1" applyAlignment="1" applyProtection="1">
      <alignment horizontal="center" vertical="center" wrapText="1" readingOrder="2"/>
      <protection locked="0"/>
    </xf>
    <xf numFmtId="0" fontId="8" fillId="0" borderId="1" xfId="1" applyFont="1" applyBorder="1" applyAlignment="1" applyProtection="1">
      <alignment vertical="center" wrapText="1" readingOrder="2"/>
      <protection locked="0"/>
    </xf>
    <xf numFmtId="0" fontId="128" fillId="0" borderId="1" xfId="1" applyFont="1" applyBorder="1" applyAlignment="1" applyProtection="1">
      <alignment horizontal="left" vertical="center" wrapText="1" readingOrder="2"/>
      <protection locked="0"/>
    </xf>
    <xf numFmtId="0" fontId="8" fillId="11" borderId="48" xfId="1" applyFont="1" applyFill="1" applyBorder="1" applyAlignment="1" applyProtection="1">
      <alignment horizontal="center" vertical="center" wrapText="1" readingOrder="2"/>
      <protection locked="0"/>
    </xf>
    <xf numFmtId="0" fontId="8" fillId="11" borderId="13" xfId="1" applyFont="1" applyFill="1" applyBorder="1" applyAlignment="1" applyProtection="1">
      <alignment horizontal="center" vertical="center" wrapText="1"/>
      <protection locked="0"/>
    </xf>
    <xf numFmtId="0" fontId="8" fillId="11" borderId="1" xfId="1" applyFont="1" applyFill="1" applyBorder="1" applyAlignment="1" applyProtection="1">
      <alignment horizontal="center" vertical="center" wrapText="1"/>
      <protection locked="0"/>
    </xf>
    <xf numFmtId="0" fontId="37" fillId="4" borderId="83" xfId="0" applyFont="1" applyFill="1" applyBorder="1" applyAlignment="1" applyProtection="1">
      <alignment horizontal="center" vertical="center"/>
      <protection locked="0"/>
    </xf>
    <xf numFmtId="0" fontId="37" fillId="4" borderId="201" xfId="0" applyFont="1" applyFill="1" applyBorder="1" applyAlignment="1" applyProtection="1">
      <alignment horizontal="center" vertical="center"/>
      <protection locked="0"/>
    </xf>
    <xf numFmtId="0" fontId="37" fillId="4" borderId="85" xfId="0" applyFont="1" applyFill="1" applyBorder="1" applyAlignment="1" applyProtection="1">
      <alignment horizontal="center" vertical="center"/>
      <protection locked="0"/>
    </xf>
    <xf numFmtId="0" fontId="37" fillId="4" borderId="142" xfId="0" applyFont="1" applyFill="1" applyBorder="1" applyAlignment="1" applyProtection="1">
      <alignment horizontal="center" vertical="center"/>
      <protection locked="0"/>
    </xf>
    <xf numFmtId="0" fontId="37" fillId="4" borderId="143" xfId="0" applyFont="1" applyFill="1" applyBorder="1" applyAlignment="1" applyProtection="1">
      <alignment horizontal="center" vertical="center"/>
      <protection locked="0"/>
    </xf>
    <xf numFmtId="0" fontId="37" fillId="4" borderId="140" xfId="0" applyFont="1" applyFill="1" applyBorder="1" applyAlignment="1" applyProtection="1">
      <alignment horizontal="center" vertical="center"/>
      <protection locked="0"/>
    </xf>
    <xf numFmtId="0" fontId="36" fillId="4" borderId="153" xfId="0" applyFont="1" applyFill="1" applyBorder="1" applyAlignment="1" applyProtection="1">
      <alignment horizontal="center" vertical="center"/>
      <protection locked="0"/>
    </xf>
    <xf numFmtId="0" fontId="36" fillId="4" borderId="82" xfId="0" applyFont="1" applyFill="1" applyBorder="1" applyAlignment="1" applyProtection="1">
      <alignment horizontal="center" vertical="center"/>
      <protection locked="0"/>
    </xf>
    <xf numFmtId="0" fontId="36" fillId="4" borderId="11" xfId="0" applyFont="1" applyFill="1" applyBorder="1" applyAlignment="1" applyProtection="1">
      <alignment horizontal="center" vertical="center"/>
      <protection locked="0"/>
    </xf>
    <xf numFmtId="0" fontId="129" fillId="0" borderId="0" xfId="0" applyFont="1" applyAlignment="1" applyProtection="1">
      <alignment horizontal="centerContinuous" vertical="center" wrapText="1" readingOrder="2"/>
      <protection locked="0"/>
    </xf>
    <xf numFmtId="0" fontId="35" fillId="11" borderId="77" xfId="0" applyFont="1" applyFill="1" applyBorder="1" applyAlignment="1" applyProtection="1">
      <alignment horizontal="center" vertical="center" textRotation="90" readingOrder="2"/>
      <protection locked="0"/>
    </xf>
    <xf numFmtId="0" fontId="35" fillId="11" borderId="2" xfId="0" applyFont="1" applyFill="1" applyBorder="1" applyAlignment="1" applyProtection="1">
      <alignment horizontal="center" vertical="center" textRotation="90" readingOrder="2"/>
      <protection locked="0"/>
    </xf>
    <xf numFmtId="0" fontId="35" fillId="11" borderId="11" xfId="0" applyFont="1" applyFill="1" applyBorder="1" applyAlignment="1" applyProtection="1">
      <alignment horizontal="center" vertical="center" textRotation="90" readingOrder="2"/>
      <protection locked="0"/>
    </xf>
    <xf numFmtId="0" fontId="35" fillId="11" borderId="10" xfId="0" applyFont="1" applyFill="1" applyBorder="1" applyAlignment="1" applyProtection="1">
      <alignment horizontal="center" vertical="center" textRotation="90" readingOrder="2"/>
      <protection locked="0"/>
    </xf>
    <xf numFmtId="0" fontId="36" fillId="4" borderId="123" xfId="0" applyFont="1" applyFill="1" applyBorder="1" applyAlignment="1" applyProtection="1">
      <alignment horizontal="center" vertical="center"/>
      <protection locked="0"/>
    </xf>
    <xf numFmtId="0" fontId="36" fillId="4" borderId="170" xfId="0" applyFont="1" applyFill="1" applyBorder="1" applyAlignment="1" applyProtection="1">
      <alignment horizontal="center" vertical="center"/>
      <protection locked="0"/>
    </xf>
    <xf numFmtId="0" fontId="36" fillId="4" borderId="93" xfId="0" applyFont="1" applyFill="1" applyBorder="1" applyAlignment="1" applyProtection="1">
      <alignment horizontal="center" vertical="center"/>
      <protection locked="0"/>
    </xf>
    <xf numFmtId="0" fontId="36" fillId="4" borderId="19" xfId="0" applyFont="1" applyFill="1" applyBorder="1" applyAlignment="1" applyProtection="1">
      <alignment horizontal="center" vertical="center"/>
      <protection locked="0"/>
    </xf>
    <xf numFmtId="0" fontId="36" fillId="4" borderId="66" xfId="0" applyFont="1" applyFill="1" applyBorder="1" applyAlignment="1" applyProtection="1">
      <alignment horizontal="center" vertical="center"/>
      <protection locked="0"/>
    </xf>
    <xf numFmtId="0" fontId="36" fillId="4" borderId="67" xfId="0" applyFont="1" applyFill="1" applyBorder="1" applyAlignment="1" applyProtection="1">
      <alignment horizontal="center" vertical="center"/>
      <protection locked="0"/>
    </xf>
    <xf numFmtId="0" fontId="36" fillId="4" borderId="155" xfId="0" applyFont="1" applyFill="1" applyBorder="1" applyAlignment="1" applyProtection="1">
      <alignment horizontal="center" vertical="center"/>
      <protection locked="0"/>
    </xf>
    <xf numFmtId="0" fontId="36" fillId="4" borderId="169" xfId="0" applyFont="1" applyFill="1" applyBorder="1" applyAlignment="1" applyProtection="1">
      <alignment horizontal="center" vertical="center"/>
      <protection locked="0"/>
    </xf>
    <xf numFmtId="3" fontId="35" fillId="11" borderId="13" xfId="8" applyNumberFormat="1" applyFont="1" applyFill="1" applyBorder="1" applyAlignment="1" applyProtection="1">
      <alignment horizontal="center" vertical="center" wrapText="1"/>
      <protection locked="0"/>
    </xf>
    <xf numFmtId="3" fontId="35" fillId="11" borderId="14" xfId="8" applyNumberFormat="1" applyFont="1" applyFill="1" applyBorder="1" applyAlignment="1" applyProtection="1">
      <alignment horizontal="center" vertical="center" wrapText="1"/>
      <protection locked="0"/>
    </xf>
    <xf numFmtId="3" fontId="35" fillId="11" borderId="215" xfId="8" applyNumberFormat="1" applyFont="1" applyFill="1" applyBorder="1" applyAlignment="1" applyProtection="1">
      <alignment horizontal="center" vertical="center" wrapText="1"/>
      <protection locked="0"/>
    </xf>
    <xf numFmtId="3" fontId="35" fillId="11" borderId="75" xfId="8" applyNumberFormat="1" applyFont="1" applyFill="1" applyBorder="1" applyAlignment="1" applyProtection="1">
      <alignment horizontal="center" vertical="center" wrapText="1"/>
      <protection locked="0"/>
    </xf>
    <xf numFmtId="3" fontId="35" fillId="11" borderId="48" xfId="8" applyNumberFormat="1" applyFont="1" applyFill="1" applyBorder="1" applyAlignment="1" applyProtection="1">
      <alignment horizontal="center" vertical="center" wrapText="1"/>
      <protection locked="0"/>
    </xf>
    <xf numFmtId="3" fontId="35" fillId="11" borderId="1" xfId="8" applyNumberFormat="1" applyFont="1" applyFill="1" applyBorder="1" applyAlignment="1" applyProtection="1">
      <alignment horizontal="center" vertical="center" wrapText="1"/>
      <protection locked="0"/>
    </xf>
    <xf numFmtId="3" fontId="30" fillId="4" borderId="173" xfId="8" applyNumberFormat="1" applyFont="1" applyFill="1" applyBorder="1" applyAlignment="1" applyProtection="1">
      <alignment horizontal="center" vertical="center" wrapText="1"/>
      <protection locked="0"/>
    </xf>
    <xf numFmtId="3" fontId="37" fillId="4" borderId="112" xfId="8" applyNumberFormat="1" applyFont="1" applyFill="1" applyBorder="1" applyAlignment="1" applyProtection="1">
      <alignment horizontal="center" vertical="center" wrapText="1"/>
      <protection locked="0"/>
    </xf>
    <xf numFmtId="3" fontId="37" fillId="4" borderId="91" xfId="8" applyNumberFormat="1" applyFont="1" applyFill="1" applyBorder="1" applyAlignment="1" applyProtection="1">
      <alignment horizontal="center" vertical="center" wrapText="1"/>
      <protection locked="0"/>
    </xf>
    <xf numFmtId="3" fontId="37" fillId="4" borderId="231" xfId="8" applyNumberFormat="1" applyFont="1" applyFill="1" applyBorder="1" applyAlignment="1" applyProtection="1">
      <alignment horizontal="center" vertical="center" wrapText="1"/>
      <protection locked="0"/>
    </xf>
    <xf numFmtId="3" fontId="37" fillId="4" borderId="232" xfId="8" applyNumberFormat="1" applyFont="1" applyFill="1" applyBorder="1" applyAlignment="1" applyProtection="1">
      <alignment horizontal="center" vertical="center" wrapText="1"/>
      <protection locked="0"/>
    </xf>
    <xf numFmtId="3" fontId="37" fillId="4" borderId="90" xfId="8" applyNumberFormat="1" applyFont="1" applyFill="1" applyBorder="1" applyAlignment="1" applyProtection="1">
      <alignment horizontal="center" vertical="center" wrapText="1"/>
      <protection locked="0"/>
    </xf>
    <xf numFmtId="3" fontId="30" fillId="4" borderId="225" xfId="8" applyNumberFormat="1" applyFont="1" applyFill="1" applyBorder="1" applyAlignment="1" applyProtection="1">
      <alignment horizontal="center" vertical="center" wrapText="1"/>
      <protection locked="0"/>
    </xf>
    <xf numFmtId="3" fontId="37" fillId="4" borderId="153" xfId="8" applyNumberFormat="1" applyFont="1" applyFill="1" applyBorder="1" applyAlignment="1" applyProtection="1">
      <alignment horizontal="center" vertical="center" wrapText="1"/>
      <protection locked="0"/>
    </xf>
    <xf numFmtId="3" fontId="37" fillId="4" borderId="152" xfId="8" applyNumberFormat="1" applyFont="1" applyFill="1" applyBorder="1" applyAlignment="1" applyProtection="1">
      <alignment horizontal="center" vertical="center" wrapText="1"/>
      <protection locked="0"/>
    </xf>
    <xf numFmtId="3" fontId="37" fillId="4" borderId="234" xfId="8" applyNumberFormat="1" applyFont="1" applyFill="1" applyBorder="1" applyAlignment="1" applyProtection="1">
      <alignment horizontal="center" vertical="center" wrapText="1"/>
      <protection locked="0"/>
    </xf>
    <xf numFmtId="3" fontId="37" fillId="4" borderId="235" xfId="8" applyNumberFormat="1" applyFont="1" applyFill="1" applyBorder="1" applyAlignment="1" applyProtection="1">
      <alignment horizontal="center" vertical="center" wrapText="1"/>
      <protection locked="0"/>
    </xf>
    <xf numFmtId="3" fontId="37" fillId="4" borderId="151" xfId="8" applyNumberFormat="1" applyFont="1" applyFill="1" applyBorder="1" applyAlignment="1" applyProtection="1">
      <alignment horizontal="center" vertical="center" wrapText="1"/>
      <protection locked="0"/>
    </xf>
    <xf numFmtId="3" fontId="30" fillId="4" borderId="138" xfId="8" applyNumberFormat="1" applyFont="1" applyFill="1" applyBorder="1" applyAlignment="1" applyProtection="1">
      <alignment horizontal="center" vertical="center" wrapText="1"/>
      <protection locked="0"/>
    </xf>
    <xf numFmtId="3" fontId="37" fillId="4" borderId="57" xfId="8" applyNumberFormat="1" applyFont="1" applyFill="1" applyBorder="1" applyAlignment="1" applyProtection="1">
      <alignment horizontal="center" vertical="center" wrapText="1"/>
      <protection locked="0"/>
    </xf>
    <xf numFmtId="3" fontId="37" fillId="4" borderId="237" xfId="8" applyNumberFormat="1" applyFont="1" applyFill="1" applyBorder="1" applyAlignment="1" applyProtection="1">
      <alignment horizontal="center" vertical="center" wrapText="1"/>
      <protection locked="0"/>
    </xf>
    <xf numFmtId="3" fontId="37" fillId="4" borderId="238" xfId="8" applyNumberFormat="1" applyFont="1" applyFill="1" applyBorder="1" applyAlignment="1" applyProtection="1">
      <alignment horizontal="center" vertical="center" wrapText="1"/>
      <protection locked="0"/>
    </xf>
    <xf numFmtId="3" fontId="37" fillId="4" borderId="123" xfId="8" applyNumberFormat="1" applyFont="1" applyFill="1" applyBorder="1" applyAlignment="1" applyProtection="1">
      <alignment horizontal="center" vertical="center" wrapText="1"/>
      <protection locked="0"/>
    </xf>
    <xf numFmtId="3" fontId="30" fillId="4" borderId="144" xfId="8" applyNumberFormat="1" applyFont="1" applyFill="1" applyBorder="1" applyAlignment="1" applyProtection="1">
      <alignment horizontal="center" vertical="center" wrapText="1"/>
      <protection locked="0"/>
    </xf>
    <xf numFmtId="3" fontId="36" fillId="4" borderId="138" xfId="8" applyNumberFormat="1" applyFont="1" applyFill="1" applyBorder="1" applyAlignment="1" applyProtection="1">
      <alignment horizontal="center" vertical="center" wrapText="1"/>
      <protection locked="0"/>
    </xf>
    <xf numFmtId="3" fontId="36" fillId="4" borderId="85" xfId="8" applyNumberFormat="1" applyFont="1" applyFill="1" applyBorder="1" applyAlignment="1" applyProtection="1">
      <alignment horizontal="center" vertical="center" wrapText="1"/>
      <protection locked="0"/>
    </xf>
    <xf numFmtId="3" fontId="9" fillId="4" borderId="123" xfId="8" applyNumberFormat="1" applyFont="1" applyFill="1" applyBorder="1" applyAlignment="1" applyProtection="1">
      <alignment horizontal="center" vertical="center" wrapText="1"/>
      <protection locked="0"/>
    </xf>
    <xf numFmtId="3" fontId="9" fillId="4" borderId="57" xfId="8" applyNumberFormat="1" applyFont="1" applyFill="1" applyBorder="1" applyAlignment="1" applyProtection="1">
      <alignment horizontal="center" vertical="center" wrapText="1"/>
      <protection locked="0"/>
    </xf>
    <xf numFmtId="3" fontId="9" fillId="4" borderId="237" xfId="8" applyNumberFormat="1" applyFont="1" applyFill="1" applyBorder="1" applyAlignment="1" applyProtection="1">
      <alignment horizontal="center" vertical="center" wrapText="1"/>
      <protection locked="0"/>
    </xf>
    <xf numFmtId="3" fontId="9" fillId="4" borderId="238" xfId="8" applyNumberFormat="1" applyFont="1" applyFill="1" applyBorder="1" applyAlignment="1" applyProtection="1">
      <alignment horizontal="center" vertical="center" wrapText="1"/>
      <protection locked="0"/>
    </xf>
    <xf numFmtId="3" fontId="36" fillId="4" borderId="123" xfId="8" applyNumberFormat="1" applyFont="1" applyFill="1" applyBorder="1" applyAlignment="1" applyProtection="1">
      <alignment horizontal="center" vertical="center" wrapText="1"/>
      <protection locked="0"/>
    </xf>
    <xf numFmtId="3" fontId="36" fillId="4" borderId="141" xfId="8" applyNumberFormat="1" applyFont="1" applyFill="1" applyBorder="1" applyAlignment="1" applyProtection="1">
      <alignment horizontal="center" vertical="center" wrapText="1"/>
      <protection locked="0"/>
    </xf>
    <xf numFmtId="3" fontId="36" fillId="4" borderId="240" xfId="8" applyNumberFormat="1" applyFont="1" applyFill="1" applyBorder="1" applyAlignment="1" applyProtection="1">
      <alignment horizontal="center" vertical="center" wrapText="1"/>
      <protection locked="0"/>
    </xf>
    <xf numFmtId="3" fontId="36" fillId="4" borderId="8" xfId="8" applyNumberFormat="1" applyFont="1" applyFill="1" applyBorder="1" applyAlignment="1" applyProtection="1">
      <alignment horizontal="center" vertical="center" wrapText="1"/>
      <protection locked="0"/>
    </xf>
    <xf numFmtId="3" fontId="36" fillId="4" borderId="134" xfId="8" applyNumberFormat="1" applyFont="1" applyFill="1" applyBorder="1" applyAlignment="1" applyProtection="1">
      <alignment horizontal="center" vertical="center" wrapText="1"/>
      <protection locked="0"/>
    </xf>
    <xf numFmtId="3" fontId="36" fillId="4" borderId="140" xfId="8" applyNumberFormat="1" applyFont="1" applyFill="1" applyBorder="1" applyAlignment="1" applyProtection="1">
      <alignment horizontal="center" vertical="center" wrapText="1"/>
      <protection locked="0"/>
    </xf>
    <xf numFmtId="3" fontId="36" fillId="4" borderId="0" xfId="8" applyNumberFormat="1" applyFont="1" applyFill="1" applyAlignment="1" applyProtection="1">
      <alignment horizontal="center" vertical="center" wrapText="1"/>
      <protection locked="0"/>
    </xf>
    <xf numFmtId="3" fontId="9" fillId="4" borderId="100" xfId="8" applyNumberFormat="1" applyFont="1" applyFill="1" applyBorder="1" applyAlignment="1" applyProtection="1">
      <alignment horizontal="center" vertical="center" wrapText="1"/>
      <protection locked="0"/>
    </xf>
    <xf numFmtId="3" fontId="9" fillId="4" borderId="0" xfId="8" applyNumberFormat="1" applyFont="1" applyFill="1" applyAlignment="1" applyProtection="1">
      <alignment horizontal="center" vertical="center" wrapText="1"/>
      <protection locked="0"/>
    </xf>
    <xf numFmtId="3" fontId="9" fillId="4" borderId="241" xfId="8" applyNumberFormat="1" applyFont="1" applyFill="1" applyBorder="1" applyAlignment="1" applyProtection="1">
      <alignment horizontal="center" vertical="center" wrapText="1"/>
      <protection locked="0"/>
    </xf>
    <xf numFmtId="3" fontId="9" fillId="4" borderId="242" xfId="8" applyNumberFormat="1" applyFont="1" applyFill="1" applyBorder="1" applyAlignment="1" applyProtection="1">
      <alignment horizontal="center" vertical="center" wrapText="1"/>
      <protection locked="0"/>
    </xf>
    <xf numFmtId="3" fontId="36" fillId="4" borderId="80" xfId="8" applyNumberFormat="1" applyFont="1" applyFill="1" applyBorder="1" applyAlignment="1" applyProtection="1">
      <alignment horizontal="center" vertical="center" wrapText="1"/>
      <protection locked="0"/>
    </xf>
    <xf numFmtId="3" fontId="36" fillId="4" borderId="100" xfId="8" applyNumberFormat="1" applyFont="1" applyFill="1" applyBorder="1" applyAlignment="1" applyProtection="1">
      <alignment horizontal="center" vertical="center" wrapText="1"/>
      <protection locked="0"/>
    </xf>
    <xf numFmtId="3" fontId="36" fillId="4" borderId="144" xfId="8" applyNumberFormat="1" applyFont="1" applyFill="1" applyBorder="1" applyAlignment="1" applyProtection="1">
      <alignment horizontal="center" vertical="center" wrapText="1"/>
      <protection locked="0"/>
    </xf>
    <xf numFmtId="3" fontId="36" fillId="4" borderId="243" xfId="8" applyNumberFormat="1" applyFont="1" applyFill="1" applyBorder="1" applyAlignment="1" applyProtection="1">
      <alignment horizontal="center" vertical="center" wrapText="1"/>
      <protection locked="0"/>
    </xf>
    <xf numFmtId="3" fontId="36" fillId="4" borderId="244" xfId="8" applyNumberFormat="1" applyFont="1" applyFill="1" applyBorder="1" applyAlignment="1" applyProtection="1">
      <alignment horizontal="center" vertical="center" wrapText="1"/>
      <protection locked="0"/>
    </xf>
    <xf numFmtId="3" fontId="36" fillId="4" borderId="245" xfId="8" applyNumberFormat="1" applyFont="1" applyFill="1" applyBorder="1" applyAlignment="1" applyProtection="1">
      <alignment horizontal="center" vertical="center" wrapText="1"/>
      <protection locked="0"/>
    </xf>
    <xf numFmtId="3" fontId="36" fillId="4" borderId="246" xfId="8" applyNumberFormat="1" applyFont="1" applyFill="1" applyBorder="1" applyAlignment="1" applyProtection="1">
      <alignment horizontal="center" vertical="center" wrapText="1"/>
      <protection locked="0"/>
    </xf>
    <xf numFmtId="3" fontId="36" fillId="4" borderId="247" xfId="8" applyNumberFormat="1" applyFont="1" applyFill="1" applyBorder="1" applyAlignment="1" applyProtection="1">
      <alignment horizontal="center" vertical="center" wrapText="1"/>
      <protection locked="0"/>
    </xf>
    <xf numFmtId="3" fontId="36" fillId="4" borderId="153" xfId="8" applyNumberFormat="1" applyFont="1" applyFill="1" applyBorder="1" applyAlignment="1" applyProtection="1">
      <alignment horizontal="center" vertical="center" wrapText="1"/>
      <protection locked="0"/>
    </xf>
    <xf numFmtId="3" fontId="35" fillId="11" borderId="2" xfId="0" applyNumberFormat="1" applyFont="1" applyFill="1" applyBorder="1" applyAlignment="1">
      <alignment horizontal="center" vertical="center" wrapText="1"/>
    </xf>
    <xf numFmtId="3" fontId="35" fillId="11" borderId="11" xfId="0" applyNumberFormat="1" applyFont="1" applyFill="1" applyBorder="1" applyAlignment="1">
      <alignment horizontal="center" vertical="center" wrapText="1"/>
    </xf>
    <xf numFmtId="166" fontId="35" fillId="4" borderId="2" xfId="0" applyNumberFormat="1" applyFont="1" applyFill="1" applyBorder="1" applyAlignment="1">
      <alignment horizontal="center" vertical="center" wrapText="1"/>
    </xf>
    <xf numFmtId="166" fontId="35" fillId="4" borderId="11" xfId="0" applyNumberFormat="1" applyFont="1" applyFill="1" applyBorder="1" applyAlignment="1">
      <alignment horizontal="center" vertical="center" wrapText="1"/>
    </xf>
    <xf numFmtId="166" fontId="35" fillId="4" borderId="10" xfId="0" applyNumberFormat="1" applyFont="1" applyFill="1" applyBorder="1" applyAlignment="1">
      <alignment horizontal="center" vertical="center" wrapText="1"/>
    </xf>
    <xf numFmtId="166" fontId="35" fillId="4" borderId="85" xfId="0" applyNumberFormat="1" applyFont="1" applyFill="1" applyBorder="1" applyAlignment="1" applyProtection="1">
      <alignment horizontal="center" vertical="center"/>
      <protection hidden="1"/>
    </xf>
    <xf numFmtId="166" fontId="35" fillId="4" borderId="140" xfId="0" applyNumberFormat="1" applyFont="1" applyFill="1" applyBorder="1" applyAlignment="1" applyProtection="1">
      <alignment horizontal="center" vertical="center"/>
      <protection hidden="1"/>
    </xf>
    <xf numFmtId="166" fontId="35" fillId="4" borderId="139" xfId="0" applyNumberFormat="1" applyFont="1" applyFill="1" applyBorder="1" applyAlignment="1" applyProtection="1">
      <alignment horizontal="center" vertical="center"/>
      <protection hidden="1"/>
    </xf>
    <xf numFmtId="166" fontId="35" fillId="4" borderId="141" xfId="0" applyNumberFormat="1" applyFont="1" applyFill="1" applyBorder="1" applyAlignment="1" applyProtection="1">
      <alignment horizontal="center" vertical="center"/>
      <protection hidden="1"/>
    </xf>
    <xf numFmtId="166" fontId="35" fillId="4" borderId="201" xfId="0" applyNumberFormat="1" applyFont="1" applyFill="1" applyBorder="1" applyAlignment="1" applyProtection="1">
      <alignment horizontal="center" vertical="center"/>
      <protection hidden="1"/>
    </xf>
    <xf numFmtId="166" fontId="35" fillId="4" borderId="143" xfId="0" applyNumberFormat="1" applyFont="1" applyFill="1" applyBorder="1" applyAlignment="1" applyProtection="1">
      <alignment horizontal="center" vertical="center"/>
      <protection hidden="1"/>
    </xf>
    <xf numFmtId="166" fontId="35" fillId="4" borderId="82" xfId="0" applyNumberFormat="1" applyFont="1" applyFill="1" applyBorder="1" applyAlignment="1">
      <alignment horizontal="center" vertical="center" wrapText="1"/>
    </xf>
    <xf numFmtId="3" fontId="35" fillId="11" borderId="10" xfId="0" applyNumberFormat="1" applyFont="1" applyFill="1" applyBorder="1" applyAlignment="1">
      <alignment horizontal="center" vertical="center" wrapText="1"/>
    </xf>
    <xf numFmtId="166" fontId="35" fillId="0" borderId="86" xfId="0" applyNumberFormat="1" applyFont="1" applyBorder="1" applyAlignment="1" applyProtection="1">
      <alignment horizontal="center" vertical="center"/>
      <protection locked="0"/>
    </xf>
    <xf numFmtId="166" fontId="35" fillId="0" borderId="83" xfId="0" applyNumberFormat="1" applyFont="1" applyBorder="1" applyAlignment="1" applyProtection="1">
      <alignment horizontal="center" vertical="center"/>
      <protection locked="0"/>
    </xf>
    <xf numFmtId="166" fontId="35" fillId="0" borderId="139" xfId="0" applyNumberFormat="1" applyFont="1" applyBorder="1" applyAlignment="1" applyProtection="1">
      <alignment horizontal="center" vertical="center"/>
      <protection locked="0"/>
    </xf>
    <xf numFmtId="166" fontId="35" fillId="0" borderId="142" xfId="0" applyNumberFormat="1" applyFont="1" applyBorder="1" applyAlignment="1" applyProtection="1">
      <alignment horizontal="center" vertical="center"/>
      <protection locked="0"/>
    </xf>
    <xf numFmtId="166" fontId="0" fillId="0" borderId="0" xfId="0" applyNumberFormat="1" applyProtection="1">
      <protection hidden="1"/>
    </xf>
    <xf numFmtId="0" fontId="10" fillId="11" borderId="10" xfId="15" applyFont="1" applyFill="1" applyBorder="1" applyAlignment="1">
      <alignment horizontal="center" vertical="center" wrapText="1" readingOrder="2"/>
    </xf>
    <xf numFmtId="0" fontId="10" fillId="11" borderId="2" xfId="15" applyFont="1" applyFill="1" applyBorder="1" applyAlignment="1">
      <alignment horizontal="center" vertical="center" wrapText="1" readingOrder="2"/>
    </xf>
    <xf numFmtId="0" fontId="10" fillId="11" borderId="11" xfId="15" applyFont="1" applyFill="1" applyBorder="1" applyAlignment="1">
      <alignment horizontal="center" vertical="center" wrapText="1" readingOrder="2"/>
    </xf>
    <xf numFmtId="166" fontId="8" fillId="4" borderId="66" xfId="15" applyNumberFormat="1" applyFont="1" applyFill="1" applyBorder="1" applyAlignment="1">
      <alignment horizontal="center" vertical="center" wrapText="1" readingOrder="2"/>
    </xf>
    <xf numFmtId="166" fontId="8" fillId="4" borderId="279" xfId="15" applyNumberFormat="1" applyFont="1" applyFill="1" applyBorder="1" applyAlignment="1">
      <alignment horizontal="center" vertical="center" wrapText="1" readingOrder="2"/>
    </xf>
    <xf numFmtId="166" fontId="8" fillId="4" borderId="189" xfId="15" applyNumberFormat="1" applyFont="1" applyFill="1" applyBorder="1" applyAlignment="1">
      <alignment horizontal="center" vertical="center" wrapText="1" readingOrder="2"/>
    </xf>
    <xf numFmtId="166" fontId="8" fillId="4" borderId="9" xfId="15" applyNumberFormat="1" applyFont="1" applyFill="1" applyBorder="1" applyAlignment="1">
      <alignment horizontal="center" vertical="center" wrapText="1" readingOrder="2"/>
    </xf>
    <xf numFmtId="166" fontId="8" fillId="4" borderId="67" xfId="15" applyNumberFormat="1" applyFont="1" applyFill="1" applyBorder="1" applyAlignment="1">
      <alignment horizontal="center" vertical="center" wrapText="1" readingOrder="2"/>
    </xf>
    <xf numFmtId="0" fontId="8" fillId="4" borderId="93" xfId="15" applyFont="1" applyFill="1" applyBorder="1" applyAlignment="1">
      <alignment horizontal="center" vertical="center" wrapText="1" readingOrder="2"/>
    </xf>
    <xf numFmtId="166" fontId="8" fillId="4" borderId="19" xfId="15" applyNumberFormat="1" applyFont="1" applyFill="1" applyBorder="1" applyAlignment="1">
      <alignment horizontal="center" vertical="center" wrapText="1" readingOrder="2"/>
    </xf>
    <xf numFmtId="172" fontId="8" fillId="4" borderId="66" xfId="15" applyNumberFormat="1" applyFont="1" applyFill="1" applyBorder="1" applyAlignment="1">
      <alignment horizontal="center" vertical="center" wrapText="1" readingOrder="2"/>
    </xf>
    <xf numFmtId="166" fontId="13" fillId="4" borderId="278" xfId="17" applyNumberFormat="1" applyFont="1" applyFill="1" applyBorder="1" applyAlignment="1">
      <alignment horizontal="center" vertical="center" wrapText="1" readingOrder="2"/>
    </xf>
    <xf numFmtId="166" fontId="13" fillId="4" borderId="279" xfId="15" applyNumberFormat="1" applyFont="1" applyFill="1" applyBorder="1" applyAlignment="1">
      <alignment horizontal="center" vertical="center" wrapText="1" readingOrder="2"/>
    </xf>
    <xf numFmtId="166" fontId="13" fillId="4" borderId="276" xfId="17" applyNumberFormat="1" applyFont="1" applyFill="1" applyBorder="1" applyAlignment="1">
      <alignment horizontal="center" vertical="center" wrapText="1" readingOrder="2"/>
    </xf>
    <xf numFmtId="166" fontId="13" fillId="4" borderId="189" xfId="15" applyNumberFormat="1" applyFont="1" applyFill="1" applyBorder="1" applyAlignment="1">
      <alignment horizontal="center" vertical="center" wrapText="1" readingOrder="2"/>
    </xf>
    <xf numFmtId="166" fontId="13" fillId="4" borderId="188" xfId="17" applyNumberFormat="1" applyFont="1" applyFill="1" applyBorder="1" applyAlignment="1">
      <alignment horizontal="center" vertical="center" wrapText="1" readingOrder="2"/>
    </xf>
    <xf numFmtId="166" fontId="13" fillId="4" borderId="7" xfId="17" applyNumberFormat="1" applyFont="1" applyFill="1" applyBorder="1" applyAlignment="1">
      <alignment horizontal="center" vertical="center" wrapText="1" readingOrder="2"/>
    </xf>
    <xf numFmtId="166" fontId="13" fillId="4" borderId="8" xfId="17" applyNumberFormat="1" applyFont="1" applyFill="1" applyBorder="1" applyAlignment="1">
      <alignment horizontal="center" vertical="center" wrapText="1" readingOrder="2"/>
    </xf>
    <xf numFmtId="166" fontId="13" fillId="4" borderId="9" xfId="15" applyNumberFormat="1" applyFont="1" applyFill="1" applyBorder="1" applyAlignment="1">
      <alignment horizontal="center" vertical="center" wrapText="1" readingOrder="2"/>
    </xf>
    <xf numFmtId="0" fontId="8" fillId="4" borderId="254" xfId="15" applyFont="1" applyFill="1" applyBorder="1" applyAlignment="1">
      <alignment horizontal="center" vertical="center" wrapText="1" readingOrder="2"/>
    </xf>
    <xf numFmtId="0" fontId="8" fillId="4" borderId="255" xfId="15" applyFont="1" applyFill="1" applyBorder="1" applyAlignment="1">
      <alignment horizontal="center" vertical="center" wrapText="1" readingOrder="2"/>
    </xf>
    <xf numFmtId="0" fontId="8" fillId="4" borderId="3" xfId="15" applyFont="1" applyFill="1" applyBorder="1" applyAlignment="1">
      <alignment horizontal="center" vertical="center" wrapText="1" readingOrder="2"/>
    </xf>
    <xf numFmtId="0" fontId="8" fillId="4" borderId="254" xfId="15" applyFont="1" applyFill="1" applyBorder="1" applyAlignment="1" applyProtection="1">
      <alignment horizontal="center" vertical="center" wrapText="1" readingOrder="2"/>
      <protection hidden="1"/>
    </xf>
    <xf numFmtId="0" fontId="8" fillId="4" borderId="255" xfId="15" applyFont="1" applyFill="1" applyBorder="1" applyAlignment="1" applyProtection="1">
      <alignment horizontal="center" vertical="center" wrapText="1" readingOrder="2"/>
      <protection hidden="1"/>
    </xf>
    <xf numFmtId="0" fontId="8" fillId="4" borderId="3" xfId="15" applyFont="1" applyFill="1" applyBorder="1" applyAlignment="1" applyProtection="1">
      <alignment horizontal="center" vertical="center" wrapText="1" readingOrder="2"/>
      <protection hidden="1"/>
    </xf>
    <xf numFmtId="166" fontId="8" fillId="4" borderId="278" xfId="17" applyNumberFormat="1" applyFont="1" applyFill="1" applyBorder="1" applyAlignment="1" applyProtection="1">
      <alignment horizontal="center" vertical="center" wrapText="1" readingOrder="2"/>
      <protection hidden="1"/>
    </xf>
    <xf numFmtId="166" fontId="8" fillId="4" borderId="276" xfId="17" applyNumberFormat="1" applyFont="1" applyFill="1" applyBorder="1" applyAlignment="1" applyProtection="1">
      <alignment horizontal="center" vertical="center" wrapText="1" readingOrder="2"/>
      <protection hidden="1"/>
    </xf>
    <xf numFmtId="166" fontId="8" fillId="4" borderId="8" xfId="17" applyNumberFormat="1" applyFont="1" applyFill="1" applyBorder="1" applyAlignment="1" applyProtection="1">
      <alignment horizontal="center" vertical="center" wrapText="1" readingOrder="2"/>
      <protection hidden="1"/>
    </xf>
    <xf numFmtId="166" fontId="8" fillId="4" borderId="278" xfId="13" applyNumberFormat="1" applyFont="1" applyFill="1" applyBorder="1" applyAlignment="1" applyProtection="1">
      <alignment horizontal="center" vertical="center" wrapText="1" readingOrder="2"/>
      <protection hidden="1"/>
    </xf>
    <xf numFmtId="166" fontId="8" fillId="4" borderId="276" xfId="13" applyNumberFormat="1" applyFont="1" applyFill="1" applyBorder="1" applyAlignment="1" applyProtection="1">
      <alignment horizontal="center" vertical="center" wrapText="1" readingOrder="2"/>
      <protection hidden="1"/>
    </xf>
    <xf numFmtId="166" fontId="8" fillId="4" borderId="8" xfId="13" applyNumberFormat="1" applyFont="1" applyFill="1" applyBorder="1" applyAlignment="1" applyProtection="1">
      <alignment horizontal="center" vertical="center" wrapText="1" readingOrder="2"/>
      <protection hidden="1"/>
    </xf>
    <xf numFmtId="166" fontId="8" fillId="4" borderId="277" xfId="16" applyNumberFormat="1" applyFont="1" applyFill="1" applyBorder="1" applyAlignment="1" applyProtection="1">
      <alignment horizontal="center" vertical="center" wrapText="1" readingOrder="2"/>
      <protection hidden="1"/>
    </xf>
    <xf numFmtId="172" fontId="8" fillId="4" borderId="278" xfId="16" applyNumberFormat="1" applyFont="1" applyFill="1" applyBorder="1" applyAlignment="1" applyProtection="1">
      <alignment horizontal="center" vertical="center" wrapText="1" readingOrder="2"/>
      <protection hidden="1"/>
    </xf>
    <xf numFmtId="166" fontId="8" fillId="4" borderId="188" xfId="16" applyNumberFormat="1" applyFont="1" applyFill="1" applyBorder="1" applyAlignment="1" applyProtection="1">
      <alignment horizontal="center" vertical="center" wrapText="1" readingOrder="2"/>
      <protection hidden="1"/>
    </xf>
    <xf numFmtId="172" fontId="8" fillId="4" borderId="276" xfId="16" applyNumberFormat="1" applyFont="1" applyFill="1" applyBorder="1" applyAlignment="1" applyProtection="1">
      <alignment horizontal="center" vertical="center" wrapText="1" readingOrder="2"/>
      <protection hidden="1"/>
    </xf>
    <xf numFmtId="166" fontId="8" fillId="4" borderId="188" xfId="17" applyNumberFormat="1" applyFont="1" applyFill="1" applyBorder="1" applyAlignment="1" applyProtection="1">
      <alignment horizontal="center" vertical="center" wrapText="1" readingOrder="2"/>
      <protection hidden="1"/>
    </xf>
    <xf numFmtId="166" fontId="8" fillId="4" borderId="7" xfId="17" applyNumberFormat="1" applyFont="1" applyFill="1" applyBorder="1" applyAlignment="1" applyProtection="1">
      <alignment horizontal="center" vertical="center" wrapText="1" readingOrder="2"/>
      <protection hidden="1"/>
    </xf>
    <xf numFmtId="172" fontId="8" fillId="4" borderId="8" xfId="16" applyNumberFormat="1" applyFont="1" applyFill="1" applyBorder="1" applyAlignment="1" applyProtection="1">
      <alignment horizontal="center" vertical="center" wrapText="1" readingOrder="2"/>
      <protection hidden="1"/>
    </xf>
    <xf numFmtId="0" fontId="10" fillId="4" borderId="255" xfId="15" applyFont="1" applyFill="1" applyBorder="1" applyAlignment="1" applyProtection="1">
      <alignment horizontal="center" vertical="center" wrapText="1" readingOrder="2"/>
      <protection hidden="1"/>
    </xf>
    <xf numFmtId="0" fontId="10" fillId="11" borderId="82" xfId="15" applyFont="1" applyFill="1" applyBorder="1" applyAlignment="1">
      <alignment horizontal="center" vertical="center" wrapText="1" readingOrder="2"/>
    </xf>
    <xf numFmtId="0" fontId="10" fillId="11" borderId="144" xfId="15" applyFont="1" applyFill="1" applyBorder="1" applyAlignment="1">
      <alignment horizontal="center" vertical="center" wrapText="1" readingOrder="2"/>
    </xf>
    <xf numFmtId="3" fontId="8" fillId="4" borderId="189" xfId="15" applyNumberFormat="1" applyFont="1" applyFill="1" applyBorder="1" applyAlignment="1">
      <alignment horizontal="center" vertical="center" wrapText="1" readingOrder="2"/>
    </xf>
    <xf numFmtId="3" fontId="10" fillId="4" borderId="278" xfId="17" applyNumberFormat="1" applyFont="1" applyFill="1" applyBorder="1" applyAlignment="1">
      <alignment horizontal="center" vertical="center" wrapText="1" readingOrder="2"/>
    </xf>
    <xf numFmtId="3" fontId="10" fillId="4" borderId="189" xfId="15" applyNumberFormat="1" applyFont="1" applyFill="1" applyBorder="1" applyAlignment="1">
      <alignment horizontal="center" vertical="center" wrapText="1" readingOrder="2"/>
    </xf>
    <xf numFmtId="3" fontId="10" fillId="4" borderId="276" xfId="17" applyNumberFormat="1" applyFont="1" applyFill="1" applyBorder="1" applyAlignment="1">
      <alignment horizontal="center" vertical="center" wrapText="1" readingOrder="2"/>
    </xf>
    <xf numFmtId="3" fontId="10" fillId="4" borderId="258" xfId="17" applyNumberFormat="1" applyFont="1" applyFill="1" applyBorder="1" applyAlignment="1">
      <alignment horizontal="center" vertical="center" wrapText="1" readingOrder="2"/>
    </xf>
    <xf numFmtId="3" fontId="10" fillId="4" borderId="80" xfId="17" applyNumberFormat="1" applyFont="1" applyFill="1" applyBorder="1" applyAlignment="1">
      <alignment horizontal="center" vertical="center" wrapText="1" readingOrder="2"/>
    </xf>
    <xf numFmtId="3" fontId="10" fillId="4" borderId="8" xfId="17" applyNumberFormat="1" applyFont="1" applyFill="1" applyBorder="1" applyAlignment="1">
      <alignment horizontal="center" vertical="center" wrapText="1" readingOrder="2"/>
    </xf>
    <xf numFmtId="165" fontId="8" fillId="4" borderId="19" xfId="15" applyNumberFormat="1" applyFont="1" applyFill="1" applyBorder="1" applyAlignment="1">
      <alignment horizontal="center" vertical="center" wrapText="1" readingOrder="2"/>
    </xf>
    <xf numFmtId="165" fontId="11" fillId="4" borderId="66" xfId="15" applyNumberFormat="1" applyFont="1" applyFill="1" applyBorder="1" applyAlignment="1">
      <alignment horizontal="center" vertical="center" wrapText="1" readingOrder="2"/>
    </xf>
    <xf numFmtId="3" fontId="8" fillId="4" borderId="67" xfId="15" applyNumberFormat="1" applyFont="1" applyFill="1" applyBorder="1" applyAlignment="1">
      <alignment horizontal="center" vertical="center" wrapText="1" readingOrder="2"/>
    </xf>
    <xf numFmtId="165" fontId="10" fillId="4" borderId="174" xfId="15" applyNumberFormat="1" applyFont="1" applyFill="1" applyBorder="1" applyAlignment="1">
      <alignment horizontal="center" vertical="center" wrapText="1" readingOrder="2"/>
    </xf>
    <xf numFmtId="165" fontId="10" fillId="4" borderId="66" xfId="15" applyNumberFormat="1" applyFont="1" applyFill="1" applyBorder="1" applyAlignment="1">
      <alignment horizontal="center" vertical="center" wrapText="1" readingOrder="2"/>
    </xf>
    <xf numFmtId="3" fontId="10" fillId="4" borderId="67" xfId="15" applyNumberFormat="1" applyFont="1" applyFill="1" applyBorder="1" applyAlignment="1">
      <alignment horizontal="center" vertical="center" wrapText="1" readingOrder="2"/>
    </xf>
    <xf numFmtId="170" fontId="8" fillId="4" borderId="277" xfId="16" applyNumberFormat="1" applyFont="1" applyFill="1" applyBorder="1" applyAlignment="1" applyProtection="1">
      <alignment horizontal="center" vertical="center" wrapText="1" readingOrder="2"/>
      <protection hidden="1"/>
    </xf>
    <xf numFmtId="3" fontId="8" fillId="4" borderId="278" xfId="16" applyNumberFormat="1" applyFont="1" applyFill="1" applyBorder="1" applyAlignment="1" applyProtection="1">
      <alignment horizontal="center" vertical="center" wrapText="1" readingOrder="2"/>
      <protection hidden="1"/>
    </xf>
    <xf numFmtId="3" fontId="8" fillId="4" borderId="278" xfId="17" applyNumberFormat="1" applyFont="1" applyFill="1" applyBorder="1" applyAlignment="1" applyProtection="1">
      <alignment horizontal="center" vertical="center" wrapText="1" readingOrder="2"/>
      <protection hidden="1"/>
    </xf>
    <xf numFmtId="37" fontId="8" fillId="4" borderId="188" xfId="16" applyNumberFormat="1" applyFont="1" applyFill="1" applyBorder="1" applyAlignment="1" applyProtection="1">
      <alignment horizontal="center" vertical="center" wrapText="1" readingOrder="2"/>
      <protection hidden="1"/>
    </xf>
    <xf numFmtId="37" fontId="8" fillId="4" borderId="276" xfId="16" applyNumberFormat="1" applyFont="1" applyFill="1" applyBorder="1" applyAlignment="1" applyProtection="1">
      <alignment horizontal="center" vertical="center" wrapText="1" readingOrder="2"/>
      <protection hidden="1"/>
    </xf>
    <xf numFmtId="3" fontId="8" fillId="4" borderId="276" xfId="17" applyNumberFormat="1" applyFont="1" applyFill="1" applyBorder="1" applyAlignment="1" applyProtection="1">
      <alignment horizontal="center" vertical="center" wrapText="1" readingOrder="2"/>
      <protection hidden="1"/>
    </xf>
    <xf numFmtId="170" fontId="8" fillId="4" borderId="188" xfId="16" applyNumberFormat="1" applyFont="1" applyFill="1" applyBorder="1" applyAlignment="1" applyProtection="1">
      <alignment horizontal="center" vertical="center" wrapText="1" readingOrder="2"/>
      <protection hidden="1"/>
    </xf>
    <xf numFmtId="37" fontId="8" fillId="4" borderId="280" xfId="16" applyNumberFormat="1" applyFont="1" applyFill="1" applyBorder="1" applyAlignment="1" applyProtection="1">
      <alignment horizontal="center" vertical="center" wrapText="1" readingOrder="2"/>
      <protection hidden="1"/>
    </xf>
    <xf numFmtId="3" fontId="8" fillId="4" borderId="188" xfId="17" applyNumberFormat="1" applyFont="1" applyFill="1" applyBorder="1" applyAlignment="1" applyProtection="1">
      <alignment horizontal="center" vertical="center" wrapText="1" readingOrder="2"/>
      <protection hidden="1"/>
    </xf>
    <xf numFmtId="3" fontId="8" fillId="4" borderId="7" xfId="17" applyNumberFormat="1" applyFont="1" applyFill="1" applyBorder="1" applyAlignment="1" applyProtection="1">
      <alignment horizontal="center" vertical="center" wrapText="1" readingOrder="2"/>
      <protection hidden="1"/>
    </xf>
    <xf numFmtId="3" fontId="8" fillId="4" borderId="281" xfId="16" applyNumberFormat="1" applyFont="1" applyFill="1" applyBorder="1" applyAlignment="1" applyProtection="1">
      <alignment horizontal="center" vertical="center" wrapText="1" readingOrder="2"/>
      <protection hidden="1"/>
    </xf>
    <xf numFmtId="3" fontId="8" fillId="4" borderId="8" xfId="17" applyNumberFormat="1" applyFont="1" applyFill="1" applyBorder="1" applyAlignment="1" applyProtection="1">
      <alignment horizontal="center" vertical="center" wrapText="1" readingOrder="2"/>
      <protection hidden="1"/>
    </xf>
    <xf numFmtId="0" fontId="10" fillId="4" borderId="255" xfId="15" applyFont="1" applyFill="1" applyBorder="1" applyAlignment="1">
      <alignment horizontal="center" vertical="center" wrapText="1" readingOrder="2"/>
    </xf>
    <xf numFmtId="170" fontId="8" fillId="3" borderId="277" xfId="16" applyNumberFormat="1" applyFont="1" applyFill="1" applyBorder="1" applyAlignment="1" applyProtection="1">
      <alignment horizontal="center" vertical="center" wrapText="1" readingOrder="2"/>
      <protection locked="0"/>
    </xf>
    <xf numFmtId="37" fontId="8" fillId="3" borderId="188" xfId="16" applyNumberFormat="1" applyFont="1" applyFill="1" applyBorder="1" applyAlignment="1" applyProtection="1">
      <alignment horizontal="center" vertical="center" wrapText="1" readingOrder="2"/>
      <protection locked="0"/>
    </xf>
    <xf numFmtId="170" fontId="8" fillId="3" borderId="188" xfId="16" applyNumberFormat="1" applyFont="1" applyFill="1" applyBorder="1" applyAlignment="1" applyProtection="1">
      <alignment horizontal="center" vertical="center" wrapText="1" readingOrder="2"/>
      <protection locked="0"/>
    </xf>
    <xf numFmtId="3" fontId="8" fillId="3" borderId="188" xfId="17" applyNumberFormat="1" applyFont="1" applyFill="1" applyBorder="1" applyAlignment="1" applyProtection="1">
      <alignment horizontal="center" vertical="center" wrapText="1" readingOrder="2"/>
      <protection locked="0"/>
    </xf>
    <xf numFmtId="3" fontId="8" fillId="3" borderId="7" xfId="17" applyNumberFormat="1" applyFont="1" applyFill="1" applyBorder="1" applyAlignment="1" applyProtection="1">
      <alignment horizontal="center" vertical="center" wrapText="1" readingOrder="2"/>
      <protection locked="0"/>
    </xf>
    <xf numFmtId="0" fontId="8" fillId="12" borderId="310" xfId="0" applyFont="1" applyFill="1" applyBorder="1" applyAlignment="1">
      <alignment horizontal="center" vertical="center" textRotation="90" readingOrder="2"/>
    </xf>
    <xf numFmtId="0" fontId="8" fillId="12" borderId="312" xfId="0" applyFont="1" applyFill="1" applyBorder="1" applyAlignment="1">
      <alignment horizontal="center" vertical="center" wrapText="1"/>
    </xf>
    <xf numFmtId="1" fontId="49" fillId="0" borderId="314" xfId="0" applyNumberFormat="1" applyFont="1" applyBorder="1" applyAlignment="1" applyProtection="1">
      <alignment horizontal="center" vertical="center"/>
      <protection locked="0"/>
    </xf>
    <xf numFmtId="0" fontId="49" fillId="0" borderId="316" xfId="0" applyFont="1" applyBorder="1" applyAlignment="1" applyProtection="1">
      <alignment horizontal="right" vertical="center" wrapText="1"/>
      <protection locked="0"/>
    </xf>
    <xf numFmtId="1" fontId="49" fillId="0" borderId="317" xfId="0" applyNumberFormat="1" applyFont="1" applyBorder="1" applyAlignment="1" applyProtection="1">
      <alignment horizontal="center" vertical="center"/>
      <protection locked="0"/>
    </xf>
    <xf numFmtId="0" fontId="8" fillId="28" borderId="39" xfId="1" applyFont="1" applyFill="1" applyBorder="1" applyAlignment="1" applyProtection="1">
      <alignment horizontal="right" vertical="center" wrapText="1" readingOrder="2"/>
      <protection locked="0" hidden="1"/>
    </xf>
    <xf numFmtId="1" fontId="11" fillId="28" borderId="43" xfId="1" applyNumberFormat="1" applyFont="1" applyFill="1" applyBorder="1" applyAlignment="1" applyProtection="1">
      <alignment horizontal="center" vertical="center" wrapText="1" readingOrder="2"/>
      <protection locked="0" hidden="1"/>
    </xf>
    <xf numFmtId="0" fontId="11" fillId="28" borderId="39" xfId="1" applyFont="1" applyFill="1" applyBorder="1" applyAlignment="1" applyProtection="1">
      <alignment horizontal="center" vertical="center" wrapText="1" readingOrder="2"/>
      <protection locked="0" hidden="1"/>
    </xf>
    <xf numFmtId="0" fontId="8" fillId="28" borderId="40" xfId="1" applyFont="1" applyFill="1" applyBorder="1" applyAlignment="1" applyProtection="1">
      <alignment horizontal="right" vertical="center" wrapText="1" readingOrder="2"/>
      <protection locked="0" hidden="1"/>
    </xf>
    <xf numFmtId="0" fontId="11" fillId="28" borderId="40" xfId="1" applyFont="1" applyFill="1" applyBorder="1" applyAlignment="1" applyProtection="1">
      <alignment horizontal="center" vertical="center" wrapText="1" readingOrder="2"/>
      <protection locked="0" hidden="1"/>
    </xf>
    <xf numFmtId="0" fontId="8" fillId="28" borderId="52" xfId="1" applyFont="1" applyFill="1" applyBorder="1" applyAlignment="1" applyProtection="1">
      <alignment horizontal="right" vertical="center" wrapText="1" readingOrder="2"/>
      <protection locked="0" hidden="1"/>
    </xf>
    <xf numFmtId="3" fontId="8" fillId="28" borderId="39" xfId="1" applyNumberFormat="1" applyFont="1" applyFill="1" applyBorder="1" applyAlignment="1" applyProtection="1">
      <alignment horizontal="center" vertical="center" wrapText="1" readingOrder="2"/>
      <protection locked="0" hidden="1"/>
    </xf>
    <xf numFmtId="3" fontId="8" fillId="28" borderId="43" xfId="1" applyNumberFormat="1" applyFont="1" applyFill="1" applyBorder="1" applyAlignment="1" applyProtection="1">
      <alignment horizontal="center" vertical="center" wrapText="1" readingOrder="2"/>
      <protection locked="0" hidden="1"/>
    </xf>
    <xf numFmtId="0" fontId="8" fillId="28" borderId="207" xfId="1" applyFont="1" applyFill="1" applyBorder="1" applyAlignment="1" applyProtection="1">
      <alignment horizontal="center" vertical="center" wrapText="1" readingOrder="2"/>
      <protection locked="0" hidden="1"/>
    </xf>
    <xf numFmtId="0" fontId="8" fillId="28" borderId="77" xfId="1" applyFont="1" applyFill="1" applyBorder="1" applyAlignment="1" applyProtection="1">
      <alignment horizontal="right" vertical="center" wrapText="1" readingOrder="2"/>
      <protection locked="0" hidden="1"/>
    </xf>
    <xf numFmtId="3" fontId="8" fillId="28" borderId="40" xfId="1" applyNumberFormat="1" applyFont="1" applyFill="1" applyBorder="1" applyAlignment="1" applyProtection="1">
      <alignment horizontal="center" vertical="center" wrapText="1" readingOrder="2"/>
      <protection locked="0" hidden="1"/>
    </xf>
    <xf numFmtId="3" fontId="8" fillId="28" borderId="44" xfId="1" applyNumberFormat="1" applyFont="1" applyFill="1" applyBorder="1" applyAlignment="1" applyProtection="1">
      <alignment horizontal="center" vertical="center" wrapText="1" readingOrder="2"/>
      <protection locked="0" hidden="1"/>
    </xf>
    <xf numFmtId="0" fontId="8" fillId="0" borderId="159" xfId="1" applyFont="1" applyBorder="1" applyAlignment="1" applyProtection="1">
      <alignment horizontal="right" vertical="center" readingOrder="2"/>
      <protection locked="0"/>
    </xf>
    <xf numFmtId="0" fontId="13" fillId="0" borderId="3" xfId="1" applyFont="1" applyBorder="1" applyAlignment="1" applyProtection="1">
      <alignment horizontal="right" vertical="center" wrapText="1" readingOrder="2"/>
      <protection locked="0"/>
    </xf>
    <xf numFmtId="0" fontId="8" fillId="28" borderId="324" xfId="1" applyFont="1" applyFill="1" applyBorder="1" applyAlignment="1" applyProtection="1">
      <alignment horizontal="right" vertical="center" wrapText="1" readingOrder="2"/>
      <protection locked="0" hidden="1"/>
    </xf>
    <xf numFmtId="166" fontId="7" fillId="0" borderId="0" xfId="0" applyNumberFormat="1" applyFont="1" applyAlignment="1">
      <alignment horizontal="right" wrapText="1" readingOrder="2"/>
    </xf>
    <xf numFmtId="3" fontId="8" fillId="0" borderId="322" xfId="1" applyNumberFormat="1" applyFont="1" applyBorder="1" applyAlignment="1" applyProtection="1">
      <alignment horizontal="center" vertical="center" wrapText="1" readingOrder="2"/>
      <protection locked="0"/>
    </xf>
    <xf numFmtId="166" fontId="9" fillId="13" borderId="19" xfId="1" applyNumberFormat="1" applyFont="1" applyFill="1" applyBorder="1" applyAlignment="1">
      <alignment horizontal="center" vertical="center" wrapText="1" readingOrder="2"/>
    </xf>
    <xf numFmtId="166" fontId="9" fillId="13" borderId="66" xfId="1" applyNumberFormat="1" applyFont="1" applyFill="1" applyBorder="1" applyAlignment="1">
      <alignment horizontal="center" vertical="center" wrapText="1" readingOrder="2"/>
    </xf>
    <xf numFmtId="3" fontId="9" fillId="4" borderId="67" xfId="1" applyNumberFormat="1" applyFont="1" applyFill="1" applyBorder="1" applyAlignment="1">
      <alignment horizontal="center" vertical="center" wrapText="1" readingOrder="2"/>
    </xf>
    <xf numFmtId="166" fontId="9" fillId="13" borderId="174" xfId="1" applyNumberFormat="1" applyFont="1" applyFill="1" applyBorder="1" applyAlignment="1">
      <alignment horizontal="center" vertical="center" wrapText="1" readingOrder="2"/>
    </xf>
    <xf numFmtId="166" fontId="7" fillId="0" borderId="0" xfId="0" applyNumberFormat="1" applyFont="1" applyAlignment="1">
      <alignment horizontal="right" wrapText="1"/>
    </xf>
    <xf numFmtId="166" fontId="23" fillId="4" borderId="141" xfId="0" applyNumberFormat="1" applyFont="1" applyFill="1" applyBorder="1" applyAlignment="1" applyProtection="1">
      <alignment horizontal="center" vertical="center"/>
      <protection hidden="1"/>
    </xf>
    <xf numFmtId="0" fontId="7" fillId="0" borderId="0" xfId="0" applyFont="1"/>
    <xf numFmtId="3" fontId="43" fillId="8" borderId="139" xfId="0" applyNumberFormat="1" applyFont="1" applyFill="1" applyBorder="1" applyAlignment="1" applyProtection="1">
      <alignment horizontal="center" vertical="center" shrinkToFit="1"/>
      <protection hidden="1"/>
    </xf>
    <xf numFmtId="3" fontId="43" fillId="8" borderId="142" xfId="0" applyNumberFormat="1" applyFont="1" applyFill="1" applyBorder="1" applyAlignment="1" applyProtection="1">
      <alignment horizontal="center" vertical="center" shrinkToFit="1"/>
      <protection hidden="1"/>
    </xf>
    <xf numFmtId="3" fontId="43" fillId="8" borderId="10" xfId="0" applyNumberFormat="1" applyFont="1" applyFill="1" applyBorder="1" applyAlignment="1" applyProtection="1">
      <alignment horizontal="center" vertical="center" shrinkToFit="1"/>
      <protection hidden="1"/>
    </xf>
    <xf numFmtId="3" fontId="43" fillId="8" borderId="11" xfId="0" applyNumberFormat="1" applyFont="1" applyFill="1" applyBorder="1" applyAlignment="1" applyProtection="1">
      <alignment horizontal="center" vertical="center" shrinkToFit="1"/>
      <protection hidden="1"/>
    </xf>
    <xf numFmtId="0" fontId="43" fillId="39" borderId="10" xfId="0" applyFont="1" applyFill="1" applyBorder="1" applyAlignment="1" applyProtection="1">
      <alignment horizontal="center" vertical="center" shrinkToFit="1"/>
      <protection hidden="1"/>
    </xf>
    <xf numFmtId="0" fontId="43" fillId="39" borderId="11" xfId="0" applyFont="1" applyFill="1" applyBorder="1" applyAlignment="1" applyProtection="1">
      <alignment horizontal="center" vertical="center" shrinkToFit="1"/>
      <protection hidden="1"/>
    </xf>
    <xf numFmtId="0" fontId="43" fillId="39" borderId="144" xfId="0" applyFont="1" applyFill="1" applyBorder="1" applyAlignment="1" applyProtection="1">
      <alignment horizontal="center" vertical="center" shrinkToFit="1"/>
      <protection hidden="1"/>
    </xf>
    <xf numFmtId="0" fontId="43" fillId="8" borderId="10" xfId="0" applyFont="1" applyFill="1" applyBorder="1" applyAlignment="1" applyProtection="1">
      <alignment horizontal="center" vertical="center" shrinkToFit="1"/>
      <protection hidden="1"/>
    </xf>
    <xf numFmtId="0" fontId="43" fillId="8" borderId="11" xfId="0" applyFont="1" applyFill="1" applyBorder="1" applyAlignment="1" applyProtection="1">
      <alignment horizontal="center" vertical="center" shrinkToFit="1"/>
      <protection hidden="1"/>
    </xf>
    <xf numFmtId="0" fontId="43" fillId="28" borderId="57" xfId="0" applyFont="1" applyFill="1" applyBorder="1" applyAlignment="1" applyProtection="1">
      <alignment vertical="center" shrinkToFit="1"/>
      <protection hidden="1"/>
    </xf>
    <xf numFmtId="0" fontId="43" fillId="39" borderId="84" xfId="0" applyFont="1" applyFill="1" applyBorder="1" applyAlignment="1" applyProtection="1">
      <alignment vertical="center" shrinkToFit="1"/>
      <protection hidden="1"/>
    </xf>
    <xf numFmtId="3" fontId="43" fillId="39" borderId="10" xfId="0" applyNumberFormat="1" applyFont="1" applyFill="1" applyBorder="1" applyAlignment="1" applyProtection="1">
      <alignment horizontal="center" vertical="center" shrinkToFit="1"/>
      <protection hidden="1"/>
    </xf>
    <xf numFmtId="0" fontId="43" fillId="29" borderId="84" xfId="0" applyFont="1" applyFill="1" applyBorder="1" applyAlignment="1" applyProtection="1">
      <alignment vertical="center" shrinkToFit="1"/>
      <protection hidden="1"/>
    </xf>
    <xf numFmtId="3" fontId="43" fillId="39" borderId="144" xfId="0" applyNumberFormat="1" applyFont="1" applyFill="1" applyBorder="1" applyAlignment="1" applyProtection="1">
      <alignment horizontal="center" vertical="center" shrinkToFit="1"/>
      <protection hidden="1"/>
    </xf>
    <xf numFmtId="0" fontId="43" fillId="39" borderId="19" xfId="0" applyFont="1" applyFill="1" applyBorder="1" applyAlignment="1" applyProtection="1">
      <alignment horizontal="center" vertical="center" shrinkToFit="1"/>
      <protection hidden="1"/>
    </xf>
    <xf numFmtId="0" fontId="43" fillId="39" borderId="169" xfId="0" applyFont="1" applyFill="1" applyBorder="1" applyAlignment="1" applyProtection="1">
      <alignment horizontal="center" vertical="center" shrinkToFit="1"/>
      <protection hidden="1"/>
    </xf>
    <xf numFmtId="0" fontId="43" fillId="39" borderId="74" xfId="0" applyFont="1" applyFill="1" applyBorder="1" applyAlignment="1" applyProtection="1">
      <alignment horizontal="center" vertical="center" shrinkToFit="1"/>
      <protection hidden="1"/>
    </xf>
    <xf numFmtId="0" fontId="43" fillId="39" borderId="170" xfId="0" applyFont="1" applyFill="1" applyBorder="1" applyAlignment="1" applyProtection="1">
      <alignment horizontal="center" vertical="center" shrinkToFit="1"/>
      <protection hidden="1"/>
    </xf>
    <xf numFmtId="0" fontId="43" fillId="39" borderId="100" xfId="0" applyFont="1" applyFill="1" applyBorder="1" applyAlignment="1" applyProtection="1">
      <alignment horizontal="center" vertical="center" shrinkToFit="1"/>
      <protection hidden="1"/>
    </xf>
    <xf numFmtId="0" fontId="43" fillId="39" borderId="76" xfId="0" applyFont="1" applyFill="1" applyBorder="1" applyAlignment="1" applyProtection="1">
      <alignment horizontal="center" vertical="center" shrinkToFit="1"/>
      <protection hidden="1"/>
    </xf>
    <xf numFmtId="0" fontId="43" fillId="39" borderId="171" xfId="0" applyFont="1" applyFill="1" applyBorder="1" applyAlignment="1" applyProtection="1">
      <alignment horizontal="center" vertical="center" shrinkToFit="1"/>
      <protection hidden="1"/>
    </xf>
    <xf numFmtId="0" fontId="43" fillId="39" borderId="77" xfId="0" applyFont="1" applyFill="1" applyBorder="1" applyAlignment="1" applyProtection="1">
      <alignment horizontal="center" vertical="center" shrinkToFit="1"/>
      <protection hidden="1"/>
    </xf>
    <xf numFmtId="0" fontId="43" fillId="39" borderId="3" xfId="0" applyFont="1" applyFill="1" applyBorder="1" applyAlignment="1" applyProtection="1">
      <alignment horizontal="center" vertical="center" shrinkToFit="1"/>
      <protection hidden="1"/>
    </xf>
    <xf numFmtId="0" fontId="43" fillId="39" borderId="75" xfId="0" applyFont="1" applyFill="1" applyBorder="1" applyAlignment="1" applyProtection="1">
      <alignment horizontal="center" vertical="center" shrinkToFit="1"/>
      <protection hidden="1"/>
    </xf>
    <xf numFmtId="0" fontId="43" fillId="39" borderId="93" xfId="0" applyFont="1" applyFill="1" applyBorder="1" applyAlignment="1" applyProtection="1">
      <alignment horizontal="center" vertical="center" shrinkToFit="1"/>
      <protection hidden="1"/>
    </xf>
    <xf numFmtId="0" fontId="43" fillId="39" borderId="61" xfId="0" applyFont="1" applyFill="1" applyBorder="1" applyAlignment="1" applyProtection="1">
      <alignment horizontal="center" vertical="center" shrinkToFit="1"/>
      <protection hidden="1"/>
    </xf>
    <xf numFmtId="3" fontId="43" fillId="39" borderId="139" xfId="0" applyNumberFormat="1" applyFont="1" applyFill="1" applyBorder="1" applyAlignment="1" applyProtection="1">
      <alignment horizontal="center" vertical="center" shrinkToFit="1"/>
      <protection hidden="1"/>
    </xf>
    <xf numFmtId="0" fontId="43" fillId="39" borderId="142" xfId="0" applyFont="1" applyFill="1" applyBorder="1" applyAlignment="1" applyProtection="1">
      <alignment horizontal="center" vertical="center" shrinkToFit="1"/>
      <protection hidden="1"/>
    </xf>
    <xf numFmtId="3" fontId="43" fillId="39" borderId="142" xfId="0" applyNumberFormat="1" applyFont="1" applyFill="1" applyBorder="1" applyAlignment="1" applyProtection="1">
      <alignment horizontal="center" vertical="center" shrinkToFit="1"/>
      <protection hidden="1"/>
    </xf>
    <xf numFmtId="3" fontId="43" fillId="39" borderId="11" xfId="0" applyNumberFormat="1" applyFont="1" applyFill="1" applyBorder="1" applyAlignment="1" applyProtection="1">
      <alignment horizontal="center" vertical="center" shrinkToFit="1"/>
      <protection hidden="1"/>
    </xf>
    <xf numFmtId="0" fontId="43" fillId="39" borderId="67" xfId="0" applyFont="1" applyFill="1" applyBorder="1" applyAlignment="1" applyProtection="1">
      <alignment horizontal="center" vertical="center" shrinkToFit="1"/>
      <protection hidden="1"/>
    </xf>
    <xf numFmtId="0" fontId="43" fillId="39" borderId="13" xfId="0" applyFont="1" applyFill="1" applyBorder="1" applyAlignment="1" applyProtection="1">
      <alignment horizontal="center" vertical="center" shrinkToFit="1"/>
      <protection hidden="1"/>
    </xf>
    <xf numFmtId="0" fontId="43" fillId="39" borderId="48" xfId="0" applyFont="1" applyFill="1" applyBorder="1" applyAlignment="1" applyProtection="1">
      <alignment horizontal="center" vertical="center" shrinkToFit="1"/>
      <protection hidden="1"/>
    </xf>
    <xf numFmtId="2" fontId="43" fillId="39" borderId="67" xfId="0" applyNumberFormat="1" applyFont="1" applyFill="1" applyBorder="1" applyAlignment="1" applyProtection="1">
      <alignment horizontal="center" vertical="center" shrinkToFit="1"/>
      <protection hidden="1"/>
    </xf>
    <xf numFmtId="166" fontId="8" fillId="0" borderId="18" xfId="1" applyNumberFormat="1" applyFont="1" applyBorder="1" applyAlignment="1" applyProtection="1">
      <alignment horizontal="center" vertical="center" wrapText="1" readingOrder="2"/>
      <protection locked="0"/>
    </xf>
    <xf numFmtId="0" fontId="88" fillId="0" borderId="0" xfId="0" applyFont="1" applyAlignment="1">
      <alignment vertical="center" readingOrder="2"/>
    </xf>
    <xf numFmtId="0" fontId="81" fillId="0" borderId="0" xfId="1" applyFont="1"/>
    <xf numFmtId="0" fontId="73" fillId="0" borderId="0" xfId="0" applyFont="1"/>
    <xf numFmtId="0" fontId="8" fillId="11" borderId="76" xfId="1" applyFont="1" applyFill="1" applyBorder="1" applyAlignment="1">
      <alignment horizontal="centerContinuous" vertical="center" wrapText="1" readingOrder="2"/>
    </xf>
    <xf numFmtId="0" fontId="8" fillId="11" borderId="78" xfId="1" applyFont="1" applyFill="1" applyBorder="1" applyAlignment="1">
      <alignment horizontal="centerContinuous" vertical="center" wrapText="1" readingOrder="2"/>
    </xf>
    <xf numFmtId="0" fontId="7" fillId="0" borderId="0" xfId="0" applyFont="1" applyAlignment="1">
      <alignment horizontal="center" vertical="center"/>
    </xf>
    <xf numFmtId="166" fontId="8" fillId="4" borderId="41" xfId="1" applyNumberFormat="1" applyFont="1" applyFill="1" applyBorder="1" applyAlignment="1">
      <alignment horizontal="center" vertical="center" wrapText="1" readingOrder="2"/>
    </xf>
    <xf numFmtId="3" fontId="7" fillId="0" borderId="0" xfId="0" applyNumberFormat="1" applyFont="1" applyAlignment="1">
      <alignment horizontal="center" vertical="center"/>
    </xf>
    <xf numFmtId="0" fontId="8" fillId="4" borderId="17" xfId="1" applyFont="1" applyFill="1" applyBorder="1" applyAlignment="1">
      <alignment horizontal="center" vertical="center" wrapText="1" readingOrder="2"/>
    </xf>
    <xf numFmtId="166" fontId="8" fillId="4" borderId="5" xfId="1" applyNumberFormat="1" applyFont="1" applyFill="1" applyBorder="1" applyAlignment="1">
      <alignment horizontal="center" vertical="center" wrapText="1" readingOrder="2"/>
    </xf>
    <xf numFmtId="166" fontId="8" fillId="4" borderId="42" xfId="1" applyNumberFormat="1" applyFont="1" applyFill="1" applyBorder="1" applyAlignment="1">
      <alignment horizontal="center" vertical="center" wrapText="1" readingOrder="2"/>
    </xf>
    <xf numFmtId="166" fontId="8" fillId="4" borderId="43" xfId="1" applyNumberFormat="1" applyFont="1" applyFill="1" applyBorder="1" applyAlignment="1">
      <alignment horizontal="center" vertical="center" wrapText="1" readingOrder="2"/>
    </xf>
    <xf numFmtId="0" fontId="75" fillId="0" borderId="0" xfId="1" applyFont="1" applyAlignment="1">
      <alignment vertical="center"/>
    </xf>
    <xf numFmtId="166" fontId="9" fillId="4" borderId="46" xfId="1" applyNumberFormat="1" applyFont="1" applyFill="1" applyBorder="1" applyAlignment="1">
      <alignment horizontal="center" vertical="center" wrapText="1" readingOrder="2"/>
    </xf>
    <xf numFmtId="0" fontId="4" fillId="0" borderId="0" xfId="1" applyFont="1" applyAlignment="1">
      <alignment vertical="center" wrapText="1"/>
    </xf>
    <xf numFmtId="166" fontId="8" fillId="4" borderId="167" xfId="1" applyNumberFormat="1" applyFont="1" applyFill="1" applyBorder="1" applyAlignment="1">
      <alignment horizontal="center" vertical="center" wrapText="1" readingOrder="2"/>
    </xf>
    <xf numFmtId="0" fontId="59" fillId="4" borderId="171" xfId="1" applyFont="1" applyFill="1" applyBorder="1" applyAlignment="1">
      <alignment horizontal="right" vertical="center" wrapText="1" readingOrder="2"/>
    </xf>
    <xf numFmtId="166" fontId="59" fillId="4" borderId="142" xfId="1" applyNumberFormat="1" applyFont="1" applyFill="1" applyBorder="1" applyAlignment="1">
      <alignment horizontal="center" vertical="center" wrapText="1" readingOrder="2"/>
    </xf>
    <xf numFmtId="166" fontId="59" fillId="4" borderId="127" xfId="1" applyNumberFormat="1" applyFont="1" applyFill="1" applyBorder="1" applyAlignment="1">
      <alignment horizontal="center" vertical="center" wrapText="1" readingOrder="2"/>
    </xf>
    <xf numFmtId="166" fontId="59" fillId="4" borderId="54" xfId="1" applyNumberFormat="1" applyFont="1" applyFill="1" applyBorder="1" applyAlignment="1">
      <alignment horizontal="center" vertical="center" wrapText="1" readingOrder="2"/>
    </xf>
    <xf numFmtId="0" fontId="59" fillId="4" borderId="68" xfId="1" applyFont="1" applyFill="1" applyBorder="1" applyAlignment="1">
      <alignment horizontal="right" vertical="center" wrapText="1" readingOrder="2"/>
    </xf>
    <xf numFmtId="3" fontId="35" fillId="8" borderId="0" xfId="0" applyNumberFormat="1" applyFont="1" applyFill="1"/>
    <xf numFmtId="3" fontId="35" fillId="40" borderId="289" xfId="0" applyNumberFormat="1" applyFont="1" applyFill="1" applyBorder="1" applyAlignment="1">
      <alignment horizontal="center" vertical="center"/>
    </xf>
    <xf numFmtId="0" fontId="8" fillId="15" borderId="81" xfId="1" applyFont="1" applyFill="1" applyBorder="1" applyAlignment="1">
      <alignment horizontal="center" vertical="center" wrapText="1" readingOrder="2"/>
    </xf>
    <xf numFmtId="166" fontId="10" fillId="4" borderId="16" xfId="1" applyNumberFormat="1" applyFont="1" applyFill="1" applyBorder="1" applyAlignment="1">
      <alignment horizontal="center" vertical="center" wrapText="1" readingOrder="2"/>
    </xf>
    <xf numFmtId="166" fontId="10" fillId="4" borderId="17" xfId="1" applyNumberFormat="1" applyFont="1" applyFill="1" applyBorder="1" applyAlignment="1">
      <alignment horizontal="center" vertical="center" wrapText="1" readingOrder="2"/>
    </xf>
    <xf numFmtId="166" fontId="8" fillId="3" borderId="145" xfId="1" applyNumberFormat="1" applyFont="1" applyFill="1" applyBorder="1" applyAlignment="1" applyProtection="1">
      <alignment horizontal="center" vertical="center" wrapText="1" readingOrder="2"/>
      <protection locked="0"/>
    </xf>
    <xf numFmtId="166" fontId="8" fillId="4" borderId="115" xfId="1" applyNumberFormat="1" applyFont="1" applyFill="1" applyBorder="1" applyAlignment="1">
      <alignment horizontal="center" vertical="center" wrapText="1" readingOrder="2"/>
    </xf>
    <xf numFmtId="166" fontId="8" fillId="3" borderId="5" xfId="1" applyNumberFormat="1" applyFont="1" applyFill="1" applyBorder="1" applyAlignment="1" applyProtection="1">
      <alignment horizontal="center" vertical="center" wrapText="1" readingOrder="2"/>
      <protection locked="0"/>
    </xf>
    <xf numFmtId="166" fontId="8" fillId="3" borderId="36" xfId="1" applyNumberFormat="1" applyFont="1" applyFill="1" applyBorder="1" applyAlignment="1" applyProtection="1">
      <alignment horizontal="center" vertical="center" wrapText="1" readingOrder="2"/>
      <protection locked="0"/>
    </xf>
    <xf numFmtId="166" fontId="8" fillId="3" borderId="6" xfId="1" applyNumberFormat="1" applyFont="1" applyFill="1" applyBorder="1" applyAlignment="1" applyProtection="1">
      <alignment horizontal="center" vertical="center" wrapText="1" readingOrder="2"/>
      <protection locked="0"/>
    </xf>
    <xf numFmtId="166" fontId="8" fillId="4" borderId="44" xfId="1" applyNumberFormat="1" applyFont="1" applyFill="1" applyBorder="1" applyAlignment="1">
      <alignment horizontal="center" vertical="center" wrapText="1" readingOrder="2"/>
    </xf>
    <xf numFmtId="166" fontId="8" fillId="0" borderId="56" xfId="1" applyNumberFormat="1" applyFont="1" applyBorder="1" applyAlignment="1" applyProtection="1">
      <alignment horizontal="center" vertical="center" wrapText="1" readingOrder="2"/>
      <protection locked="0"/>
    </xf>
    <xf numFmtId="0" fontId="8" fillId="16" borderId="325" xfId="1" applyFont="1" applyFill="1" applyBorder="1" applyAlignment="1">
      <alignment horizontal="centerContinuous" vertical="center" wrapText="1" readingOrder="2"/>
    </xf>
    <xf numFmtId="166" fontId="8" fillId="4" borderId="11" xfId="1" applyNumberFormat="1" applyFont="1" applyFill="1" applyBorder="1" applyAlignment="1">
      <alignment horizontal="center" vertical="center" wrapText="1" readingOrder="2"/>
    </xf>
    <xf numFmtId="166" fontId="10" fillId="4" borderId="11" xfId="1" applyNumberFormat="1" applyFont="1" applyFill="1" applyBorder="1" applyAlignment="1">
      <alignment horizontal="center" vertical="center" wrapText="1" readingOrder="2"/>
    </xf>
    <xf numFmtId="166" fontId="8" fillId="0" borderId="55" xfId="1" applyNumberFormat="1" applyFont="1" applyBorder="1" applyAlignment="1" applyProtection="1">
      <alignment horizontal="center" vertical="center" wrapText="1" readingOrder="2"/>
      <protection locked="0"/>
    </xf>
    <xf numFmtId="166" fontId="8" fillId="4" borderId="326" xfId="1" applyNumberFormat="1" applyFont="1" applyFill="1" applyBorder="1" applyAlignment="1" applyProtection="1">
      <alignment horizontal="center" vertical="center" wrapText="1" readingOrder="2"/>
      <protection hidden="1"/>
    </xf>
    <xf numFmtId="0" fontId="10" fillId="4" borderId="27" xfId="1" applyFont="1" applyFill="1" applyBorder="1" applyAlignment="1" applyProtection="1">
      <alignment horizontal="center" vertical="center" wrapText="1" readingOrder="2"/>
      <protection hidden="1"/>
    </xf>
    <xf numFmtId="0" fontId="10" fillId="4" borderId="52" xfId="1" applyFont="1" applyFill="1" applyBorder="1" applyAlignment="1" applyProtection="1">
      <alignment horizontal="center" vertical="center" wrapText="1" readingOrder="2"/>
      <protection hidden="1"/>
    </xf>
    <xf numFmtId="0" fontId="10" fillId="28" borderId="52" xfId="1" applyFont="1" applyFill="1" applyBorder="1" applyAlignment="1" applyProtection="1">
      <alignment horizontal="center" vertical="center" wrapText="1" readingOrder="2"/>
      <protection locked="0" hidden="1"/>
    </xf>
    <xf numFmtId="0" fontId="10" fillId="4" borderId="37" xfId="1" applyFont="1" applyFill="1" applyBorder="1" applyAlignment="1">
      <alignment horizontal="center" vertical="center" wrapText="1" readingOrder="2"/>
    </xf>
    <xf numFmtId="0" fontId="10" fillId="4" borderId="38" xfId="1" applyFont="1" applyFill="1" applyBorder="1" applyAlignment="1">
      <alignment horizontal="center" vertical="center" wrapText="1" readingOrder="2"/>
    </xf>
    <xf numFmtId="0" fontId="11" fillId="4" borderId="37" xfId="1" applyFont="1" applyFill="1" applyBorder="1" applyAlignment="1">
      <alignment horizontal="center" vertical="center" wrapText="1" readingOrder="2"/>
    </xf>
    <xf numFmtId="0" fontId="11" fillId="4" borderId="38" xfId="1" applyFont="1" applyFill="1" applyBorder="1" applyAlignment="1">
      <alignment horizontal="center" vertical="center" wrapText="1" readingOrder="2"/>
    </xf>
    <xf numFmtId="0" fontId="11" fillId="4" borderId="39" xfId="1" applyFont="1" applyFill="1" applyBorder="1" applyAlignment="1">
      <alignment horizontal="center" vertical="center" wrapText="1" readingOrder="2"/>
    </xf>
    <xf numFmtId="0" fontId="8" fillId="28" borderId="200" xfId="1" applyFont="1" applyFill="1" applyBorder="1" applyAlignment="1" applyProtection="1">
      <alignment horizontal="right" vertical="center" wrapText="1" readingOrder="2"/>
      <protection locked="0" hidden="1"/>
    </xf>
    <xf numFmtId="0" fontId="10" fillId="28" borderId="200" xfId="1" applyFont="1" applyFill="1" applyBorder="1" applyAlignment="1" applyProtection="1">
      <alignment horizontal="center" vertical="center" wrapText="1" readingOrder="2"/>
      <protection locked="0" hidden="1"/>
    </xf>
    <xf numFmtId="0" fontId="8" fillId="4" borderId="38" xfId="1" applyFont="1" applyFill="1" applyBorder="1" applyAlignment="1" applyProtection="1">
      <alignment horizontal="center" vertical="center" wrapText="1" readingOrder="2"/>
      <protection hidden="1"/>
    </xf>
    <xf numFmtId="0" fontId="8" fillId="4" borderId="39" xfId="1" applyFont="1" applyFill="1" applyBorder="1" applyAlignment="1" applyProtection="1">
      <alignment horizontal="center" vertical="center" wrapText="1" readingOrder="2"/>
      <protection hidden="1"/>
    </xf>
    <xf numFmtId="0" fontId="8" fillId="28" borderId="39" xfId="1" applyFont="1" applyFill="1" applyBorder="1" applyAlignment="1" applyProtection="1">
      <alignment horizontal="center" vertical="center" wrapText="1" readingOrder="2"/>
      <protection hidden="1"/>
    </xf>
    <xf numFmtId="0" fontId="6" fillId="4" borderId="207" xfId="1" applyFont="1" applyFill="1" applyBorder="1" applyAlignment="1" applyProtection="1">
      <alignment horizontal="center" vertical="center" wrapText="1" readingOrder="2"/>
      <protection hidden="1"/>
    </xf>
    <xf numFmtId="0" fontId="6" fillId="28" borderId="207" xfId="1" applyFont="1" applyFill="1" applyBorder="1" applyAlignment="1" applyProtection="1">
      <alignment horizontal="center" vertical="center" wrapText="1" readingOrder="2"/>
      <protection hidden="1"/>
    </xf>
    <xf numFmtId="0" fontId="132" fillId="0" borderId="0" xfId="1" applyFont="1" applyAlignment="1">
      <alignment horizontal="left" vertical="center" readingOrder="2"/>
    </xf>
    <xf numFmtId="0" fontId="36" fillId="0" borderId="0" xfId="0" applyFont="1" applyAlignment="1">
      <alignment horizontal="center" vertical="center" readingOrder="2"/>
    </xf>
    <xf numFmtId="0" fontId="8" fillId="15" borderId="75" xfId="1" applyFont="1" applyFill="1" applyBorder="1" applyAlignment="1">
      <alignment horizontal="center" vertical="center" wrapText="1" readingOrder="2"/>
    </xf>
    <xf numFmtId="0" fontId="29" fillId="0" borderId="0" xfId="2" applyFont="1" applyAlignment="1" applyProtection="1">
      <alignment horizontal="right" vertical="center" readingOrder="2"/>
      <protection locked="0"/>
    </xf>
    <xf numFmtId="3" fontId="10" fillId="4" borderId="43" xfId="1" applyNumberFormat="1" applyFont="1" applyFill="1" applyBorder="1" applyAlignment="1">
      <alignment horizontal="center" vertical="center" wrapText="1" readingOrder="2"/>
    </xf>
    <xf numFmtId="166" fontId="35" fillId="4" borderId="144" xfId="0" applyNumberFormat="1" applyFont="1" applyFill="1" applyBorder="1" applyAlignment="1">
      <alignment horizontal="center" vertical="center" wrapText="1"/>
    </xf>
    <xf numFmtId="166" fontId="8" fillId="4" borderId="3" xfId="1" applyNumberFormat="1" applyFont="1" applyFill="1" applyBorder="1" applyAlignment="1" applyProtection="1">
      <alignment horizontal="center" vertical="center" wrapText="1" readingOrder="2"/>
      <protection hidden="1"/>
    </xf>
    <xf numFmtId="166" fontId="10" fillId="4" borderId="71" xfId="1" applyNumberFormat="1" applyFont="1" applyFill="1" applyBorder="1" applyAlignment="1">
      <alignment horizontal="center" vertical="center" readingOrder="2"/>
    </xf>
    <xf numFmtId="3" fontId="8" fillId="0" borderId="71" xfId="1" applyNumberFormat="1" applyFont="1" applyBorder="1" applyAlignment="1" applyProtection="1">
      <alignment horizontal="center" vertical="center" readingOrder="2"/>
      <protection locked="0"/>
    </xf>
    <xf numFmtId="166" fontId="8" fillId="0" borderId="97" xfId="1" applyNumberFormat="1" applyFont="1" applyBorder="1" applyAlignment="1" applyProtection="1">
      <alignment horizontal="center" vertical="center" wrapText="1" readingOrder="2"/>
      <protection locked="0"/>
    </xf>
    <xf numFmtId="166" fontId="8" fillId="0" borderId="14" xfId="1" applyNumberFormat="1" applyFont="1" applyBorder="1" applyAlignment="1" applyProtection="1">
      <alignment horizontal="center" vertical="center" wrapText="1" readingOrder="2"/>
      <protection locked="0"/>
    </xf>
    <xf numFmtId="0" fontId="73" fillId="0" borderId="0" xfId="0" applyFont="1" applyProtection="1">
      <protection locked="0" hidden="1"/>
    </xf>
    <xf numFmtId="166" fontId="10" fillId="4" borderId="18" xfId="1" applyNumberFormat="1" applyFont="1" applyFill="1" applyBorder="1" applyAlignment="1">
      <alignment horizontal="center" vertical="center" wrapText="1" readingOrder="2"/>
    </xf>
    <xf numFmtId="166" fontId="8" fillId="4" borderId="35" xfId="1" applyNumberFormat="1" applyFont="1" applyFill="1" applyBorder="1" applyAlignment="1">
      <alignment horizontal="center" vertical="center" wrapText="1" readingOrder="2"/>
    </xf>
    <xf numFmtId="166" fontId="8" fillId="4" borderId="34" xfId="1" applyNumberFormat="1" applyFont="1" applyFill="1" applyBorder="1" applyAlignment="1">
      <alignment horizontal="center" vertical="center" wrapText="1" readingOrder="2"/>
    </xf>
    <xf numFmtId="166" fontId="10" fillId="4" borderId="55" xfId="1" applyNumberFormat="1" applyFont="1" applyFill="1" applyBorder="1" applyAlignment="1">
      <alignment horizontal="center" vertical="center" wrapText="1" readingOrder="2"/>
    </xf>
    <xf numFmtId="166" fontId="10" fillId="4" borderId="56" xfId="1" applyNumberFormat="1" applyFont="1" applyFill="1" applyBorder="1" applyAlignment="1">
      <alignment horizontal="center" vertical="center" wrapText="1" readingOrder="2"/>
    </xf>
    <xf numFmtId="166" fontId="10" fillId="4" borderId="322" xfId="1" applyNumberFormat="1" applyFont="1" applyFill="1" applyBorder="1" applyAlignment="1">
      <alignment horizontal="center" vertical="center" wrapText="1" readingOrder="2"/>
    </xf>
    <xf numFmtId="166" fontId="8" fillId="13" borderId="169" xfId="1" applyNumberFormat="1" applyFont="1" applyFill="1" applyBorder="1" applyAlignment="1">
      <alignment horizontal="center" vertical="center" wrapText="1" readingOrder="2"/>
    </xf>
    <xf numFmtId="166" fontId="8" fillId="13" borderId="93" xfId="1" applyNumberFormat="1" applyFont="1" applyFill="1" applyBorder="1" applyAlignment="1">
      <alignment horizontal="center" vertical="center" wrapText="1" readingOrder="2"/>
    </xf>
    <xf numFmtId="166" fontId="8" fillId="13" borderId="174" xfId="1" applyNumberFormat="1" applyFont="1" applyFill="1" applyBorder="1" applyAlignment="1">
      <alignment horizontal="center" vertical="center" wrapText="1" readingOrder="2"/>
    </xf>
    <xf numFmtId="166" fontId="10" fillId="4" borderId="107" xfId="1" applyNumberFormat="1" applyFont="1" applyFill="1" applyBorder="1" applyAlignment="1">
      <alignment horizontal="center" vertical="center" wrapText="1" readingOrder="2"/>
    </xf>
    <xf numFmtId="166" fontId="10" fillId="4" borderId="108" xfId="1" applyNumberFormat="1" applyFont="1" applyFill="1" applyBorder="1" applyAlignment="1">
      <alignment horizontal="center" vertical="center" wrapText="1" readingOrder="2"/>
    </xf>
    <xf numFmtId="166" fontId="10" fillId="4" borderId="207" xfId="1" applyNumberFormat="1" applyFont="1" applyFill="1" applyBorder="1" applyAlignment="1">
      <alignment horizontal="center" vertical="center" wrapText="1" readingOrder="2"/>
    </xf>
    <xf numFmtId="166" fontId="8" fillId="4" borderId="62" xfId="1" applyNumberFormat="1" applyFont="1" applyFill="1" applyBorder="1" applyAlignment="1">
      <alignment horizontal="center" vertical="center" wrapText="1" readingOrder="2"/>
    </xf>
    <xf numFmtId="3" fontId="9" fillId="14" borderId="327" xfId="1" applyNumberFormat="1" applyFont="1" applyFill="1" applyBorder="1" applyAlignment="1">
      <alignment horizontal="center" vertical="center"/>
    </xf>
    <xf numFmtId="3" fontId="8" fillId="14" borderId="199" xfId="1" applyNumberFormat="1" applyFont="1" applyFill="1" applyBorder="1" applyAlignment="1">
      <alignment horizontal="center" vertical="center"/>
    </xf>
    <xf numFmtId="3" fontId="9" fillId="14" borderId="34" xfId="1" applyNumberFormat="1" applyFont="1" applyFill="1" applyBorder="1" applyAlignment="1">
      <alignment horizontal="center" vertical="center"/>
    </xf>
    <xf numFmtId="166" fontId="10" fillId="4" borderId="58" xfId="1" applyNumberFormat="1" applyFont="1" applyFill="1" applyBorder="1" applyAlignment="1">
      <alignment horizontal="center" vertical="center" wrapText="1" readingOrder="2"/>
    </xf>
    <xf numFmtId="166" fontId="10" fillId="4" borderId="59" xfId="1" applyNumberFormat="1" applyFont="1" applyFill="1" applyBorder="1" applyAlignment="1">
      <alignment horizontal="center" vertical="center" wrapText="1" readingOrder="2"/>
    </xf>
    <xf numFmtId="3" fontId="14" fillId="13" borderId="144" xfId="1" applyNumberFormat="1" applyFont="1" applyFill="1" applyBorder="1" applyAlignment="1">
      <alignment horizontal="center" vertical="center" wrapText="1" readingOrder="2"/>
    </xf>
    <xf numFmtId="166" fontId="8" fillId="4" borderId="183" xfId="1" applyNumberFormat="1" applyFont="1" applyFill="1" applyBorder="1" applyAlignment="1">
      <alignment horizontal="centerContinuous" vertical="center" wrapText="1" readingOrder="2"/>
    </xf>
    <xf numFmtId="0" fontId="8" fillId="4" borderId="114" xfId="1" applyFont="1" applyFill="1" applyBorder="1" applyAlignment="1">
      <alignment horizontal="centerContinuous" vertical="center" wrapText="1" readingOrder="2"/>
    </xf>
    <xf numFmtId="0" fontId="8" fillId="4" borderId="216" xfId="1" applyFont="1" applyFill="1" applyBorder="1" applyAlignment="1">
      <alignment horizontal="centerContinuous" vertical="center" wrapText="1" readingOrder="2"/>
    </xf>
    <xf numFmtId="166" fontId="8" fillId="0" borderId="108" xfId="1" applyNumberFormat="1" applyFont="1" applyBorder="1" applyAlignment="1" applyProtection="1">
      <alignment horizontal="center" vertical="center" wrapText="1" readingOrder="2"/>
      <protection locked="0"/>
    </xf>
    <xf numFmtId="3" fontId="9" fillId="13" borderId="144" xfId="1" applyNumberFormat="1" applyFont="1" applyFill="1" applyBorder="1" applyAlignment="1">
      <alignment horizontal="center" vertical="center" wrapText="1" readingOrder="2"/>
    </xf>
    <xf numFmtId="0" fontId="8" fillId="16" borderId="82" xfId="1" applyFont="1" applyFill="1" applyBorder="1" applyAlignment="1">
      <alignment horizontal="centerContinuous" vertical="center" wrapText="1" readingOrder="2"/>
    </xf>
    <xf numFmtId="0" fontId="8" fillId="16" borderId="2" xfId="1" applyFont="1" applyFill="1" applyBorder="1" applyAlignment="1">
      <alignment horizontal="centerContinuous" vertical="center" wrapText="1" readingOrder="2"/>
    </xf>
    <xf numFmtId="0" fontId="8" fillId="16" borderId="144" xfId="1" applyFont="1" applyFill="1" applyBorder="1" applyAlignment="1">
      <alignment horizontal="centerContinuous" vertical="center" wrapText="1" readingOrder="2"/>
    </xf>
    <xf numFmtId="3" fontId="9" fillId="13" borderId="151" xfId="1" applyNumberFormat="1" applyFont="1" applyFill="1" applyBorder="1" applyAlignment="1">
      <alignment horizontal="center" vertical="center" wrapText="1" readingOrder="2"/>
    </xf>
    <xf numFmtId="3" fontId="9" fillId="13" borderId="152" xfId="1" applyNumberFormat="1" applyFont="1" applyFill="1" applyBorder="1" applyAlignment="1">
      <alignment horizontal="center" vertical="center" wrapText="1" readingOrder="2"/>
    </xf>
    <xf numFmtId="3" fontId="14" fillId="13" borderId="152" xfId="1" applyNumberFormat="1" applyFont="1" applyFill="1" applyBorder="1" applyAlignment="1">
      <alignment horizontal="center" vertical="center" wrapText="1" readingOrder="2"/>
    </xf>
    <xf numFmtId="0" fontId="8" fillId="16" borderId="152" xfId="1" applyFont="1" applyFill="1" applyBorder="1" applyAlignment="1">
      <alignment horizontal="centerContinuous" vertical="center" wrapText="1" readingOrder="2"/>
    </xf>
    <xf numFmtId="166" fontId="8" fillId="0" borderId="55" xfId="1" applyNumberFormat="1" applyFont="1" applyBorder="1" applyAlignment="1" applyProtection="1">
      <alignment horizontal="centerContinuous" vertical="center" wrapText="1" readingOrder="2"/>
      <protection locked="0"/>
    </xf>
    <xf numFmtId="166" fontId="8" fillId="0" borderId="56" xfId="1" applyNumberFormat="1" applyFont="1" applyBorder="1" applyAlignment="1" applyProtection="1">
      <alignment horizontal="centerContinuous" vertical="center" wrapText="1" readingOrder="2"/>
      <protection locked="0"/>
    </xf>
    <xf numFmtId="3" fontId="8" fillId="0" borderId="56" xfId="1" applyNumberFormat="1" applyFont="1" applyBorder="1" applyAlignment="1" applyProtection="1">
      <alignment horizontal="centerContinuous" vertical="center" wrapText="1" readingOrder="2"/>
      <protection locked="0"/>
    </xf>
    <xf numFmtId="166" fontId="8" fillId="0" borderId="16" xfId="1" applyNumberFormat="1" applyFont="1" applyBorder="1" applyAlignment="1" applyProtection="1">
      <alignment horizontal="centerContinuous" vertical="center" wrapText="1" readingOrder="2"/>
      <protection locked="0"/>
    </xf>
    <xf numFmtId="166" fontId="8" fillId="0" borderId="17" xfId="1" applyNumberFormat="1" applyFont="1" applyBorder="1" applyAlignment="1" applyProtection="1">
      <alignment horizontal="centerContinuous" vertical="center" wrapText="1" readingOrder="2"/>
      <protection locked="0"/>
    </xf>
    <xf numFmtId="3" fontId="8" fillId="0" borderId="17" xfId="1" applyNumberFormat="1" applyFont="1" applyBorder="1" applyAlignment="1" applyProtection="1">
      <alignment horizontal="centerContinuous" vertical="center" wrapText="1" readingOrder="2"/>
      <protection locked="0"/>
    </xf>
    <xf numFmtId="0" fontId="8" fillId="16" borderId="15" xfId="1" applyFont="1" applyFill="1" applyBorder="1" applyAlignment="1">
      <alignment horizontal="center" vertical="center" wrapText="1" readingOrder="2"/>
    </xf>
    <xf numFmtId="0" fontId="128" fillId="0" borderId="0" xfId="1" applyFont="1" applyAlignment="1">
      <alignment vertical="center" readingOrder="2"/>
    </xf>
    <xf numFmtId="166" fontId="10" fillId="4" borderId="329" xfId="1" applyNumberFormat="1" applyFont="1" applyFill="1" applyBorder="1" applyAlignment="1">
      <alignment horizontal="center" vertical="center" wrapText="1" readingOrder="2"/>
    </xf>
    <xf numFmtId="166" fontId="10" fillId="4" borderId="158" xfId="1" applyNumberFormat="1" applyFont="1" applyFill="1" applyBorder="1" applyAlignment="1">
      <alignment horizontal="center" vertical="center" wrapText="1" readingOrder="2"/>
    </xf>
    <xf numFmtId="166" fontId="10" fillId="4" borderId="178" xfId="1" applyNumberFormat="1" applyFont="1" applyFill="1" applyBorder="1" applyAlignment="1">
      <alignment horizontal="center" vertical="center" wrapText="1" readingOrder="2"/>
    </xf>
    <xf numFmtId="166" fontId="10" fillId="4" borderId="330" xfId="1" applyNumberFormat="1" applyFont="1" applyFill="1" applyBorder="1" applyAlignment="1">
      <alignment horizontal="center" vertical="center" wrapText="1" readingOrder="2"/>
    </xf>
    <xf numFmtId="166" fontId="10" fillId="4" borderId="331" xfId="1" applyNumberFormat="1" applyFont="1" applyFill="1" applyBorder="1" applyAlignment="1">
      <alignment horizontal="center" vertical="center" wrapText="1" readingOrder="2"/>
    </xf>
    <xf numFmtId="166" fontId="10" fillId="4" borderId="169" xfId="1" applyNumberFormat="1" applyFont="1" applyFill="1" applyBorder="1" applyAlignment="1">
      <alignment horizontal="center" vertical="center" wrapText="1" readingOrder="2"/>
    </xf>
    <xf numFmtId="166" fontId="10" fillId="4" borderId="62" xfId="1" applyNumberFormat="1" applyFont="1" applyFill="1" applyBorder="1" applyAlignment="1">
      <alignment horizontal="center" vertical="center" wrapText="1" readingOrder="2"/>
    </xf>
    <xf numFmtId="166" fontId="8" fillId="4" borderId="16" xfId="1" applyNumberFormat="1" applyFont="1" applyFill="1" applyBorder="1" applyAlignment="1">
      <alignment horizontal="center" vertical="center" wrapText="1" readingOrder="2"/>
    </xf>
    <xf numFmtId="166" fontId="8" fillId="4" borderId="55" xfId="1" applyNumberFormat="1" applyFont="1" applyFill="1" applyBorder="1" applyAlignment="1">
      <alignment horizontal="centerContinuous" vertical="center" wrapText="1" readingOrder="2"/>
    </xf>
    <xf numFmtId="166" fontId="8" fillId="4" borderId="148" xfId="1" applyNumberFormat="1" applyFont="1" applyFill="1" applyBorder="1" applyAlignment="1">
      <alignment horizontal="center" vertical="center" wrapText="1" readingOrder="2"/>
    </xf>
    <xf numFmtId="166" fontId="8" fillId="4" borderId="90" xfId="1" applyNumberFormat="1" applyFont="1" applyFill="1" applyBorder="1" applyAlignment="1">
      <alignment horizontal="center" vertical="center" wrapText="1" readingOrder="2"/>
    </xf>
    <xf numFmtId="166" fontId="8" fillId="4" borderId="94" xfId="1" applyNumberFormat="1" applyFont="1" applyFill="1" applyBorder="1" applyAlignment="1">
      <alignment horizontal="centerContinuous" vertical="center" wrapText="1" readingOrder="2"/>
    </xf>
    <xf numFmtId="0" fontId="117" fillId="0" borderId="0" xfId="1" applyFont="1" applyAlignment="1" applyProtection="1">
      <alignment horizontal="centerContinuous" readingOrder="2"/>
      <protection locked="0"/>
    </xf>
    <xf numFmtId="0" fontId="28" fillId="0" borderId="0" xfId="1" applyFont="1" applyAlignment="1">
      <alignment vertical="center" readingOrder="2"/>
    </xf>
    <xf numFmtId="0" fontId="9" fillId="15" borderId="72" xfId="1" applyFont="1" applyFill="1" applyBorder="1" applyAlignment="1">
      <alignment horizontal="centerContinuous" vertical="center" wrapText="1" readingOrder="2"/>
    </xf>
    <xf numFmtId="166" fontId="10" fillId="4" borderId="195" xfId="1" applyNumberFormat="1" applyFont="1" applyFill="1" applyBorder="1" applyAlignment="1">
      <alignment horizontal="center" vertical="center" wrapText="1" readingOrder="2"/>
    </xf>
    <xf numFmtId="166" fontId="10" fillId="4" borderId="308" xfId="1" applyNumberFormat="1" applyFont="1" applyFill="1" applyBorder="1" applyAlignment="1">
      <alignment horizontal="center" vertical="center" readingOrder="2"/>
    </xf>
    <xf numFmtId="166" fontId="10" fillId="4" borderId="45" xfId="1" applyNumberFormat="1" applyFont="1" applyFill="1" applyBorder="1" applyAlignment="1">
      <alignment horizontal="center" vertical="center" readingOrder="2"/>
    </xf>
    <xf numFmtId="166" fontId="8" fillId="4" borderId="107" xfId="1" applyNumberFormat="1" applyFont="1" applyFill="1" applyBorder="1" applyAlignment="1">
      <alignment horizontal="center" vertical="center" readingOrder="2"/>
    </xf>
    <xf numFmtId="166" fontId="8" fillId="4" borderId="25" xfId="1" applyNumberFormat="1" applyFont="1" applyFill="1" applyBorder="1" applyAlignment="1">
      <alignment horizontal="center" vertical="center" readingOrder="2"/>
    </xf>
    <xf numFmtId="166" fontId="10" fillId="4" borderId="108" xfId="1" applyNumberFormat="1" applyFont="1" applyFill="1" applyBorder="1" applyAlignment="1">
      <alignment horizontal="center" vertical="center" readingOrder="2"/>
    </xf>
    <xf numFmtId="166" fontId="10" fillId="4" borderId="31" xfId="1" applyNumberFormat="1" applyFont="1" applyFill="1" applyBorder="1" applyAlignment="1">
      <alignment horizontal="center" vertical="center" readingOrder="2"/>
    </xf>
    <xf numFmtId="166" fontId="10" fillId="4" borderId="207" xfId="1" applyNumberFormat="1" applyFont="1" applyFill="1" applyBorder="1" applyAlignment="1">
      <alignment horizontal="center" vertical="center" readingOrder="2"/>
    </xf>
    <xf numFmtId="166" fontId="10" fillId="4" borderId="50" xfId="1" applyNumberFormat="1" applyFont="1" applyFill="1" applyBorder="1" applyAlignment="1">
      <alignment horizontal="center" vertical="center" readingOrder="2"/>
    </xf>
    <xf numFmtId="166" fontId="8" fillId="4" borderId="169" xfId="1" applyNumberFormat="1" applyFont="1" applyFill="1" applyBorder="1" applyAlignment="1">
      <alignment horizontal="center" vertical="center" readingOrder="2"/>
    </xf>
    <xf numFmtId="166" fontId="8" fillId="4" borderId="62" xfId="1" applyNumberFormat="1" applyFont="1" applyFill="1" applyBorder="1" applyAlignment="1">
      <alignment horizontal="center" vertical="center" readingOrder="2"/>
    </xf>
    <xf numFmtId="166" fontId="10" fillId="4" borderId="308" xfId="1" applyNumberFormat="1" applyFont="1" applyFill="1" applyBorder="1" applyAlignment="1">
      <alignment horizontal="center" vertical="center" wrapText="1" readingOrder="2"/>
    </xf>
    <xf numFmtId="166" fontId="10" fillId="4" borderId="45" xfId="1" applyNumberFormat="1" applyFont="1" applyFill="1" applyBorder="1" applyAlignment="1">
      <alignment horizontal="center" vertical="center" wrapText="1" readingOrder="2"/>
    </xf>
    <xf numFmtId="166" fontId="10" fillId="4" borderId="106" xfId="1" applyNumberFormat="1" applyFont="1" applyFill="1" applyBorder="1" applyAlignment="1">
      <alignment horizontal="center" vertical="center" wrapText="1" readingOrder="2"/>
    </xf>
    <xf numFmtId="3" fontId="8" fillId="13" borderId="284" xfId="1" applyNumberFormat="1" applyFont="1" applyFill="1" applyBorder="1" applyAlignment="1">
      <alignment horizontal="center" vertical="center" wrapText="1" readingOrder="2"/>
    </xf>
    <xf numFmtId="3" fontId="8" fillId="13" borderId="68" xfId="1" applyNumberFormat="1" applyFont="1" applyFill="1" applyBorder="1" applyAlignment="1">
      <alignment horizontal="center" vertical="center" wrapText="1" readingOrder="2"/>
    </xf>
    <xf numFmtId="3" fontId="8" fillId="13" borderId="99" xfId="1" applyNumberFormat="1" applyFont="1" applyFill="1" applyBorder="1" applyAlignment="1">
      <alignment horizontal="center" vertical="center" wrapText="1" readingOrder="2"/>
    </xf>
    <xf numFmtId="3" fontId="10" fillId="4" borderId="17" xfId="1" applyNumberFormat="1" applyFont="1" applyFill="1" applyBorder="1" applyAlignment="1">
      <alignment horizontal="center" vertical="center" wrapText="1" readingOrder="2"/>
    </xf>
    <xf numFmtId="3" fontId="10" fillId="4" borderId="56" xfId="1" applyNumberFormat="1" applyFont="1" applyFill="1" applyBorder="1" applyAlignment="1">
      <alignment horizontal="center" vertical="center" wrapText="1" readingOrder="2"/>
    </xf>
    <xf numFmtId="0" fontId="0" fillId="0" borderId="0" xfId="0" applyAlignment="1" applyProtection="1">
      <alignment horizontal="centerContinuous"/>
      <protection locked="0"/>
    </xf>
    <xf numFmtId="166" fontId="10" fillId="4" borderId="107" xfId="1" applyNumberFormat="1" applyFont="1" applyFill="1" applyBorder="1" applyAlignment="1">
      <alignment horizontal="center" vertical="center" readingOrder="2"/>
    </xf>
    <xf numFmtId="166" fontId="10" fillId="4" borderId="25" xfId="1" applyNumberFormat="1" applyFont="1" applyFill="1" applyBorder="1" applyAlignment="1">
      <alignment horizontal="center" vertical="center" readingOrder="2"/>
    </xf>
    <xf numFmtId="166" fontId="10" fillId="4" borderId="327" xfId="1" applyNumberFormat="1" applyFont="1" applyFill="1" applyBorder="1" applyAlignment="1">
      <alignment horizontal="center" vertical="center" readingOrder="2"/>
    </xf>
    <xf numFmtId="166" fontId="10" fillId="4" borderId="34" xfId="1" applyNumberFormat="1" applyFont="1" applyFill="1" applyBorder="1" applyAlignment="1">
      <alignment horizontal="center" vertical="center" readingOrder="2"/>
    </xf>
    <xf numFmtId="0" fontId="135" fillId="0" borderId="0" xfId="1" applyFont="1" applyAlignment="1" applyProtection="1">
      <alignment horizontal="centerContinuous" readingOrder="2"/>
      <protection locked="0"/>
    </xf>
    <xf numFmtId="0" fontId="21" fillId="0" borderId="0" xfId="1" applyFont="1" applyAlignment="1">
      <alignment vertical="top" readingOrder="2"/>
    </xf>
    <xf numFmtId="166" fontId="10" fillId="4" borderId="131" xfId="2" applyNumberFormat="1" applyFont="1" applyFill="1" applyBorder="1" applyAlignment="1">
      <alignment horizontal="center" vertical="center" readingOrder="2"/>
    </xf>
    <xf numFmtId="166" fontId="10" fillId="4" borderId="78" xfId="2" applyNumberFormat="1" applyFont="1" applyFill="1" applyBorder="1" applyAlignment="1">
      <alignment horizontal="center" vertical="center" readingOrder="2"/>
    </xf>
    <xf numFmtId="166" fontId="10" fillId="4" borderId="108" xfId="2" applyNumberFormat="1" applyFont="1" applyFill="1" applyBorder="1" applyAlignment="1">
      <alignment horizontal="center" vertical="center"/>
    </xf>
    <xf numFmtId="166" fontId="10" fillId="4" borderId="31" xfId="2" applyNumberFormat="1" applyFont="1" applyFill="1" applyBorder="1" applyAlignment="1">
      <alignment horizontal="center" vertical="center"/>
    </xf>
    <xf numFmtId="166" fontId="10" fillId="4" borderId="134" xfId="2" applyNumberFormat="1" applyFont="1" applyFill="1" applyBorder="1" applyAlignment="1">
      <alignment horizontal="center" vertical="center"/>
    </xf>
    <xf numFmtId="166" fontId="10" fillId="4" borderId="12" xfId="2" applyNumberFormat="1" applyFont="1" applyFill="1" applyBorder="1" applyAlignment="1">
      <alignment horizontal="center" vertical="center"/>
    </xf>
    <xf numFmtId="166" fontId="10" fillId="4" borderId="169" xfId="2" applyNumberFormat="1" applyFont="1" applyFill="1" applyBorder="1" applyAlignment="1">
      <alignment horizontal="center" vertical="center" readingOrder="2"/>
    </xf>
    <xf numFmtId="166" fontId="10" fillId="4" borderId="62" xfId="2" applyNumberFormat="1" applyFont="1" applyFill="1" applyBorder="1" applyAlignment="1">
      <alignment horizontal="center" vertical="center" readingOrder="2"/>
    </xf>
    <xf numFmtId="3" fontId="10" fillId="4" borderId="106" xfId="1" applyNumberFormat="1" applyFont="1" applyFill="1" applyBorder="1" applyAlignment="1">
      <alignment horizontal="center" vertical="center" wrapText="1" readingOrder="2"/>
    </xf>
    <xf numFmtId="3" fontId="10" fillId="4" borderId="174" xfId="1" applyNumberFormat="1" applyFont="1" applyFill="1" applyBorder="1" applyAlignment="1">
      <alignment horizontal="center" vertical="center" wrapText="1" readingOrder="2"/>
    </xf>
    <xf numFmtId="3" fontId="10" fillId="4" borderId="308" xfId="1" applyNumberFormat="1" applyFont="1" applyFill="1" applyBorder="1" applyAlignment="1">
      <alignment horizontal="center" vertical="center" wrapText="1" readingOrder="2"/>
    </xf>
    <xf numFmtId="3" fontId="10" fillId="4" borderId="169" xfId="1" applyNumberFormat="1" applyFont="1" applyFill="1" applyBorder="1" applyAlignment="1">
      <alignment horizontal="center" vertical="center" wrapText="1" readingOrder="2"/>
    </xf>
    <xf numFmtId="0" fontId="9" fillId="15" borderId="62" xfId="1" applyFont="1" applyFill="1" applyBorder="1" applyAlignment="1">
      <alignment horizontal="centerContinuous" vertical="center" wrapText="1" readingOrder="2"/>
    </xf>
    <xf numFmtId="3" fontId="10" fillId="4" borderId="31" xfId="1" applyNumberFormat="1" applyFont="1" applyFill="1" applyBorder="1" applyAlignment="1">
      <alignment horizontal="center" vertical="center" wrapText="1" readingOrder="2"/>
    </xf>
    <xf numFmtId="3" fontId="10" fillId="4" borderId="62" xfId="1" applyNumberFormat="1" applyFont="1" applyFill="1" applyBorder="1" applyAlignment="1">
      <alignment horizontal="center" vertical="center" wrapText="1" readingOrder="2"/>
    </xf>
    <xf numFmtId="3" fontId="10" fillId="4" borderId="150" xfId="1" applyNumberFormat="1" applyFont="1" applyFill="1" applyBorder="1" applyAlignment="1">
      <alignment horizontal="center" vertical="center" wrapText="1" readingOrder="2"/>
    </xf>
    <xf numFmtId="3" fontId="10" fillId="4" borderId="93" xfId="1" applyNumberFormat="1" applyFont="1" applyFill="1" applyBorder="1" applyAlignment="1">
      <alignment horizontal="center" vertical="center" wrapText="1" readingOrder="2"/>
    </xf>
    <xf numFmtId="3" fontId="10" fillId="4" borderId="199" xfId="1" applyNumberFormat="1" applyFont="1" applyFill="1" applyBorder="1" applyAlignment="1">
      <alignment horizontal="center" vertical="center" wrapText="1" readingOrder="2"/>
    </xf>
    <xf numFmtId="3" fontId="10" fillId="4" borderId="332" xfId="1" applyNumberFormat="1" applyFont="1" applyFill="1" applyBorder="1" applyAlignment="1">
      <alignment horizontal="center" vertical="center" wrapText="1" readingOrder="2"/>
    </xf>
    <xf numFmtId="3" fontId="10" fillId="4" borderId="327" xfId="1" applyNumberFormat="1" applyFont="1" applyFill="1" applyBorder="1" applyAlignment="1">
      <alignment horizontal="center" vertical="center" wrapText="1" readingOrder="2"/>
    </xf>
    <xf numFmtId="3" fontId="10" fillId="4" borderId="333" xfId="1" applyNumberFormat="1" applyFont="1" applyFill="1" applyBorder="1" applyAlignment="1">
      <alignment horizontal="center" vertical="center" wrapText="1" readingOrder="2"/>
    </xf>
    <xf numFmtId="3" fontId="10" fillId="4" borderId="297" xfId="1" applyNumberFormat="1" applyFont="1" applyFill="1" applyBorder="1" applyAlignment="1">
      <alignment horizontal="center" vertical="center" wrapText="1" readingOrder="2"/>
    </xf>
    <xf numFmtId="3" fontId="10" fillId="4" borderId="334" xfId="1" applyNumberFormat="1" applyFont="1" applyFill="1" applyBorder="1" applyAlignment="1">
      <alignment horizontal="center" vertical="center" wrapText="1" readingOrder="2"/>
    </xf>
    <xf numFmtId="3" fontId="10" fillId="4" borderId="35" xfId="1" applyNumberFormat="1" applyFont="1" applyFill="1" applyBorder="1" applyAlignment="1">
      <alignment horizontal="center" vertical="center" wrapText="1" readingOrder="2"/>
    </xf>
    <xf numFmtId="0" fontId="22" fillId="0" borderId="0" xfId="1" applyFont="1" applyAlignment="1">
      <alignment horizontal="centerContinuous" readingOrder="2"/>
    </xf>
    <xf numFmtId="166" fontId="10" fillId="4" borderId="131" xfId="1" applyNumberFormat="1" applyFont="1" applyFill="1" applyBorder="1" applyAlignment="1">
      <alignment horizontal="center" vertical="center" wrapText="1" readingOrder="2"/>
    </xf>
    <xf numFmtId="166" fontId="10" fillId="4" borderId="78" xfId="1" applyNumberFormat="1" applyFont="1" applyFill="1" applyBorder="1" applyAlignment="1">
      <alignment horizontal="center" vertical="center" wrapText="1" readingOrder="2"/>
    </xf>
    <xf numFmtId="166" fontId="10" fillId="4" borderId="134" xfId="1" applyNumberFormat="1" applyFont="1" applyFill="1" applyBorder="1" applyAlignment="1">
      <alignment horizontal="center" vertical="center" wrapText="1" readingOrder="2"/>
    </xf>
    <xf numFmtId="166" fontId="10" fillId="4" borderId="12" xfId="1" applyNumberFormat="1" applyFont="1" applyFill="1" applyBorder="1" applyAlignment="1">
      <alignment horizontal="center" vertical="center" wrapText="1" readingOrder="2"/>
    </xf>
    <xf numFmtId="166" fontId="10" fillId="4" borderId="215" xfId="1" applyNumberFormat="1" applyFont="1" applyFill="1" applyBorder="1" applyAlignment="1">
      <alignment horizontal="center" vertical="center" wrapText="1" readingOrder="2"/>
    </xf>
    <xf numFmtId="166" fontId="10" fillId="4" borderId="49" xfId="1" applyNumberFormat="1" applyFont="1" applyFill="1" applyBorder="1" applyAlignment="1">
      <alignment horizontal="center" vertical="center" wrapText="1" readingOrder="2"/>
    </xf>
    <xf numFmtId="0" fontId="136" fillId="0" borderId="0" xfId="1" applyFont="1" applyAlignment="1">
      <alignment horizontal="centerContinuous" readingOrder="2"/>
    </xf>
    <xf numFmtId="166" fontId="10" fillId="4" borderId="141" xfId="1" applyNumberFormat="1" applyFont="1" applyFill="1" applyBorder="1" applyAlignment="1">
      <alignment horizontal="center" vertical="center" wrapText="1" readingOrder="2"/>
    </xf>
    <xf numFmtId="166" fontId="10" fillId="4" borderId="220" xfId="1" applyNumberFormat="1" applyFont="1" applyFill="1" applyBorder="1" applyAlignment="1">
      <alignment horizontal="center" vertical="center" wrapText="1" readingOrder="2"/>
    </xf>
    <xf numFmtId="166" fontId="10" fillId="4" borderId="225" xfId="1" applyNumberFormat="1" applyFont="1" applyFill="1" applyBorder="1" applyAlignment="1">
      <alignment horizontal="center" vertical="center" wrapText="1" readingOrder="2"/>
    </xf>
    <xf numFmtId="166" fontId="10" fillId="4" borderId="211" xfId="1" applyNumberFormat="1" applyFont="1" applyFill="1" applyBorder="1" applyAlignment="1">
      <alignment horizontal="center" vertical="center" wrapText="1" readingOrder="2"/>
    </xf>
    <xf numFmtId="0" fontId="17" fillId="0" borderId="0" xfId="1" applyFont="1" applyAlignment="1" applyProtection="1">
      <alignment horizontal="centerContinuous" readingOrder="2"/>
      <protection locked="0"/>
    </xf>
    <xf numFmtId="3" fontId="8" fillId="0" borderId="156" xfId="1" applyNumberFormat="1" applyFont="1" applyBorder="1" applyAlignment="1" applyProtection="1">
      <alignment horizontal="center" vertical="center" wrapText="1" readingOrder="2"/>
      <protection locked="0"/>
    </xf>
    <xf numFmtId="3" fontId="8" fillId="0" borderId="159" xfId="1" applyNumberFormat="1" applyFont="1" applyBorder="1" applyAlignment="1" applyProtection="1">
      <alignment horizontal="center" vertical="center" wrapText="1" readingOrder="2"/>
      <protection locked="0"/>
    </xf>
    <xf numFmtId="166" fontId="8" fillId="4" borderId="155" xfId="1" applyNumberFormat="1" applyFont="1" applyFill="1" applyBorder="1" applyAlignment="1">
      <alignment horizontal="center" vertical="center" wrapText="1" readingOrder="2"/>
    </xf>
    <xf numFmtId="166" fontId="8" fillId="0" borderId="155" xfId="1" applyNumberFormat="1" applyFont="1" applyBorder="1" applyAlignment="1" applyProtection="1">
      <alignment horizontal="center" vertical="center" wrapText="1" readingOrder="2"/>
      <protection locked="0"/>
    </xf>
    <xf numFmtId="0" fontId="8" fillId="4" borderId="210" xfId="1" applyFont="1" applyFill="1" applyBorder="1" applyAlignment="1" applyProtection="1">
      <alignment horizontal="justify" vertical="center" wrapText="1" readingOrder="2"/>
      <protection hidden="1"/>
    </xf>
    <xf numFmtId="0" fontId="8" fillId="28" borderId="210" xfId="1" applyFont="1" applyFill="1" applyBorder="1" applyAlignment="1" applyProtection="1">
      <alignment horizontal="justify" vertical="center" wrapText="1" readingOrder="2"/>
      <protection locked="0" hidden="1"/>
    </xf>
    <xf numFmtId="0" fontId="8" fillId="4" borderId="22" xfId="1" applyFont="1" applyFill="1" applyBorder="1" applyAlignment="1">
      <alignment horizontal="right" vertical="center" wrapText="1" readingOrder="2"/>
    </xf>
    <xf numFmtId="0" fontId="8" fillId="4" borderId="26" xfId="1" applyFont="1" applyFill="1" applyBorder="1" applyAlignment="1">
      <alignment horizontal="right" vertical="center" wrapText="1" readingOrder="2"/>
    </xf>
    <xf numFmtId="0" fontId="8" fillId="4" borderId="155" xfId="1" applyFont="1" applyFill="1" applyBorder="1" applyAlignment="1">
      <alignment horizontal="right" vertical="center" wrapText="1"/>
    </xf>
    <xf numFmtId="0" fontId="8" fillId="4" borderId="74" xfId="1" applyFont="1" applyFill="1" applyBorder="1" applyAlignment="1">
      <alignment horizontal="right" vertical="center" readingOrder="2"/>
    </xf>
    <xf numFmtId="0" fontId="8" fillId="4" borderId="117" xfId="1" applyFont="1" applyFill="1" applyBorder="1" applyAlignment="1">
      <alignment horizontal="right" vertical="center" wrapText="1" readingOrder="2"/>
    </xf>
    <xf numFmtId="0" fontId="8" fillId="4" borderId="149" xfId="1" applyFont="1" applyFill="1" applyBorder="1" applyAlignment="1">
      <alignment horizontal="right" vertical="center" readingOrder="2"/>
    </xf>
    <xf numFmtId="0" fontId="8" fillId="4" borderId="335" xfId="1" applyFont="1" applyFill="1" applyBorder="1" applyAlignment="1">
      <alignment horizontal="right" vertical="center" wrapText="1"/>
    </xf>
    <xf numFmtId="0" fontId="73" fillId="0" borderId="0" xfId="0" applyFont="1" applyAlignment="1" applyProtection="1">
      <alignment horizontal="centerContinuous"/>
      <protection locked="0"/>
    </xf>
    <xf numFmtId="166" fontId="10" fillId="4" borderId="190" xfId="1" applyNumberFormat="1" applyFont="1" applyFill="1" applyBorder="1" applyAlignment="1" applyProtection="1">
      <alignment horizontal="center" vertical="center" readingOrder="2"/>
      <protection locked="0"/>
    </xf>
    <xf numFmtId="166" fontId="10" fillId="4" borderId="191" xfId="1" applyNumberFormat="1" applyFont="1" applyFill="1" applyBorder="1" applyAlignment="1" applyProtection="1">
      <alignment horizontal="center" vertical="center" readingOrder="2"/>
      <protection locked="0"/>
    </xf>
    <xf numFmtId="166" fontId="10" fillId="4" borderId="15" xfId="1" applyNumberFormat="1" applyFont="1" applyFill="1" applyBorder="1" applyAlignment="1" applyProtection="1">
      <alignment horizontal="center" vertical="center" readingOrder="2"/>
      <protection locked="0"/>
    </xf>
    <xf numFmtId="166" fontId="10" fillId="4" borderId="62" xfId="1" applyNumberFormat="1" applyFont="1" applyFill="1" applyBorder="1" applyAlignment="1" applyProtection="1">
      <alignment horizontal="center" vertical="center" readingOrder="2"/>
      <protection locked="0"/>
    </xf>
    <xf numFmtId="0" fontId="9" fillId="11" borderId="64" xfId="1" applyFont="1" applyFill="1" applyBorder="1" applyAlignment="1" applyProtection="1">
      <alignment vertical="center" wrapText="1" readingOrder="2"/>
      <protection locked="0"/>
    </xf>
    <xf numFmtId="3" fontId="8" fillId="0" borderId="299" xfId="1" applyNumberFormat="1" applyFont="1" applyBorder="1" applyAlignment="1" applyProtection="1">
      <alignment horizontal="center" vertical="center" wrapText="1" readingOrder="2"/>
      <protection locked="0"/>
    </xf>
    <xf numFmtId="3" fontId="8" fillId="0" borderId="324" xfId="1" applyNumberFormat="1" applyFont="1" applyBorder="1" applyAlignment="1" applyProtection="1">
      <alignment horizontal="center" vertical="center" wrapText="1" readingOrder="2"/>
      <protection locked="0"/>
    </xf>
    <xf numFmtId="3" fontId="8" fillId="0" borderId="275" xfId="1" applyNumberFormat="1" applyFont="1" applyBorder="1" applyAlignment="1" applyProtection="1">
      <alignment horizontal="center" vertical="center" wrapText="1" readingOrder="2"/>
      <protection locked="0"/>
    </xf>
    <xf numFmtId="3" fontId="8" fillId="0" borderId="276" xfId="1" applyNumberFormat="1" applyFont="1" applyBorder="1" applyAlignment="1" applyProtection="1">
      <alignment horizontal="center" vertical="center" wrapText="1" readingOrder="2"/>
      <protection locked="0"/>
    </xf>
    <xf numFmtId="166" fontId="23" fillId="4" borderId="138" xfId="0" applyNumberFormat="1" applyFont="1" applyFill="1" applyBorder="1" applyAlignment="1">
      <alignment horizontal="center" vertical="center"/>
    </xf>
    <xf numFmtId="166" fontId="23" fillId="4" borderId="141" xfId="0" applyNumberFormat="1" applyFont="1" applyFill="1" applyBorder="1" applyAlignment="1">
      <alignment horizontal="center" vertical="center"/>
    </xf>
    <xf numFmtId="166" fontId="23" fillId="4" borderId="57" xfId="0" applyNumberFormat="1" applyFont="1" applyFill="1" applyBorder="1" applyAlignment="1">
      <alignment horizontal="center" vertical="center"/>
    </xf>
    <xf numFmtId="166" fontId="23" fillId="4" borderId="163" xfId="0" applyNumberFormat="1" applyFont="1" applyFill="1" applyBorder="1" applyAlignment="1">
      <alignment horizontal="center" vertical="center"/>
    </xf>
    <xf numFmtId="166" fontId="35" fillId="4" borderId="152" xfId="0" applyNumberFormat="1" applyFont="1" applyFill="1" applyBorder="1" applyAlignment="1">
      <alignment horizontal="center" vertical="center" wrapText="1"/>
    </xf>
    <xf numFmtId="166" fontId="8" fillId="0" borderId="107" xfId="1" applyNumberFormat="1" applyFont="1" applyBorder="1" applyAlignment="1" applyProtection="1">
      <alignment horizontal="center" vertical="center" wrapText="1" readingOrder="2"/>
      <protection locked="0"/>
    </xf>
    <xf numFmtId="166" fontId="8" fillId="0" borderId="336" xfId="1" applyNumberFormat="1" applyFont="1" applyBorder="1" applyAlignment="1" applyProtection="1">
      <alignment horizontal="center" vertical="center" wrapText="1" readingOrder="2"/>
      <protection locked="0"/>
    </xf>
    <xf numFmtId="3" fontId="8" fillId="0" borderId="328" xfId="1" applyNumberFormat="1" applyFont="1" applyBorder="1" applyAlignment="1" applyProtection="1">
      <alignment horizontal="centerContinuous" vertical="center" wrapText="1" readingOrder="2"/>
      <protection locked="0"/>
    </xf>
    <xf numFmtId="3" fontId="8" fillId="4" borderId="148" xfId="1" applyNumberFormat="1" applyFont="1" applyFill="1" applyBorder="1" applyAlignment="1" applyProtection="1">
      <alignment horizontal="center" vertical="center" wrapText="1" readingOrder="2"/>
      <protection hidden="1"/>
    </xf>
    <xf numFmtId="3" fontId="8" fillId="4" borderId="17" xfId="1" applyNumberFormat="1" applyFont="1" applyFill="1" applyBorder="1" applyAlignment="1" applyProtection="1">
      <alignment horizontal="center" vertical="center" wrapText="1" readingOrder="2"/>
      <protection hidden="1"/>
    </xf>
    <xf numFmtId="3" fontId="8" fillId="4" borderId="18" xfId="1" applyNumberFormat="1" applyFont="1" applyFill="1" applyBorder="1" applyAlignment="1" applyProtection="1">
      <alignment horizontal="center" vertical="center" wrapText="1" readingOrder="2"/>
      <protection hidden="1"/>
    </xf>
    <xf numFmtId="166" fontId="8" fillId="0" borderId="40" xfId="1" applyNumberFormat="1" applyFont="1" applyBorder="1" applyAlignment="1" applyProtection="1">
      <alignment horizontal="center" vertical="center" wrapText="1" readingOrder="2"/>
      <protection locked="0"/>
    </xf>
    <xf numFmtId="0" fontId="8" fillId="15" borderId="144" xfId="1" applyFont="1" applyFill="1" applyBorder="1" applyAlignment="1">
      <alignment horizontal="center" vertical="center" wrapText="1" readingOrder="2"/>
    </xf>
    <xf numFmtId="0" fontId="69" fillId="0" borderId="313" xfId="0" applyFont="1" applyBorder="1" applyAlignment="1" applyProtection="1">
      <alignment horizontal="center" vertical="center" readingOrder="2"/>
      <protection locked="0"/>
    </xf>
    <xf numFmtId="3" fontId="49" fillId="0" borderId="222" xfId="0" applyNumberFormat="1" applyFont="1" applyBorder="1" applyAlignment="1" applyProtection="1">
      <alignment horizontal="center" vertical="center"/>
      <protection locked="0"/>
    </xf>
    <xf numFmtId="3" fontId="8" fillId="0" borderId="338" xfId="1" applyNumberFormat="1" applyFont="1" applyBorder="1" applyAlignment="1" applyProtection="1">
      <alignment horizontal="center" vertical="center" readingOrder="2"/>
      <protection locked="0"/>
    </xf>
    <xf numFmtId="3" fontId="8" fillId="0" borderId="339" xfId="1" applyNumberFormat="1" applyFont="1" applyBorder="1" applyAlignment="1" applyProtection="1">
      <alignment horizontal="center" vertical="center" readingOrder="2"/>
      <protection locked="0"/>
    </xf>
    <xf numFmtId="3" fontId="8" fillId="0" borderId="340" xfId="1" applyNumberFormat="1" applyFont="1" applyBorder="1" applyAlignment="1" applyProtection="1">
      <alignment horizontal="center" vertical="center" readingOrder="2"/>
      <protection locked="0"/>
    </xf>
    <xf numFmtId="3" fontId="8" fillId="4" borderId="149" xfId="1" applyNumberFormat="1" applyFont="1" applyFill="1" applyBorder="1" applyAlignment="1">
      <alignment horizontal="center" vertical="center" readingOrder="2"/>
    </xf>
    <xf numFmtId="166" fontId="8" fillId="0" borderId="341" xfId="1" applyNumberFormat="1" applyFont="1" applyBorder="1" applyAlignment="1" applyProtection="1">
      <alignment horizontal="center" vertical="center" readingOrder="2"/>
      <protection locked="0"/>
    </xf>
    <xf numFmtId="166" fontId="8" fillId="0" borderId="255" xfId="1" applyNumberFormat="1" applyFont="1" applyBorder="1" applyAlignment="1" applyProtection="1">
      <alignment horizontal="center" vertical="center" readingOrder="2"/>
      <protection locked="0"/>
    </xf>
    <xf numFmtId="166" fontId="8" fillId="0" borderId="342" xfId="1" applyNumberFormat="1" applyFont="1" applyBorder="1" applyAlignment="1" applyProtection="1">
      <alignment horizontal="center" vertical="center" readingOrder="2"/>
      <protection locked="0"/>
    </xf>
    <xf numFmtId="166" fontId="8" fillId="0" borderId="343" xfId="1" applyNumberFormat="1" applyFont="1" applyBorder="1" applyAlignment="1" applyProtection="1">
      <alignment horizontal="center" vertical="center" readingOrder="2"/>
      <protection locked="0"/>
    </xf>
    <xf numFmtId="166" fontId="8" fillId="3" borderId="179" xfId="1" applyNumberFormat="1" applyFont="1" applyFill="1" applyBorder="1" applyAlignment="1" applyProtection="1">
      <alignment horizontal="center" vertical="center" readingOrder="2"/>
      <protection locked="0"/>
    </xf>
    <xf numFmtId="166" fontId="8" fillId="3" borderId="188" xfId="1" applyNumberFormat="1" applyFont="1" applyFill="1" applyBorder="1" applyAlignment="1" applyProtection="1">
      <alignment horizontal="center" vertical="center" readingOrder="2"/>
      <protection locked="0"/>
    </xf>
    <xf numFmtId="166" fontId="8" fillId="3" borderId="205" xfId="1" applyNumberFormat="1" applyFont="1" applyFill="1" applyBorder="1" applyAlignment="1" applyProtection="1">
      <alignment horizontal="center" vertical="center" readingOrder="2"/>
      <protection locked="0"/>
    </xf>
    <xf numFmtId="0" fontId="49" fillId="11" borderId="13" xfId="0" applyFont="1" applyFill="1" applyBorder="1" applyAlignment="1">
      <alignment horizontal="center" vertical="center" textRotation="90" wrapText="1" readingOrder="2"/>
    </xf>
    <xf numFmtId="0" fontId="49" fillId="11" borderId="81" xfId="0" applyFont="1" applyFill="1" applyBorder="1" applyAlignment="1">
      <alignment horizontal="center" vertical="center" textRotation="90" wrapText="1" readingOrder="2"/>
    </xf>
    <xf numFmtId="0" fontId="49" fillId="11" borderId="14" xfId="0" applyFont="1" applyFill="1" applyBorder="1" applyAlignment="1">
      <alignment horizontal="center" vertical="center" textRotation="90" wrapText="1" readingOrder="2"/>
    </xf>
    <xf numFmtId="0" fontId="49" fillId="11" borderId="48" xfId="0" applyFont="1" applyFill="1" applyBorder="1" applyAlignment="1">
      <alignment horizontal="center" vertical="center" textRotation="90" wrapText="1" readingOrder="2"/>
    </xf>
    <xf numFmtId="0" fontId="143" fillId="0" borderId="0" xfId="0" applyFont="1" applyAlignment="1">
      <alignment horizontal="centerContinuous" vertical="center" wrapText="1" readingOrder="2"/>
    </xf>
    <xf numFmtId="0" fontId="143" fillId="0" borderId="0" xfId="0" applyFont="1" applyAlignment="1">
      <alignment horizontal="center" vertical="center" wrapText="1" readingOrder="2"/>
    </xf>
    <xf numFmtId="3" fontId="138" fillId="0" borderId="114" xfId="0" applyNumberFormat="1" applyFont="1" applyBorder="1" applyAlignment="1" applyProtection="1">
      <alignment horizontal="center" vertical="center" wrapText="1" readingOrder="2"/>
      <protection locked="0"/>
    </xf>
    <xf numFmtId="0" fontId="116" fillId="0" borderId="0" xfId="1" applyFont="1" applyAlignment="1">
      <alignment horizontal="center" vertical="center" readingOrder="2"/>
    </xf>
    <xf numFmtId="0" fontId="9" fillId="0" borderId="0" xfId="1" applyFont="1" applyAlignment="1">
      <alignment horizontal="center" vertical="center" readingOrder="2"/>
    </xf>
    <xf numFmtId="0" fontId="8" fillId="15" borderId="19" xfId="1" applyFont="1" applyFill="1" applyBorder="1" applyAlignment="1" applyProtection="1">
      <alignment horizontal="center" vertical="center" wrapText="1" readingOrder="2"/>
      <protection locked="0"/>
    </xf>
    <xf numFmtId="0" fontId="8" fillId="15" borderId="66" xfId="1" applyFont="1" applyFill="1" applyBorder="1" applyAlignment="1" applyProtection="1">
      <alignment horizontal="center" vertical="center" wrapText="1" readingOrder="2"/>
      <protection locked="0"/>
    </xf>
    <xf numFmtId="0" fontId="8" fillId="15" borderId="67" xfId="1" applyFont="1" applyFill="1" applyBorder="1" applyAlignment="1" applyProtection="1">
      <alignment horizontal="center" vertical="center" wrapText="1" readingOrder="2"/>
      <protection locked="0"/>
    </xf>
    <xf numFmtId="0" fontId="8" fillId="15" borderId="49" xfId="1" applyFont="1" applyFill="1" applyBorder="1" applyAlignment="1" applyProtection="1">
      <alignment horizontal="center" vertical="center" wrapText="1" readingOrder="2"/>
      <protection locked="0"/>
    </xf>
    <xf numFmtId="0" fontId="8" fillId="15" borderId="155" xfId="1" applyFont="1" applyFill="1" applyBorder="1" applyAlignment="1" applyProtection="1">
      <alignment horizontal="center" vertical="center" wrapText="1" readingOrder="2"/>
      <protection locked="0"/>
    </xf>
    <xf numFmtId="3" fontId="8" fillId="4" borderId="25" xfId="1" applyNumberFormat="1" applyFont="1" applyFill="1" applyBorder="1" applyAlignment="1" applyProtection="1">
      <alignment horizontal="center" vertical="center" wrapText="1" readingOrder="2"/>
      <protection locked="0"/>
    </xf>
    <xf numFmtId="3" fontId="10" fillId="4" borderId="4" xfId="1" applyNumberFormat="1" applyFont="1" applyFill="1" applyBorder="1" applyAlignment="1" applyProtection="1">
      <alignment horizontal="center" vertical="center" wrapText="1" readingOrder="2"/>
      <protection locked="0"/>
    </xf>
    <xf numFmtId="3" fontId="8" fillId="4" borderId="4" xfId="1" applyNumberFormat="1" applyFont="1" applyFill="1" applyBorder="1" applyAlignment="1" applyProtection="1">
      <alignment horizontal="center" vertical="center" wrapText="1" readingOrder="2"/>
      <protection locked="0" hidden="1"/>
    </xf>
    <xf numFmtId="3" fontId="8" fillId="4" borderId="37" xfId="1" applyNumberFormat="1" applyFont="1" applyFill="1" applyBorder="1" applyAlignment="1" applyProtection="1">
      <alignment horizontal="center" vertical="center" wrapText="1" readingOrder="2"/>
      <protection locked="0" hidden="1"/>
    </xf>
    <xf numFmtId="3" fontId="8" fillId="4" borderId="41" xfId="1" applyNumberFormat="1" applyFont="1" applyFill="1" applyBorder="1" applyAlignment="1" applyProtection="1">
      <alignment horizontal="center" vertical="center" wrapText="1" readingOrder="2"/>
      <protection locked="0" hidden="1"/>
    </xf>
    <xf numFmtId="166" fontId="10" fillId="4" borderId="16" xfId="1" applyNumberFormat="1" applyFont="1" applyFill="1" applyBorder="1" applyAlignment="1" applyProtection="1">
      <alignment horizontal="center" vertical="center" wrapText="1" readingOrder="2"/>
      <protection locked="0"/>
    </xf>
    <xf numFmtId="166" fontId="10" fillId="4" borderId="55" xfId="1" applyNumberFormat="1" applyFont="1" applyFill="1" applyBorder="1" applyAlignment="1" applyProtection="1">
      <alignment horizontal="center" vertical="center" wrapText="1" readingOrder="2"/>
      <protection locked="0"/>
    </xf>
    <xf numFmtId="166" fontId="10" fillId="4" borderId="107" xfId="1" applyNumberFormat="1" applyFont="1" applyFill="1" applyBorder="1" applyAlignment="1" applyProtection="1">
      <alignment horizontal="center" vertical="center" wrapText="1" readingOrder="2"/>
      <protection locked="0"/>
    </xf>
    <xf numFmtId="166" fontId="10" fillId="4" borderId="25" xfId="1" applyNumberFormat="1" applyFont="1" applyFill="1" applyBorder="1" applyAlignment="1" applyProtection="1">
      <alignment horizontal="center" vertical="center" wrapText="1" readingOrder="2"/>
      <protection locked="0"/>
    </xf>
    <xf numFmtId="3" fontId="8" fillId="4" borderId="31" xfId="1" applyNumberFormat="1" applyFont="1" applyFill="1" applyBorder="1" applyAlignment="1" applyProtection="1">
      <alignment horizontal="center" vertical="center" wrapText="1" readingOrder="2"/>
      <protection locked="0"/>
    </xf>
    <xf numFmtId="3" fontId="10" fillId="4" borderId="5" xfId="1" applyNumberFormat="1" applyFont="1" applyFill="1" applyBorder="1" applyAlignment="1" applyProtection="1">
      <alignment horizontal="center" vertical="center" wrapText="1" readingOrder="2"/>
      <protection locked="0"/>
    </xf>
    <xf numFmtId="3" fontId="8" fillId="4" borderId="5" xfId="1" applyNumberFormat="1" applyFont="1" applyFill="1" applyBorder="1" applyAlignment="1" applyProtection="1">
      <alignment horizontal="center" vertical="center" wrapText="1" readingOrder="2"/>
      <protection locked="0" hidden="1"/>
    </xf>
    <xf numFmtId="3" fontId="8" fillId="4" borderId="38" xfId="1" applyNumberFormat="1" applyFont="1" applyFill="1" applyBorder="1" applyAlignment="1" applyProtection="1">
      <alignment horizontal="center" vertical="center" wrapText="1" readingOrder="2"/>
      <protection locked="0" hidden="1"/>
    </xf>
    <xf numFmtId="3" fontId="8" fillId="4" borderId="42" xfId="1" applyNumberFormat="1" applyFont="1" applyFill="1" applyBorder="1" applyAlignment="1" applyProtection="1">
      <alignment horizontal="center" vertical="center" wrapText="1" readingOrder="2"/>
      <protection locked="0" hidden="1"/>
    </xf>
    <xf numFmtId="166" fontId="10" fillId="4" borderId="17" xfId="1" applyNumberFormat="1" applyFont="1" applyFill="1" applyBorder="1" applyAlignment="1" applyProtection="1">
      <alignment horizontal="center" vertical="center" wrapText="1" readingOrder="2"/>
      <protection locked="0"/>
    </xf>
    <xf numFmtId="166" fontId="10" fillId="4" borderId="56" xfId="1" applyNumberFormat="1" applyFont="1" applyFill="1" applyBorder="1" applyAlignment="1" applyProtection="1">
      <alignment horizontal="center" vertical="center" wrapText="1" readingOrder="2"/>
      <protection locked="0"/>
    </xf>
    <xf numFmtId="166" fontId="10" fillId="4" borderId="108" xfId="1" applyNumberFormat="1" applyFont="1" applyFill="1" applyBorder="1" applyAlignment="1" applyProtection="1">
      <alignment horizontal="center" vertical="center" wrapText="1" readingOrder="2"/>
      <protection locked="0"/>
    </xf>
    <xf numFmtId="166" fontId="10" fillId="4" borderId="31" xfId="1" applyNumberFormat="1" applyFont="1" applyFill="1" applyBorder="1" applyAlignment="1" applyProtection="1">
      <alignment horizontal="center" vertical="center" wrapText="1" readingOrder="2"/>
      <protection locked="0"/>
    </xf>
    <xf numFmtId="3" fontId="10" fillId="4" borderId="17" xfId="1" applyNumberFormat="1" applyFont="1" applyFill="1" applyBorder="1" applyAlignment="1" applyProtection="1">
      <alignment horizontal="center" vertical="center" wrapText="1" readingOrder="2"/>
      <protection locked="0"/>
    </xf>
    <xf numFmtId="3" fontId="10" fillId="4" borderId="56" xfId="1" applyNumberFormat="1" applyFont="1" applyFill="1" applyBorder="1" applyAlignment="1" applyProtection="1">
      <alignment horizontal="center" vertical="center" wrapText="1" readingOrder="2"/>
      <protection locked="0"/>
    </xf>
    <xf numFmtId="3" fontId="10" fillId="4" borderId="108" xfId="1" applyNumberFormat="1" applyFont="1" applyFill="1" applyBorder="1" applyAlignment="1" applyProtection="1">
      <alignment horizontal="center" vertical="center" wrapText="1" readingOrder="2"/>
      <protection locked="0"/>
    </xf>
    <xf numFmtId="3" fontId="10" fillId="4" borderId="31" xfId="1" applyNumberFormat="1" applyFont="1" applyFill="1" applyBorder="1" applyAlignment="1" applyProtection="1">
      <alignment horizontal="center" vertical="center" wrapText="1" readingOrder="2"/>
      <protection locked="0"/>
    </xf>
    <xf numFmtId="3" fontId="8" fillId="4" borderId="45" xfId="1" applyNumberFormat="1" applyFont="1" applyFill="1" applyBorder="1" applyAlignment="1" applyProtection="1">
      <alignment horizontal="center" vertical="center" wrapText="1" readingOrder="2"/>
      <protection locked="0"/>
    </xf>
    <xf numFmtId="3" fontId="10" fillId="4" borderId="42" xfId="1" applyNumberFormat="1" applyFont="1" applyFill="1" applyBorder="1" applyAlignment="1" applyProtection="1">
      <alignment horizontal="center" vertical="center" wrapText="1" readingOrder="2"/>
      <protection locked="0"/>
    </xf>
    <xf numFmtId="3" fontId="10" fillId="4" borderId="150" xfId="1" applyNumberFormat="1" applyFont="1" applyFill="1" applyBorder="1" applyAlignment="1" applyProtection="1">
      <alignment horizontal="center" vertical="center" wrapText="1" readingOrder="2"/>
      <protection locked="0"/>
    </xf>
    <xf numFmtId="3" fontId="10" fillId="4" borderId="106" xfId="1" applyNumberFormat="1" applyFont="1" applyFill="1" applyBorder="1" applyAlignment="1" applyProtection="1">
      <alignment horizontal="center" vertical="center" wrapText="1" readingOrder="2"/>
      <protection locked="0"/>
    </xf>
    <xf numFmtId="3" fontId="10" fillId="4" borderId="308" xfId="1" applyNumberFormat="1" applyFont="1" applyFill="1" applyBorder="1" applyAlignment="1" applyProtection="1">
      <alignment horizontal="center" vertical="center" wrapText="1" readingOrder="2"/>
      <protection locked="0"/>
    </xf>
    <xf numFmtId="3" fontId="10" fillId="4" borderId="45" xfId="1" applyNumberFormat="1" applyFont="1" applyFill="1" applyBorder="1" applyAlignment="1" applyProtection="1">
      <alignment horizontal="center" vertical="center" wrapText="1" readingOrder="2"/>
      <protection locked="0"/>
    </xf>
    <xf numFmtId="3" fontId="8" fillId="4" borderId="33" xfId="1" applyNumberFormat="1" applyFont="1" applyFill="1" applyBorder="1" applyAlignment="1" applyProtection="1">
      <alignment horizontal="center" vertical="center" wrapText="1" readingOrder="2"/>
      <protection locked="0"/>
    </xf>
    <xf numFmtId="3" fontId="8" fillId="4" borderId="47" xfId="1" applyNumberFormat="1" applyFont="1" applyFill="1" applyBorder="1" applyAlignment="1" applyProtection="1">
      <alignment horizontal="center" vertical="center" wrapText="1" readingOrder="2"/>
      <protection locked="0"/>
    </xf>
    <xf numFmtId="3" fontId="8" fillId="4" borderId="46" xfId="1" applyNumberFormat="1" applyFont="1" applyFill="1" applyBorder="1" applyAlignment="1" applyProtection="1">
      <alignment horizontal="center" vertical="center" wrapText="1" readingOrder="2"/>
      <protection locked="0"/>
    </xf>
    <xf numFmtId="3" fontId="8" fillId="4" borderId="34" xfId="1" applyNumberFormat="1" applyFont="1" applyFill="1" applyBorder="1" applyAlignment="1" applyProtection="1">
      <alignment horizontal="center" vertical="center" wrapText="1" readingOrder="2"/>
      <protection locked="0"/>
    </xf>
    <xf numFmtId="3" fontId="10" fillId="4" borderId="33" xfId="1" applyNumberFormat="1" applyFont="1" applyFill="1" applyBorder="1" applyAlignment="1" applyProtection="1">
      <alignment horizontal="center" vertical="center" wrapText="1" readingOrder="2"/>
      <protection locked="0"/>
    </xf>
    <xf numFmtId="3" fontId="10" fillId="4" borderId="46" xfId="1" applyNumberFormat="1" applyFont="1" applyFill="1" applyBorder="1" applyAlignment="1" applyProtection="1">
      <alignment horizontal="center" vertical="center" wrapText="1" readingOrder="2"/>
      <protection locked="0"/>
    </xf>
    <xf numFmtId="3" fontId="10" fillId="4" borderId="35" xfId="1" applyNumberFormat="1" applyFont="1" applyFill="1" applyBorder="1" applyAlignment="1" applyProtection="1">
      <alignment horizontal="center" vertical="center" wrapText="1" readingOrder="2"/>
      <protection locked="0"/>
    </xf>
    <xf numFmtId="3" fontId="10" fillId="4" borderId="199" xfId="1" applyNumberFormat="1" applyFont="1" applyFill="1" applyBorder="1" applyAlignment="1" applyProtection="1">
      <alignment horizontal="center" vertical="center" wrapText="1" readingOrder="2"/>
      <protection locked="0"/>
    </xf>
    <xf numFmtId="3" fontId="10" fillId="4" borderId="327" xfId="1" applyNumberFormat="1" applyFont="1" applyFill="1" applyBorder="1" applyAlignment="1" applyProtection="1">
      <alignment horizontal="center" vertical="center" wrapText="1" readingOrder="2"/>
      <protection locked="0"/>
    </xf>
    <xf numFmtId="3" fontId="10" fillId="4" borderId="34" xfId="1" applyNumberFormat="1" applyFont="1" applyFill="1" applyBorder="1" applyAlignment="1" applyProtection="1">
      <alignment horizontal="center" vertical="center" wrapText="1" readingOrder="2"/>
      <protection locked="0"/>
    </xf>
    <xf numFmtId="3" fontId="8" fillId="4" borderId="297" xfId="1" applyNumberFormat="1" applyFont="1" applyFill="1" applyBorder="1" applyAlignment="1" applyProtection="1">
      <alignment horizontal="center" vertical="center" wrapText="1" readingOrder="2"/>
      <protection locked="0"/>
    </xf>
    <xf numFmtId="3" fontId="10" fillId="4" borderId="334" xfId="1" applyNumberFormat="1" applyFont="1" applyFill="1" applyBorder="1" applyAlignment="1" applyProtection="1">
      <alignment horizontal="center" vertical="center" wrapText="1" readingOrder="2"/>
      <protection locked="0"/>
    </xf>
    <xf numFmtId="3" fontId="10" fillId="4" borderId="332" xfId="1" applyNumberFormat="1" applyFont="1" applyFill="1" applyBorder="1" applyAlignment="1" applyProtection="1">
      <alignment horizontal="center" vertical="center" wrapText="1" readingOrder="2"/>
      <protection locked="0"/>
    </xf>
    <xf numFmtId="3" fontId="10" fillId="4" borderId="333" xfId="1" applyNumberFormat="1" applyFont="1" applyFill="1" applyBorder="1" applyAlignment="1" applyProtection="1">
      <alignment horizontal="center" vertical="center" wrapText="1" readingOrder="2"/>
      <protection locked="0"/>
    </xf>
    <xf numFmtId="3" fontId="10" fillId="4" borderId="297" xfId="1" applyNumberFormat="1" applyFont="1" applyFill="1" applyBorder="1" applyAlignment="1" applyProtection="1">
      <alignment horizontal="center" vertical="center" wrapText="1" readingOrder="2"/>
      <protection locked="0"/>
    </xf>
    <xf numFmtId="3" fontId="23" fillId="0" borderId="115" xfId="0" applyNumberFormat="1" applyFont="1" applyBorder="1" applyAlignment="1" applyProtection="1">
      <alignment horizontal="center" vertical="center" wrapText="1" readingOrder="2"/>
      <protection locked="0"/>
    </xf>
    <xf numFmtId="0" fontId="35" fillId="11" borderId="11" xfId="0" applyFont="1" applyFill="1" applyBorder="1" applyAlignment="1">
      <alignment horizontal="center" vertical="center" wrapText="1" readingOrder="2"/>
    </xf>
    <xf numFmtId="0" fontId="35" fillId="11" borderId="144" xfId="0" applyFont="1" applyFill="1" applyBorder="1" applyAlignment="1" applyProtection="1">
      <alignment horizontal="center" vertical="center" textRotation="90" readingOrder="2"/>
      <protection locked="0"/>
    </xf>
    <xf numFmtId="0" fontId="35" fillId="0" borderId="88" xfId="0" applyFont="1" applyBorder="1" applyAlignment="1" applyProtection="1">
      <alignment horizontal="center" vertical="center"/>
      <protection locked="0"/>
    </xf>
    <xf numFmtId="0" fontId="35" fillId="0" borderId="95" xfId="0" applyFont="1" applyBorder="1" applyAlignment="1" applyProtection="1">
      <alignment horizontal="center" vertical="center"/>
      <protection locked="0"/>
    </xf>
    <xf numFmtId="0" fontId="35" fillId="0" borderId="173" xfId="0" applyFont="1" applyBorder="1" applyAlignment="1" applyProtection="1">
      <alignment horizontal="center" vertical="center"/>
      <protection locked="0"/>
    </xf>
    <xf numFmtId="0" fontId="35" fillId="0" borderId="89" xfId="0" applyFont="1" applyBorder="1" applyAlignment="1" applyProtection="1">
      <alignment horizontal="center" vertical="center"/>
      <protection locked="0"/>
    </xf>
    <xf numFmtId="0" fontId="138" fillId="45" borderId="19" xfId="0" applyFont="1" applyFill="1" applyBorder="1" applyAlignment="1" applyProtection="1">
      <alignment horizontal="center" vertical="center"/>
      <protection locked="0"/>
    </xf>
    <xf numFmtId="3" fontId="138" fillId="45" borderId="66" xfId="0" applyNumberFormat="1" applyFont="1" applyFill="1" applyBorder="1" applyAlignment="1" applyProtection="1">
      <alignment horizontal="center" vertical="center" wrapText="1" readingOrder="2"/>
      <protection locked="0"/>
    </xf>
    <xf numFmtId="3" fontId="23" fillId="45" borderId="169" xfId="0" applyNumberFormat="1" applyFont="1" applyFill="1" applyBorder="1" applyAlignment="1" applyProtection="1">
      <alignment horizontal="center" vertical="center" wrapText="1" readingOrder="2"/>
      <protection locked="0"/>
    </xf>
    <xf numFmtId="3" fontId="23" fillId="45" borderId="67" xfId="0" applyNumberFormat="1" applyFont="1" applyFill="1" applyBorder="1" applyAlignment="1" applyProtection="1">
      <alignment horizontal="center" vertical="center" wrapText="1" readingOrder="2"/>
      <protection locked="0"/>
    </xf>
    <xf numFmtId="0" fontId="11" fillId="4" borderId="107" xfId="1" applyFont="1" applyFill="1" applyBorder="1" applyAlignment="1">
      <alignment horizontal="center" vertical="center" wrapText="1" readingOrder="2"/>
    </xf>
    <xf numFmtId="0" fontId="11" fillId="4" borderId="108" xfId="1" applyFont="1" applyFill="1" applyBorder="1" applyAlignment="1">
      <alignment horizontal="center" vertical="center" wrapText="1" readingOrder="2"/>
    </xf>
    <xf numFmtId="1" fontId="11" fillId="4" borderId="108" xfId="1" applyNumberFormat="1" applyFont="1" applyFill="1" applyBorder="1" applyAlignment="1">
      <alignment horizontal="center" vertical="center" wrapText="1" readingOrder="2"/>
    </xf>
    <xf numFmtId="1" fontId="11" fillId="4" borderId="207" xfId="1" applyNumberFormat="1" applyFont="1" applyFill="1" applyBorder="1" applyAlignment="1">
      <alignment horizontal="center" vertical="center" wrapText="1" readingOrder="2"/>
    </xf>
    <xf numFmtId="166" fontId="8" fillId="0" borderId="145" xfId="1" applyNumberFormat="1" applyFont="1" applyBorder="1" applyAlignment="1" applyProtection="1">
      <alignment horizontal="center" vertical="center" wrapText="1" readingOrder="2"/>
      <protection locked="0"/>
    </xf>
    <xf numFmtId="0" fontId="11" fillId="4" borderId="4" xfId="1" applyFont="1" applyFill="1" applyBorder="1" applyAlignment="1">
      <alignment horizontal="center" vertical="center" wrapText="1" readingOrder="2"/>
    </xf>
    <xf numFmtId="0" fontId="11" fillId="4" borderId="5" xfId="1" applyFont="1" applyFill="1" applyBorder="1" applyAlignment="1">
      <alignment horizontal="center" vertical="center" wrapText="1" readingOrder="2"/>
    </xf>
    <xf numFmtId="1" fontId="11" fillId="4" borderId="5" xfId="1" applyNumberFormat="1" applyFont="1" applyFill="1" applyBorder="1" applyAlignment="1">
      <alignment horizontal="center" vertical="center" wrapText="1" readingOrder="2"/>
    </xf>
    <xf numFmtId="1" fontId="11" fillId="4" borderId="36" xfId="1" applyNumberFormat="1" applyFont="1" applyFill="1" applyBorder="1" applyAlignment="1">
      <alignment horizontal="center" vertical="center" wrapText="1" readingOrder="2"/>
    </xf>
    <xf numFmtId="1" fontId="11" fillId="4" borderId="6" xfId="1" applyNumberFormat="1" applyFont="1" applyFill="1" applyBorder="1" applyAlignment="1">
      <alignment horizontal="center" vertical="center" wrapText="1" readingOrder="2"/>
    </xf>
    <xf numFmtId="3" fontId="8" fillId="3" borderId="220" xfId="1" applyNumberFormat="1" applyFont="1" applyFill="1" applyBorder="1" applyAlignment="1" applyProtection="1">
      <alignment horizontal="center" vertical="center" wrapText="1" readingOrder="2"/>
      <protection locked="0" hidden="1"/>
    </xf>
    <xf numFmtId="3" fontId="8" fillId="3" borderId="15" xfId="1" applyNumberFormat="1" applyFont="1" applyFill="1" applyBorder="1" applyAlignment="1" applyProtection="1">
      <alignment horizontal="center" vertical="center" wrapText="1" readingOrder="2"/>
      <protection locked="0" hidden="1"/>
    </xf>
    <xf numFmtId="3" fontId="35" fillId="3" borderId="63" xfId="1" applyNumberFormat="1" applyFont="1" applyFill="1" applyBorder="1" applyAlignment="1" applyProtection="1">
      <alignment horizontal="center" vertical="center" wrapText="1" readingOrder="2"/>
      <protection locked="0" hidden="1"/>
    </xf>
    <xf numFmtId="3" fontId="35" fillId="3" borderId="220" xfId="1" applyNumberFormat="1" applyFont="1" applyFill="1" applyBorder="1" applyAlignment="1" applyProtection="1">
      <alignment horizontal="center" vertical="center" wrapText="1" readingOrder="2"/>
      <protection locked="0" hidden="1"/>
    </xf>
    <xf numFmtId="3" fontId="8" fillId="3" borderId="220" xfId="1" applyNumberFormat="1" applyFont="1" applyFill="1" applyBorder="1" applyAlignment="1" applyProtection="1">
      <alignment horizontal="center" vertical="center" wrapText="1" readingOrder="2"/>
      <protection locked="0"/>
    </xf>
    <xf numFmtId="3" fontId="8" fillId="3" borderId="15" xfId="1" applyNumberFormat="1" applyFont="1" applyFill="1" applyBorder="1" applyAlignment="1" applyProtection="1">
      <alignment horizontal="center" vertical="center" wrapText="1" readingOrder="2"/>
      <protection locked="0"/>
    </xf>
    <xf numFmtId="3" fontId="8" fillId="3" borderId="211" xfId="1" applyNumberFormat="1" applyFont="1" applyFill="1" applyBorder="1" applyAlignment="1" applyProtection="1">
      <alignment horizontal="center" vertical="center" wrapText="1" readingOrder="2"/>
      <protection locked="0"/>
    </xf>
    <xf numFmtId="3" fontId="8" fillId="3" borderId="63" xfId="1" applyNumberFormat="1" applyFont="1" applyFill="1" applyBorder="1" applyAlignment="1" applyProtection="1">
      <alignment horizontal="center" vertical="center" wrapText="1" readingOrder="2"/>
      <protection locked="0"/>
    </xf>
    <xf numFmtId="3" fontId="8" fillId="21" borderId="201" xfId="1" applyNumberFormat="1" applyFont="1" applyFill="1" applyBorder="1" applyAlignment="1" applyProtection="1">
      <alignment horizontal="center" vertical="center" wrapText="1" readingOrder="2"/>
      <protection locked="0" hidden="1"/>
    </xf>
    <xf numFmtId="3" fontId="8" fillId="22" borderId="139" xfId="1" applyNumberFormat="1" applyFont="1" applyFill="1" applyBorder="1" applyAlignment="1" applyProtection="1">
      <alignment horizontal="center" vertical="center" wrapText="1" readingOrder="2"/>
      <protection locked="0" hidden="1"/>
    </xf>
    <xf numFmtId="3" fontId="8" fillId="22" borderId="10" xfId="1" applyNumberFormat="1" applyFont="1" applyFill="1" applyBorder="1" applyAlignment="1" applyProtection="1">
      <alignment horizontal="center" vertical="center" wrapText="1" readingOrder="2"/>
      <protection locked="0" hidden="1"/>
    </xf>
    <xf numFmtId="3" fontId="91" fillId="22" borderId="7" xfId="1" applyNumberFormat="1" applyFont="1" applyFill="1" applyBorder="1" applyAlignment="1" applyProtection="1">
      <alignment horizontal="center" vertical="center" wrapText="1" readingOrder="2"/>
      <protection locked="0" hidden="1"/>
    </xf>
    <xf numFmtId="3" fontId="35" fillId="0" borderId="86" xfId="1" applyNumberFormat="1" applyFont="1" applyBorder="1" applyAlignment="1" applyProtection="1">
      <alignment horizontal="center" vertical="center" wrapText="1" readingOrder="2"/>
      <protection locked="0" hidden="1"/>
    </xf>
    <xf numFmtId="3" fontId="35" fillId="0" borderId="139" xfId="1" applyNumberFormat="1" applyFont="1" applyBorder="1" applyAlignment="1" applyProtection="1">
      <alignment horizontal="center" vertical="center" wrapText="1" readingOrder="2"/>
      <protection hidden="1"/>
    </xf>
    <xf numFmtId="3" fontId="8" fillId="22" borderId="139" xfId="1" applyNumberFormat="1" applyFont="1" applyFill="1" applyBorder="1" applyAlignment="1" applyProtection="1">
      <alignment horizontal="center" vertical="center" wrapText="1" readingOrder="2"/>
      <protection hidden="1"/>
    </xf>
    <xf numFmtId="3" fontId="8" fillId="22" borderId="10" xfId="1" applyNumberFormat="1" applyFont="1" applyFill="1" applyBorder="1" applyAlignment="1" applyProtection="1">
      <alignment horizontal="center" vertical="center" wrapText="1" readingOrder="2"/>
      <protection hidden="1"/>
    </xf>
    <xf numFmtId="3" fontId="91" fillId="22" borderId="96" xfId="1" applyNumberFormat="1" applyFont="1" applyFill="1" applyBorder="1" applyAlignment="1" applyProtection="1">
      <alignment horizontal="center" vertical="center" wrapText="1" readingOrder="2"/>
      <protection locked="0"/>
    </xf>
    <xf numFmtId="3" fontId="8" fillId="0" borderId="86" xfId="1" applyNumberFormat="1" applyFont="1" applyBorder="1" applyAlignment="1" applyProtection="1">
      <alignment horizontal="center" vertical="center" wrapText="1" readingOrder="2"/>
      <protection locked="0"/>
    </xf>
    <xf numFmtId="3" fontId="8" fillId="0" borderId="139" xfId="1" applyNumberFormat="1" applyFont="1" applyBorder="1" applyAlignment="1" applyProtection="1">
      <alignment horizontal="center" vertical="center" wrapText="1" readingOrder="2"/>
      <protection locked="0"/>
    </xf>
    <xf numFmtId="3" fontId="91" fillId="22" borderId="139" xfId="1" applyNumberFormat="1" applyFont="1" applyFill="1" applyBorder="1" applyAlignment="1" applyProtection="1">
      <alignment horizontal="center" vertical="center" wrapText="1" readingOrder="2"/>
      <protection locked="0" hidden="1"/>
    </xf>
    <xf numFmtId="3" fontId="91" fillId="22" borderId="10" xfId="1" applyNumberFormat="1" applyFont="1" applyFill="1" applyBorder="1" applyAlignment="1" applyProtection="1">
      <alignment horizontal="center" vertical="center" wrapText="1" readingOrder="2"/>
      <protection locked="0" hidden="1"/>
    </xf>
    <xf numFmtId="3" fontId="91" fillId="22" borderId="96" xfId="1" applyNumberFormat="1" applyFont="1" applyFill="1" applyBorder="1" applyAlignment="1" applyProtection="1">
      <alignment horizontal="center" vertical="center" wrapText="1" readingOrder="2"/>
      <protection locked="0" hidden="1"/>
    </xf>
    <xf numFmtId="3" fontId="8" fillId="3" borderId="89" xfId="1" applyNumberFormat="1" applyFont="1" applyFill="1" applyBorder="1" applyAlignment="1" applyProtection="1">
      <alignment horizontal="center" vertical="center" wrapText="1" readingOrder="2"/>
      <protection locked="0" hidden="1"/>
    </xf>
    <xf numFmtId="3" fontId="8" fillId="3" borderId="98" xfId="1" applyNumberFormat="1" applyFont="1" applyFill="1" applyBorder="1" applyAlignment="1" applyProtection="1">
      <alignment horizontal="center" vertical="center" wrapText="1" readingOrder="2"/>
      <protection locked="0" hidden="1"/>
    </xf>
    <xf numFmtId="166" fontId="9" fillId="4" borderId="174" xfId="1" applyNumberFormat="1" applyFont="1" applyFill="1" applyBorder="1" applyAlignment="1">
      <alignment horizontal="center" vertical="center"/>
    </xf>
    <xf numFmtId="166" fontId="9" fillId="4" borderId="66" xfId="1" applyNumberFormat="1" applyFont="1" applyFill="1" applyBorder="1" applyAlignment="1">
      <alignment horizontal="center" vertical="center"/>
    </xf>
    <xf numFmtId="166" fontId="9" fillId="4" borderId="67" xfId="1" applyNumberFormat="1" applyFont="1" applyFill="1" applyBorder="1" applyAlignment="1">
      <alignment horizontal="center" vertical="center"/>
    </xf>
    <xf numFmtId="166" fontId="59" fillId="4" borderId="140" xfId="1" applyNumberFormat="1" applyFont="1" applyFill="1" applyBorder="1" applyAlignment="1" applyProtection="1">
      <alignment horizontal="center" vertical="center"/>
      <protection hidden="1"/>
    </xf>
    <xf numFmtId="166" fontId="59" fillId="4" borderId="89" xfId="1" applyNumberFormat="1" applyFont="1" applyFill="1" applyBorder="1" applyAlignment="1" applyProtection="1">
      <alignment horizontal="center" vertical="center"/>
      <protection hidden="1"/>
    </xf>
    <xf numFmtId="166" fontId="59" fillId="4" borderId="140" xfId="1" applyNumberFormat="1" applyFont="1" applyFill="1" applyBorder="1" applyAlignment="1">
      <alignment horizontal="center" vertical="center"/>
    </xf>
    <xf numFmtId="166" fontId="59" fillId="4" borderId="89" xfId="1" applyNumberFormat="1" applyFont="1" applyFill="1" applyBorder="1" applyAlignment="1">
      <alignment horizontal="center" vertical="center"/>
    </xf>
    <xf numFmtId="166" fontId="59" fillId="4" borderId="174" xfId="1" applyNumberFormat="1" applyFont="1" applyFill="1" applyBorder="1" applyAlignment="1" applyProtection="1">
      <alignment horizontal="center" vertical="center"/>
      <protection hidden="1"/>
    </xf>
    <xf numFmtId="166" fontId="59" fillId="4" borderId="66" xfId="1" applyNumberFormat="1" applyFont="1" applyFill="1" applyBorder="1" applyAlignment="1" applyProtection="1">
      <alignment horizontal="center" vertical="center"/>
      <protection hidden="1"/>
    </xf>
    <xf numFmtId="166" fontId="59" fillId="4" borderId="67" xfId="1" applyNumberFormat="1" applyFont="1" applyFill="1" applyBorder="1" applyAlignment="1" applyProtection="1">
      <alignment horizontal="center" vertical="center"/>
      <protection hidden="1"/>
    </xf>
    <xf numFmtId="166" fontId="59" fillId="4" borderId="174" xfId="1" applyNumberFormat="1" applyFont="1" applyFill="1" applyBorder="1" applyAlignment="1">
      <alignment horizontal="center" vertical="center"/>
    </xf>
    <xf numFmtId="166" fontId="59" fillId="4" borderId="66" xfId="1" applyNumberFormat="1" applyFont="1" applyFill="1" applyBorder="1" applyAlignment="1">
      <alignment horizontal="center" vertical="center"/>
    </xf>
    <xf numFmtId="166" fontId="59" fillId="4" borderId="67" xfId="1" applyNumberFormat="1" applyFont="1" applyFill="1" applyBorder="1" applyAlignment="1">
      <alignment horizontal="center" vertical="center"/>
    </xf>
    <xf numFmtId="166" fontId="9" fillId="3" borderId="143" xfId="1" applyNumberFormat="1" applyFont="1" applyFill="1" applyBorder="1" applyAlignment="1" applyProtection="1">
      <alignment horizontal="center" vertical="center"/>
      <protection locked="0" hidden="1"/>
    </xf>
    <xf numFmtId="166" fontId="9" fillId="3" borderId="140" xfId="1" applyNumberFormat="1" applyFont="1" applyFill="1" applyBorder="1" applyAlignment="1" applyProtection="1">
      <alignment horizontal="center" vertical="center"/>
      <protection locked="0" hidden="1"/>
    </xf>
    <xf numFmtId="166" fontId="9" fillId="3" borderId="89" xfId="1" applyNumberFormat="1" applyFont="1" applyFill="1" applyBorder="1" applyAlignment="1" applyProtection="1">
      <alignment horizontal="center" vertical="center"/>
      <protection locked="0" hidden="1"/>
    </xf>
    <xf numFmtId="166" fontId="9" fillId="0" borderId="143" xfId="1" applyNumberFormat="1" applyFont="1" applyBorder="1" applyAlignment="1" applyProtection="1">
      <alignment horizontal="center" vertical="center"/>
      <protection locked="0"/>
    </xf>
    <xf numFmtId="166" fontId="9" fillId="0" borderId="140" xfId="1" applyNumberFormat="1" applyFont="1" applyBorder="1" applyAlignment="1" applyProtection="1">
      <alignment horizontal="center" vertical="center"/>
      <protection locked="0"/>
    </xf>
    <xf numFmtId="166" fontId="9" fillId="0" borderId="89" xfId="1" applyNumberFormat="1" applyFont="1" applyBorder="1" applyAlignment="1" applyProtection="1">
      <alignment horizontal="center" vertical="center"/>
      <protection locked="0"/>
    </xf>
    <xf numFmtId="166" fontId="9" fillId="3" borderId="143" xfId="1" applyNumberFormat="1" applyFont="1" applyFill="1" applyBorder="1" applyAlignment="1" applyProtection="1">
      <alignment horizontal="center" vertical="center"/>
      <protection locked="0"/>
    </xf>
    <xf numFmtId="166" fontId="9" fillId="3" borderId="140" xfId="1" applyNumberFormat="1" applyFont="1" applyFill="1" applyBorder="1" applyAlignment="1" applyProtection="1">
      <alignment horizontal="center" vertical="center"/>
      <protection locked="0"/>
    </xf>
    <xf numFmtId="166" fontId="9" fillId="3" borderId="89" xfId="1" applyNumberFormat="1" applyFont="1" applyFill="1" applyBorder="1" applyAlignment="1" applyProtection="1">
      <alignment horizontal="center" vertical="center"/>
      <protection locked="0"/>
    </xf>
    <xf numFmtId="166" fontId="9" fillId="4" borderId="174" xfId="1" applyNumberFormat="1" applyFont="1" applyFill="1" applyBorder="1" applyAlignment="1" applyProtection="1">
      <alignment horizontal="center" vertical="center"/>
      <protection locked="0"/>
    </xf>
    <xf numFmtId="166" fontId="9" fillId="4" borderId="66" xfId="1" applyNumberFormat="1" applyFont="1" applyFill="1" applyBorder="1" applyAlignment="1" applyProtection="1">
      <alignment horizontal="center" vertical="center"/>
      <protection locked="0"/>
    </xf>
    <xf numFmtId="166" fontId="9" fillId="4" borderId="67" xfId="1" applyNumberFormat="1" applyFont="1" applyFill="1" applyBorder="1" applyAlignment="1" applyProtection="1">
      <alignment horizontal="center" vertical="center"/>
      <protection locked="0"/>
    </xf>
    <xf numFmtId="166" fontId="9" fillId="4" borderId="94" xfId="1" applyNumberFormat="1" applyFont="1" applyFill="1" applyBorder="1" applyAlignment="1">
      <alignment horizontal="center" vertical="center"/>
    </xf>
    <xf numFmtId="166" fontId="9" fillId="4" borderId="83" xfId="1" applyNumberFormat="1" applyFont="1" applyFill="1" applyBorder="1" applyAlignment="1">
      <alignment horizontal="center" vertical="center"/>
    </xf>
    <xf numFmtId="166" fontId="9" fillId="4" borderId="95" xfId="1" applyNumberFormat="1" applyFont="1" applyFill="1" applyBorder="1" applyAlignment="1">
      <alignment horizontal="center" vertical="center"/>
    </xf>
    <xf numFmtId="166" fontId="9" fillId="4" borderId="140" xfId="1" applyNumberFormat="1" applyFont="1" applyFill="1" applyBorder="1" applyAlignment="1">
      <alignment horizontal="center" vertical="center"/>
    </xf>
    <xf numFmtId="166" fontId="9" fillId="4" borderId="89" xfId="1" applyNumberFormat="1" applyFont="1" applyFill="1" applyBorder="1" applyAlignment="1">
      <alignment horizontal="center" vertical="center"/>
    </xf>
    <xf numFmtId="0" fontId="36" fillId="29" borderId="123" xfId="0" applyFont="1" applyFill="1" applyBorder="1" applyAlignment="1" applyProtection="1">
      <alignment horizontal="center" vertical="center" wrapText="1" readingOrder="2"/>
      <protection locked="0"/>
    </xf>
    <xf numFmtId="0" fontId="36" fillId="29" borderId="170" xfId="0" applyFont="1" applyFill="1" applyBorder="1" applyAlignment="1" applyProtection="1">
      <alignment horizontal="center" vertical="center" wrapText="1" readingOrder="2"/>
      <protection locked="0"/>
    </xf>
    <xf numFmtId="0" fontId="36" fillId="29" borderId="153" xfId="0" applyFont="1" applyFill="1" applyBorder="1" applyAlignment="1" applyProtection="1">
      <alignment horizontal="center" vertical="center" wrapText="1" readingOrder="2"/>
      <protection locked="0"/>
    </xf>
    <xf numFmtId="0" fontId="36" fillId="41" borderId="112" xfId="0" applyFont="1" applyFill="1" applyBorder="1" applyAlignment="1" applyProtection="1">
      <alignment horizontal="center" vertical="center" wrapText="1" readingOrder="2"/>
      <protection locked="0"/>
    </xf>
    <xf numFmtId="0" fontId="36" fillId="41" borderId="170" xfId="0" applyFont="1" applyFill="1" applyBorder="1" applyAlignment="1" applyProtection="1">
      <alignment horizontal="center" vertical="center" wrapText="1" readingOrder="2"/>
      <protection locked="0"/>
    </xf>
    <xf numFmtId="0" fontId="36" fillId="41" borderId="109" xfId="0" applyFont="1" applyFill="1" applyBorder="1" applyAlignment="1" applyProtection="1">
      <alignment horizontal="center" vertical="center" wrapText="1" readingOrder="2"/>
      <protection locked="0"/>
    </xf>
    <xf numFmtId="0" fontId="36" fillId="21" borderId="123" xfId="0" applyFont="1" applyFill="1" applyBorder="1" applyAlignment="1" applyProtection="1">
      <alignment horizontal="center" vertical="center" wrapText="1" readingOrder="2"/>
      <protection locked="0"/>
    </xf>
    <xf numFmtId="0" fontId="36" fillId="21" borderId="170" xfId="0" applyFont="1" applyFill="1" applyBorder="1" applyAlignment="1" applyProtection="1">
      <alignment horizontal="center" vertical="center" wrapText="1" readingOrder="2"/>
      <protection locked="0"/>
    </xf>
    <xf numFmtId="0" fontId="36" fillId="21" borderId="109" xfId="0" applyFont="1" applyFill="1" applyBorder="1" applyAlignment="1" applyProtection="1">
      <alignment horizontal="center" vertical="center" wrapText="1" readingOrder="2"/>
      <protection locked="0"/>
    </xf>
    <xf numFmtId="0" fontId="36" fillId="21" borderId="153" xfId="0" applyFont="1" applyFill="1" applyBorder="1" applyAlignment="1" applyProtection="1">
      <alignment horizontal="center" vertical="center" wrapText="1" readingOrder="2"/>
      <protection locked="0"/>
    </xf>
    <xf numFmtId="0" fontId="36" fillId="42" borderId="100" xfId="0" applyFont="1" applyFill="1" applyBorder="1" applyAlignment="1" applyProtection="1">
      <alignment horizontal="center" vertical="center" wrapText="1" readingOrder="2"/>
      <protection locked="0"/>
    </xf>
    <xf numFmtId="0" fontId="36" fillId="42" borderId="109" xfId="0" applyFont="1" applyFill="1" applyBorder="1" applyAlignment="1" applyProtection="1">
      <alignment horizontal="center" vertical="center" wrapText="1" readingOrder="2"/>
      <protection locked="0"/>
    </xf>
    <xf numFmtId="0" fontId="36" fillId="42" borderId="170" xfId="0" applyFont="1" applyFill="1" applyBorder="1" applyAlignment="1" applyProtection="1">
      <alignment horizontal="center" vertical="center" wrapText="1" readingOrder="2"/>
      <protection locked="0"/>
    </xf>
    <xf numFmtId="0" fontId="36" fillId="43" borderId="74" xfId="0" applyFont="1" applyFill="1" applyBorder="1" applyAlignment="1" applyProtection="1">
      <alignment horizontal="center" vertical="center" wrapText="1" readingOrder="2"/>
      <protection locked="0"/>
    </xf>
    <xf numFmtId="0" fontId="36" fillId="43" borderId="153" xfId="0" applyFont="1" applyFill="1" applyBorder="1" applyAlignment="1" applyProtection="1">
      <alignment horizontal="center" vertical="center" wrapText="1" readingOrder="2"/>
      <protection locked="0"/>
    </xf>
    <xf numFmtId="0" fontId="36" fillId="8" borderId="100" xfId="0" applyFont="1" applyFill="1" applyBorder="1" applyAlignment="1" applyProtection="1">
      <alignment horizontal="center" vertical="center" wrapText="1" readingOrder="2"/>
      <protection locked="0"/>
    </xf>
    <xf numFmtId="0" fontId="36" fillId="8" borderId="109" xfId="0" applyFont="1" applyFill="1" applyBorder="1" applyAlignment="1" applyProtection="1">
      <alignment horizontal="center" vertical="center" wrapText="1" readingOrder="2"/>
      <protection locked="0"/>
    </xf>
    <xf numFmtId="0" fontId="36" fillId="39" borderId="74" xfId="0" applyFont="1" applyFill="1" applyBorder="1" applyAlignment="1" applyProtection="1">
      <alignment horizontal="center" vertical="center" wrapText="1" readingOrder="2"/>
      <protection locked="0"/>
    </xf>
    <xf numFmtId="0" fontId="36" fillId="39" borderId="153" xfId="0" applyFont="1" applyFill="1" applyBorder="1" applyAlignment="1" applyProtection="1">
      <alignment horizontal="center" vertical="center" wrapText="1" readingOrder="2"/>
      <protection locked="0"/>
    </xf>
    <xf numFmtId="0" fontId="36" fillId="44" borderId="100" xfId="0" applyFont="1" applyFill="1" applyBorder="1" applyAlignment="1" applyProtection="1">
      <alignment horizontal="center" vertical="center" wrapText="1" readingOrder="2"/>
      <protection locked="0"/>
    </xf>
    <xf numFmtId="0" fontId="36" fillId="44" borderId="109" xfId="0" applyFont="1" applyFill="1" applyBorder="1" applyAlignment="1" applyProtection="1">
      <alignment horizontal="center" vertical="center" wrapText="1" readingOrder="2"/>
      <protection locked="0"/>
    </xf>
    <xf numFmtId="0" fontId="36" fillId="0" borderId="155" xfId="0" applyFont="1" applyBorder="1" applyAlignment="1" applyProtection="1">
      <alignment horizontal="center" vertical="center" wrapText="1" readingOrder="2"/>
      <protection locked="0"/>
    </xf>
    <xf numFmtId="0" fontId="36" fillId="0" borderId="75" xfId="0" applyFont="1" applyBorder="1" applyAlignment="1" applyProtection="1">
      <alignment horizontal="center" vertical="center" wrapText="1" readingOrder="2"/>
      <protection locked="0"/>
    </xf>
    <xf numFmtId="3" fontId="35" fillId="0" borderId="137" xfId="1" applyNumberFormat="1" applyFont="1" applyBorder="1" applyAlignment="1" applyProtection="1">
      <alignment horizontal="center" vertical="center" wrapText="1" readingOrder="2"/>
      <protection locked="0" hidden="1"/>
    </xf>
    <xf numFmtId="3" fontId="35" fillId="3" borderId="98" xfId="1" applyNumberFormat="1" applyFont="1" applyFill="1" applyBorder="1" applyAlignment="1" applyProtection="1">
      <alignment horizontal="center" vertical="center" wrapText="1" readingOrder="2"/>
      <protection locked="0" hidden="1"/>
    </xf>
    <xf numFmtId="3" fontId="8" fillId="0" borderId="137" xfId="1" applyNumberFormat="1" applyFont="1" applyBorder="1" applyAlignment="1" applyProtection="1">
      <alignment horizontal="center" vertical="center" wrapText="1" readingOrder="2"/>
      <protection locked="0"/>
    </xf>
    <xf numFmtId="3" fontId="8" fillId="0" borderId="137" xfId="1" applyNumberFormat="1" applyFont="1" applyBorder="1" applyAlignment="1" applyProtection="1">
      <alignment horizontal="center" vertical="center" wrapText="1" readingOrder="2"/>
      <protection locked="0" hidden="1"/>
    </xf>
    <xf numFmtId="3" fontId="8" fillId="21" borderId="67" xfId="1" applyNumberFormat="1" applyFont="1" applyFill="1" applyBorder="1" applyAlignment="1" applyProtection="1">
      <alignment horizontal="center" vertical="center"/>
      <protection locked="0"/>
    </xf>
    <xf numFmtId="3" fontId="8" fillId="21" borderId="67" xfId="1" applyNumberFormat="1" applyFont="1" applyFill="1" applyBorder="1" applyAlignment="1" applyProtection="1">
      <alignment horizontal="center" vertical="center" wrapText="1" readingOrder="2"/>
      <protection locked="0"/>
    </xf>
    <xf numFmtId="3" fontId="8" fillId="4" borderId="86" xfId="1" applyNumberFormat="1" applyFont="1" applyFill="1" applyBorder="1" applyAlignment="1" applyProtection="1">
      <alignment horizontal="center" vertical="center" wrapText="1" readingOrder="2"/>
      <protection locked="0" hidden="1"/>
    </xf>
    <xf numFmtId="3" fontId="8" fillId="4" borderId="88" xfId="1" applyNumberFormat="1" applyFont="1" applyFill="1" applyBorder="1" applyAlignment="1" applyProtection="1">
      <alignment horizontal="center" vertical="center" wrapText="1" readingOrder="2"/>
      <protection locked="0" hidden="1"/>
    </xf>
    <xf numFmtId="3" fontId="8" fillId="4" borderId="139" xfId="1" applyNumberFormat="1" applyFont="1" applyFill="1" applyBorder="1" applyAlignment="1" applyProtection="1">
      <alignment horizontal="center" vertical="center" wrapText="1" readingOrder="2"/>
      <protection locked="0" hidden="1"/>
    </xf>
    <xf numFmtId="0" fontId="35" fillId="3" borderId="115" xfId="0" applyFont="1" applyFill="1" applyBorder="1" applyAlignment="1" applyProtection="1">
      <alignment horizontal="center" vertical="center" wrapText="1" readingOrder="2"/>
      <protection locked="0"/>
    </xf>
    <xf numFmtId="0" fontId="42" fillId="0" borderId="0" xfId="0" applyFont="1" applyFill="1" applyProtection="1">
      <protection hidden="1"/>
    </xf>
    <xf numFmtId="0" fontId="42" fillId="0" borderId="0" xfId="0" applyFont="1" applyFill="1" applyAlignment="1" applyProtection="1">
      <alignment horizontal="right"/>
      <protection hidden="1"/>
    </xf>
    <xf numFmtId="0" fontId="58" fillId="0" borderId="0" xfId="0" applyFont="1" applyFill="1" applyAlignment="1" applyProtection="1">
      <alignment horizontal="center" vertical="center"/>
      <protection hidden="1"/>
    </xf>
    <xf numFmtId="0" fontId="141" fillId="0" borderId="0" xfId="0" applyFont="1" applyFill="1" applyAlignment="1" applyProtection="1">
      <alignment horizontal="right"/>
      <protection hidden="1"/>
    </xf>
    <xf numFmtId="3" fontId="36" fillId="0" borderId="0" xfId="0" applyNumberFormat="1" applyFont="1" applyAlignment="1" applyProtection="1">
      <alignment vertical="center"/>
      <protection locked="0"/>
    </xf>
    <xf numFmtId="3" fontId="130" fillId="0" borderId="0" xfId="0" applyNumberFormat="1" applyFont="1" applyAlignment="1" applyProtection="1">
      <alignment horizontal="centerContinuous"/>
      <protection locked="0"/>
    </xf>
    <xf numFmtId="3" fontId="129" fillId="0" borderId="0" xfId="1" applyNumberFormat="1" applyFont="1" applyAlignment="1">
      <alignment horizontal="centerContinuous" vertical="center" wrapText="1" readingOrder="2"/>
    </xf>
    <xf numFmtId="3" fontId="61" fillId="0" borderId="0" xfId="0" applyNumberFormat="1" applyFont="1" applyProtection="1">
      <protection locked="0"/>
    </xf>
    <xf numFmtId="3" fontId="42" fillId="0" borderId="0" xfId="0" applyNumberFormat="1" applyFont="1" applyProtection="1">
      <protection locked="0"/>
    </xf>
    <xf numFmtId="3" fontId="9" fillId="11" borderId="64" xfId="1" applyNumberFormat="1" applyFont="1" applyFill="1" applyBorder="1" applyAlignment="1" applyProtection="1">
      <alignment horizontal="centerContinuous" vertical="center" wrapText="1" readingOrder="2"/>
      <protection locked="0"/>
    </xf>
    <xf numFmtId="3" fontId="9" fillId="11" borderId="78" xfId="1" applyNumberFormat="1" applyFont="1" applyFill="1" applyBorder="1" applyAlignment="1" applyProtection="1">
      <alignment horizontal="centerContinuous" vertical="center" wrapText="1" readingOrder="2"/>
      <protection locked="0"/>
    </xf>
    <xf numFmtId="3" fontId="9" fillId="11" borderId="76" xfId="1" applyNumberFormat="1" applyFont="1" applyFill="1" applyBorder="1" applyAlignment="1" applyProtection="1">
      <alignment horizontal="centerContinuous" vertical="center" wrapText="1" readingOrder="2"/>
      <protection locked="0"/>
    </xf>
    <xf numFmtId="3" fontId="4" fillId="0" borderId="0" xfId="1" applyNumberFormat="1" applyFont="1" applyProtection="1">
      <protection locked="0"/>
    </xf>
    <xf numFmtId="3" fontId="8" fillId="11" borderId="10" xfId="1" applyNumberFormat="1" applyFont="1" applyFill="1" applyBorder="1" applyAlignment="1" applyProtection="1">
      <alignment horizontal="center" vertical="center" wrapText="1" readingOrder="2"/>
      <protection locked="0"/>
    </xf>
    <xf numFmtId="3" fontId="8" fillId="11" borderId="11" xfId="1" applyNumberFormat="1" applyFont="1" applyFill="1" applyBorder="1" applyAlignment="1" applyProtection="1">
      <alignment horizontal="center" vertical="center" wrapText="1" readingOrder="2"/>
      <protection locked="0"/>
    </xf>
    <xf numFmtId="3" fontId="8" fillId="11" borderId="2" xfId="1" applyNumberFormat="1" applyFont="1" applyFill="1" applyBorder="1" applyAlignment="1" applyProtection="1">
      <alignment horizontal="center" vertical="center" wrapText="1" readingOrder="2"/>
      <protection locked="0"/>
    </xf>
    <xf numFmtId="3" fontId="8" fillId="11" borderId="15" xfId="1" applyNumberFormat="1" applyFont="1" applyFill="1" applyBorder="1" applyAlignment="1" applyProtection="1">
      <alignment horizontal="center" vertical="center" wrapText="1" readingOrder="2"/>
      <protection locked="0"/>
    </xf>
    <xf numFmtId="3" fontId="11" fillId="4" borderId="5" xfId="1" applyNumberFormat="1" applyFont="1" applyFill="1" applyBorder="1" applyAlignment="1">
      <alignment horizontal="center" vertical="center" wrapText="1" readingOrder="2"/>
    </xf>
    <xf numFmtId="3" fontId="8" fillId="21" borderId="94" xfId="1" applyNumberFormat="1" applyFont="1" applyFill="1" applyBorder="1" applyAlignment="1" applyProtection="1">
      <alignment horizontal="center" vertical="center" wrapText="1" readingOrder="2"/>
      <protection locked="0"/>
    </xf>
    <xf numFmtId="3" fontId="8" fillId="21" borderId="91" xfId="1" applyNumberFormat="1" applyFont="1" applyFill="1" applyBorder="1" applyAlignment="1" applyProtection="1">
      <alignment horizontal="center" vertical="center" wrapText="1" readingOrder="2"/>
      <protection locked="0"/>
    </xf>
    <xf numFmtId="3" fontId="145" fillId="0" borderId="0" xfId="1" applyNumberFormat="1" applyFont="1" applyProtection="1">
      <protection locked="0"/>
    </xf>
    <xf numFmtId="3" fontId="8" fillId="21" borderId="143" xfId="1" applyNumberFormat="1" applyFont="1" applyFill="1" applyBorder="1" applyAlignment="1" applyProtection="1">
      <alignment horizontal="center" vertical="center" wrapText="1" readingOrder="2"/>
      <protection locked="0"/>
    </xf>
    <xf numFmtId="3" fontId="11" fillId="4" borderId="139" xfId="1" applyNumberFormat="1" applyFont="1" applyFill="1" applyBorder="1" applyAlignment="1">
      <alignment horizontal="center" vertical="center" wrapText="1" readingOrder="2"/>
    </xf>
    <xf numFmtId="3" fontId="8" fillId="21" borderId="88" xfId="1" applyNumberFormat="1" applyFont="1" applyFill="1" applyBorder="1" applyAlignment="1" applyProtection="1">
      <alignment horizontal="center" vertical="center" wrapText="1" readingOrder="2"/>
      <protection locked="0"/>
    </xf>
    <xf numFmtId="3" fontId="8" fillId="21" borderId="139" xfId="1" applyNumberFormat="1" applyFont="1" applyFill="1" applyBorder="1" applyAlignment="1" applyProtection="1">
      <alignment horizontal="center" vertical="center" wrapText="1" readingOrder="2"/>
      <protection locked="0"/>
    </xf>
    <xf numFmtId="3" fontId="8" fillId="21" borderId="171" xfId="1" applyNumberFormat="1" applyFont="1" applyFill="1" applyBorder="1" applyAlignment="1" applyProtection="1">
      <alignment horizontal="center" vertical="center" wrapText="1" readingOrder="2"/>
      <protection locked="0"/>
    </xf>
    <xf numFmtId="3" fontId="11" fillId="4" borderId="145" xfId="1" applyNumberFormat="1" applyFont="1" applyFill="1" applyBorder="1" applyAlignment="1">
      <alignment horizontal="center" vertical="center" wrapText="1" readingOrder="2"/>
    </xf>
    <xf numFmtId="3" fontId="8" fillId="21" borderId="201" xfId="1" applyNumberFormat="1" applyFont="1" applyFill="1" applyBorder="1" applyAlignment="1" applyProtection="1">
      <alignment horizontal="center" vertical="center" wrapText="1" readingOrder="2"/>
      <protection locked="0"/>
    </xf>
    <xf numFmtId="3" fontId="8" fillId="21" borderId="84" xfId="1" applyNumberFormat="1" applyFont="1" applyFill="1" applyBorder="1" applyAlignment="1" applyProtection="1">
      <alignment horizontal="center" vertical="center" wrapText="1" readingOrder="2"/>
      <protection locked="0"/>
    </xf>
    <xf numFmtId="3" fontId="8" fillId="23" borderId="139" xfId="1" applyNumberFormat="1" applyFont="1" applyFill="1" applyBorder="1" applyAlignment="1" applyProtection="1">
      <alignment vertical="center"/>
      <protection locked="0" hidden="1"/>
    </xf>
    <xf numFmtId="3" fontId="8" fillId="23" borderId="143" xfId="1" applyNumberFormat="1" applyFont="1" applyFill="1" applyBorder="1" applyAlignment="1" applyProtection="1">
      <alignment vertical="center"/>
      <protection locked="0"/>
    </xf>
    <xf numFmtId="3" fontId="91" fillId="22" borderId="163" xfId="1" applyNumberFormat="1" applyFont="1" applyFill="1" applyBorder="1" applyAlignment="1" applyProtection="1">
      <alignment horizontal="center" vertical="center" wrapText="1" readingOrder="2"/>
      <protection locked="0"/>
    </xf>
    <xf numFmtId="3" fontId="8" fillId="23" borderId="139" xfId="1" applyNumberFormat="1" applyFont="1" applyFill="1" applyBorder="1" applyAlignment="1" applyProtection="1">
      <alignment vertical="center"/>
      <protection locked="0"/>
    </xf>
    <xf numFmtId="3" fontId="8" fillId="23" borderId="143" xfId="1" applyNumberFormat="1" applyFont="1" applyFill="1" applyBorder="1" applyAlignment="1" applyProtection="1">
      <alignment vertical="center"/>
      <protection locked="0" hidden="1"/>
    </xf>
    <xf numFmtId="3" fontId="91" fillId="22" borderId="135" xfId="1" applyNumberFormat="1" applyFont="1" applyFill="1" applyBorder="1" applyAlignment="1" applyProtection="1">
      <alignment horizontal="center" vertical="center" wrapText="1" readingOrder="2"/>
      <protection locked="0"/>
    </xf>
    <xf numFmtId="3" fontId="8" fillId="21" borderId="138" xfId="1" applyNumberFormat="1" applyFont="1" applyFill="1" applyBorder="1" applyAlignment="1" applyProtection="1">
      <alignment horizontal="center" vertical="center" wrapText="1" readingOrder="2"/>
      <protection locked="0"/>
    </xf>
    <xf numFmtId="3" fontId="8" fillId="21" borderId="86" xfId="1" applyNumberFormat="1" applyFont="1" applyFill="1" applyBorder="1" applyAlignment="1" applyProtection="1">
      <alignment horizontal="center" vertical="center" wrapText="1" readingOrder="2"/>
      <protection locked="0"/>
    </xf>
    <xf numFmtId="3" fontId="8" fillId="21" borderId="97" xfId="1" applyNumberFormat="1" applyFont="1" applyFill="1" applyBorder="1" applyAlignment="1" applyProtection="1">
      <alignment horizontal="center" vertical="center" wrapText="1" readingOrder="2"/>
      <protection locked="0" hidden="1"/>
    </xf>
    <xf numFmtId="3" fontId="8" fillId="21" borderId="137" xfId="1" applyNumberFormat="1" applyFont="1" applyFill="1" applyBorder="1" applyAlignment="1" applyProtection="1">
      <alignment horizontal="center" vertical="center" wrapText="1" readingOrder="2"/>
      <protection locked="0"/>
    </xf>
    <xf numFmtId="3" fontId="8" fillId="21" borderId="225" xfId="1" applyNumberFormat="1" applyFont="1" applyFill="1" applyBorder="1" applyAlignment="1" applyProtection="1">
      <alignment horizontal="center" vertical="center" wrapText="1" readingOrder="2"/>
      <protection locked="0"/>
    </xf>
    <xf numFmtId="3" fontId="8" fillId="21" borderId="96" xfId="1" applyNumberFormat="1" applyFont="1" applyFill="1" applyBorder="1" applyAlignment="1" applyProtection="1">
      <alignment horizontal="center" vertical="center" wrapText="1" readingOrder="2"/>
      <protection locked="0"/>
    </xf>
    <xf numFmtId="3" fontId="8" fillId="23" borderId="61" xfId="1" applyNumberFormat="1" applyFont="1" applyFill="1" applyBorder="1" applyAlignment="1" applyProtection="1">
      <alignment vertical="center"/>
      <protection locked="0"/>
    </xf>
    <xf numFmtId="3" fontId="8" fillId="23" borderId="174" xfId="1" applyNumberFormat="1" applyFont="1" applyFill="1" applyBorder="1" applyAlignment="1" applyProtection="1">
      <alignment vertical="center"/>
      <protection locked="0"/>
    </xf>
    <xf numFmtId="3" fontId="8" fillId="22" borderId="93" xfId="1" applyNumberFormat="1" applyFont="1" applyFill="1" applyBorder="1" applyAlignment="1" applyProtection="1">
      <alignment vertical="center"/>
      <protection locked="0"/>
    </xf>
    <xf numFmtId="3" fontId="12" fillId="3" borderId="0" xfId="1" applyNumberFormat="1" applyFont="1" applyFill="1" applyAlignment="1" applyProtection="1">
      <alignment horizontal="center" vertical="center"/>
      <protection locked="0"/>
    </xf>
    <xf numFmtId="3" fontId="8" fillId="3" borderId="0" xfId="1" applyNumberFormat="1" applyFont="1" applyFill="1" applyAlignment="1" applyProtection="1">
      <alignment vertical="center"/>
      <protection locked="0"/>
    </xf>
    <xf numFmtId="3" fontId="4" fillId="3" borderId="0" xfId="1" applyNumberFormat="1" applyFont="1" applyFill="1" applyProtection="1">
      <protection locked="0"/>
    </xf>
    <xf numFmtId="3" fontId="96" fillId="3" borderId="0" xfId="1" applyNumberFormat="1" applyFont="1" applyFill="1" applyAlignment="1" applyProtection="1">
      <alignment vertical="center"/>
      <protection locked="0"/>
    </xf>
    <xf numFmtId="3" fontId="96" fillId="3" borderId="0" xfId="1" applyNumberFormat="1" applyFont="1" applyFill="1" applyAlignment="1" applyProtection="1">
      <alignment horizontal="center" vertical="center"/>
      <protection locked="0"/>
    </xf>
    <xf numFmtId="3" fontId="96" fillId="3" borderId="0" xfId="1" applyNumberFormat="1" applyFont="1" applyFill="1" applyAlignment="1" applyProtection="1">
      <alignment horizontal="center" vertical="center" wrapText="1" readingOrder="2"/>
      <protection locked="0"/>
    </xf>
    <xf numFmtId="3" fontId="97" fillId="3" borderId="0" xfId="1" applyNumberFormat="1" applyFont="1" applyFill="1" applyProtection="1">
      <protection locked="0"/>
    </xf>
    <xf numFmtId="3" fontId="4" fillId="3" borderId="214" xfId="1" applyNumberFormat="1" applyFont="1" applyFill="1" applyBorder="1" applyProtection="1">
      <protection locked="0"/>
    </xf>
    <xf numFmtId="3" fontId="95" fillId="3" borderId="0" xfId="1" applyNumberFormat="1" applyFont="1" applyFill="1" applyAlignment="1" applyProtection="1">
      <alignment horizontal="right" vertical="top" wrapText="1" readingOrder="2"/>
      <protection locked="0"/>
    </xf>
    <xf numFmtId="3" fontId="31" fillId="0" borderId="0" xfId="1" applyNumberFormat="1" applyFont="1" applyProtection="1">
      <protection locked="0"/>
    </xf>
    <xf numFmtId="3" fontId="145" fillId="3" borderId="0" xfId="1" applyNumberFormat="1" applyFont="1" applyFill="1" applyProtection="1">
      <protection locked="0"/>
    </xf>
    <xf numFmtId="3" fontId="8" fillId="21" borderId="62" xfId="1" applyNumberFormat="1" applyFont="1" applyFill="1" applyBorder="1" applyAlignment="1" applyProtection="1">
      <alignment horizontal="center" vertical="center" wrapText="1" readingOrder="2"/>
      <protection locked="0"/>
    </xf>
    <xf numFmtId="3" fontId="8" fillId="21" borderId="66" xfId="1" applyNumberFormat="1" applyFont="1" applyFill="1" applyBorder="1" applyAlignment="1" applyProtection="1">
      <alignment horizontal="center" vertical="center"/>
      <protection locked="0"/>
    </xf>
    <xf numFmtId="3" fontId="11" fillId="4" borderId="4" xfId="1" applyNumberFormat="1" applyFont="1" applyFill="1" applyBorder="1" applyAlignment="1">
      <alignment horizontal="center" vertical="center" wrapText="1" readingOrder="2"/>
    </xf>
    <xf numFmtId="0" fontId="13" fillId="4" borderId="22" xfId="1" applyFont="1" applyFill="1" applyBorder="1" applyAlignment="1">
      <alignment horizontal="center" vertical="center" wrapText="1" readingOrder="2"/>
    </xf>
    <xf numFmtId="0" fontId="13" fillId="4" borderId="26" xfId="1" applyFont="1" applyFill="1" applyBorder="1" applyAlignment="1">
      <alignment horizontal="center" vertical="center" wrapText="1" readingOrder="2"/>
    </xf>
    <xf numFmtId="0" fontId="13" fillId="4" borderId="149" xfId="1" applyFont="1" applyFill="1" applyBorder="1" applyAlignment="1">
      <alignment horizontal="center" vertical="center" wrapText="1" readingOrder="2"/>
    </xf>
    <xf numFmtId="0" fontId="8" fillId="4" borderId="32" xfId="1" applyFont="1" applyFill="1" applyBorder="1" applyAlignment="1">
      <alignment horizontal="center" vertical="center" wrapText="1" readingOrder="2"/>
    </xf>
    <xf numFmtId="0" fontId="8" fillId="4" borderId="293" xfId="1" applyFont="1" applyFill="1" applyBorder="1" applyAlignment="1">
      <alignment horizontal="center" vertical="center" wrapText="1" readingOrder="2"/>
    </xf>
    <xf numFmtId="0" fontId="13" fillId="0" borderId="0" xfId="1" applyFont="1" applyAlignment="1" applyProtection="1">
      <alignment horizontal="center" vertical="center" wrapText="1" readingOrder="2"/>
      <protection locked="0"/>
    </xf>
    <xf numFmtId="0" fontId="13" fillId="4" borderId="22" xfId="1" applyFont="1" applyFill="1" applyBorder="1" applyAlignment="1" applyProtection="1">
      <alignment horizontal="center" vertical="center" wrapText="1" readingOrder="2"/>
      <protection locked="0"/>
    </xf>
    <xf numFmtId="0" fontId="13" fillId="4" borderId="26" xfId="1" applyFont="1" applyFill="1" applyBorder="1" applyAlignment="1" applyProtection="1">
      <alignment horizontal="center" vertical="center" wrapText="1" readingOrder="2"/>
      <protection locked="0"/>
    </xf>
    <xf numFmtId="0" fontId="13" fillId="4" borderId="149" xfId="1" applyFont="1" applyFill="1" applyBorder="1" applyAlignment="1" applyProtection="1">
      <alignment horizontal="center" vertical="center" wrapText="1" readingOrder="2"/>
      <protection locked="0"/>
    </xf>
    <xf numFmtId="0" fontId="8" fillId="4" borderId="32" xfId="1" applyFont="1" applyFill="1" applyBorder="1" applyAlignment="1" applyProtection="1">
      <alignment horizontal="center" vertical="center" wrapText="1" readingOrder="2"/>
      <protection locked="0"/>
    </xf>
    <xf numFmtId="0" fontId="8" fillId="4" borderId="293" xfId="1" applyFont="1" applyFill="1" applyBorder="1" applyAlignment="1" applyProtection="1">
      <alignment horizontal="center" vertical="center" wrapText="1" readingOrder="2"/>
      <protection locked="0"/>
    </xf>
    <xf numFmtId="0" fontId="0" fillId="0" borderId="0" xfId="0" applyAlignment="1" applyProtection="1">
      <alignment horizontal="center" vertical="center"/>
      <protection locked="0"/>
    </xf>
    <xf numFmtId="0" fontId="145" fillId="0" borderId="0" xfId="1" applyFont="1" applyAlignment="1" applyProtection="1">
      <alignment horizontal="center" vertical="center" wrapText="1" readingOrder="2"/>
      <protection locked="0"/>
    </xf>
    <xf numFmtId="0" fontId="8" fillId="15" borderId="82" xfId="1" applyFont="1" applyFill="1" applyBorder="1" applyAlignment="1">
      <alignment horizontal="center" vertical="center" wrapText="1" readingOrder="2"/>
    </xf>
    <xf numFmtId="166" fontId="8" fillId="4" borderId="174" xfId="1" applyNumberFormat="1" applyFont="1" applyFill="1" applyBorder="1" applyAlignment="1">
      <alignment horizontal="center" vertical="center" wrapText="1" readingOrder="2"/>
    </xf>
    <xf numFmtId="166" fontId="8" fillId="4" borderId="174" xfId="1" applyNumberFormat="1" applyFont="1" applyFill="1" applyBorder="1" applyAlignment="1" applyProtection="1">
      <alignment horizontal="center" vertical="center" wrapText="1" readingOrder="2"/>
      <protection hidden="1"/>
    </xf>
    <xf numFmtId="166" fontId="8" fillId="0" borderId="22" xfId="1" applyNumberFormat="1" applyFont="1" applyBorder="1" applyAlignment="1" applyProtection="1">
      <alignment horizontal="center" vertical="center" wrapText="1" readingOrder="2"/>
      <protection locked="0"/>
    </xf>
    <xf numFmtId="166" fontId="8" fillId="0" borderId="26" xfId="1" applyNumberFormat="1" applyFont="1" applyBorder="1" applyAlignment="1" applyProtection="1">
      <alignment horizontal="center" vertical="center" wrapText="1" readingOrder="2"/>
      <protection locked="0"/>
    </xf>
    <xf numFmtId="177" fontId="36" fillId="0" borderId="0" xfId="0" applyNumberFormat="1" applyFont="1" applyProtection="1">
      <protection locked="0"/>
    </xf>
    <xf numFmtId="177" fontId="66" fillId="3" borderId="0" xfId="0" applyNumberFormat="1" applyFont="1" applyFill="1" applyProtection="1">
      <protection locked="0"/>
    </xf>
    <xf numFmtId="177" fontId="18" fillId="0" borderId="0" xfId="0" applyNumberFormat="1" applyFont="1" applyAlignment="1" applyProtection="1">
      <alignment vertical="center" wrapText="1" readingOrder="2"/>
      <protection locked="0"/>
    </xf>
    <xf numFmtId="177" fontId="66" fillId="0" borderId="0" xfId="0" applyNumberFormat="1" applyFont="1" applyProtection="1">
      <protection locked="0"/>
    </xf>
    <xf numFmtId="177" fontId="36" fillId="11" borderId="16" xfId="7" applyNumberFormat="1" applyFont="1" applyFill="1" applyBorder="1" applyAlignment="1" applyProtection="1">
      <alignment horizontal="center" vertical="center" readingOrder="2"/>
      <protection locked="0"/>
    </xf>
    <xf numFmtId="177" fontId="36" fillId="11" borderId="24" xfId="7" applyNumberFormat="1" applyFont="1" applyFill="1" applyBorder="1" applyAlignment="1" applyProtection="1">
      <alignment horizontal="center" vertical="center" wrapText="1" readingOrder="2"/>
      <protection locked="0"/>
    </xf>
    <xf numFmtId="177" fontId="36" fillId="11" borderId="248" xfId="7" applyNumberFormat="1" applyFont="1" applyFill="1" applyBorder="1" applyAlignment="1" applyProtection="1">
      <alignment horizontal="center" vertical="center" wrapText="1" readingOrder="2"/>
      <protection locked="0"/>
    </xf>
    <xf numFmtId="177" fontId="36" fillId="11" borderId="23" xfId="7" applyNumberFormat="1" applyFont="1" applyFill="1" applyBorder="1" applyAlignment="1" applyProtection="1">
      <alignment horizontal="center" vertical="center" wrapText="1" readingOrder="2"/>
      <protection locked="0"/>
    </xf>
    <xf numFmtId="177" fontId="68" fillId="0" borderId="0" xfId="7" applyNumberFormat="1" applyProtection="1">
      <protection locked="0"/>
    </xf>
    <xf numFmtId="177" fontId="35" fillId="4" borderId="17" xfId="9" applyNumberFormat="1" applyFont="1" applyFill="1" applyBorder="1" applyAlignment="1" applyProtection="1">
      <alignment horizontal="center" vertical="center" readingOrder="2"/>
      <protection locked="0"/>
    </xf>
    <xf numFmtId="177" fontId="8" fillId="0" borderId="30" xfId="7" applyNumberFormat="1" applyFont="1" applyBorder="1" applyAlignment="1" applyProtection="1">
      <alignment horizontal="center" vertical="center" wrapText="1" readingOrder="2"/>
      <protection locked="0"/>
    </xf>
    <xf numFmtId="177" fontId="8" fillId="0" borderId="28" xfId="7" applyNumberFormat="1" applyFont="1" applyBorder="1" applyAlignment="1" applyProtection="1">
      <alignment horizontal="center" vertical="center" wrapText="1" readingOrder="2"/>
      <protection locked="0"/>
    </xf>
    <xf numFmtId="177" fontId="8" fillId="4" borderId="28" xfId="7" applyNumberFormat="1" applyFont="1" applyFill="1" applyBorder="1" applyAlignment="1" applyProtection="1">
      <alignment horizontal="center" vertical="center" wrapText="1" readingOrder="2"/>
      <protection locked="0"/>
    </xf>
    <xf numFmtId="177" fontId="8" fillId="4" borderId="28" xfId="7" applyNumberFormat="1" applyFont="1" applyFill="1" applyBorder="1" applyAlignment="1" applyProtection="1">
      <alignment horizontal="center" vertical="center" readingOrder="2"/>
      <protection locked="0"/>
    </xf>
    <xf numFmtId="177" fontId="8" fillId="4" borderId="29" xfId="7" applyNumberFormat="1" applyFont="1" applyFill="1" applyBorder="1" applyAlignment="1" applyProtection="1">
      <alignment horizontal="center" vertical="center" readingOrder="2"/>
      <protection locked="0"/>
    </xf>
    <xf numFmtId="177" fontId="35" fillId="4" borderId="17" xfId="10" applyNumberFormat="1" applyFont="1" applyFill="1" applyBorder="1" applyAlignment="1" applyProtection="1">
      <alignment horizontal="center" vertical="center" readingOrder="2"/>
      <protection locked="0"/>
    </xf>
    <xf numFmtId="177" fontId="8" fillId="0" borderId="30" xfId="7" applyNumberFormat="1" applyFont="1" applyBorder="1" applyAlignment="1" applyProtection="1">
      <alignment horizontal="center" vertical="center" readingOrder="2"/>
      <protection locked="0"/>
    </xf>
    <xf numFmtId="177" fontId="8" fillId="0" borderId="28" xfId="7" applyNumberFormat="1" applyFont="1" applyBorder="1" applyAlignment="1" applyProtection="1">
      <alignment horizontal="center" vertical="center" readingOrder="2"/>
      <protection locked="0"/>
    </xf>
    <xf numFmtId="177" fontId="8" fillId="4" borderId="27" xfId="7" applyNumberFormat="1" applyFont="1" applyFill="1" applyBorder="1" applyAlignment="1" applyProtection="1">
      <alignment horizontal="center" vertical="center" readingOrder="2"/>
      <protection locked="0"/>
    </xf>
    <xf numFmtId="177" fontId="35" fillId="4" borderId="17" xfId="11" applyNumberFormat="1" applyFont="1" applyFill="1" applyBorder="1" applyAlignment="1" applyProtection="1">
      <alignment horizontal="center" vertical="center" readingOrder="2"/>
      <protection locked="0"/>
    </xf>
    <xf numFmtId="177" fontId="8" fillId="4" borderId="30" xfId="12" applyNumberFormat="1" applyFont="1" applyFill="1" applyBorder="1" applyAlignment="1" applyProtection="1">
      <alignment horizontal="center" vertical="center" wrapText="1" readingOrder="1"/>
      <protection locked="0"/>
    </xf>
    <xf numFmtId="177" fontId="8" fillId="4" borderId="28" xfId="12" applyNumberFormat="1" applyFont="1" applyFill="1" applyBorder="1" applyAlignment="1" applyProtection="1">
      <alignment horizontal="center" vertical="center" wrapText="1" readingOrder="1"/>
      <protection locked="0"/>
    </xf>
    <xf numFmtId="177" fontId="8" fillId="4" borderId="30" xfId="7" applyNumberFormat="1" applyFont="1" applyFill="1" applyBorder="1" applyAlignment="1" applyProtection="1">
      <alignment horizontal="center" vertical="center" wrapText="1" readingOrder="2"/>
      <protection locked="0"/>
    </xf>
    <xf numFmtId="177" fontId="0" fillId="0" borderId="0" xfId="7" applyNumberFormat="1" applyFont="1" applyProtection="1">
      <protection locked="0"/>
    </xf>
    <xf numFmtId="177" fontId="35" fillId="4" borderId="150" xfId="11" applyNumberFormat="1" applyFont="1" applyFill="1" applyBorder="1" applyAlignment="1" applyProtection="1">
      <alignment horizontal="center" vertical="center" readingOrder="2"/>
      <protection locked="0"/>
    </xf>
    <xf numFmtId="177" fontId="8" fillId="4" borderId="218" xfId="7" applyNumberFormat="1" applyFont="1" applyFill="1" applyBorder="1" applyAlignment="1" applyProtection="1">
      <alignment horizontal="center" vertical="center" wrapText="1" readingOrder="2"/>
      <protection locked="0"/>
    </xf>
    <xf numFmtId="177" fontId="8" fillId="4" borderId="212" xfId="7" applyNumberFormat="1" applyFont="1" applyFill="1" applyBorder="1" applyAlignment="1" applyProtection="1">
      <alignment horizontal="center" vertical="center" wrapText="1" readingOrder="2"/>
      <protection locked="0"/>
    </xf>
    <xf numFmtId="177" fontId="8" fillId="4" borderId="212" xfId="7" applyNumberFormat="1" applyFont="1" applyFill="1" applyBorder="1" applyAlignment="1" applyProtection="1">
      <alignment horizontal="center" vertical="center" readingOrder="2"/>
      <protection locked="0"/>
    </xf>
    <xf numFmtId="177" fontId="8" fillId="4" borderId="213" xfId="7" applyNumberFormat="1" applyFont="1" applyFill="1" applyBorder="1" applyAlignment="1" applyProtection="1">
      <alignment horizontal="center" vertical="center" readingOrder="2"/>
      <protection locked="0"/>
    </xf>
    <xf numFmtId="177" fontId="109" fillId="3" borderId="0" xfId="7" applyNumberFormat="1" applyFont="1" applyFill="1" applyAlignment="1" applyProtection="1">
      <alignment horizontal="center" vertical="center" readingOrder="2"/>
      <protection locked="0"/>
    </xf>
    <xf numFmtId="177" fontId="68" fillId="3" borderId="0" xfId="7" applyNumberFormat="1" applyFill="1" applyProtection="1">
      <protection locked="0"/>
    </xf>
    <xf numFmtId="177" fontId="148" fillId="0" borderId="0" xfId="0" applyNumberFormat="1" applyFont="1" applyAlignment="1" applyProtection="1">
      <alignment vertical="center" wrapText="1" readingOrder="2"/>
      <protection locked="0"/>
    </xf>
    <xf numFmtId="3" fontId="125" fillId="0" borderId="0" xfId="0" applyNumberFormat="1" applyFont="1" applyAlignment="1" applyProtection="1">
      <alignment horizontal="center" vertical="center"/>
      <protection locked="0"/>
    </xf>
    <xf numFmtId="3" fontId="42" fillId="0" borderId="0" xfId="0" applyNumberFormat="1" applyFont="1" applyAlignment="1" applyProtection="1">
      <alignment horizontal="center"/>
      <protection locked="0"/>
    </xf>
    <xf numFmtId="3" fontId="145" fillId="3" borderId="0" xfId="1" applyNumberFormat="1" applyFont="1" applyFill="1" applyAlignment="1" applyProtection="1">
      <alignment horizontal="center" vertical="center"/>
      <protection locked="0"/>
    </xf>
    <xf numFmtId="3" fontId="83" fillId="21" borderId="94" xfId="1" applyNumberFormat="1" applyFont="1" applyFill="1" applyBorder="1" applyAlignment="1" applyProtection="1">
      <alignment horizontal="center" vertical="center" wrapText="1" readingOrder="2"/>
      <protection locked="0"/>
    </xf>
    <xf numFmtId="3" fontId="83" fillId="21" borderId="139" xfId="1" applyNumberFormat="1" applyFont="1" applyFill="1" applyBorder="1" applyAlignment="1" applyProtection="1">
      <alignment horizontal="center" vertical="center" wrapText="1" readingOrder="2"/>
      <protection locked="0"/>
    </xf>
    <xf numFmtId="3" fontId="83" fillId="21" borderId="201" xfId="1" applyNumberFormat="1" applyFont="1" applyFill="1" applyBorder="1" applyAlignment="1" applyProtection="1">
      <alignment horizontal="center" vertical="center" wrapText="1" readingOrder="2"/>
      <protection locked="0"/>
    </xf>
    <xf numFmtId="0" fontId="35" fillId="3" borderId="115" xfId="31" applyFont="1" applyFill="1" applyBorder="1" applyAlignment="1" applyProtection="1">
      <alignment horizontal="center" vertical="center" wrapText="1" readingOrder="2"/>
      <protection locked="0"/>
    </xf>
    <xf numFmtId="0" fontId="35" fillId="0" borderId="115" xfId="31" applyFont="1" applyBorder="1" applyAlignment="1" applyProtection="1">
      <alignment horizontal="center" vertical="center" wrapText="1" readingOrder="2"/>
      <protection locked="0"/>
    </xf>
    <xf numFmtId="0" fontId="35" fillId="0" borderId="85" xfId="0" applyFont="1" applyBorder="1" applyAlignment="1" applyProtection="1">
      <alignment horizontal="center" vertical="center"/>
      <protection locked="0"/>
    </xf>
    <xf numFmtId="0" fontId="35" fillId="11" borderId="97" xfId="0" applyFont="1" applyFill="1" applyBorder="1" applyAlignment="1" applyProtection="1">
      <alignment horizontal="center" vertical="center" textRotation="90" readingOrder="2"/>
      <protection locked="0"/>
    </xf>
    <xf numFmtId="0" fontId="0" fillId="0" borderId="140" xfId="0" applyBorder="1" applyProtection="1">
      <protection locked="0"/>
    </xf>
    <xf numFmtId="0" fontId="0" fillId="3" borderId="140" xfId="0" applyFill="1" applyBorder="1" applyProtection="1">
      <protection locked="0"/>
    </xf>
    <xf numFmtId="3" fontId="35" fillId="0" borderId="95" xfId="23" applyNumberFormat="1" applyFont="1" applyBorder="1" applyAlignment="1" applyProtection="1">
      <alignment horizontal="center" vertical="center" wrapText="1"/>
      <protection locked="0"/>
    </xf>
    <xf numFmtId="3" fontId="35" fillId="0" borderId="173" xfId="23" applyNumberFormat="1" applyFont="1" applyBorder="1" applyAlignment="1" applyProtection="1">
      <alignment horizontal="center" vertical="center" wrapText="1"/>
      <protection locked="0"/>
    </xf>
    <xf numFmtId="3" fontId="35" fillId="0" borderId="97" xfId="23" applyNumberFormat="1" applyFont="1" applyBorder="1" applyAlignment="1" applyProtection="1">
      <alignment horizontal="center" vertical="center" wrapText="1"/>
      <protection locked="0"/>
    </xf>
    <xf numFmtId="3" fontId="35" fillId="0" borderId="225" xfId="23" applyNumberFormat="1" applyFont="1" applyBorder="1" applyAlignment="1" applyProtection="1">
      <alignment horizontal="center" vertical="center" wrapText="1"/>
      <protection locked="0"/>
    </xf>
    <xf numFmtId="3" fontId="35" fillId="0" borderId="85" xfId="23" applyNumberFormat="1" applyFont="1" applyBorder="1" applyAlignment="1" applyProtection="1">
      <alignment horizontal="center" vertical="center" wrapText="1"/>
      <protection locked="0"/>
    </xf>
    <xf numFmtId="3" fontId="35" fillId="0" borderId="83" xfId="23" applyNumberFormat="1" applyFont="1" applyBorder="1" applyAlignment="1" applyProtection="1">
      <alignment horizontal="center" vertical="center" wrapText="1"/>
      <protection locked="0"/>
    </xf>
    <xf numFmtId="3" fontId="35" fillId="0" borderId="2" xfId="23" applyNumberFormat="1" applyFont="1" applyBorder="1" applyAlignment="1" applyProtection="1">
      <alignment horizontal="center" vertical="center" wrapText="1"/>
      <protection locked="0"/>
    </xf>
    <xf numFmtId="3" fontId="35" fillId="0" borderId="11" xfId="23" applyNumberFormat="1" applyFont="1" applyBorder="1" applyAlignment="1" applyProtection="1">
      <alignment horizontal="center" vertical="center" wrapText="1"/>
      <protection locked="0"/>
    </xf>
    <xf numFmtId="3" fontId="35" fillId="0" borderId="98" xfId="23" applyNumberFormat="1" applyFont="1" applyBorder="1" applyAlignment="1" applyProtection="1">
      <alignment horizontal="center" vertical="center" wrapText="1"/>
      <protection locked="0"/>
    </xf>
    <xf numFmtId="3" fontId="37" fillId="0" borderId="85" xfId="23" applyNumberFormat="1" applyFont="1" applyBorder="1" applyAlignment="1" applyProtection="1">
      <alignment horizontal="center" vertical="center" wrapText="1"/>
      <protection locked="0"/>
    </xf>
    <xf numFmtId="3" fontId="37" fillId="0" borderId="83" xfId="23" applyNumberFormat="1" applyFont="1" applyBorder="1" applyAlignment="1" applyProtection="1">
      <alignment horizontal="center" vertical="center" wrapText="1"/>
      <protection locked="0"/>
    </xf>
    <xf numFmtId="3" fontId="37" fillId="0" borderId="2" xfId="23" applyNumberFormat="1" applyFont="1" applyBorder="1" applyAlignment="1" applyProtection="1">
      <alignment horizontal="center" vertical="center" wrapText="1"/>
      <protection locked="0"/>
    </xf>
    <xf numFmtId="3" fontId="37" fillId="0" borderId="11" xfId="23" applyNumberFormat="1" applyFont="1" applyBorder="1" applyAlignment="1" applyProtection="1">
      <alignment horizontal="center" vertical="center" wrapText="1"/>
      <protection locked="0"/>
    </xf>
    <xf numFmtId="3" fontId="9" fillId="4" borderId="63" xfId="8" applyNumberFormat="1" applyFont="1" applyFill="1" applyBorder="1" applyAlignment="1" applyProtection="1">
      <alignment horizontal="center" vertical="center" wrapText="1"/>
      <protection locked="0"/>
    </xf>
    <xf numFmtId="3" fontId="35" fillId="0" borderId="94" xfId="23" applyNumberFormat="1" applyFont="1" applyBorder="1" applyAlignment="1" applyProtection="1">
      <alignment horizontal="center" vertical="center" wrapText="1"/>
      <protection locked="0"/>
    </xf>
    <xf numFmtId="3" fontId="35" fillId="0" borderId="137" xfId="23" applyNumberFormat="1" applyFont="1" applyBorder="1" applyAlignment="1" applyProtection="1">
      <alignment horizontal="center" vertical="center" wrapText="1"/>
      <protection locked="0"/>
    </xf>
    <xf numFmtId="3" fontId="35" fillId="0" borderId="201" xfId="23" applyNumberFormat="1" applyFont="1" applyBorder="1" applyAlignment="1" applyProtection="1">
      <alignment horizontal="center" vertical="center" wrapText="1"/>
      <protection locked="0"/>
    </xf>
    <xf numFmtId="3" fontId="35" fillId="0" borderId="82" xfId="23" applyNumberFormat="1" applyFont="1" applyBorder="1" applyAlignment="1" applyProtection="1">
      <alignment horizontal="center" vertical="center" wrapText="1"/>
      <protection locked="0"/>
    </xf>
    <xf numFmtId="3" fontId="37" fillId="0" borderId="201" xfId="23" applyNumberFormat="1" applyFont="1" applyBorder="1" applyAlignment="1" applyProtection="1">
      <alignment horizontal="center" vertical="center" wrapText="1"/>
      <protection locked="0"/>
    </xf>
    <xf numFmtId="3" fontId="37" fillId="0" borderId="82" xfId="23" applyNumberFormat="1" applyFont="1" applyBorder="1" applyAlignment="1" applyProtection="1">
      <alignment horizontal="center" vertical="center" wrapText="1"/>
      <protection locked="0"/>
    </xf>
    <xf numFmtId="166" fontId="9" fillId="0" borderId="143" xfId="1" applyNumberFormat="1" applyFont="1" applyBorder="1" applyAlignment="1" applyProtection="1">
      <alignment horizontal="center" vertical="center" wrapText="1" readingOrder="2"/>
      <protection locked="0"/>
    </xf>
    <xf numFmtId="166" fontId="9" fillId="0" borderId="140" xfId="1" applyNumberFormat="1" applyFont="1" applyBorder="1" applyAlignment="1" applyProtection="1">
      <alignment horizontal="center" vertical="center" wrapText="1" readingOrder="2"/>
      <protection locked="0"/>
    </xf>
    <xf numFmtId="166" fontId="9" fillId="0" borderId="89" xfId="1" applyNumberFormat="1" applyFont="1" applyBorder="1" applyAlignment="1" applyProtection="1">
      <alignment horizontal="center" vertical="center" wrapText="1" readingOrder="2"/>
      <protection locked="0"/>
    </xf>
    <xf numFmtId="38" fontId="8" fillId="4" borderId="41" xfId="1" applyNumberFormat="1" applyFont="1" applyFill="1" applyBorder="1" applyAlignment="1" applyProtection="1">
      <alignment horizontal="center" vertical="center" wrapText="1" readingOrder="2"/>
      <protection hidden="1"/>
    </xf>
    <xf numFmtId="38" fontId="8" fillId="4" borderId="4" xfId="1" applyNumberFormat="1" applyFont="1" applyFill="1" applyBorder="1" applyAlignment="1" applyProtection="1">
      <alignment horizontal="center" vertical="center" wrapText="1" readingOrder="2"/>
      <protection hidden="1"/>
    </xf>
    <xf numFmtId="38" fontId="8" fillId="4" borderId="37" xfId="1" applyNumberFormat="1" applyFont="1" applyFill="1" applyBorder="1" applyAlignment="1" applyProtection="1">
      <alignment horizontal="center" vertical="center" wrapText="1" readingOrder="2"/>
      <protection hidden="1"/>
    </xf>
    <xf numFmtId="38" fontId="8" fillId="4" borderId="42" xfId="1" applyNumberFormat="1" applyFont="1" applyFill="1" applyBorder="1" applyAlignment="1" applyProtection="1">
      <alignment horizontal="center" vertical="center" wrapText="1" readingOrder="2"/>
      <protection hidden="1"/>
    </xf>
    <xf numFmtId="38" fontId="8" fillId="4" borderId="5" xfId="1" applyNumberFormat="1" applyFont="1" applyFill="1" applyBorder="1" applyAlignment="1" applyProtection="1">
      <alignment horizontal="center" vertical="center" wrapText="1" readingOrder="2"/>
      <protection hidden="1"/>
    </xf>
    <xf numFmtId="38" fontId="8" fillId="4" borderId="38" xfId="1" applyNumberFormat="1" applyFont="1" applyFill="1" applyBorder="1" applyAlignment="1" applyProtection="1">
      <alignment horizontal="center" vertical="center" wrapText="1" readingOrder="2"/>
      <protection hidden="1"/>
    </xf>
    <xf numFmtId="1" fontId="49" fillId="0" borderId="222" xfId="0" applyNumberFormat="1" applyFont="1" applyBorder="1" applyAlignment="1" applyProtection="1">
      <alignment horizontal="center" vertical="center"/>
      <protection locked="0"/>
    </xf>
    <xf numFmtId="0" fontId="8" fillId="4" borderId="3" xfId="1" applyFont="1" applyFill="1" applyBorder="1" applyAlignment="1" applyProtection="1">
      <alignment horizontal="right" vertical="center" wrapText="1" readingOrder="2"/>
      <protection locked="0" hidden="1"/>
    </xf>
    <xf numFmtId="0" fontId="35" fillId="0" borderId="222" xfId="0" applyFont="1" applyBorder="1" applyAlignment="1" applyProtection="1">
      <alignment horizontal="center" vertical="center" wrapText="1"/>
      <protection locked="0"/>
    </xf>
    <xf numFmtId="0" fontId="49" fillId="28" borderId="222" xfId="0" applyFont="1" applyFill="1" applyBorder="1" applyAlignment="1" applyProtection="1">
      <alignment horizontal="right" vertical="center" wrapText="1"/>
      <protection locked="0" hidden="1"/>
    </xf>
    <xf numFmtId="0" fontId="49" fillId="0" borderId="222" xfId="0" applyFont="1" applyBorder="1" applyAlignment="1" applyProtection="1">
      <alignment vertical="center" wrapText="1"/>
      <protection locked="0"/>
    </xf>
    <xf numFmtId="1" fontId="49" fillId="4" borderId="222" xfId="0" applyNumberFormat="1" applyFont="1" applyFill="1" applyBorder="1" applyAlignment="1" applyProtection="1">
      <alignment horizontal="center" vertical="center"/>
      <protection hidden="1"/>
    </xf>
    <xf numFmtId="0" fontId="49" fillId="3" borderId="223" xfId="0" applyFont="1" applyFill="1" applyBorder="1" applyAlignment="1" applyProtection="1">
      <alignment vertical="center" wrapText="1"/>
      <protection locked="0"/>
    </xf>
    <xf numFmtId="3" fontId="49" fillId="28" borderId="222" xfId="0" applyNumberFormat="1" applyFont="1" applyFill="1" applyBorder="1" applyAlignment="1" applyProtection="1">
      <alignment horizontal="center" vertical="center"/>
      <protection locked="0" hidden="1"/>
    </xf>
    <xf numFmtId="0" fontId="49" fillId="28" borderId="222" xfId="0" applyFont="1" applyFill="1" applyBorder="1" applyAlignment="1" applyProtection="1">
      <alignment horizontal="center" vertical="center" wrapText="1"/>
      <protection locked="0" hidden="1"/>
    </xf>
    <xf numFmtId="0" fontId="49" fillId="28" borderId="222" xfId="0" applyFont="1" applyFill="1" applyBorder="1" applyAlignment="1" applyProtection="1">
      <alignment horizontal="center" vertical="center"/>
      <protection locked="0" hidden="1"/>
    </xf>
    <xf numFmtId="0" fontId="49" fillId="3" borderId="223" xfId="0" applyFont="1" applyFill="1" applyBorder="1" applyAlignment="1" applyProtection="1">
      <alignment horizontal="center" vertical="center" wrapText="1"/>
      <protection locked="0"/>
    </xf>
    <xf numFmtId="164" fontId="149" fillId="3" borderId="154" xfId="6" applyFont="1" applyFill="1" applyBorder="1" applyAlignment="1" applyProtection="1">
      <alignment horizontal="center" vertical="center" wrapText="1" readingOrder="2"/>
      <protection locked="0" hidden="1"/>
    </xf>
    <xf numFmtId="0" fontId="49" fillId="3" borderId="222" xfId="0" applyFont="1" applyFill="1" applyBorder="1" applyAlignment="1" applyProtection="1">
      <alignment vertical="center" wrapText="1"/>
      <protection locked="0"/>
    </xf>
    <xf numFmtId="0" fontId="49" fillId="0" borderId="223" xfId="0" applyFont="1" applyBorder="1" applyAlignment="1" applyProtection="1">
      <alignment vertical="center" wrapText="1"/>
      <protection locked="0"/>
    </xf>
    <xf numFmtId="0" fontId="37" fillId="0" borderId="95" xfId="0" applyFont="1" applyBorder="1" applyAlignment="1" applyProtection="1">
      <alignment horizontal="center" vertical="center" wrapText="1"/>
      <protection locked="0"/>
    </xf>
    <xf numFmtId="166" fontId="8" fillId="0" borderId="28" xfId="7" applyNumberFormat="1" applyFont="1" applyBorder="1" applyAlignment="1" applyProtection="1">
      <alignment horizontal="center" vertical="center" readingOrder="2"/>
      <protection locked="0"/>
    </xf>
    <xf numFmtId="166" fontId="8" fillId="4" borderId="27" xfId="7" applyNumberFormat="1" applyFont="1" applyFill="1" applyBorder="1" applyAlignment="1" applyProtection="1">
      <alignment horizontal="center" vertical="center" readingOrder="2"/>
      <protection locked="0"/>
    </xf>
    <xf numFmtId="0" fontId="138" fillId="3" borderId="145" xfId="0" applyFont="1" applyFill="1" applyBorder="1" applyAlignment="1" applyProtection="1">
      <alignment horizontal="center" vertical="center"/>
      <protection locked="0"/>
    </xf>
    <xf numFmtId="1" fontId="11" fillId="4" borderId="5" xfId="1" applyNumberFormat="1" applyFont="1" applyFill="1" applyBorder="1" applyAlignment="1" applyProtection="1">
      <alignment horizontal="center" vertical="center" wrapText="1" readingOrder="2"/>
    </xf>
    <xf numFmtId="177" fontId="83" fillId="4" borderId="29" xfId="7" applyNumberFormat="1" applyFont="1" applyFill="1" applyBorder="1" applyAlignment="1" applyProtection="1">
      <alignment horizontal="center" vertical="center" readingOrder="2"/>
      <protection locked="0"/>
    </xf>
    <xf numFmtId="3" fontId="35" fillId="21" borderId="139" xfId="1" applyNumberFormat="1" applyFont="1" applyFill="1" applyBorder="1" applyAlignment="1" applyProtection="1">
      <alignment horizontal="center" vertical="center" wrapText="1" readingOrder="2"/>
      <protection locked="0"/>
    </xf>
    <xf numFmtId="3" fontId="35" fillId="21" borderId="94" xfId="1" applyNumberFormat="1" applyFont="1" applyFill="1" applyBorder="1" applyAlignment="1" applyProtection="1">
      <alignment horizontal="center" vertical="center" wrapText="1" readingOrder="2"/>
      <protection locked="0"/>
    </xf>
    <xf numFmtId="3" fontId="35" fillId="21" borderId="201" xfId="1" applyNumberFormat="1" applyFont="1" applyFill="1" applyBorder="1" applyAlignment="1" applyProtection="1">
      <alignment horizontal="center" vertical="center" wrapText="1" readingOrder="2"/>
      <protection locked="0"/>
    </xf>
    <xf numFmtId="3" fontId="83" fillId="21" borderId="143" xfId="1" applyNumberFormat="1" applyFont="1" applyFill="1" applyBorder="1" applyAlignment="1" applyProtection="1">
      <alignment horizontal="center" vertical="center" wrapText="1" readingOrder="2"/>
      <protection locked="0"/>
    </xf>
    <xf numFmtId="3" fontId="138" fillId="3" borderId="114" xfId="0" applyNumberFormat="1" applyFont="1" applyFill="1" applyBorder="1" applyAlignment="1" applyProtection="1">
      <alignment horizontal="center" vertical="center" wrapText="1" readingOrder="2"/>
      <protection locked="0"/>
    </xf>
    <xf numFmtId="0" fontId="41" fillId="0" borderId="0" xfId="0" applyFont="1" applyAlignment="1">
      <alignment horizontal="center" readingOrder="2"/>
    </xf>
    <xf numFmtId="0" fontId="45" fillId="0" borderId="0" xfId="0" applyFont="1" applyAlignment="1" applyProtection="1">
      <alignment horizontal="left" vertical="center" readingOrder="2"/>
      <protection locked="0"/>
    </xf>
    <xf numFmtId="168" fontId="45" fillId="0" borderId="0" xfId="0" applyNumberFormat="1" applyFont="1" applyAlignment="1" applyProtection="1">
      <alignment horizontal="right" vertical="center" readingOrder="2"/>
      <protection locked="0"/>
    </xf>
    <xf numFmtId="0" fontId="45" fillId="0" borderId="0" xfId="0" applyFont="1" applyAlignment="1">
      <alignment horizontal="left" vertical="center" readingOrder="2"/>
    </xf>
    <xf numFmtId="0" fontId="70" fillId="0" borderId="0" xfId="0" applyFont="1" applyAlignment="1">
      <alignment horizontal="center" vertical="center" wrapText="1" readingOrder="2"/>
    </xf>
    <xf numFmtId="0" fontId="35" fillId="0" borderId="0" xfId="0" applyFont="1" applyAlignment="1" applyProtection="1">
      <alignment horizontal="center" vertical="center" readingOrder="2"/>
      <protection locked="0"/>
    </xf>
    <xf numFmtId="0" fontId="45" fillId="0" borderId="0" xfId="0" applyFont="1" applyAlignment="1" applyProtection="1">
      <alignment horizontal="center" vertical="center" readingOrder="2"/>
      <protection locked="0"/>
    </xf>
    <xf numFmtId="0" fontId="124" fillId="5" borderId="0" xfId="3" applyFont="1" applyFill="1" applyAlignment="1" applyProtection="1">
      <alignment horizontal="center" vertical="center"/>
      <protection locked="0"/>
    </xf>
    <xf numFmtId="0" fontId="30" fillId="0" borderId="0" xfId="0" applyFont="1" applyAlignment="1" applyProtection="1">
      <alignment horizontal="center"/>
      <protection hidden="1"/>
    </xf>
    <xf numFmtId="0" fontId="61" fillId="0" borderId="0" xfId="0" applyFont="1" applyAlignment="1" applyProtection="1">
      <alignment horizontal="center"/>
      <protection hidden="1"/>
    </xf>
    <xf numFmtId="0" fontId="73" fillId="10" borderId="0" xfId="0" applyFont="1" applyFill="1" applyAlignment="1" applyProtection="1">
      <alignment horizontal="center"/>
      <protection hidden="1"/>
    </xf>
    <xf numFmtId="0" fontId="8" fillId="28" borderId="141" xfId="0" applyFont="1" applyFill="1" applyBorder="1" applyAlignment="1" applyProtection="1">
      <alignment horizontal="center" vertical="center" wrapText="1" readingOrder="2"/>
      <protection locked="0" hidden="1"/>
    </xf>
    <xf numFmtId="0" fontId="8" fillId="28" borderId="163" xfId="0" applyFont="1" applyFill="1" applyBorder="1" applyAlignment="1" applyProtection="1">
      <alignment horizontal="center" vertical="center" wrapText="1" readingOrder="2"/>
      <protection locked="0" hidden="1"/>
    </xf>
    <xf numFmtId="2" fontId="8" fillId="28" borderId="163" xfId="0" applyNumberFormat="1" applyFont="1" applyFill="1" applyBorder="1" applyAlignment="1" applyProtection="1">
      <alignment horizontal="center" vertical="center" wrapText="1" readingOrder="2"/>
      <protection locked="0" hidden="1"/>
    </xf>
    <xf numFmtId="2" fontId="8" fillId="28" borderId="143" xfId="0" applyNumberFormat="1" applyFont="1" applyFill="1" applyBorder="1" applyAlignment="1" applyProtection="1">
      <alignment horizontal="center" vertical="center" wrapText="1" readingOrder="2"/>
      <protection locked="0" hidden="1"/>
    </xf>
    <xf numFmtId="3" fontId="10" fillId="0" borderId="0" xfId="0" applyNumberFormat="1" applyFont="1" applyAlignment="1" applyProtection="1">
      <alignment horizontal="center" vertical="center" wrapText="1" readingOrder="2"/>
      <protection locked="0"/>
    </xf>
    <xf numFmtId="3" fontId="35" fillId="28" borderId="163" xfId="0" applyNumberFormat="1" applyFont="1" applyFill="1" applyBorder="1" applyAlignment="1" applyProtection="1">
      <alignment horizontal="center" vertical="center" wrapText="1" readingOrder="2"/>
      <protection locked="0" hidden="1"/>
    </xf>
    <xf numFmtId="3" fontId="35" fillId="28" borderId="143" xfId="0" applyNumberFormat="1" applyFont="1" applyFill="1" applyBorder="1" applyAlignment="1" applyProtection="1">
      <alignment horizontal="center" vertical="center" wrapText="1" readingOrder="2"/>
      <protection locked="0" hidden="1"/>
    </xf>
    <xf numFmtId="0" fontId="17" fillId="0" borderId="0" xfId="0" applyFont="1" applyAlignment="1" applyProtection="1">
      <alignment horizontal="center" vertical="center" wrapText="1" readingOrder="2"/>
      <protection locked="0"/>
    </xf>
    <xf numFmtId="3" fontId="8" fillId="0" borderId="0" xfId="0" applyNumberFormat="1" applyFont="1" applyAlignment="1" applyProtection="1">
      <alignment horizontal="center" vertical="center"/>
      <protection locked="0"/>
    </xf>
    <xf numFmtId="0" fontId="36" fillId="0" borderId="0" xfId="0" applyFont="1" applyAlignment="1">
      <alignment horizontal="center" vertical="center" readingOrder="2"/>
    </xf>
    <xf numFmtId="3" fontId="36" fillId="4" borderId="163" xfId="0" applyNumberFormat="1" applyFont="1" applyFill="1" applyBorder="1" applyAlignment="1">
      <alignment horizontal="center" vertical="center" wrapText="1" readingOrder="2"/>
    </xf>
    <xf numFmtId="3" fontId="36" fillId="4" borderId="143" xfId="0" applyNumberFormat="1" applyFont="1" applyFill="1" applyBorder="1" applyAlignment="1">
      <alignment horizontal="center" vertical="center" wrapText="1" readingOrder="2"/>
    </xf>
    <xf numFmtId="0" fontId="30" fillId="0" borderId="0" xfId="0" applyFont="1" applyAlignment="1" applyProtection="1">
      <alignment horizontal="right" vertical="center" wrapText="1" readingOrder="2"/>
      <protection locked="0"/>
    </xf>
    <xf numFmtId="0" fontId="69" fillId="28" borderId="0" xfId="0" applyFont="1" applyFill="1" applyAlignment="1" applyProtection="1">
      <alignment horizontal="right" vertical="top" wrapText="1" readingOrder="2"/>
      <protection locked="0" hidden="1"/>
    </xf>
    <xf numFmtId="0" fontId="8" fillId="12" borderId="163" xfId="0" applyFont="1" applyFill="1" applyBorder="1" applyAlignment="1">
      <alignment horizontal="center" vertical="center" wrapText="1" readingOrder="2"/>
    </xf>
    <xf numFmtId="0" fontId="8" fillId="12" borderId="143" xfId="0" applyFont="1" applyFill="1" applyBorder="1" applyAlignment="1">
      <alignment horizontal="center" vertical="center" wrapText="1" readingOrder="2"/>
    </xf>
    <xf numFmtId="0" fontId="8" fillId="12" borderId="141" xfId="0" applyFont="1" applyFill="1" applyBorder="1" applyAlignment="1">
      <alignment horizontal="center" vertical="center" wrapText="1" readingOrder="2"/>
    </xf>
    <xf numFmtId="0" fontId="8" fillId="0" borderId="0" xfId="0" applyFont="1" applyAlignment="1" applyProtection="1">
      <alignment horizontal="center" vertical="center" wrapText="1" readingOrder="2"/>
      <protection locked="0"/>
    </xf>
    <xf numFmtId="0" fontId="36" fillId="4" borderId="141" xfId="0" applyFont="1" applyFill="1" applyBorder="1" applyAlignment="1">
      <alignment horizontal="center" vertical="center" wrapText="1" readingOrder="2"/>
    </xf>
    <xf numFmtId="0" fontId="36" fillId="4" borderId="163" xfId="0" applyFont="1" applyFill="1" applyBorder="1" applyAlignment="1">
      <alignment horizontal="center" vertical="center" wrapText="1" readingOrder="2"/>
    </xf>
    <xf numFmtId="0" fontId="10" fillId="0" borderId="225" xfId="0" applyFont="1" applyBorder="1" applyAlignment="1" applyProtection="1">
      <alignment horizontal="center" vertical="center" wrapText="1" readingOrder="2"/>
      <protection locked="0"/>
    </xf>
    <xf numFmtId="0" fontId="10" fillId="0" borderId="135" xfId="0" applyFont="1" applyBorder="1" applyAlignment="1" applyProtection="1">
      <alignment horizontal="center" vertical="center" wrapText="1" readingOrder="2"/>
      <protection locked="0"/>
    </xf>
    <xf numFmtId="2" fontId="10" fillId="0" borderId="135" xfId="0" applyNumberFormat="1" applyFont="1" applyBorder="1" applyAlignment="1" applyProtection="1">
      <alignment horizontal="center" vertical="center" wrapText="1" readingOrder="2"/>
      <protection locked="0"/>
    </xf>
    <xf numFmtId="0" fontId="37" fillId="0" borderId="0" xfId="0" applyFont="1" applyAlignment="1" applyProtection="1">
      <alignment horizontal="right" vertical="top"/>
      <protection locked="0"/>
    </xf>
    <xf numFmtId="0" fontId="8" fillId="12" borderId="318" xfId="0" applyFont="1" applyFill="1" applyBorder="1" applyAlignment="1">
      <alignment horizontal="center" vertical="center" textRotation="90" readingOrder="2"/>
    </xf>
    <xf numFmtId="0" fontId="8" fillId="12" borderId="320" xfId="0" applyFont="1" applyFill="1" applyBorder="1" applyAlignment="1">
      <alignment horizontal="center" vertical="center" textRotation="90" readingOrder="2"/>
    </xf>
    <xf numFmtId="0" fontId="8" fillId="12" borderId="319" xfId="0" applyFont="1" applyFill="1" applyBorder="1" applyAlignment="1">
      <alignment horizontal="center" vertical="center"/>
    </xf>
    <xf numFmtId="0" fontId="8" fillId="12" borderId="226" xfId="0" applyFont="1" applyFill="1" applyBorder="1" applyAlignment="1">
      <alignment horizontal="center" vertical="center"/>
    </xf>
    <xf numFmtId="0" fontId="8" fillId="12" borderId="311" xfId="0" applyFont="1" applyFill="1" applyBorder="1" applyAlignment="1">
      <alignment horizontal="center" vertical="center" wrapText="1"/>
    </xf>
    <xf numFmtId="0" fontId="8" fillId="12" borderId="311" xfId="0" applyFont="1" applyFill="1" applyBorder="1" applyAlignment="1">
      <alignment horizontal="center" vertical="center"/>
    </xf>
    <xf numFmtId="0" fontId="10" fillId="12" borderId="319" xfId="0" applyFont="1" applyFill="1" applyBorder="1" applyAlignment="1">
      <alignment horizontal="center" vertical="center" textRotation="90" wrapText="1"/>
    </xf>
    <xf numFmtId="0" fontId="10" fillId="12" borderId="226" xfId="0" applyFont="1" applyFill="1" applyBorder="1" applyAlignment="1">
      <alignment horizontal="center" vertical="center" textRotation="90" wrapText="1"/>
    </xf>
    <xf numFmtId="0" fontId="8" fillId="12" borderId="312" xfId="0" applyFont="1" applyFill="1" applyBorder="1" applyAlignment="1">
      <alignment horizontal="center" vertical="center"/>
    </xf>
    <xf numFmtId="0" fontId="8" fillId="12" borderId="314" xfId="0" applyFont="1" applyFill="1" applyBorder="1" applyAlignment="1">
      <alignment horizontal="center" vertical="center"/>
    </xf>
    <xf numFmtId="0" fontId="8" fillId="12" borderId="222" xfId="0" applyFont="1" applyFill="1" applyBorder="1" applyAlignment="1">
      <alignment horizontal="center" vertical="center" wrapText="1"/>
    </xf>
    <xf numFmtId="0" fontId="8" fillId="12" borderId="223" xfId="0" applyFont="1" applyFill="1" applyBorder="1" applyAlignment="1">
      <alignment horizontal="center" vertical="center" wrapText="1"/>
    </xf>
    <xf numFmtId="1" fontId="49" fillId="0" borderId="222" xfId="0" applyNumberFormat="1" applyFont="1" applyBorder="1" applyAlignment="1" applyProtection="1">
      <alignment horizontal="center" vertical="center"/>
      <protection locked="0"/>
    </xf>
    <xf numFmtId="1" fontId="49" fillId="0" borderId="223" xfId="0" applyNumberFormat="1" applyFont="1" applyBorder="1" applyAlignment="1" applyProtection="1">
      <alignment horizontal="center" vertical="center"/>
      <protection locked="0"/>
    </xf>
    <xf numFmtId="0" fontId="8" fillId="12" borderId="303" xfId="0" applyFont="1" applyFill="1" applyBorder="1" applyAlignment="1">
      <alignment horizontal="center" vertical="center" wrapText="1"/>
    </xf>
    <xf numFmtId="0" fontId="8" fillId="12" borderId="304" xfId="0" applyFont="1" applyFill="1" applyBorder="1" applyAlignment="1">
      <alignment horizontal="center" vertical="center" wrapText="1"/>
    </xf>
    <xf numFmtId="0" fontId="8" fillId="12" borderId="300" xfId="0" applyFont="1" applyFill="1" applyBorder="1" applyAlignment="1">
      <alignment horizontal="center" vertical="center" wrapText="1"/>
    </xf>
    <xf numFmtId="0" fontId="8" fillId="12" borderId="301" xfId="0" applyFont="1" applyFill="1" applyBorder="1" applyAlignment="1">
      <alignment horizontal="center" vertical="center" wrapText="1"/>
    </xf>
    <xf numFmtId="0" fontId="8" fillId="11" borderId="76" xfId="1" applyFont="1" applyFill="1" applyBorder="1" applyAlignment="1">
      <alignment horizontal="center" vertical="center" wrapText="1" readingOrder="2"/>
    </xf>
    <xf numFmtId="0" fontId="8" fillId="11" borderId="77" xfId="1" applyFont="1" applyFill="1" applyBorder="1" applyAlignment="1">
      <alignment horizontal="center" vertical="center" wrapText="1" readingOrder="2"/>
    </xf>
    <xf numFmtId="0" fontId="10" fillId="11" borderId="74" xfId="1" applyFont="1" applyFill="1" applyBorder="1" applyAlignment="1">
      <alignment horizontal="center" vertical="center" wrapText="1" readingOrder="2"/>
    </xf>
    <xf numFmtId="0" fontId="10" fillId="11" borderId="75" xfId="1" applyFont="1" applyFill="1" applyBorder="1" applyAlignment="1">
      <alignment horizontal="center" vertical="center" wrapText="1" readingOrder="2"/>
    </xf>
    <xf numFmtId="0" fontId="8" fillId="11" borderId="78" xfId="1" applyFont="1" applyFill="1" applyBorder="1" applyAlignment="1">
      <alignment horizontal="center" vertical="center" wrapText="1" readingOrder="2"/>
    </xf>
    <xf numFmtId="0" fontId="9" fillId="0" borderId="1" xfId="1" applyFont="1" applyBorder="1" applyAlignment="1">
      <alignment horizontal="right" vertical="center" wrapText="1" readingOrder="2"/>
    </xf>
    <xf numFmtId="0" fontId="128" fillId="0" borderId="0" xfId="1" applyFont="1" applyAlignment="1">
      <alignment horizontal="left" vertical="center" wrapText="1" readingOrder="2"/>
    </xf>
    <xf numFmtId="0" fontId="10" fillId="11" borderId="76" xfId="1" applyFont="1" applyFill="1" applyBorder="1" applyAlignment="1">
      <alignment horizontal="center" vertical="center" wrapText="1" readingOrder="2"/>
    </xf>
    <xf numFmtId="0" fontId="10" fillId="11" borderId="78" xfId="1" applyFont="1" applyFill="1" applyBorder="1" applyAlignment="1">
      <alignment horizontal="center" vertical="center" wrapText="1" readingOrder="2"/>
    </xf>
    <xf numFmtId="0" fontId="10" fillId="11" borderId="77" xfId="1" applyFont="1" applyFill="1" applyBorder="1" applyAlignment="1">
      <alignment horizontal="center" vertical="center" wrapText="1" readingOrder="2"/>
    </xf>
    <xf numFmtId="0" fontId="10" fillId="11" borderId="49" xfId="1" applyFont="1" applyFill="1" applyBorder="1" applyAlignment="1">
      <alignment horizontal="center" vertical="center" wrapText="1" readingOrder="2"/>
    </xf>
    <xf numFmtId="0" fontId="128" fillId="0" borderId="1" xfId="1" applyFont="1" applyBorder="1" applyAlignment="1">
      <alignment horizontal="left" vertical="center" wrapText="1" readingOrder="2"/>
    </xf>
    <xf numFmtId="0" fontId="128" fillId="0" borderId="0" xfId="1" applyFont="1" applyAlignment="1">
      <alignment horizontal="left" vertical="center" readingOrder="2"/>
    </xf>
    <xf numFmtId="0" fontId="8" fillId="11" borderId="72" xfId="1" applyFont="1" applyFill="1" applyBorder="1" applyAlignment="1">
      <alignment horizontal="center" vertical="center" wrapText="1" readingOrder="2"/>
    </xf>
    <xf numFmtId="0" fontId="8" fillId="11" borderId="48" xfId="1" applyFont="1" applyFill="1" applyBorder="1" applyAlignment="1">
      <alignment horizontal="center" vertical="center" wrapText="1" readingOrder="2"/>
    </xf>
    <xf numFmtId="0" fontId="8" fillId="11" borderId="70" xfId="1" applyFont="1" applyFill="1" applyBorder="1" applyAlignment="1">
      <alignment horizontal="center" vertical="center" wrapText="1" readingOrder="2"/>
    </xf>
    <xf numFmtId="0" fontId="8" fillId="11" borderId="7" xfId="1" applyFont="1" applyFill="1" applyBorder="1" applyAlignment="1">
      <alignment horizontal="center" vertical="center" wrapText="1" readingOrder="2"/>
    </xf>
    <xf numFmtId="0" fontId="8" fillId="11" borderId="13" xfId="1" applyFont="1" applyFill="1" applyBorder="1" applyAlignment="1">
      <alignment horizontal="center" vertical="center" wrapText="1" readingOrder="2"/>
    </xf>
    <xf numFmtId="0" fontId="8" fillId="4" borderId="93" xfId="1" applyFont="1" applyFill="1" applyBorder="1" applyAlignment="1">
      <alignment horizontal="center" vertical="top" wrapText="1" readingOrder="2"/>
    </xf>
    <xf numFmtId="0" fontId="8" fillId="4" borderId="61" xfId="1" applyFont="1" applyFill="1" applyBorder="1" applyAlignment="1">
      <alignment horizontal="center" vertical="top" wrapText="1" readingOrder="2"/>
    </xf>
    <xf numFmtId="0" fontId="8" fillId="4" borderId="62" xfId="1" applyFont="1" applyFill="1" applyBorder="1" applyAlignment="1">
      <alignment horizontal="center" vertical="top" wrapText="1" readingOrder="2"/>
    </xf>
    <xf numFmtId="0" fontId="132" fillId="0" borderId="0" xfId="1" applyFont="1" applyAlignment="1">
      <alignment horizontal="left" vertical="center" readingOrder="2"/>
    </xf>
    <xf numFmtId="0" fontId="8" fillId="11" borderId="71" xfId="1" applyFont="1" applyFill="1" applyBorder="1" applyAlignment="1">
      <alignment horizontal="center" vertical="center" wrapText="1" readingOrder="2"/>
    </xf>
    <xf numFmtId="0" fontId="8" fillId="11" borderId="8" xfId="1" applyFont="1" applyFill="1" applyBorder="1" applyAlignment="1">
      <alignment horizontal="center" vertical="center" wrapText="1" readingOrder="2"/>
    </xf>
    <xf numFmtId="0" fontId="8" fillId="11" borderId="14" xfId="1" applyFont="1" applyFill="1" applyBorder="1" applyAlignment="1">
      <alignment horizontal="center" vertical="center" wrapText="1" readingOrder="2"/>
    </xf>
    <xf numFmtId="0" fontId="11" fillId="11" borderId="79" xfId="1" applyFont="1" applyFill="1" applyBorder="1" applyAlignment="1">
      <alignment horizontal="center" vertical="center" wrapText="1" readingOrder="2"/>
    </xf>
    <xf numFmtId="0" fontId="11" fillId="11" borderId="80" xfId="1" applyFont="1" applyFill="1" applyBorder="1" applyAlignment="1">
      <alignment horizontal="center" vertical="center" wrapText="1" readingOrder="2"/>
    </xf>
    <xf numFmtId="0" fontId="11" fillId="11" borderId="81" xfId="1" applyFont="1" applyFill="1" applyBorder="1" applyAlignment="1">
      <alignment horizontal="center" vertical="center" wrapText="1" readingOrder="2"/>
    </xf>
    <xf numFmtId="0" fontId="8" fillId="11" borderId="144" xfId="1" applyFont="1" applyFill="1" applyBorder="1" applyAlignment="1">
      <alignment horizontal="center" vertical="center" wrapText="1" readingOrder="2"/>
    </xf>
    <xf numFmtId="0" fontId="8" fillId="11" borderId="82" xfId="1" applyFont="1" applyFill="1" applyBorder="1" applyAlignment="1">
      <alignment horizontal="center" vertical="center" wrapText="1" readingOrder="2"/>
    </xf>
    <xf numFmtId="0" fontId="8" fillId="11" borderId="151" xfId="1" applyFont="1" applyFill="1" applyBorder="1" applyAlignment="1">
      <alignment horizontal="center" vertical="center" wrapText="1" readingOrder="2"/>
    </xf>
    <xf numFmtId="0" fontId="8" fillId="4" borderId="35" xfId="1" applyFont="1" applyFill="1" applyBorder="1" applyAlignment="1">
      <alignment horizontal="center" vertical="top" wrapText="1" readingOrder="2"/>
    </xf>
    <xf numFmtId="0" fontId="8" fillId="4" borderId="87" xfId="1" applyFont="1" applyFill="1" applyBorder="1" applyAlignment="1">
      <alignment horizontal="center" vertical="top" wrapText="1" readingOrder="2"/>
    </xf>
    <xf numFmtId="0" fontId="8" fillId="4" borderId="34" xfId="1" applyFont="1" applyFill="1" applyBorder="1" applyAlignment="1">
      <alignment horizontal="center" vertical="top" wrapText="1" readingOrder="2"/>
    </xf>
    <xf numFmtId="0" fontId="8" fillId="0" borderId="0" xfId="1" applyFont="1" applyAlignment="1" applyProtection="1">
      <alignment horizontal="center" vertical="center" readingOrder="2"/>
      <protection locked="0"/>
    </xf>
    <xf numFmtId="0" fontId="9" fillId="11" borderId="84" xfId="1" applyFont="1" applyFill="1" applyBorder="1" applyAlignment="1">
      <alignment horizontal="center" vertical="center" wrapText="1" readingOrder="2"/>
    </xf>
    <xf numFmtId="0" fontId="8" fillId="11" borderId="57" xfId="1" applyFont="1" applyFill="1" applyBorder="1" applyAlignment="1">
      <alignment horizontal="center" vertical="center" wrapText="1" readingOrder="2"/>
    </xf>
    <xf numFmtId="0" fontId="8" fillId="11" borderId="63" xfId="1" applyFont="1" applyFill="1" applyBorder="1" applyAlignment="1">
      <alignment horizontal="center" vertical="center" wrapText="1" readingOrder="2"/>
    </xf>
    <xf numFmtId="0" fontId="9" fillId="11" borderId="76" xfId="1" applyFont="1" applyFill="1" applyBorder="1" applyAlignment="1">
      <alignment horizontal="center" vertical="center" wrapText="1" readingOrder="2"/>
    </xf>
    <xf numFmtId="0" fontId="9" fillId="11" borderId="64" xfId="1" applyFont="1" applyFill="1" applyBorder="1" applyAlignment="1">
      <alignment horizontal="center" vertical="center" wrapText="1" readingOrder="2"/>
    </xf>
    <xf numFmtId="0" fontId="9" fillId="11" borderId="78" xfId="1" applyFont="1" applyFill="1" applyBorder="1" applyAlignment="1">
      <alignment horizontal="center" vertical="center" wrapText="1" readingOrder="2"/>
    </xf>
    <xf numFmtId="0" fontId="20" fillId="0" borderId="0" xfId="0" applyFont="1" applyAlignment="1">
      <alignment horizontal="right" vertical="center" readingOrder="2"/>
    </xf>
    <xf numFmtId="0" fontId="21" fillId="0" borderId="0" xfId="1" applyFont="1" applyAlignment="1">
      <alignment horizontal="left" vertical="top" readingOrder="2"/>
    </xf>
    <xf numFmtId="0" fontId="16" fillId="0" borderId="0" xfId="1" applyFont="1" applyAlignment="1">
      <alignment horizontal="center" vertical="top" readingOrder="2"/>
    </xf>
    <xf numFmtId="0" fontId="8" fillId="11" borderId="84" xfId="1" applyFont="1" applyFill="1" applyBorder="1" applyAlignment="1">
      <alignment horizontal="center" vertical="center" wrapText="1" readingOrder="2"/>
    </xf>
    <xf numFmtId="0" fontId="131" fillId="0" borderId="0" xfId="1" applyFont="1" applyAlignment="1">
      <alignment horizontal="left" vertical="center" readingOrder="2"/>
    </xf>
    <xf numFmtId="166" fontId="10" fillId="13" borderId="93" xfId="1" applyNumberFormat="1" applyFont="1" applyFill="1" applyBorder="1" applyAlignment="1">
      <alignment horizontal="center" vertical="center" wrapText="1" readingOrder="2"/>
    </xf>
    <xf numFmtId="166" fontId="10" fillId="13" borderId="174" xfId="1" applyNumberFormat="1" applyFont="1" applyFill="1" applyBorder="1" applyAlignment="1">
      <alignment horizontal="center" vertical="center" wrapText="1" readingOrder="2"/>
    </xf>
    <xf numFmtId="166" fontId="10" fillId="13" borderId="169" xfId="1" applyNumberFormat="1" applyFont="1" applyFill="1" applyBorder="1" applyAlignment="1">
      <alignment horizontal="center" vertical="center" wrapText="1" readingOrder="2"/>
    </xf>
    <xf numFmtId="0" fontId="36" fillId="0" borderId="0" xfId="0" applyFont="1" applyAlignment="1">
      <alignment horizontal="center" vertical="center"/>
    </xf>
    <xf numFmtId="0" fontId="9" fillId="11" borderId="123" xfId="1" applyFont="1" applyFill="1" applyBorder="1" applyAlignment="1">
      <alignment horizontal="center" vertical="center"/>
    </xf>
    <xf numFmtId="0" fontId="9" fillId="11" borderId="170" xfId="1" applyFont="1" applyFill="1" applyBorder="1" applyAlignment="1">
      <alignment horizontal="center" vertical="center"/>
    </xf>
    <xf numFmtId="0" fontId="9" fillId="11" borderId="109" xfId="1" applyFont="1" applyFill="1" applyBorder="1" applyAlignment="1">
      <alignment horizontal="center" vertical="center"/>
    </xf>
    <xf numFmtId="0" fontId="9" fillId="11" borderId="86" xfId="1" applyFont="1" applyFill="1" applyBorder="1" applyAlignment="1">
      <alignment horizontal="center" vertical="center" wrapText="1" readingOrder="2"/>
    </xf>
    <xf numFmtId="0" fontId="9" fillId="11" borderId="139" xfId="1" applyFont="1" applyFill="1" applyBorder="1" applyAlignment="1">
      <alignment horizontal="center" vertical="center" wrapText="1" readingOrder="2"/>
    </xf>
    <xf numFmtId="0" fontId="9" fillId="11" borderId="85" xfId="1" applyFont="1" applyFill="1" applyBorder="1" applyAlignment="1">
      <alignment horizontal="center" vertical="center" wrapText="1" readingOrder="2"/>
    </xf>
    <xf numFmtId="0" fontId="9" fillId="11" borderId="140" xfId="1" applyFont="1" applyFill="1" applyBorder="1" applyAlignment="1">
      <alignment horizontal="center" vertical="center" wrapText="1" readingOrder="2"/>
    </xf>
    <xf numFmtId="0" fontId="9" fillId="11" borderId="131" xfId="1" applyFont="1" applyFill="1" applyBorder="1" applyAlignment="1">
      <alignment horizontal="center" vertical="center" wrapText="1" readingOrder="2"/>
    </xf>
    <xf numFmtId="0" fontId="9" fillId="11" borderId="79" xfId="1" applyFont="1" applyFill="1" applyBorder="1" applyAlignment="1">
      <alignment horizontal="center" vertical="center" wrapText="1" readingOrder="2"/>
    </xf>
    <xf numFmtId="0" fontId="9" fillId="11" borderId="173" xfId="1" applyFont="1" applyFill="1" applyBorder="1" applyAlignment="1">
      <alignment horizontal="center" vertical="center" wrapText="1" readingOrder="2"/>
    </xf>
    <xf numFmtId="0" fontId="9" fillId="11" borderId="94" xfId="1" applyFont="1" applyFill="1" applyBorder="1" applyAlignment="1">
      <alignment horizontal="center" vertical="center" wrapText="1" readingOrder="2"/>
    </xf>
    <xf numFmtId="166" fontId="35" fillId="4" borderId="141" xfId="0" applyNumberFormat="1" applyFont="1" applyFill="1" applyBorder="1" applyAlignment="1">
      <alignment horizontal="center" vertical="center"/>
    </xf>
    <xf numFmtId="166" fontId="35" fillId="4" borderId="143" xfId="0" applyNumberFormat="1" applyFont="1" applyFill="1" applyBorder="1" applyAlignment="1">
      <alignment horizontal="center" vertical="center"/>
    </xf>
    <xf numFmtId="0" fontId="9" fillId="11" borderId="138" xfId="1" applyFont="1" applyFill="1" applyBorder="1" applyAlignment="1">
      <alignment horizontal="center" vertical="center" wrapText="1" readingOrder="2"/>
    </xf>
    <xf numFmtId="0" fontId="9" fillId="11" borderId="63" xfId="1" applyFont="1" applyFill="1" applyBorder="1" applyAlignment="1">
      <alignment horizontal="center" vertical="center" wrapText="1" readingOrder="2"/>
    </xf>
    <xf numFmtId="38" fontId="35" fillId="0" borderId="141" xfId="0" applyNumberFormat="1" applyFont="1" applyBorder="1" applyAlignment="1" applyProtection="1">
      <alignment horizontal="center" vertical="center"/>
      <protection locked="0"/>
    </xf>
    <xf numFmtId="38" fontId="35" fillId="0" borderId="143" xfId="0" applyNumberFormat="1" applyFont="1" applyBorder="1" applyAlignment="1" applyProtection="1">
      <alignment horizontal="center" vertical="center"/>
      <protection locked="0"/>
    </xf>
    <xf numFmtId="166" fontId="35" fillId="4" borderId="144" xfId="0" applyNumberFormat="1" applyFont="1" applyFill="1" applyBorder="1" applyAlignment="1">
      <alignment horizontal="center" vertical="center"/>
    </xf>
    <xf numFmtId="166" fontId="35" fillId="4" borderId="82" xfId="0" applyNumberFormat="1" applyFont="1" applyFill="1" applyBorder="1" applyAlignment="1">
      <alignment horizontal="center" vertical="center"/>
    </xf>
    <xf numFmtId="0" fontId="95" fillId="3" borderId="0" xfId="0" applyFont="1" applyFill="1" applyAlignment="1">
      <alignment horizontal="right" vertical="top" wrapText="1" readingOrder="2"/>
    </xf>
    <xf numFmtId="0" fontId="95" fillId="3" borderId="0" xfId="0" applyFont="1" applyFill="1" applyAlignment="1">
      <alignment horizontal="right" vertical="top" readingOrder="2"/>
    </xf>
    <xf numFmtId="38" fontId="35" fillId="4" borderId="144" xfId="0" applyNumberFormat="1" applyFont="1" applyFill="1" applyBorder="1" applyAlignment="1">
      <alignment horizontal="center" vertical="center"/>
    </xf>
    <xf numFmtId="38" fontId="35" fillId="4" borderId="82" xfId="0" applyNumberFormat="1" applyFont="1" applyFill="1" applyBorder="1" applyAlignment="1">
      <alignment horizontal="center" vertical="center"/>
    </xf>
    <xf numFmtId="3" fontId="36" fillId="0" borderId="0" xfId="0" applyNumberFormat="1" applyFont="1" applyAlignment="1" applyProtection="1">
      <alignment horizontal="center" vertical="center"/>
      <protection locked="0"/>
    </xf>
    <xf numFmtId="3" fontId="9" fillId="11" borderId="86" xfId="1" applyNumberFormat="1" applyFont="1" applyFill="1" applyBorder="1" applyAlignment="1" applyProtection="1">
      <alignment horizontal="center" vertical="center"/>
      <protection locked="0"/>
    </xf>
    <xf numFmtId="3" fontId="9" fillId="11" borderId="10" xfId="1" applyNumberFormat="1" applyFont="1" applyFill="1" applyBorder="1" applyAlignment="1" applyProtection="1">
      <alignment horizontal="center" vertical="center"/>
      <protection locked="0"/>
    </xf>
    <xf numFmtId="3" fontId="9" fillId="11" borderId="85" xfId="1" applyNumberFormat="1" applyFont="1" applyFill="1" applyBorder="1" applyAlignment="1">
      <alignment horizontal="center" vertical="center" wrapText="1" readingOrder="2"/>
    </xf>
    <xf numFmtId="3" fontId="9" fillId="11" borderId="2" xfId="1" applyNumberFormat="1" applyFont="1" applyFill="1" applyBorder="1" applyAlignment="1">
      <alignment horizontal="center" vertical="center" wrapText="1" readingOrder="2"/>
    </xf>
    <xf numFmtId="3" fontId="9" fillId="11" borderId="83" xfId="1" applyNumberFormat="1" applyFont="1" applyFill="1" applyBorder="1" applyAlignment="1" applyProtection="1">
      <alignment horizontal="center" vertical="center" wrapText="1" readingOrder="2"/>
      <protection locked="0"/>
    </xf>
    <xf numFmtId="3" fontId="9" fillId="11" borderId="11" xfId="1" applyNumberFormat="1" applyFont="1" applyFill="1" applyBorder="1" applyAlignment="1" applyProtection="1">
      <alignment horizontal="center" vertical="center" wrapText="1" readingOrder="2"/>
      <protection locked="0"/>
    </xf>
    <xf numFmtId="3" fontId="8" fillId="21" borderId="83" xfId="1" applyNumberFormat="1" applyFont="1" applyFill="1" applyBorder="1" applyAlignment="1" applyProtection="1">
      <alignment horizontal="center" vertical="center" wrapText="1" readingOrder="2"/>
      <protection locked="0"/>
    </xf>
    <xf numFmtId="3" fontId="8" fillId="21" borderId="142" xfId="1" applyNumberFormat="1" applyFont="1" applyFill="1" applyBorder="1" applyAlignment="1" applyProtection="1">
      <alignment horizontal="center" vertical="center" wrapText="1" readingOrder="2"/>
      <protection locked="0"/>
    </xf>
    <xf numFmtId="3" fontId="8" fillId="21" borderId="72" xfId="1" applyNumberFormat="1" applyFont="1" applyFill="1" applyBorder="1" applyAlignment="1" applyProtection="1">
      <alignment horizontal="center" vertical="center" wrapText="1" readingOrder="2"/>
      <protection locked="0"/>
    </xf>
    <xf numFmtId="3" fontId="8" fillId="21" borderId="9" xfId="1" applyNumberFormat="1" applyFont="1" applyFill="1" applyBorder="1" applyAlignment="1" applyProtection="1">
      <alignment horizontal="center" vertical="center" wrapText="1" readingOrder="2"/>
      <protection locked="0"/>
    </xf>
    <xf numFmtId="3" fontId="8" fillId="21" borderId="89" xfId="1" applyNumberFormat="1" applyFont="1" applyFill="1" applyBorder="1" applyAlignment="1" applyProtection="1">
      <alignment horizontal="center" vertical="center" wrapText="1" readingOrder="2"/>
      <protection locked="0"/>
    </xf>
    <xf numFmtId="3" fontId="9" fillId="21" borderId="7" xfId="1" applyNumberFormat="1" applyFont="1" applyFill="1" applyBorder="1" applyAlignment="1">
      <alignment horizontal="center" vertical="center" textRotation="180"/>
    </xf>
    <xf numFmtId="3" fontId="9" fillId="21" borderId="13" xfId="1" applyNumberFormat="1" applyFont="1" applyFill="1" applyBorder="1" applyAlignment="1">
      <alignment horizontal="center" vertical="center" textRotation="180"/>
    </xf>
    <xf numFmtId="3" fontId="8" fillId="3" borderId="72" xfId="1" applyNumberFormat="1" applyFont="1" applyFill="1" applyBorder="1" applyAlignment="1" applyProtection="1">
      <alignment horizontal="center" vertical="center" wrapText="1" readingOrder="2"/>
      <protection locked="0" hidden="1"/>
    </xf>
    <xf numFmtId="3" fontId="8" fillId="3" borderId="9" xfId="1" applyNumberFormat="1" applyFont="1" applyFill="1" applyBorder="1" applyAlignment="1" applyProtection="1">
      <alignment horizontal="center" vertical="center" wrapText="1" readingOrder="2"/>
      <protection locked="0" hidden="1"/>
    </xf>
    <xf numFmtId="3" fontId="8" fillId="3" borderId="89" xfId="1" applyNumberFormat="1" applyFont="1" applyFill="1" applyBorder="1" applyAlignment="1" applyProtection="1">
      <alignment horizontal="center" vertical="center" wrapText="1" readingOrder="2"/>
      <protection locked="0" hidden="1"/>
    </xf>
    <xf numFmtId="3" fontId="8" fillId="0" borderId="8" xfId="1" applyNumberFormat="1" applyFont="1" applyBorder="1" applyAlignment="1" applyProtection="1">
      <alignment horizontal="center" vertical="center" wrapText="1" readingOrder="2"/>
      <protection locked="0" hidden="1"/>
    </xf>
    <xf numFmtId="3" fontId="8" fillId="0" borderId="95" xfId="1" applyNumberFormat="1" applyFont="1" applyBorder="1" applyAlignment="1" applyProtection="1">
      <alignment horizontal="center" vertical="center" wrapText="1" readingOrder="2"/>
      <protection locked="0" hidden="1"/>
    </xf>
    <xf numFmtId="3" fontId="9" fillId="21" borderId="70" xfId="1" applyNumberFormat="1" applyFont="1" applyFill="1" applyBorder="1" applyAlignment="1">
      <alignment horizontal="center" vertical="center" textRotation="180"/>
    </xf>
    <xf numFmtId="3" fontId="9" fillId="21" borderId="93" xfId="1" applyNumberFormat="1" applyFont="1" applyFill="1" applyBorder="1" applyAlignment="1" applyProtection="1">
      <alignment horizontal="center" vertical="center"/>
      <protection locked="0"/>
    </xf>
    <xf numFmtId="3" fontId="9" fillId="21" borderId="61" xfId="1" applyNumberFormat="1" applyFont="1" applyFill="1" applyBorder="1" applyAlignment="1" applyProtection="1">
      <alignment horizontal="center" vertical="center"/>
      <protection locked="0"/>
    </xf>
    <xf numFmtId="3" fontId="9" fillId="21" borderId="62" xfId="1" applyNumberFormat="1" applyFont="1" applyFill="1" applyBorder="1" applyAlignment="1" applyProtection="1">
      <alignment horizontal="center" vertical="center"/>
      <protection locked="0"/>
    </xf>
    <xf numFmtId="3" fontId="98" fillId="3" borderId="227" xfId="1" applyNumberFormat="1" applyFont="1" applyFill="1" applyBorder="1" applyAlignment="1" applyProtection="1">
      <alignment horizontal="right" vertical="top" wrapText="1" readingOrder="2"/>
      <protection locked="0"/>
    </xf>
    <xf numFmtId="3" fontId="98" fillId="3" borderId="228" xfId="1" applyNumberFormat="1" applyFont="1" applyFill="1" applyBorder="1" applyAlignment="1" applyProtection="1">
      <alignment horizontal="right" vertical="top" wrapText="1" readingOrder="2"/>
      <protection locked="0"/>
    </xf>
    <xf numFmtId="3" fontId="98" fillId="3" borderId="229" xfId="1" applyNumberFormat="1" applyFont="1" applyFill="1" applyBorder="1" applyAlignment="1" applyProtection="1">
      <alignment horizontal="right" vertical="top" wrapText="1" readingOrder="2"/>
      <protection locked="0"/>
    </xf>
    <xf numFmtId="3" fontId="142" fillId="3" borderId="0" xfId="1" applyNumberFormat="1" applyFont="1" applyFill="1" applyAlignment="1" applyProtection="1">
      <alignment horizontal="right" vertical="center" wrapText="1" readingOrder="2"/>
      <protection locked="0"/>
    </xf>
    <xf numFmtId="3" fontId="142" fillId="3" borderId="0" xfId="1" applyNumberFormat="1" applyFont="1" applyFill="1" applyAlignment="1" applyProtection="1">
      <alignment horizontal="right" vertical="center" readingOrder="2"/>
      <protection locked="0"/>
    </xf>
    <xf numFmtId="3" fontId="9" fillId="21" borderId="86" xfId="1" applyNumberFormat="1" applyFont="1" applyFill="1" applyBorder="1" applyAlignment="1">
      <alignment horizontal="center" vertical="center" textRotation="180"/>
    </xf>
    <xf numFmtId="3" fontId="9" fillId="21" borderId="96" xfId="1" applyNumberFormat="1" applyFont="1" applyFill="1" applyBorder="1" applyAlignment="1">
      <alignment horizontal="center" vertical="center" textRotation="180"/>
    </xf>
    <xf numFmtId="3" fontId="8" fillId="0" borderId="71" xfId="1" applyNumberFormat="1" applyFont="1" applyBorder="1" applyAlignment="1" applyProtection="1">
      <alignment horizontal="center" vertical="center" wrapText="1" readingOrder="2"/>
      <protection locked="0" hidden="1"/>
    </xf>
    <xf numFmtId="3" fontId="8" fillId="21" borderId="71" xfId="1" applyNumberFormat="1" applyFont="1" applyFill="1" applyBorder="1" applyAlignment="1" applyProtection="1">
      <alignment horizontal="center" vertical="center" wrapText="1" readingOrder="2"/>
      <protection hidden="1"/>
    </xf>
    <xf numFmtId="3" fontId="8" fillId="21" borderId="95" xfId="1" applyNumberFormat="1" applyFont="1" applyFill="1" applyBorder="1" applyAlignment="1" applyProtection="1">
      <alignment horizontal="center" vertical="center" wrapText="1" readingOrder="2"/>
      <protection hidden="1"/>
    </xf>
    <xf numFmtId="3" fontId="8" fillId="21" borderId="8" xfId="1" applyNumberFormat="1" applyFont="1" applyFill="1" applyBorder="1" applyAlignment="1" applyProtection="1">
      <alignment horizontal="center" vertical="center" wrapText="1" readingOrder="2"/>
      <protection hidden="1"/>
    </xf>
    <xf numFmtId="3" fontId="8" fillId="3" borderId="12" xfId="1" applyNumberFormat="1" applyFont="1" applyFill="1" applyBorder="1" applyAlignment="1" applyProtection="1">
      <alignment horizontal="center" vertical="center" wrapText="1" readingOrder="2"/>
      <protection locked="0" hidden="1"/>
    </xf>
    <xf numFmtId="3" fontId="66" fillId="0" borderId="12" xfId="0" applyNumberFormat="1" applyFont="1" applyBorder="1" applyAlignment="1" applyProtection="1">
      <alignment horizontal="center" vertical="center" wrapText="1" readingOrder="2"/>
      <protection locked="0" hidden="1"/>
    </xf>
    <xf numFmtId="3" fontId="66" fillId="0" borderId="92" xfId="0" applyNumberFormat="1" applyFont="1" applyBorder="1" applyAlignment="1" applyProtection="1">
      <alignment horizontal="center" vertical="center" wrapText="1" readingOrder="2"/>
      <protection locked="0" hidden="1"/>
    </xf>
    <xf numFmtId="3" fontId="8" fillId="3" borderId="12" xfId="1" applyNumberFormat="1" applyFont="1" applyFill="1" applyBorder="1" applyAlignment="1" applyProtection="1">
      <alignment horizontal="center" vertical="center" wrapText="1" readingOrder="2"/>
      <protection locked="0"/>
    </xf>
    <xf numFmtId="3" fontId="8" fillId="3" borderId="92" xfId="1" applyNumberFormat="1" applyFont="1" applyFill="1" applyBorder="1" applyAlignment="1" applyProtection="1">
      <alignment horizontal="center" vertical="center" wrapText="1" readingOrder="2"/>
      <protection locked="0"/>
    </xf>
    <xf numFmtId="3" fontId="144" fillId="0" borderId="1" xfId="0" applyNumberFormat="1" applyFont="1" applyBorder="1" applyAlignment="1" applyProtection="1">
      <alignment horizontal="center"/>
      <protection locked="0"/>
    </xf>
    <xf numFmtId="3" fontId="83" fillId="3" borderId="12" xfId="1" applyNumberFormat="1" applyFont="1" applyFill="1" applyBorder="1" applyAlignment="1" applyProtection="1">
      <alignment horizontal="center" vertical="center" wrapText="1" readingOrder="2"/>
      <protection locked="0"/>
    </xf>
    <xf numFmtId="3" fontId="83" fillId="3" borderId="92" xfId="1" applyNumberFormat="1" applyFont="1" applyFill="1" applyBorder="1" applyAlignment="1" applyProtection="1">
      <alignment horizontal="center" vertical="center" wrapText="1" readingOrder="2"/>
      <protection locked="0"/>
    </xf>
    <xf numFmtId="0" fontId="133" fillId="0" borderId="0" xfId="1" applyFont="1" applyAlignment="1">
      <alignment horizontal="left" vertical="center" readingOrder="2"/>
    </xf>
    <xf numFmtId="0" fontId="8" fillId="0" borderId="0" xfId="1" applyFont="1" applyAlignment="1" applyProtection="1">
      <alignment horizontal="left" vertical="center" readingOrder="2"/>
      <protection locked="0"/>
    </xf>
    <xf numFmtId="0" fontId="8" fillId="4" borderId="77" xfId="1" applyFont="1" applyFill="1" applyBorder="1" applyAlignment="1">
      <alignment horizontal="center" vertical="center" wrapText="1" readingOrder="2"/>
    </xf>
    <xf numFmtId="0" fontId="8" fillId="4" borderId="1" xfId="1" applyFont="1" applyFill="1" applyBorder="1" applyAlignment="1">
      <alignment horizontal="center" vertical="center" wrapText="1" readingOrder="2"/>
    </xf>
    <xf numFmtId="0" fontId="8" fillId="4" borderId="49" xfId="1" applyFont="1" applyFill="1" applyBorder="1" applyAlignment="1">
      <alignment horizontal="center" vertical="center" wrapText="1" readingOrder="2"/>
    </xf>
    <xf numFmtId="0" fontId="8" fillId="11" borderId="131" xfId="1" applyFont="1" applyFill="1" applyBorder="1" applyAlignment="1">
      <alignment horizontal="center" vertical="center" wrapText="1" readingOrder="2"/>
    </xf>
    <xf numFmtId="0" fontId="8" fillId="11" borderId="64" xfId="1" applyFont="1" applyFill="1" applyBorder="1" applyAlignment="1">
      <alignment horizontal="center" vertical="center" wrapText="1" readingOrder="2"/>
    </xf>
    <xf numFmtId="0" fontId="8" fillId="11" borderId="79" xfId="1" applyFont="1" applyFill="1" applyBorder="1" applyAlignment="1">
      <alignment horizontal="center" vertical="center" wrapText="1" readingOrder="2"/>
    </xf>
    <xf numFmtId="0" fontId="8" fillId="11" borderId="173" xfId="1" applyFont="1" applyFill="1" applyBorder="1" applyAlignment="1">
      <alignment horizontal="center" vertical="center" wrapText="1" readingOrder="2"/>
    </xf>
    <xf numFmtId="0" fontId="8" fillId="11" borderId="91" xfId="1" applyFont="1" applyFill="1" applyBorder="1" applyAlignment="1">
      <alignment horizontal="center" vertical="center" wrapText="1" readingOrder="2"/>
    </xf>
    <xf numFmtId="0" fontId="8" fillId="11" borderId="94" xfId="1" applyFont="1" applyFill="1" applyBorder="1" applyAlignment="1">
      <alignment horizontal="center" vertical="center" wrapText="1" readingOrder="2"/>
    </xf>
    <xf numFmtId="0" fontId="9" fillId="0" borderId="0" xfId="4" applyFont="1" applyAlignment="1" applyProtection="1">
      <alignment horizontal="center" wrapText="1" readingOrder="2"/>
      <protection locked="0"/>
    </xf>
    <xf numFmtId="0" fontId="57" fillId="11" borderId="0" xfId="4" applyFont="1" applyFill="1" applyAlignment="1">
      <alignment horizontal="center" vertical="center"/>
    </xf>
    <xf numFmtId="0" fontId="57" fillId="11" borderId="91" xfId="4" applyFont="1" applyFill="1" applyBorder="1" applyAlignment="1">
      <alignment horizontal="center" vertical="center"/>
    </xf>
    <xf numFmtId="0" fontId="69" fillId="11" borderId="0" xfId="4" applyFont="1" applyFill="1" applyAlignment="1">
      <alignment horizontal="center" vertical="center"/>
    </xf>
    <xf numFmtId="0" fontId="69" fillId="11" borderId="91" xfId="4" applyFont="1" applyFill="1" applyBorder="1" applyAlignment="1">
      <alignment horizontal="center" vertical="center"/>
    </xf>
    <xf numFmtId="0" fontId="69" fillId="11" borderId="0" xfId="4" applyFont="1" applyFill="1" applyAlignment="1">
      <alignment horizontal="center" vertical="center" wrapText="1"/>
    </xf>
    <xf numFmtId="0" fontId="69" fillId="11" borderId="91" xfId="4" applyFont="1" applyFill="1" applyBorder="1" applyAlignment="1">
      <alignment horizontal="center" vertical="center" wrapText="1"/>
    </xf>
    <xf numFmtId="0" fontId="12" fillId="0" borderId="0" xfId="4" applyFont="1" applyAlignment="1">
      <alignment horizontal="center" readingOrder="2"/>
    </xf>
    <xf numFmtId="0" fontId="9" fillId="0" borderId="0" xfId="4" applyFont="1" applyAlignment="1">
      <alignment horizontal="center" readingOrder="2"/>
    </xf>
    <xf numFmtId="0" fontId="9" fillId="0" borderId="0" xfId="4" applyFont="1" applyAlignment="1">
      <alignment horizontal="right" vertical="center"/>
    </xf>
    <xf numFmtId="0" fontId="16" fillId="0" borderId="0" xfId="1" applyFont="1" applyAlignment="1">
      <alignment horizontal="center" vertical="center" readingOrder="2"/>
    </xf>
    <xf numFmtId="0" fontId="57" fillId="11" borderId="91" xfId="4" applyFont="1" applyFill="1" applyBorder="1" applyAlignment="1">
      <alignment horizontal="center" vertical="center" wrapText="1"/>
    </xf>
    <xf numFmtId="0" fontId="57" fillId="11" borderId="91" xfId="4" applyFont="1" applyFill="1" applyBorder="1" applyAlignment="1">
      <alignment horizontal="center" vertical="center" readingOrder="2"/>
    </xf>
    <xf numFmtId="0" fontId="12" fillId="0" borderId="0" xfId="4" applyFont="1" applyAlignment="1" applyProtection="1">
      <alignment horizontal="center" readingOrder="2"/>
      <protection locked="0"/>
    </xf>
    <xf numFmtId="0" fontId="8" fillId="0" borderId="0" xfId="1" applyFont="1" applyAlignment="1" applyProtection="1">
      <alignment horizontal="right" vertical="center" readingOrder="2"/>
      <protection locked="0"/>
    </xf>
    <xf numFmtId="0" fontId="9" fillId="0" borderId="0" xfId="1" applyFont="1" applyAlignment="1">
      <alignment horizontal="right" vertical="top" readingOrder="2"/>
    </xf>
    <xf numFmtId="0" fontId="9" fillId="11" borderId="4" xfId="1" applyFont="1" applyFill="1" applyBorder="1" applyAlignment="1">
      <alignment horizontal="center" vertical="center"/>
    </xf>
    <xf numFmtId="0" fontId="9" fillId="11" borderId="6" xfId="1" applyFont="1" applyFill="1" applyBorder="1" applyAlignment="1">
      <alignment horizontal="center" vertical="center"/>
    </xf>
    <xf numFmtId="0" fontId="9" fillId="15" borderId="55" xfId="1" applyFont="1" applyFill="1" applyBorder="1" applyAlignment="1">
      <alignment horizontal="center" vertical="center" wrapText="1" readingOrder="2"/>
    </xf>
    <xf numFmtId="0" fontId="9" fillId="15" borderId="106" xfId="1" applyFont="1" applyFill="1" applyBorder="1" applyAlignment="1">
      <alignment horizontal="center" vertical="center" wrapText="1" readingOrder="2"/>
    </xf>
    <xf numFmtId="0" fontId="9" fillId="15" borderId="37" xfId="1" applyFont="1" applyFill="1" applyBorder="1" applyAlignment="1">
      <alignment horizontal="center" vertical="center" wrapText="1" readingOrder="2"/>
    </xf>
    <xf numFmtId="0" fontId="9" fillId="15" borderId="40" xfId="1" applyFont="1" applyFill="1" applyBorder="1" applyAlignment="1">
      <alignment horizontal="center" vertical="center" wrapText="1" readingOrder="2"/>
    </xf>
    <xf numFmtId="0" fontId="9" fillId="15" borderId="41" xfId="1" applyFont="1" applyFill="1" applyBorder="1" applyAlignment="1">
      <alignment horizontal="center" vertical="center" wrapText="1" readingOrder="2"/>
    </xf>
    <xf numFmtId="0" fontId="9" fillId="15" borderId="44" xfId="1" applyFont="1" applyFill="1" applyBorder="1" applyAlignment="1">
      <alignment horizontal="center" vertical="center" wrapText="1" readingOrder="2"/>
    </xf>
    <xf numFmtId="0" fontId="4" fillId="0" borderId="0" xfId="1" applyFont="1" applyAlignment="1" applyProtection="1">
      <alignment horizontal="right"/>
      <protection locked="0"/>
    </xf>
    <xf numFmtId="0" fontId="12" fillId="4" borderId="35" xfId="1" applyFont="1" applyFill="1" applyBorder="1" applyAlignment="1">
      <alignment horizontal="right" vertical="center"/>
    </xf>
    <xf numFmtId="0" fontId="12" fillId="4" borderId="87" xfId="1" applyFont="1" applyFill="1" applyBorder="1" applyAlignment="1">
      <alignment horizontal="right" vertical="center"/>
    </xf>
    <xf numFmtId="0" fontId="12" fillId="4" borderId="34" xfId="1" applyFont="1" applyFill="1" applyBorder="1" applyAlignment="1">
      <alignment horizontal="right" vertical="center"/>
    </xf>
    <xf numFmtId="3" fontId="8" fillId="0" borderId="35" xfId="1" applyNumberFormat="1" applyFont="1" applyBorder="1" applyAlignment="1" applyProtection="1">
      <alignment horizontal="center" vertical="center"/>
      <protection locked="0"/>
    </xf>
    <xf numFmtId="3" fontId="8" fillId="0" borderId="87" xfId="1" applyNumberFormat="1" applyFont="1" applyBorder="1" applyAlignment="1" applyProtection="1">
      <alignment horizontal="center" vertical="center"/>
      <protection locked="0"/>
    </xf>
    <xf numFmtId="3" fontId="8" fillId="0" borderId="34" xfId="1" applyNumberFormat="1" applyFont="1" applyBorder="1" applyAlignment="1" applyProtection="1">
      <alignment horizontal="center" vertical="center"/>
      <protection locked="0"/>
    </xf>
    <xf numFmtId="0" fontId="8" fillId="15" borderId="144" xfId="1" applyFont="1" applyFill="1" applyBorder="1" applyAlignment="1">
      <alignment horizontal="center" vertical="center" wrapText="1" readingOrder="2"/>
    </xf>
    <xf numFmtId="0" fontId="8" fillId="15" borderId="15" xfId="1" applyFont="1" applyFill="1" applyBorder="1" applyAlignment="1">
      <alignment horizontal="center" vertical="center" wrapText="1" readingOrder="2"/>
    </xf>
    <xf numFmtId="0" fontId="35" fillId="0" borderId="0" xfId="0" applyFont="1" applyAlignment="1" applyProtection="1">
      <alignment horizontal="right" vertical="center" wrapText="1" readingOrder="2"/>
      <protection locked="0"/>
    </xf>
    <xf numFmtId="0" fontId="9" fillId="15" borderId="107" xfId="1" applyFont="1" applyFill="1" applyBorder="1" applyAlignment="1">
      <alignment horizontal="center" vertical="center" wrapText="1" readingOrder="2"/>
    </xf>
    <xf numFmtId="0" fontId="9" fillId="15" borderId="308" xfId="1" applyFont="1" applyFill="1" applyBorder="1" applyAlignment="1">
      <alignment horizontal="center" vertical="center" wrapText="1" readingOrder="2"/>
    </xf>
    <xf numFmtId="0" fontId="9" fillId="15" borderId="76" xfId="1" applyFont="1" applyFill="1" applyBorder="1" applyAlignment="1">
      <alignment horizontal="center" vertical="center" wrapText="1" readingOrder="2"/>
    </xf>
    <xf numFmtId="0" fontId="9" fillId="15" borderId="64" xfId="1" applyFont="1" applyFill="1" applyBorder="1" applyAlignment="1">
      <alignment horizontal="center" vertical="center" wrapText="1" readingOrder="2"/>
    </xf>
    <xf numFmtId="0" fontId="9" fillId="15" borderId="78" xfId="1" applyFont="1" applyFill="1" applyBorder="1" applyAlignment="1">
      <alignment horizontal="center" vertical="center" wrapText="1" readingOrder="2"/>
    </xf>
    <xf numFmtId="0" fontId="9" fillId="4" borderId="151" xfId="1" applyFont="1" applyFill="1" applyBorder="1" applyAlignment="1">
      <alignment horizontal="center" vertical="top" wrapText="1" readingOrder="2"/>
    </xf>
    <xf numFmtId="0" fontId="9" fillId="4" borderId="152" xfId="1" applyFont="1" applyFill="1" applyBorder="1" applyAlignment="1">
      <alignment horizontal="center" vertical="top" wrapText="1" readingOrder="2"/>
    </xf>
    <xf numFmtId="0" fontId="8" fillId="11" borderId="70" xfId="1" applyFont="1" applyFill="1" applyBorder="1" applyAlignment="1">
      <alignment horizontal="center" vertical="center"/>
    </xf>
    <xf numFmtId="0" fontId="8" fillId="11" borderId="7" xfId="1" applyFont="1" applyFill="1" applyBorder="1" applyAlignment="1">
      <alignment horizontal="center" vertical="center"/>
    </xf>
    <xf numFmtId="0" fontId="8" fillId="11" borderId="13" xfId="1" applyFont="1" applyFill="1" applyBorder="1" applyAlignment="1">
      <alignment horizontal="center" vertical="center"/>
    </xf>
    <xf numFmtId="0" fontId="8" fillId="16" borderId="71" xfId="1" applyFont="1" applyFill="1" applyBorder="1" applyAlignment="1">
      <alignment horizontal="center" vertical="center" wrapText="1" readingOrder="2"/>
    </xf>
    <xf numFmtId="0" fontId="8" fillId="16" borderId="8" xfId="1" applyFont="1" applyFill="1" applyBorder="1" applyAlignment="1">
      <alignment horizontal="center" vertical="center" wrapText="1" readingOrder="2"/>
    </xf>
    <xf numFmtId="0" fontId="8" fillId="16" borderId="14" xfId="1" applyFont="1" applyFill="1" applyBorder="1" applyAlignment="1">
      <alignment horizontal="center" vertical="center" wrapText="1" readingOrder="2"/>
    </xf>
    <xf numFmtId="0" fontId="8" fillId="16" borderId="131" xfId="1" applyFont="1" applyFill="1" applyBorder="1" applyAlignment="1">
      <alignment horizontal="center" vertical="center" wrapText="1" readingOrder="2"/>
    </xf>
    <xf numFmtId="0" fontId="8" fillId="16" borderId="134" xfId="1" applyFont="1" applyFill="1" applyBorder="1" applyAlignment="1">
      <alignment horizontal="center" vertical="center" wrapText="1" readingOrder="2"/>
    </xf>
    <xf numFmtId="0" fontId="8" fillId="16" borderId="215" xfId="1" applyFont="1" applyFill="1" applyBorder="1" applyAlignment="1">
      <alignment horizontal="center" vertical="center" wrapText="1" readingOrder="2"/>
    </xf>
    <xf numFmtId="0" fontId="9" fillId="16" borderId="76" xfId="1" applyFont="1" applyFill="1" applyBorder="1" applyAlignment="1">
      <alignment horizontal="center" vertical="center" wrapText="1" readingOrder="2"/>
    </xf>
    <xf numFmtId="0" fontId="9" fillId="16" borderId="64" xfId="1" applyFont="1" applyFill="1" applyBorder="1" applyAlignment="1">
      <alignment horizontal="center" vertical="center" wrapText="1" readingOrder="2"/>
    </xf>
    <xf numFmtId="0" fontId="9" fillId="16" borderId="78" xfId="1" applyFont="1" applyFill="1" applyBorder="1" applyAlignment="1">
      <alignment horizontal="center" vertical="center" wrapText="1" readingOrder="2"/>
    </xf>
    <xf numFmtId="0" fontId="9" fillId="16" borderId="90" xfId="1" applyFont="1" applyFill="1" applyBorder="1" applyAlignment="1">
      <alignment horizontal="center" vertical="center" wrapText="1" readingOrder="2"/>
    </xf>
    <xf numFmtId="0" fontId="9" fillId="16" borderId="91" xfId="1" applyFont="1" applyFill="1" applyBorder="1" applyAlignment="1">
      <alignment horizontal="center" vertical="center" wrapText="1" readingOrder="2"/>
    </xf>
    <xf numFmtId="0" fontId="9" fillId="16" borderId="92" xfId="1" applyFont="1" applyFill="1" applyBorder="1" applyAlignment="1">
      <alignment horizontal="center" vertical="center" wrapText="1" readingOrder="2"/>
    </xf>
    <xf numFmtId="0" fontId="8" fillId="16" borderId="151" xfId="1" applyFont="1" applyFill="1" applyBorder="1" applyAlignment="1">
      <alignment horizontal="center" vertical="center" wrapText="1" readingOrder="2"/>
    </xf>
    <xf numFmtId="0" fontId="8" fillId="16" borderId="82" xfId="1" applyFont="1" applyFill="1" applyBorder="1" applyAlignment="1">
      <alignment horizontal="center" vertical="center" wrapText="1" readingOrder="2"/>
    </xf>
    <xf numFmtId="0" fontId="8" fillId="16" borderId="144" xfId="1" applyFont="1" applyFill="1" applyBorder="1" applyAlignment="1">
      <alignment horizontal="center" vertical="center" wrapText="1" readingOrder="2"/>
    </xf>
    <xf numFmtId="0" fontId="9" fillId="13" borderId="151" xfId="1" applyFont="1" applyFill="1" applyBorder="1" applyAlignment="1">
      <alignment horizontal="center" vertical="center" wrapText="1" readingOrder="2"/>
    </xf>
    <xf numFmtId="0" fontId="9" fillId="13" borderId="82" xfId="1" applyFont="1" applyFill="1" applyBorder="1" applyAlignment="1">
      <alignment horizontal="center" vertical="center" wrapText="1" readingOrder="2"/>
    </xf>
    <xf numFmtId="0" fontId="9" fillId="13" borderId="144" xfId="1" applyFont="1" applyFill="1" applyBorder="1" applyAlignment="1">
      <alignment horizontal="center" vertical="center" wrapText="1" readingOrder="2"/>
    </xf>
    <xf numFmtId="0" fontId="13" fillId="0" borderId="64" xfId="1" applyFont="1" applyBorder="1" applyAlignment="1" applyProtection="1">
      <alignment horizontal="justify" vertical="center" wrapText="1" readingOrder="2"/>
      <protection locked="0"/>
    </xf>
    <xf numFmtId="0" fontId="8" fillId="15" borderId="74" xfId="1" applyFont="1" applyFill="1" applyBorder="1" applyAlignment="1">
      <alignment horizontal="center" vertical="center" wrapText="1" readingOrder="2"/>
    </xf>
    <xf numFmtId="0" fontId="8" fillId="15" borderId="75" xfId="1" applyFont="1" applyFill="1" applyBorder="1" applyAlignment="1">
      <alignment horizontal="center" vertical="center" wrapText="1" readingOrder="2"/>
    </xf>
    <xf numFmtId="0" fontId="6" fillId="11" borderId="75" xfId="1" applyFont="1" applyFill="1" applyBorder="1"/>
    <xf numFmtId="0" fontId="4" fillId="0" borderId="1" xfId="1" applyFont="1" applyBorder="1" applyAlignment="1">
      <alignment horizontal="center" vertical="center" wrapText="1" readingOrder="2"/>
    </xf>
    <xf numFmtId="0" fontId="128" fillId="0" borderId="1" xfId="1" applyFont="1" applyBorder="1" applyAlignment="1">
      <alignment horizontal="left" vertical="center" readingOrder="2"/>
    </xf>
    <xf numFmtId="0" fontId="130" fillId="0" borderId="0" xfId="1" applyFont="1" applyAlignment="1">
      <alignment horizontal="center" readingOrder="2"/>
    </xf>
    <xf numFmtId="0" fontId="9" fillId="11" borderId="151" xfId="1" applyFont="1" applyFill="1" applyBorder="1" applyAlignment="1">
      <alignment horizontal="center" vertical="center" wrapText="1" readingOrder="2"/>
    </xf>
    <xf numFmtId="0" fontId="9" fillId="15" borderId="74" xfId="1" applyFont="1" applyFill="1" applyBorder="1" applyAlignment="1">
      <alignment horizontal="center" vertical="center" wrapText="1" readingOrder="2"/>
    </xf>
    <xf numFmtId="0" fontId="9" fillId="15" borderId="75" xfId="1" applyFont="1" applyFill="1" applyBorder="1" applyAlignment="1">
      <alignment horizontal="center" vertical="center" wrapText="1" readingOrder="2"/>
    </xf>
    <xf numFmtId="0" fontId="29" fillId="0" borderId="0" xfId="2" applyFont="1" applyAlignment="1" applyProtection="1">
      <alignment horizontal="right" vertical="center" readingOrder="2"/>
      <protection locked="0"/>
    </xf>
    <xf numFmtId="0" fontId="9" fillId="0" borderId="0" xfId="1" applyFont="1" applyAlignment="1">
      <alignment horizontal="right" vertical="center" wrapText="1" readingOrder="2"/>
    </xf>
    <xf numFmtId="0" fontId="8" fillId="15" borderId="112" xfId="1" applyFont="1" applyFill="1" applyBorder="1" applyAlignment="1">
      <alignment horizontal="center" vertical="center" wrapText="1" readingOrder="2"/>
    </xf>
    <xf numFmtId="0" fontId="8" fillId="11" borderId="70" xfId="1" applyFont="1" applyFill="1" applyBorder="1" applyAlignment="1">
      <alignment horizontal="center" vertical="center" textRotation="90" wrapText="1"/>
    </xf>
    <xf numFmtId="0" fontId="8" fillId="11" borderId="7" xfId="1" applyFont="1" applyFill="1" applyBorder="1" applyAlignment="1">
      <alignment horizontal="center" vertical="center" textRotation="90" wrapText="1"/>
    </xf>
    <xf numFmtId="0" fontId="8" fillId="11" borderId="88" xfId="1" applyFont="1" applyFill="1" applyBorder="1" applyAlignment="1">
      <alignment horizontal="center" vertical="center" textRotation="90" wrapText="1"/>
    </xf>
    <xf numFmtId="0" fontId="8" fillId="15" borderId="71" xfId="1" applyFont="1" applyFill="1" applyBorder="1" applyAlignment="1">
      <alignment horizontal="center" vertical="center" wrapText="1" readingOrder="2"/>
    </xf>
    <xf numFmtId="0" fontId="8" fillId="15" borderId="8" xfId="1" applyFont="1" applyFill="1" applyBorder="1" applyAlignment="1">
      <alignment horizontal="center" vertical="center" wrapText="1" readingOrder="2"/>
    </xf>
    <xf numFmtId="0" fontId="8" fillId="15" borderId="95" xfId="1" applyFont="1" applyFill="1" applyBorder="1" applyAlignment="1">
      <alignment horizontal="center" vertical="center" wrapText="1" readingOrder="2"/>
    </xf>
    <xf numFmtId="0" fontId="8" fillId="15" borderId="72" xfId="1" applyFont="1" applyFill="1" applyBorder="1" applyAlignment="1">
      <alignment horizontal="center" vertical="center" wrapText="1" readingOrder="2"/>
    </xf>
    <xf numFmtId="0" fontId="8" fillId="15" borderId="9" xfId="1" applyFont="1" applyFill="1" applyBorder="1" applyAlignment="1">
      <alignment horizontal="center" vertical="center" wrapText="1" readingOrder="2"/>
    </xf>
    <xf numFmtId="0" fontId="8" fillId="15" borderId="89" xfId="1" applyFont="1" applyFill="1" applyBorder="1" applyAlignment="1">
      <alignment horizontal="center" vertical="center" wrapText="1" readingOrder="2"/>
    </xf>
    <xf numFmtId="0" fontId="8" fillId="15" borderId="93" xfId="1" applyFont="1" applyFill="1" applyBorder="1" applyAlignment="1">
      <alignment horizontal="center" vertical="center" wrapText="1" readingOrder="2"/>
    </xf>
    <xf numFmtId="0" fontId="8" fillId="15" borderId="61" xfId="1" applyFont="1" applyFill="1" applyBorder="1" applyAlignment="1">
      <alignment horizontal="center" vertical="center" wrapText="1" readingOrder="2"/>
    </xf>
    <xf numFmtId="0" fontId="8" fillId="15" borderId="62" xfId="1" applyFont="1" applyFill="1" applyBorder="1" applyAlignment="1">
      <alignment horizontal="center" vertical="center" wrapText="1" readingOrder="2"/>
    </xf>
    <xf numFmtId="3" fontId="8" fillId="15" borderId="85" xfId="1" applyNumberFormat="1" applyFont="1" applyFill="1" applyBorder="1" applyAlignment="1">
      <alignment horizontal="center" vertical="center" wrapText="1" readingOrder="2"/>
    </xf>
    <xf numFmtId="3" fontId="8" fillId="15" borderId="83" xfId="1" applyNumberFormat="1" applyFont="1" applyFill="1" applyBorder="1" applyAlignment="1">
      <alignment horizontal="center" vertical="center" wrapText="1" readingOrder="2"/>
    </xf>
    <xf numFmtId="0" fontId="8" fillId="11" borderId="219" xfId="1" applyFont="1" applyFill="1" applyBorder="1" applyAlignment="1">
      <alignment horizontal="center" vertical="top" wrapText="1" readingOrder="2"/>
    </xf>
    <xf numFmtId="0" fontId="8" fillId="11" borderId="61" xfId="1" applyFont="1" applyFill="1" applyBorder="1" applyAlignment="1">
      <alignment horizontal="center" vertical="top" wrapText="1" readingOrder="2"/>
    </xf>
    <xf numFmtId="0" fontId="8" fillId="0" borderId="0" xfId="1" applyFont="1" applyAlignment="1" applyProtection="1">
      <alignment horizontal="center" readingOrder="2"/>
      <protection locked="0"/>
    </xf>
    <xf numFmtId="0" fontId="10" fillId="0" borderId="0" xfId="1" applyFont="1" applyAlignment="1">
      <alignment horizontal="center" wrapText="1" readingOrder="2"/>
    </xf>
    <xf numFmtId="0" fontId="9" fillId="11" borderId="74" xfId="1" applyFont="1" applyFill="1" applyBorder="1" applyAlignment="1">
      <alignment horizontal="center" vertical="center" wrapText="1" readingOrder="2"/>
    </xf>
    <xf numFmtId="0" fontId="9" fillId="11" borderId="100" xfId="1" applyFont="1" applyFill="1" applyBorder="1" applyAlignment="1">
      <alignment horizontal="center" vertical="center" wrapText="1" readingOrder="2"/>
    </xf>
    <xf numFmtId="0" fontId="9" fillId="11" borderId="75" xfId="1" applyFont="1" applyFill="1" applyBorder="1" applyAlignment="1">
      <alignment horizontal="center" vertical="center" wrapText="1" readingOrder="2"/>
    </xf>
    <xf numFmtId="0" fontId="9" fillId="0" borderId="0" xfId="1" applyFont="1" applyAlignment="1">
      <alignment horizontal="center" vertical="top" readingOrder="2"/>
    </xf>
    <xf numFmtId="0" fontId="9" fillId="11" borderId="5" xfId="1" applyFont="1" applyFill="1" applyBorder="1" applyAlignment="1">
      <alignment horizontal="center" vertical="center"/>
    </xf>
    <xf numFmtId="0" fontId="9" fillId="15" borderId="56" xfId="1" applyFont="1" applyFill="1" applyBorder="1" applyAlignment="1">
      <alignment horizontal="center" vertical="center" wrapText="1" readingOrder="2"/>
    </xf>
    <xf numFmtId="0" fontId="9" fillId="15" borderId="38" xfId="1" applyFont="1" applyFill="1" applyBorder="1" applyAlignment="1">
      <alignment horizontal="center" vertical="center" wrapText="1" readingOrder="2"/>
    </xf>
    <xf numFmtId="0" fontId="9" fillId="15" borderId="42" xfId="1" applyFont="1" applyFill="1" applyBorder="1" applyAlignment="1">
      <alignment horizontal="center" vertical="center" wrapText="1" readingOrder="2"/>
    </xf>
    <xf numFmtId="0" fontId="9" fillId="15" borderId="100" xfId="1" applyFont="1" applyFill="1" applyBorder="1" applyAlignment="1">
      <alignment horizontal="center" vertical="center" wrapText="1" readingOrder="2"/>
    </xf>
    <xf numFmtId="0" fontId="9" fillId="15" borderId="77" xfId="1" applyFont="1" applyFill="1" applyBorder="1" applyAlignment="1">
      <alignment horizontal="center" vertical="center" wrapText="1" readingOrder="2"/>
    </xf>
    <xf numFmtId="0" fontId="9" fillId="15" borderId="1" xfId="1" applyFont="1" applyFill="1" applyBorder="1" applyAlignment="1">
      <alignment horizontal="center" vertical="center" wrapText="1" readingOrder="2"/>
    </xf>
    <xf numFmtId="0" fontId="9" fillId="15" borderId="49" xfId="1" applyFont="1" applyFill="1" applyBorder="1" applyAlignment="1">
      <alignment horizontal="center" vertical="center" wrapText="1" readingOrder="2"/>
    </xf>
    <xf numFmtId="0" fontId="9" fillId="15" borderId="139" xfId="1" applyFont="1" applyFill="1" applyBorder="1" applyAlignment="1">
      <alignment horizontal="center" vertical="center" wrapText="1" readingOrder="2"/>
    </xf>
    <xf numFmtId="0" fontId="9" fillId="15" borderId="10" xfId="1" applyFont="1" applyFill="1" applyBorder="1" applyAlignment="1">
      <alignment horizontal="center" vertical="center" wrapText="1" readingOrder="2"/>
    </xf>
    <xf numFmtId="0" fontId="9" fillId="15" borderId="140" xfId="1" applyFont="1" applyFill="1" applyBorder="1" applyAlignment="1">
      <alignment horizontal="center" vertical="center" wrapText="1" readingOrder="2"/>
    </xf>
    <xf numFmtId="0" fontId="9" fillId="15" borderId="2" xfId="1" applyFont="1" applyFill="1" applyBorder="1" applyAlignment="1">
      <alignment horizontal="center" vertical="center" wrapText="1" readingOrder="2"/>
    </xf>
    <xf numFmtId="0" fontId="9" fillId="15" borderId="142" xfId="1" applyFont="1" applyFill="1" applyBorder="1" applyAlignment="1">
      <alignment horizontal="center" vertical="center" wrapText="1" readingOrder="2"/>
    </xf>
    <xf numFmtId="0" fontId="9" fillId="15" borderId="11" xfId="1" applyFont="1" applyFill="1" applyBorder="1" applyAlignment="1">
      <alignment horizontal="center" vertical="center" wrapText="1" readingOrder="2"/>
    </xf>
    <xf numFmtId="0" fontId="8" fillId="0" borderId="0" xfId="1" applyFont="1" applyAlignment="1" applyProtection="1">
      <alignment horizontal="center" vertical="center" wrapText="1" readingOrder="2"/>
      <protection locked="0"/>
    </xf>
    <xf numFmtId="0" fontId="9" fillId="16" borderId="125" xfId="1" applyFont="1" applyFill="1" applyBorder="1" applyAlignment="1">
      <alignment horizontal="center" vertical="center" wrapText="1" readingOrder="2"/>
    </xf>
    <xf numFmtId="0" fontId="9" fillId="16" borderId="124" xfId="1" applyFont="1" applyFill="1" applyBorder="1" applyAlignment="1">
      <alignment horizontal="center" vertical="center" wrapText="1" readingOrder="2"/>
    </xf>
    <xf numFmtId="0" fontId="9" fillId="16" borderId="126" xfId="1" applyFont="1" applyFill="1" applyBorder="1" applyAlignment="1">
      <alignment horizontal="center" vertical="center" wrapText="1" readingOrder="2"/>
    </xf>
    <xf numFmtId="0" fontId="9" fillId="16" borderId="132" xfId="1" applyFont="1" applyFill="1" applyBorder="1" applyAlignment="1">
      <alignment horizontal="center" vertical="center" wrapText="1" readingOrder="2"/>
    </xf>
    <xf numFmtId="0" fontId="9" fillId="16" borderId="133" xfId="1" applyFont="1" applyFill="1" applyBorder="1" applyAlignment="1">
      <alignment horizontal="center" vertical="center" wrapText="1" readingOrder="2"/>
    </xf>
    <xf numFmtId="0" fontId="8" fillId="16" borderId="104" xfId="1" applyFont="1" applyFill="1" applyBorder="1" applyAlignment="1">
      <alignment horizontal="center" vertical="center" wrapText="1" readingOrder="2"/>
    </xf>
    <xf numFmtId="0" fontId="8" fillId="16" borderId="135" xfId="1" applyFont="1" applyFill="1" applyBorder="1" applyAlignment="1">
      <alignment horizontal="center" vertical="center" wrapText="1" readingOrder="2"/>
    </xf>
    <xf numFmtId="0" fontId="8" fillId="16" borderId="111" xfId="1" applyFont="1" applyFill="1" applyBorder="1" applyAlignment="1">
      <alignment horizontal="center" vertical="center" wrapText="1" readingOrder="2"/>
    </xf>
    <xf numFmtId="0" fontId="9" fillId="0" borderId="0" xfId="1" applyFont="1" applyAlignment="1">
      <alignment horizontal="center" vertical="top" wrapText="1" readingOrder="2"/>
    </xf>
    <xf numFmtId="0" fontId="9" fillId="16" borderId="84" xfId="1" applyFont="1" applyFill="1" applyBorder="1" applyAlignment="1">
      <alignment horizontal="center" vertical="center" wrapText="1" readingOrder="2"/>
    </xf>
    <xf numFmtId="0" fontId="9" fillId="16" borderId="57" xfId="1" applyFont="1" applyFill="1" applyBorder="1" applyAlignment="1">
      <alignment horizontal="center" vertical="center" wrapText="1" readingOrder="2"/>
    </xf>
    <xf numFmtId="0" fontId="9" fillId="16" borderId="63" xfId="1" applyFont="1" applyFill="1" applyBorder="1" applyAlignment="1">
      <alignment horizontal="center" vertical="center" wrapText="1" readingOrder="2"/>
    </xf>
    <xf numFmtId="0" fontId="8" fillId="16" borderId="97" xfId="1" applyFont="1" applyFill="1" applyBorder="1" applyAlignment="1">
      <alignment horizontal="center" vertical="center" wrapText="1" readingOrder="2"/>
    </xf>
    <xf numFmtId="0" fontId="8" fillId="4" borderId="68" xfId="1" applyFont="1" applyFill="1" applyBorder="1" applyAlignment="1">
      <alignment horizontal="center" vertical="top" wrapText="1" readingOrder="2"/>
    </xf>
    <xf numFmtId="0" fontId="8" fillId="4" borderId="99" xfId="1" applyFont="1" applyFill="1" applyBorder="1" applyAlignment="1">
      <alignment horizontal="center" vertical="top" wrapText="1" readingOrder="2"/>
    </xf>
    <xf numFmtId="0" fontId="8" fillId="16" borderId="110" xfId="1" applyFont="1" applyFill="1" applyBorder="1" applyAlignment="1">
      <alignment horizontal="center" vertical="center" wrapText="1" readingOrder="2"/>
    </xf>
    <xf numFmtId="0" fontId="8" fillId="16" borderId="103" xfId="1" applyFont="1" applyFill="1" applyBorder="1" applyAlignment="1">
      <alignment horizontal="center" vertical="center" wrapText="1" readingOrder="2"/>
    </xf>
    <xf numFmtId="0" fontId="8" fillId="16" borderId="96" xfId="1" applyFont="1" applyFill="1" applyBorder="1" applyAlignment="1">
      <alignment horizontal="center" vertical="center" wrapText="1" readingOrder="2"/>
    </xf>
    <xf numFmtId="0" fontId="8" fillId="4" borderId="68" xfId="1" applyFont="1" applyFill="1" applyBorder="1" applyAlignment="1" applyProtection="1">
      <alignment horizontal="center" vertical="top" wrapText="1" readingOrder="2"/>
      <protection locked="0"/>
    </xf>
    <xf numFmtId="0" fontId="8" fillId="4" borderId="99" xfId="1" applyFont="1" applyFill="1" applyBorder="1" applyAlignment="1" applyProtection="1">
      <alignment horizontal="center" vertical="top" wrapText="1" readingOrder="2"/>
      <protection locked="0"/>
    </xf>
    <xf numFmtId="0" fontId="8" fillId="0" borderId="3" xfId="1" applyFont="1" applyBorder="1" applyAlignment="1" applyProtection="1">
      <alignment horizontal="center" vertical="center" wrapText="1" readingOrder="2"/>
      <protection locked="0"/>
    </xf>
    <xf numFmtId="0" fontId="8" fillId="15" borderId="84" xfId="1" applyFont="1" applyFill="1" applyBorder="1" applyAlignment="1">
      <alignment horizontal="center" vertical="center" wrapText="1" readingOrder="2"/>
    </xf>
    <xf numFmtId="0" fontId="8" fillId="15" borderId="57" xfId="1" applyFont="1" applyFill="1" applyBorder="1" applyAlignment="1">
      <alignment horizontal="center" vertical="center" wrapText="1" readingOrder="2"/>
    </xf>
    <xf numFmtId="0" fontId="8" fillId="15" borderId="63" xfId="1" applyFont="1" applyFill="1" applyBorder="1" applyAlignment="1">
      <alignment horizontal="center" vertical="center" wrapText="1" readingOrder="2"/>
    </xf>
    <xf numFmtId="0" fontId="3" fillId="0" borderId="0" xfId="1" applyFont="1" applyAlignment="1">
      <alignment horizontal="center" vertical="center" wrapText="1" readingOrder="2"/>
    </xf>
    <xf numFmtId="0" fontId="8" fillId="15" borderId="74" xfId="1" applyFont="1" applyFill="1" applyBorder="1" applyAlignment="1" applyProtection="1">
      <alignment horizontal="center" vertical="center" wrapText="1" readingOrder="2"/>
      <protection hidden="1"/>
    </xf>
    <xf numFmtId="0" fontId="8" fillId="15" borderId="75" xfId="1" applyFont="1" applyFill="1" applyBorder="1" applyAlignment="1" applyProtection="1">
      <alignment horizontal="center" vertical="center" wrapText="1" readingOrder="2"/>
      <protection hidden="1"/>
    </xf>
    <xf numFmtId="0" fontId="6" fillId="11" borderId="75" xfId="1" applyFont="1" applyFill="1" applyBorder="1" applyProtection="1">
      <protection hidden="1"/>
    </xf>
    <xf numFmtId="0" fontId="8" fillId="15" borderId="84" xfId="1" applyFont="1" applyFill="1" applyBorder="1" applyAlignment="1" applyProtection="1">
      <alignment horizontal="center" vertical="center" wrapText="1" readingOrder="2"/>
      <protection hidden="1"/>
    </xf>
    <xf numFmtId="0" fontId="8" fillId="15" borderId="57" xfId="1" applyFont="1" applyFill="1" applyBorder="1" applyAlignment="1" applyProtection="1">
      <alignment horizontal="center" vertical="center" wrapText="1" readingOrder="2"/>
      <protection hidden="1"/>
    </xf>
    <xf numFmtId="0" fontId="8" fillId="15" borderId="63" xfId="1" applyFont="1" applyFill="1" applyBorder="1" applyAlignment="1" applyProtection="1">
      <alignment horizontal="center" vertical="center" wrapText="1" readingOrder="2"/>
      <protection hidden="1"/>
    </xf>
    <xf numFmtId="0" fontId="20" fillId="0" borderId="0" xfId="0" applyFont="1" applyAlignment="1" applyProtection="1">
      <alignment horizontal="right" vertical="center" readingOrder="2"/>
      <protection hidden="1"/>
    </xf>
    <xf numFmtId="0" fontId="36" fillId="0" borderId="0" xfId="0" applyFont="1" applyAlignment="1" applyProtection="1">
      <alignment horizontal="center" vertical="center" readingOrder="2"/>
      <protection hidden="1"/>
    </xf>
    <xf numFmtId="0" fontId="3" fillId="0" borderId="0" xfId="1" applyFont="1" applyAlignment="1" applyProtection="1">
      <alignment horizontal="center" vertical="center" wrapText="1" readingOrder="2"/>
      <protection hidden="1"/>
    </xf>
    <xf numFmtId="0" fontId="9" fillId="0" borderId="1" xfId="1" applyFont="1" applyBorder="1" applyAlignment="1" applyProtection="1">
      <alignment horizontal="right" vertical="center" wrapText="1" readingOrder="2"/>
      <protection hidden="1"/>
    </xf>
    <xf numFmtId="0" fontId="4" fillId="0" borderId="1" xfId="1" applyFont="1" applyBorder="1" applyAlignment="1" applyProtection="1">
      <alignment horizontal="center" vertical="center" wrapText="1" readingOrder="2"/>
      <protection hidden="1"/>
    </xf>
    <xf numFmtId="0" fontId="8" fillId="4" borderId="17" xfId="1" applyFont="1" applyFill="1" applyBorder="1" applyAlignment="1" applyProtection="1">
      <alignment horizontal="justify" vertical="center" wrapText="1" readingOrder="2"/>
      <protection hidden="1"/>
    </xf>
    <xf numFmtId="0" fontId="8" fillId="4" borderId="59" xfId="1" applyFont="1" applyFill="1" applyBorder="1" applyAlignment="1" applyProtection="1">
      <alignment horizontal="justify" vertical="center" wrapText="1" readingOrder="2"/>
      <protection hidden="1"/>
    </xf>
    <xf numFmtId="0" fontId="8" fillId="4" borderId="31" xfId="1" applyFont="1" applyFill="1" applyBorder="1" applyAlignment="1" applyProtection="1">
      <alignment horizontal="justify" vertical="center" wrapText="1" readingOrder="2"/>
      <protection hidden="1"/>
    </xf>
    <xf numFmtId="0" fontId="9" fillId="11" borderId="57" xfId="1" applyFont="1" applyFill="1" applyBorder="1" applyAlignment="1">
      <alignment horizontal="center" vertical="center" wrapText="1" readingOrder="2"/>
    </xf>
    <xf numFmtId="0" fontId="9" fillId="11" borderId="152" xfId="1" applyFont="1" applyFill="1" applyBorder="1" applyAlignment="1">
      <alignment horizontal="center" vertical="center" wrapText="1" readingOrder="2"/>
    </xf>
    <xf numFmtId="0" fontId="9" fillId="15" borderId="86" xfId="1" applyFont="1" applyFill="1" applyBorder="1" applyAlignment="1">
      <alignment horizontal="center" vertical="center" wrapText="1" readingOrder="2"/>
    </xf>
    <xf numFmtId="0" fontId="9" fillId="15" borderId="85" xfId="1" applyFont="1" applyFill="1" applyBorder="1" applyAlignment="1">
      <alignment horizontal="center" vertical="center" wrapText="1" readingOrder="2"/>
    </xf>
    <xf numFmtId="0" fontId="9" fillId="15" borderId="83" xfId="1" applyFont="1" applyFill="1" applyBorder="1" applyAlignment="1">
      <alignment horizontal="center" vertical="center" wrapText="1" readingOrder="2"/>
    </xf>
    <xf numFmtId="0" fontId="8" fillId="4" borderId="16" xfId="1" applyFont="1" applyFill="1" applyBorder="1" applyAlignment="1" applyProtection="1">
      <alignment horizontal="justify" vertical="center" wrapText="1" readingOrder="2"/>
      <protection hidden="1"/>
    </xf>
    <xf numFmtId="0" fontId="8" fillId="4" borderId="58" xfId="1" applyFont="1" applyFill="1" applyBorder="1" applyAlignment="1" applyProtection="1">
      <alignment horizontal="justify" vertical="center" wrapText="1" readingOrder="2"/>
      <protection hidden="1"/>
    </xf>
    <xf numFmtId="0" fontId="8" fillId="4" borderId="25" xfId="1" applyFont="1" applyFill="1" applyBorder="1" applyAlignment="1" applyProtection="1">
      <alignment horizontal="justify" vertical="center" wrapText="1" readingOrder="2"/>
      <protection hidden="1"/>
    </xf>
    <xf numFmtId="0" fontId="8" fillId="4" borderId="17" xfId="1" applyFont="1" applyFill="1" applyBorder="1" applyAlignment="1" applyProtection="1">
      <alignment horizontal="right" vertical="center" wrapText="1" readingOrder="2"/>
      <protection hidden="1"/>
    </xf>
    <xf numFmtId="0" fontId="8" fillId="4" borderId="59" xfId="1" applyFont="1" applyFill="1" applyBorder="1" applyAlignment="1" applyProtection="1">
      <alignment horizontal="right" vertical="center" wrapText="1" readingOrder="2"/>
      <protection hidden="1"/>
    </xf>
    <xf numFmtId="0" fontId="8" fillId="4" borderId="31" xfId="1" applyFont="1" applyFill="1" applyBorder="1" applyAlignment="1" applyProtection="1">
      <alignment horizontal="right" vertical="center" wrapText="1" readingOrder="2"/>
      <protection hidden="1"/>
    </xf>
    <xf numFmtId="0" fontId="8" fillId="4" borderId="150" xfId="1" applyFont="1" applyFill="1" applyBorder="1" applyAlignment="1" applyProtection="1">
      <alignment horizontal="justify" vertical="center" wrapText="1" readingOrder="2"/>
      <protection hidden="1"/>
    </xf>
    <xf numFmtId="0" fontId="8" fillId="4" borderId="105" xfId="1" applyFont="1" applyFill="1" applyBorder="1" applyAlignment="1" applyProtection="1">
      <alignment horizontal="justify" vertical="center" wrapText="1" readingOrder="2"/>
      <protection hidden="1"/>
    </xf>
    <xf numFmtId="0" fontId="8" fillId="4" borderId="45" xfId="1" applyFont="1" applyFill="1" applyBorder="1" applyAlignment="1" applyProtection="1">
      <alignment horizontal="justify" vertical="center" wrapText="1" readingOrder="2"/>
      <protection hidden="1"/>
    </xf>
    <xf numFmtId="0" fontId="9" fillId="4" borderId="35" xfId="1" applyFont="1" applyFill="1" applyBorder="1" applyAlignment="1">
      <alignment horizontal="justify" vertical="center" wrapText="1" readingOrder="2"/>
    </xf>
    <xf numFmtId="0" fontId="9" fillId="4" borderId="87" xfId="1" applyFont="1" applyFill="1" applyBorder="1" applyAlignment="1">
      <alignment horizontal="justify" vertical="center" wrapText="1" readingOrder="2"/>
    </xf>
    <xf numFmtId="0" fontId="8" fillId="4" borderId="18" xfId="1" applyFont="1" applyFill="1" applyBorder="1" applyAlignment="1" applyProtection="1">
      <alignment horizontal="justify" vertical="center" wrapText="1" readingOrder="2"/>
      <protection hidden="1"/>
    </xf>
    <xf numFmtId="0" fontId="8" fillId="4" borderId="60" xfId="1" applyFont="1" applyFill="1" applyBorder="1" applyAlignment="1" applyProtection="1">
      <alignment horizontal="justify" vertical="center" wrapText="1" readingOrder="2"/>
      <protection hidden="1"/>
    </xf>
    <xf numFmtId="0" fontId="9" fillId="15" borderId="225" xfId="1" applyFont="1" applyFill="1" applyBorder="1" applyAlignment="1">
      <alignment horizontal="center" vertical="center" wrapText="1" readingOrder="2"/>
    </xf>
    <xf numFmtId="0" fontId="9" fillId="15" borderId="211" xfId="1" applyFont="1" applyFill="1" applyBorder="1" applyAlignment="1">
      <alignment horizontal="center" vertical="center" wrapText="1" readingOrder="2"/>
    </xf>
    <xf numFmtId="0" fontId="9" fillId="15" borderId="215" xfId="1" applyFont="1" applyFill="1" applyBorder="1" applyAlignment="1">
      <alignment horizontal="center" vertical="center" wrapText="1" readingOrder="2"/>
    </xf>
    <xf numFmtId="0" fontId="9" fillId="15" borderId="143" xfId="1" applyFont="1" applyFill="1" applyBorder="1" applyAlignment="1">
      <alignment horizontal="center" vertical="center" wrapText="1" readingOrder="2"/>
    </xf>
    <xf numFmtId="0" fontId="9" fillId="15" borderId="82" xfId="1" applyFont="1" applyFill="1" applyBorder="1" applyAlignment="1">
      <alignment horizontal="center" vertical="center" wrapText="1" readingOrder="2"/>
    </xf>
    <xf numFmtId="0" fontId="9" fillId="15" borderId="93" xfId="1" applyFont="1" applyFill="1" applyBorder="1" applyAlignment="1">
      <alignment horizontal="center" vertical="center" wrapText="1" readingOrder="2"/>
    </xf>
    <xf numFmtId="0" fontId="9" fillId="15" borderId="61" xfId="1" applyFont="1" applyFill="1" applyBorder="1" applyAlignment="1">
      <alignment horizontal="center" vertical="center" wrapText="1" readingOrder="2"/>
    </xf>
    <xf numFmtId="0" fontId="9" fillId="15" borderId="62" xfId="1" applyFont="1" applyFill="1" applyBorder="1" applyAlignment="1">
      <alignment horizontal="center" vertical="center" wrapText="1" readingOrder="2"/>
    </xf>
    <xf numFmtId="3" fontId="10" fillId="4" borderId="72" xfId="1" applyNumberFormat="1" applyFont="1" applyFill="1" applyBorder="1" applyAlignment="1">
      <alignment horizontal="center" vertical="center" wrapText="1" readingOrder="2"/>
    </xf>
    <xf numFmtId="3" fontId="10" fillId="4" borderId="115" xfId="1" applyNumberFormat="1" applyFont="1" applyFill="1" applyBorder="1" applyAlignment="1">
      <alignment horizontal="center" vertical="center" wrapText="1" readingOrder="2"/>
    </xf>
    <xf numFmtId="3" fontId="10" fillId="4" borderId="131" xfId="1" applyNumberFormat="1" applyFont="1" applyFill="1" applyBorder="1" applyAlignment="1">
      <alignment horizontal="center" vertical="center" wrapText="1" readingOrder="2"/>
    </xf>
    <xf numFmtId="3" fontId="10" fillId="4" borderId="216" xfId="1" applyNumberFormat="1" applyFont="1" applyFill="1" applyBorder="1" applyAlignment="1">
      <alignment horizontal="center" vertical="center" wrapText="1" readingOrder="2"/>
    </xf>
    <xf numFmtId="3" fontId="10" fillId="4" borderId="43" xfId="1" applyNumberFormat="1" applyFont="1" applyFill="1" applyBorder="1" applyAlignment="1">
      <alignment horizontal="center" vertical="center" wrapText="1" readingOrder="2"/>
    </xf>
    <xf numFmtId="3" fontId="10" fillId="4" borderId="207" xfId="1" applyNumberFormat="1" applyFont="1" applyFill="1" applyBorder="1" applyAlignment="1">
      <alignment horizontal="center" vertical="center" wrapText="1" readingOrder="2"/>
    </xf>
    <xf numFmtId="0" fontId="8" fillId="15" borderId="169" xfId="1" applyFont="1" applyFill="1" applyBorder="1" applyAlignment="1">
      <alignment horizontal="center" vertical="center" wrapText="1" readingOrder="2"/>
    </xf>
    <xf numFmtId="0" fontId="8" fillId="15" borderId="174" xfId="1" applyFont="1" applyFill="1" applyBorder="1" applyAlignment="1">
      <alignment horizontal="center" vertical="center" wrapText="1" readingOrder="2"/>
    </xf>
    <xf numFmtId="166" fontId="10" fillId="4" borderId="78" xfId="1" applyNumberFormat="1" applyFont="1" applyFill="1" applyBorder="1" applyAlignment="1">
      <alignment horizontal="center" vertical="center" wrapText="1" readingOrder="2"/>
    </xf>
    <xf numFmtId="166" fontId="10" fillId="4" borderId="116" xfId="1" applyNumberFormat="1" applyFont="1" applyFill="1" applyBorder="1" applyAlignment="1">
      <alignment horizontal="center" vertical="center" wrapText="1" readingOrder="2"/>
    </xf>
    <xf numFmtId="3" fontId="10" fillId="4" borderId="50" xfId="1" applyNumberFormat="1" applyFont="1" applyFill="1" applyBorder="1" applyAlignment="1">
      <alignment horizontal="center" vertical="center" wrapText="1" readingOrder="2"/>
    </xf>
    <xf numFmtId="3" fontId="10" fillId="4" borderId="116" xfId="1" applyNumberFormat="1" applyFont="1" applyFill="1" applyBorder="1" applyAlignment="1">
      <alignment horizontal="center" vertical="center" wrapText="1" readingOrder="2"/>
    </xf>
    <xf numFmtId="0" fontId="130" fillId="0" borderId="1" xfId="1" applyFont="1" applyBorder="1" applyAlignment="1">
      <alignment horizontal="center" vertical="center" readingOrder="2"/>
    </xf>
    <xf numFmtId="0" fontId="146" fillId="0" borderId="1" xfId="1" applyFont="1" applyBorder="1" applyAlignment="1">
      <alignment horizontal="center" vertical="center" readingOrder="2"/>
    </xf>
    <xf numFmtId="0" fontId="9" fillId="15" borderId="93" xfId="1" applyFont="1" applyFill="1" applyBorder="1" applyAlignment="1" applyProtection="1">
      <alignment horizontal="center" vertical="center" wrapText="1" readingOrder="2"/>
      <protection locked="0"/>
    </xf>
    <xf numFmtId="0" fontId="9" fillId="15" borderId="61" xfId="1" applyFont="1" applyFill="1" applyBorder="1" applyAlignment="1" applyProtection="1">
      <alignment horizontal="center" vertical="center" wrapText="1" readingOrder="2"/>
      <protection locked="0"/>
    </xf>
    <xf numFmtId="0" fontId="9" fillId="15" borderId="62" xfId="1" applyFont="1" applyFill="1" applyBorder="1" applyAlignment="1" applyProtection="1">
      <alignment horizontal="center" vertical="center" wrapText="1" readingOrder="2"/>
      <protection locked="0"/>
    </xf>
    <xf numFmtId="3" fontId="10" fillId="4" borderId="43" xfId="1" applyNumberFormat="1" applyFont="1" applyFill="1" applyBorder="1" applyAlignment="1" applyProtection="1">
      <alignment horizontal="center" vertical="center" wrapText="1" readingOrder="2"/>
      <protection locked="0"/>
    </xf>
    <xf numFmtId="3" fontId="10" fillId="4" borderId="115" xfId="1" applyNumberFormat="1" applyFont="1" applyFill="1" applyBorder="1" applyAlignment="1" applyProtection="1">
      <alignment horizontal="center" vertical="center" wrapText="1" readingOrder="2"/>
      <protection locked="0"/>
    </xf>
    <xf numFmtId="3" fontId="10" fillId="4" borderId="207" xfId="1" applyNumberFormat="1" applyFont="1" applyFill="1" applyBorder="1" applyAlignment="1" applyProtection="1">
      <alignment horizontal="center" vertical="center" wrapText="1" readingOrder="2"/>
      <protection locked="0"/>
    </xf>
    <xf numFmtId="3" fontId="10" fillId="4" borderId="216" xfId="1" applyNumberFormat="1" applyFont="1" applyFill="1" applyBorder="1" applyAlignment="1" applyProtection="1">
      <alignment horizontal="center" vertical="center" wrapText="1" readingOrder="2"/>
      <protection locked="0"/>
    </xf>
    <xf numFmtId="3" fontId="10" fillId="4" borderId="50" xfId="1" applyNumberFormat="1" applyFont="1" applyFill="1" applyBorder="1" applyAlignment="1" applyProtection="1">
      <alignment horizontal="center" vertical="center" wrapText="1" readingOrder="2"/>
      <protection locked="0"/>
    </xf>
    <xf numFmtId="3" fontId="10" fillId="4" borderId="116" xfId="1" applyNumberFormat="1" applyFont="1" applyFill="1" applyBorder="1" applyAlignment="1" applyProtection="1">
      <alignment horizontal="center" vertical="center" wrapText="1" readingOrder="2"/>
      <protection locked="0"/>
    </xf>
    <xf numFmtId="0" fontId="8" fillId="15" borderId="93" xfId="1" applyFont="1" applyFill="1" applyBorder="1" applyAlignment="1" applyProtection="1">
      <alignment horizontal="center" vertical="center" wrapText="1" readingOrder="2"/>
      <protection locked="0"/>
    </xf>
    <xf numFmtId="0" fontId="8" fillId="15" borderId="174" xfId="1" applyFont="1" applyFill="1" applyBorder="1" applyAlignment="1" applyProtection="1">
      <alignment horizontal="center" vertical="center" wrapText="1" readingOrder="2"/>
      <protection locked="0"/>
    </xf>
    <xf numFmtId="0" fontId="8" fillId="15" borderId="169" xfId="1" applyFont="1" applyFill="1" applyBorder="1" applyAlignment="1" applyProtection="1">
      <alignment horizontal="center" vertical="center" wrapText="1" readingOrder="2"/>
      <protection locked="0"/>
    </xf>
    <xf numFmtId="0" fontId="8" fillId="15" borderId="62" xfId="1" applyFont="1" applyFill="1" applyBorder="1" applyAlignment="1" applyProtection="1">
      <alignment horizontal="center" vertical="center" wrapText="1" readingOrder="2"/>
      <protection locked="0"/>
    </xf>
    <xf numFmtId="3" fontId="10" fillId="4" borderId="72" xfId="1" applyNumberFormat="1" applyFont="1" applyFill="1" applyBorder="1" applyAlignment="1" applyProtection="1">
      <alignment horizontal="center" vertical="center" wrapText="1" readingOrder="2"/>
      <protection locked="0"/>
    </xf>
    <xf numFmtId="3" fontId="10" fillId="4" borderId="131" xfId="1" applyNumberFormat="1" applyFont="1" applyFill="1" applyBorder="1" applyAlignment="1" applyProtection="1">
      <alignment horizontal="center" vertical="center" wrapText="1" readingOrder="2"/>
      <protection locked="0"/>
    </xf>
    <xf numFmtId="166" fontId="10" fillId="4" borderId="78" xfId="1" applyNumberFormat="1" applyFont="1" applyFill="1" applyBorder="1" applyAlignment="1" applyProtection="1">
      <alignment horizontal="center" vertical="center" wrapText="1" readingOrder="2"/>
      <protection locked="0"/>
    </xf>
    <xf numFmtId="166" fontId="10" fillId="4" borderId="116" xfId="1" applyNumberFormat="1" applyFont="1" applyFill="1" applyBorder="1" applyAlignment="1" applyProtection="1">
      <alignment horizontal="center" vertical="center" wrapText="1" readingOrder="2"/>
      <protection locked="0"/>
    </xf>
    <xf numFmtId="0" fontId="8" fillId="15" borderId="74" xfId="1" applyFont="1" applyFill="1" applyBorder="1" applyAlignment="1" applyProtection="1">
      <alignment horizontal="center" vertical="center" wrapText="1" readingOrder="2"/>
      <protection locked="0"/>
    </xf>
    <xf numFmtId="0" fontId="8" fillId="15" borderId="75" xfId="1" applyFont="1" applyFill="1" applyBorder="1" applyAlignment="1" applyProtection="1">
      <alignment horizontal="center" vertical="center" wrapText="1" readingOrder="2"/>
      <protection locked="0"/>
    </xf>
    <xf numFmtId="0" fontId="18" fillId="0" borderId="76" xfId="1" applyFont="1" applyBorder="1" applyAlignment="1" applyProtection="1">
      <alignment horizontal="center" vertical="center" wrapText="1" readingOrder="2"/>
      <protection locked="0"/>
    </xf>
    <xf numFmtId="0" fontId="18" fillId="0" borderId="64" xfId="1" applyFont="1" applyBorder="1" applyAlignment="1" applyProtection="1">
      <alignment horizontal="center" vertical="center" wrapText="1" readingOrder="2"/>
      <protection locked="0"/>
    </xf>
    <xf numFmtId="0" fontId="18" fillId="0" borderId="78" xfId="1" applyFont="1" applyBorder="1" applyAlignment="1" applyProtection="1">
      <alignment horizontal="center" vertical="center" wrapText="1" readingOrder="2"/>
      <protection locked="0"/>
    </xf>
    <xf numFmtId="0" fontId="10" fillId="0" borderId="3" xfId="1" applyFont="1" applyBorder="1" applyAlignment="1" applyProtection="1">
      <alignment horizontal="right" vertical="top" wrapText="1" readingOrder="2"/>
      <protection locked="0"/>
    </xf>
    <xf numFmtId="0" fontId="10" fillId="0" borderId="0" xfId="1" applyFont="1" applyBorder="1" applyAlignment="1" applyProtection="1">
      <alignment horizontal="right" vertical="top" wrapText="1" readingOrder="2"/>
      <protection locked="0"/>
    </xf>
    <xf numFmtId="0" fontId="10" fillId="0" borderId="12" xfId="1" applyFont="1" applyBorder="1" applyAlignment="1" applyProtection="1">
      <alignment horizontal="right" vertical="top" wrapText="1" readingOrder="2"/>
      <protection locked="0"/>
    </xf>
    <xf numFmtId="0" fontId="10" fillId="0" borderId="77" xfId="1" applyFont="1" applyBorder="1" applyAlignment="1" applyProtection="1">
      <alignment horizontal="right" vertical="top" wrapText="1" readingOrder="2"/>
      <protection locked="0"/>
    </xf>
    <xf numFmtId="0" fontId="10" fillId="0" borderId="1" xfId="1" applyFont="1" applyBorder="1" applyAlignment="1" applyProtection="1">
      <alignment horizontal="right" vertical="top" wrapText="1" readingOrder="2"/>
      <protection locked="0"/>
    </xf>
    <xf numFmtId="0" fontId="10" fillId="0" borderId="49" xfId="1" applyFont="1" applyBorder="1" applyAlignment="1" applyProtection="1">
      <alignment horizontal="right" vertical="top" wrapText="1" readingOrder="2"/>
      <protection locked="0"/>
    </xf>
    <xf numFmtId="3" fontId="8" fillId="13" borderId="151" xfId="1" applyNumberFormat="1" applyFont="1" applyFill="1" applyBorder="1" applyAlignment="1">
      <alignment horizontal="center" vertical="center" wrapText="1" readingOrder="2"/>
    </xf>
    <xf numFmtId="3" fontId="8" fillId="13" borderId="82" xfId="1" applyNumberFormat="1" applyFont="1" applyFill="1" applyBorder="1" applyAlignment="1">
      <alignment horizontal="center" vertical="center" wrapText="1" readingOrder="2"/>
    </xf>
    <xf numFmtId="3" fontId="8" fillId="13" borderId="144" xfId="1" applyNumberFormat="1" applyFont="1" applyFill="1" applyBorder="1" applyAlignment="1">
      <alignment horizontal="center" vertical="center" wrapText="1" readingOrder="2"/>
    </xf>
    <xf numFmtId="166" fontId="8" fillId="13" borderId="151" xfId="1" applyNumberFormat="1" applyFont="1" applyFill="1" applyBorder="1" applyAlignment="1">
      <alignment horizontal="center" vertical="center" wrapText="1" readingOrder="2"/>
    </xf>
    <xf numFmtId="166" fontId="8" fillId="13" borderId="82" xfId="1" applyNumberFormat="1" applyFont="1" applyFill="1" applyBorder="1" applyAlignment="1">
      <alignment horizontal="center" vertical="center" wrapText="1" readingOrder="2"/>
    </xf>
    <xf numFmtId="166" fontId="8" fillId="13" borderId="144" xfId="1" applyNumberFormat="1" applyFont="1" applyFill="1" applyBorder="1" applyAlignment="1">
      <alignment horizontal="center" vertical="center" wrapText="1" readingOrder="2"/>
    </xf>
    <xf numFmtId="0" fontId="9" fillId="0" borderId="1" xfId="1" applyFont="1" applyBorder="1" applyAlignment="1">
      <alignment horizontal="right" vertical="center" readingOrder="2"/>
    </xf>
    <xf numFmtId="0" fontId="9" fillId="15" borderId="72" xfId="1" applyFont="1" applyFill="1" applyBorder="1" applyAlignment="1">
      <alignment horizontal="center" vertical="center" wrapText="1" readingOrder="2"/>
    </xf>
    <xf numFmtId="0" fontId="9" fillId="15" borderId="134" xfId="1" applyFont="1" applyFill="1" applyBorder="1" applyAlignment="1">
      <alignment horizontal="center" vertical="center" wrapText="1" readingOrder="2"/>
    </xf>
    <xf numFmtId="0" fontId="9" fillId="4" borderId="93" xfId="1" applyFont="1" applyFill="1" applyBorder="1" applyAlignment="1">
      <alignment horizontal="center" vertical="center" wrapText="1" readingOrder="2"/>
    </xf>
    <xf numFmtId="0" fontId="9" fillId="4" borderId="61" xfId="1" applyFont="1" applyFill="1" applyBorder="1" applyAlignment="1">
      <alignment horizontal="center" vertical="center" wrapText="1" readingOrder="2"/>
    </xf>
    <xf numFmtId="0" fontId="9" fillId="11" borderId="70" xfId="1" applyFont="1" applyFill="1" applyBorder="1" applyAlignment="1">
      <alignment horizontal="center" vertical="center"/>
    </xf>
    <xf numFmtId="0" fontId="9" fillId="11" borderId="7" xfId="1" applyFont="1" applyFill="1" applyBorder="1" applyAlignment="1">
      <alignment horizontal="center" vertical="center"/>
    </xf>
    <xf numFmtId="0" fontId="9" fillId="15" borderId="71" xfId="1" applyFont="1" applyFill="1" applyBorder="1" applyAlignment="1">
      <alignment horizontal="center" vertical="center" wrapText="1" readingOrder="2"/>
    </xf>
    <xf numFmtId="0" fontId="9" fillId="15" borderId="8" xfId="1" applyFont="1" applyFill="1" applyBorder="1" applyAlignment="1">
      <alignment horizontal="center" vertical="center" wrapText="1" readingOrder="2"/>
    </xf>
    <xf numFmtId="0" fontId="9" fillId="15" borderId="14" xfId="1" applyFont="1" applyFill="1" applyBorder="1" applyAlignment="1">
      <alignment horizontal="center" vertical="center" wrapText="1" readingOrder="2"/>
    </xf>
    <xf numFmtId="0" fontId="8" fillId="4" borderId="151" xfId="1" applyFont="1" applyFill="1" applyBorder="1" applyAlignment="1">
      <alignment horizontal="center" vertical="top" wrapText="1" readingOrder="2"/>
    </xf>
    <xf numFmtId="0" fontId="8" fillId="4" borderId="152" xfId="1" applyFont="1" applyFill="1" applyBorder="1" applyAlignment="1">
      <alignment horizontal="center" vertical="top" wrapText="1" readingOrder="2"/>
    </xf>
    <xf numFmtId="166" fontId="9" fillId="13" borderId="93" xfId="1" applyNumberFormat="1" applyFont="1" applyFill="1" applyBorder="1" applyAlignment="1">
      <alignment horizontal="center" vertical="center" wrapText="1" readingOrder="2"/>
    </xf>
    <xf numFmtId="166" fontId="9" fillId="13" borderId="174" xfId="1" applyNumberFormat="1" applyFont="1" applyFill="1" applyBorder="1" applyAlignment="1">
      <alignment horizontal="center" vertical="center" wrapText="1" readingOrder="2"/>
    </xf>
    <xf numFmtId="166" fontId="9" fillId="13" borderId="169" xfId="1" applyNumberFormat="1" applyFont="1" applyFill="1" applyBorder="1" applyAlignment="1">
      <alignment horizontal="center" vertical="center" wrapText="1" readingOrder="2"/>
    </xf>
    <xf numFmtId="0" fontId="8" fillId="0" borderId="0" xfId="2" applyFont="1" applyAlignment="1" applyProtection="1">
      <alignment horizontal="right" vertical="center" wrapText="1" readingOrder="2"/>
      <protection locked="0"/>
    </xf>
    <xf numFmtId="0" fontId="32" fillId="0" borderId="0" xfId="1" applyFont="1" applyAlignment="1">
      <alignment horizontal="left" vertical="center" wrapText="1" readingOrder="2"/>
    </xf>
    <xf numFmtId="0" fontId="9" fillId="15" borderId="3" xfId="1" applyFont="1" applyFill="1" applyBorder="1" applyAlignment="1">
      <alignment horizontal="center" vertical="center" wrapText="1" readingOrder="2"/>
    </xf>
    <xf numFmtId="0" fontId="9" fillId="15" borderId="0" xfId="1" applyFont="1" applyFill="1" applyAlignment="1">
      <alignment horizontal="center" vertical="center" wrapText="1" readingOrder="2"/>
    </xf>
    <xf numFmtId="0" fontId="9" fillId="0" borderId="0" xfId="1" applyFont="1" applyAlignment="1">
      <alignment horizontal="justify" vertical="center" wrapText="1" readingOrder="2"/>
    </xf>
    <xf numFmtId="0" fontId="12" fillId="15" borderId="70" xfId="1" applyFont="1" applyFill="1" applyBorder="1" applyAlignment="1" applyProtection="1">
      <alignment horizontal="center" vertical="center" wrapText="1" readingOrder="2"/>
      <protection locked="0"/>
    </xf>
    <xf numFmtId="0" fontId="12" fillId="15" borderId="13" xfId="1" applyFont="1" applyFill="1" applyBorder="1" applyAlignment="1" applyProtection="1">
      <alignment horizontal="center" vertical="center" wrapText="1" readingOrder="2"/>
      <protection locked="0"/>
    </xf>
    <xf numFmtId="0" fontId="9" fillId="15" borderId="74" xfId="1" applyFont="1" applyFill="1" applyBorder="1" applyAlignment="1" applyProtection="1">
      <alignment horizontal="center" vertical="center" wrapText="1" readingOrder="2"/>
      <protection locked="0"/>
    </xf>
    <xf numFmtId="0" fontId="9" fillId="15" borderId="75" xfId="1" applyFont="1" applyFill="1" applyBorder="1" applyAlignment="1" applyProtection="1">
      <alignment horizontal="center" vertical="center" wrapText="1" readingOrder="2"/>
      <protection locked="0"/>
    </xf>
    <xf numFmtId="0" fontId="9" fillId="11" borderId="77" xfId="1" applyFont="1" applyFill="1" applyBorder="1" applyAlignment="1">
      <alignment horizontal="center" vertical="center" wrapText="1" readingOrder="2"/>
    </xf>
    <xf numFmtId="0" fontId="36" fillId="0" borderId="0" xfId="0" applyFont="1" applyAlignment="1" applyProtection="1">
      <alignment horizontal="center" vertical="center" readingOrder="2"/>
      <protection locked="0"/>
    </xf>
    <xf numFmtId="0" fontId="8" fillId="11" borderId="74" xfId="1" applyFont="1" applyFill="1" applyBorder="1" applyAlignment="1">
      <alignment horizontal="center" vertical="center" wrapText="1" readingOrder="2"/>
    </xf>
    <xf numFmtId="0" fontId="8" fillId="11" borderId="75" xfId="1" applyFont="1" applyFill="1" applyBorder="1" applyAlignment="1">
      <alignment horizontal="center" vertical="center" wrapText="1" readingOrder="2"/>
    </xf>
    <xf numFmtId="0" fontId="5" fillId="0" borderId="0" xfId="1" applyFont="1" applyAlignment="1" applyProtection="1">
      <alignment horizontal="center"/>
      <protection locked="0"/>
    </xf>
    <xf numFmtId="0" fontId="63" fillId="0" borderId="0" xfId="1" applyFont="1" applyAlignment="1" applyProtection="1">
      <alignment horizontal="right"/>
      <protection locked="0"/>
    </xf>
    <xf numFmtId="0" fontId="36" fillId="11" borderId="76" xfId="3" applyFont="1" applyFill="1" applyBorder="1" applyAlignment="1" applyProtection="1">
      <alignment horizontal="center" vertical="center" wrapText="1"/>
      <protection locked="0"/>
    </xf>
    <xf numFmtId="0" fontId="36" fillId="11" borderId="77" xfId="3" applyFont="1" applyFill="1" applyBorder="1" applyAlignment="1" applyProtection="1">
      <alignment horizontal="center" vertical="center" wrapText="1"/>
      <protection locked="0"/>
    </xf>
    <xf numFmtId="0" fontId="35" fillId="4" borderId="97" xfId="3" applyFont="1" applyFill="1" applyBorder="1" applyAlignment="1" applyProtection="1">
      <alignment horizontal="center" vertical="center"/>
      <protection locked="0"/>
    </xf>
    <xf numFmtId="0" fontId="35" fillId="4" borderId="8" xfId="3" applyFont="1" applyFill="1" applyBorder="1" applyAlignment="1" applyProtection="1">
      <alignment horizontal="center" vertical="center"/>
      <protection locked="0"/>
    </xf>
    <xf numFmtId="0" fontId="35" fillId="4" borderId="14" xfId="3" applyFont="1" applyFill="1" applyBorder="1" applyAlignment="1" applyProtection="1">
      <alignment horizontal="center" vertical="center"/>
      <protection locked="0"/>
    </xf>
    <xf numFmtId="0" fontId="35" fillId="4" borderId="79" xfId="3" applyFont="1" applyFill="1" applyBorder="1" applyAlignment="1" applyProtection="1">
      <alignment horizontal="center" vertical="center" textRotation="180"/>
      <protection locked="0"/>
    </xf>
    <xf numFmtId="0" fontId="35" fillId="4" borderId="80" xfId="3" applyFont="1" applyFill="1" applyBorder="1" applyAlignment="1" applyProtection="1">
      <alignment horizontal="center" vertical="center" textRotation="180"/>
      <protection locked="0"/>
    </xf>
    <xf numFmtId="0" fontId="35" fillId="4" borderId="0" xfId="3" applyFont="1" applyFill="1" applyAlignment="1" applyProtection="1">
      <alignment horizontal="center" vertical="center" textRotation="180"/>
      <protection locked="0"/>
    </xf>
    <xf numFmtId="0" fontId="35" fillId="4" borderId="91" xfId="3" applyFont="1" applyFill="1" applyBorder="1" applyAlignment="1" applyProtection="1">
      <alignment horizontal="center" vertical="center" textRotation="180"/>
      <protection locked="0"/>
    </xf>
    <xf numFmtId="0" fontId="35" fillId="4" borderId="71" xfId="3" applyFont="1" applyFill="1" applyBorder="1" applyAlignment="1" applyProtection="1">
      <alignment horizontal="center" vertical="center"/>
      <protection locked="0"/>
    </xf>
    <xf numFmtId="0" fontId="35" fillId="4" borderId="95" xfId="3" applyFont="1" applyFill="1" applyBorder="1" applyAlignment="1" applyProtection="1">
      <alignment horizontal="center" vertical="center"/>
      <protection locked="0"/>
    </xf>
    <xf numFmtId="0" fontId="35" fillId="4" borderId="143" xfId="3" applyFont="1" applyFill="1" applyBorder="1" applyAlignment="1" applyProtection="1">
      <alignment horizontal="center" vertical="center" textRotation="180"/>
      <protection locked="0"/>
    </xf>
    <xf numFmtId="0" fontId="35" fillId="4" borderId="163" xfId="3" applyFont="1" applyFill="1" applyBorder="1" applyAlignment="1" applyProtection="1">
      <alignment horizontal="center" vertical="center" textRotation="180"/>
      <protection locked="0"/>
    </xf>
    <xf numFmtId="0" fontId="37" fillId="0" borderId="0" xfId="3" applyFont="1" applyAlignment="1" applyProtection="1">
      <alignment horizontal="right" vertical="center" wrapText="1"/>
      <protection locked="0"/>
    </xf>
    <xf numFmtId="0" fontId="35" fillId="4" borderId="74" xfId="3" applyFont="1" applyFill="1" applyBorder="1" applyAlignment="1" applyProtection="1">
      <alignment horizontal="center" vertical="center" textRotation="180"/>
      <protection locked="0"/>
    </xf>
    <xf numFmtId="0" fontId="35" fillId="4" borderId="100" xfId="3" applyFont="1" applyFill="1" applyBorder="1" applyAlignment="1" applyProtection="1">
      <alignment horizontal="center" vertical="center" textRotation="180"/>
      <protection locked="0"/>
    </xf>
    <xf numFmtId="0" fontId="35" fillId="4" borderId="75" xfId="3" applyFont="1" applyFill="1" applyBorder="1" applyAlignment="1" applyProtection="1">
      <alignment horizontal="center" vertical="center" textRotation="180"/>
      <protection locked="0"/>
    </xf>
    <xf numFmtId="0" fontId="35" fillId="4" borderId="123" xfId="3" applyFont="1" applyFill="1" applyBorder="1" applyAlignment="1" applyProtection="1">
      <alignment horizontal="center" vertical="center" textRotation="180"/>
      <protection locked="0"/>
    </xf>
    <xf numFmtId="0" fontId="35" fillId="4" borderId="112" xfId="3" applyFont="1" applyFill="1" applyBorder="1" applyAlignment="1" applyProtection="1">
      <alignment horizontal="center" vertical="center" textRotation="180"/>
      <protection locked="0"/>
    </xf>
    <xf numFmtId="0" fontId="35" fillId="4" borderId="170" xfId="3" applyFont="1" applyFill="1" applyBorder="1" applyAlignment="1" applyProtection="1">
      <alignment horizontal="center" vertical="center" textRotation="180"/>
      <protection locked="0"/>
    </xf>
    <xf numFmtId="0" fontId="35" fillId="4" borderId="153" xfId="3" applyFont="1" applyFill="1" applyBorder="1" applyAlignment="1" applyProtection="1">
      <alignment horizontal="center" vertical="center" textRotation="180"/>
      <protection locked="0"/>
    </xf>
    <xf numFmtId="0" fontId="35" fillId="4" borderId="94" xfId="3" applyFont="1" applyFill="1" applyBorder="1" applyAlignment="1" applyProtection="1">
      <alignment horizontal="center" vertical="center" textRotation="180"/>
      <protection locked="0"/>
    </xf>
    <xf numFmtId="0" fontId="35" fillId="4" borderId="97" xfId="3" applyFont="1" applyFill="1" applyBorder="1" applyAlignment="1" applyProtection="1">
      <alignment horizontal="center" vertical="center" wrapText="1"/>
      <protection locked="0"/>
    </xf>
    <xf numFmtId="0" fontId="35" fillId="4" borderId="8" xfId="3" applyFont="1" applyFill="1" applyBorder="1" applyAlignment="1" applyProtection="1">
      <alignment horizontal="center" vertical="center" wrapText="1"/>
      <protection locked="0"/>
    </xf>
    <xf numFmtId="0" fontId="35" fillId="4" borderId="95" xfId="3" applyFont="1" applyFill="1" applyBorder="1" applyAlignment="1" applyProtection="1">
      <alignment horizontal="center" vertical="center" wrapText="1"/>
      <protection locked="0"/>
    </xf>
    <xf numFmtId="0" fontId="35" fillId="4" borderId="137" xfId="3" applyFont="1" applyFill="1" applyBorder="1" applyAlignment="1" applyProtection="1">
      <alignment horizontal="center" vertical="center"/>
      <protection locked="0"/>
    </xf>
    <xf numFmtId="0" fontId="36" fillId="11" borderId="76" xfId="3" applyFont="1" applyFill="1" applyBorder="1" applyAlignment="1">
      <alignment horizontal="center" vertical="center" wrapText="1"/>
    </xf>
    <xf numFmtId="0" fontId="36" fillId="11" borderId="77" xfId="3" applyFont="1" applyFill="1" applyBorder="1" applyAlignment="1">
      <alignment horizontal="center" vertical="center" wrapText="1"/>
    </xf>
    <xf numFmtId="0" fontId="35" fillId="4" borderId="97" xfId="3" applyFont="1" applyFill="1" applyBorder="1" applyAlignment="1">
      <alignment horizontal="center" vertical="center"/>
    </xf>
    <xf numFmtId="0" fontId="35" fillId="4" borderId="8" xfId="3" applyFont="1" applyFill="1" applyBorder="1" applyAlignment="1">
      <alignment horizontal="center" vertical="center"/>
    </xf>
    <xf numFmtId="0" fontId="35" fillId="4" borderId="14" xfId="3" applyFont="1" applyFill="1" applyBorder="1" applyAlignment="1">
      <alignment horizontal="center" vertical="center"/>
    </xf>
    <xf numFmtId="0" fontId="35" fillId="4" borderId="95" xfId="3" applyFont="1" applyFill="1" applyBorder="1" applyAlignment="1">
      <alignment horizontal="center" vertical="center"/>
    </xf>
    <xf numFmtId="0" fontId="35" fillId="4" borderId="74" xfId="3" applyFont="1" applyFill="1" applyBorder="1" applyAlignment="1">
      <alignment horizontal="center" vertical="center" textRotation="180"/>
    </xf>
    <xf numFmtId="0" fontId="35" fillId="4" borderId="100" xfId="3" applyFont="1" applyFill="1" applyBorder="1" applyAlignment="1">
      <alignment horizontal="center" vertical="center" textRotation="180"/>
    </xf>
    <xf numFmtId="0" fontId="35" fillId="4" borderId="75" xfId="3" applyFont="1" applyFill="1" applyBorder="1" applyAlignment="1">
      <alignment horizontal="center" vertical="center" textRotation="180"/>
    </xf>
    <xf numFmtId="0" fontId="35" fillId="4" borderId="79" xfId="3" applyFont="1" applyFill="1" applyBorder="1" applyAlignment="1">
      <alignment horizontal="center" vertical="center" textRotation="180"/>
    </xf>
    <xf numFmtId="0" fontId="35" fillId="4" borderId="80" xfId="3" applyFont="1" applyFill="1" applyBorder="1" applyAlignment="1">
      <alignment horizontal="center" vertical="center" textRotation="180"/>
    </xf>
    <xf numFmtId="0" fontId="35" fillId="4" borderId="0" xfId="3" applyFont="1" applyFill="1" applyAlignment="1">
      <alignment horizontal="center" vertical="center" textRotation="180"/>
    </xf>
    <xf numFmtId="0" fontId="35" fillId="4" borderId="91" xfId="3" applyFont="1" applyFill="1" applyBorder="1" applyAlignment="1">
      <alignment horizontal="center" vertical="center" textRotation="180"/>
    </xf>
    <xf numFmtId="0" fontId="35" fillId="4" borderId="71" xfId="3" applyFont="1" applyFill="1" applyBorder="1" applyAlignment="1">
      <alignment horizontal="center" vertical="center"/>
    </xf>
    <xf numFmtId="0" fontId="35" fillId="4" borderId="143" xfId="3" applyFont="1" applyFill="1" applyBorder="1" applyAlignment="1">
      <alignment horizontal="center" vertical="center" textRotation="180"/>
    </xf>
    <xf numFmtId="0" fontId="35" fillId="4" borderId="163" xfId="3" applyFont="1" applyFill="1" applyBorder="1" applyAlignment="1">
      <alignment horizontal="center" vertical="center" textRotation="180"/>
    </xf>
    <xf numFmtId="0" fontId="35" fillId="4" borderId="137" xfId="3" applyFont="1" applyFill="1" applyBorder="1" applyAlignment="1">
      <alignment horizontal="center" vertical="center"/>
    </xf>
    <xf numFmtId="0" fontId="35" fillId="4" borderId="123" xfId="3" applyFont="1" applyFill="1" applyBorder="1" applyAlignment="1">
      <alignment horizontal="center" vertical="center" textRotation="180"/>
    </xf>
    <xf numFmtId="0" fontId="35" fillId="4" borderId="112" xfId="3" applyFont="1" applyFill="1" applyBorder="1" applyAlignment="1">
      <alignment horizontal="center" vertical="center" textRotation="180"/>
    </xf>
    <xf numFmtId="0" fontId="35" fillId="4" borderId="170" xfId="3" applyFont="1" applyFill="1" applyBorder="1" applyAlignment="1">
      <alignment horizontal="center" vertical="center" textRotation="180"/>
    </xf>
    <xf numFmtId="0" fontId="35" fillId="4" borderId="153" xfId="3" applyFont="1" applyFill="1" applyBorder="1" applyAlignment="1">
      <alignment horizontal="center" vertical="center" textRotation="180"/>
    </xf>
    <xf numFmtId="0" fontId="35" fillId="0" borderId="137" xfId="3" applyFont="1" applyBorder="1" applyAlignment="1" applyProtection="1">
      <alignment horizontal="center" vertical="center"/>
      <protection locked="0"/>
    </xf>
    <xf numFmtId="0" fontId="35" fillId="0" borderId="8" xfId="3" applyFont="1" applyBorder="1" applyAlignment="1" applyProtection="1">
      <alignment horizontal="center" vertical="center"/>
      <protection locked="0"/>
    </xf>
    <xf numFmtId="0" fontId="35" fillId="4" borderId="94" xfId="3" applyFont="1" applyFill="1" applyBorder="1" applyAlignment="1">
      <alignment horizontal="center" vertical="center" textRotation="180"/>
    </xf>
    <xf numFmtId="0" fontId="35" fillId="4" borderId="97" xfId="3" applyFont="1" applyFill="1" applyBorder="1" applyAlignment="1">
      <alignment horizontal="center" vertical="center" wrapText="1"/>
    </xf>
    <xf numFmtId="0" fontId="35" fillId="4" borderId="8" xfId="3" applyFont="1" applyFill="1" applyBorder="1" applyAlignment="1">
      <alignment horizontal="center" vertical="center" wrapText="1"/>
    </xf>
    <xf numFmtId="0" fontId="35" fillId="4" borderId="95" xfId="3" applyFont="1" applyFill="1" applyBorder="1" applyAlignment="1">
      <alignment horizontal="center" vertical="center" wrapText="1"/>
    </xf>
    <xf numFmtId="0" fontId="9" fillId="11" borderId="70" xfId="2" applyFont="1" applyFill="1" applyBorder="1" applyAlignment="1">
      <alignment horizontal="center" vertical="center" wrapText="1"/>
    </xf>
    <xf numFmtId="0" fontId="9" fillId="11" borderId="7" xfId="2" applyFont="1" applyFill="1" applyBorder="1" applyAlignment="1">
      <alignment horizontal="center" vertical="center" wrapText="1"/>
    </xf>
    <xf numFmtId="0" fontId="9" fillId="11" borderId="88" xfId="2" applyFont="1" applyFill="1" applyBorder="1" applyAlignment="1">
      <alignment horizontal="center" vertical="center" wrapText="1"/>
    </xf>
    <xf numFmtId="0" fontId="9" fillId="11" borderId="131" xfId="2" applyFont="1" applyFill="1" applyBorder="1" applyAlignment="1">
      <alignment horizontal="center" vertical="center" wrapText="1"/>
    </xf>
    <xf numFmtId="0" fontId="9" fillId="11" borderId="134" xfId="2" applyFont="1" applyFill="1" applyBorder="1" applyAlignment="1">
      <alignment horizontal="center" vertical="center" wrapText="1"/>
    </xf>
    <xf numFmtId="0" fontId="9" fillId="11" borderId="173" xfId="2" applyFont="1" applyFill="1" applyBorder="1" applyAlignment="1">
      <alignment horizontal="center" vertical="center" wrapText="1"/>
    </xf>
    <xf numFmtId="0" fontId="3" fillId="0" borderId="0" xfId="2" applyFont="1" applyAlignment="1" applyProtection="1">
      <alignment horizontal="right"/>
      <protection locked="0"/>
    </xf>
    <xf numFmtId="0" fontId="27" fillId="0" borderId="0" xfId="2" applyFont="1" applyAlignment="1">
      <alignment horizontal="center"/>
    </xf>
    <xf numFmtId="0" fontId="9" fillId="0" borderId="0" xfId="2" applyFont="1" applyAlignment="1">
      <alignment horizontal="right" vertical="center" wrapText="1"/>
    </xf>
    <xf numFmtId="0" fontId="10" fillId="0" borderId="1" xfId="2" applyFont="1" applyBorder="1" applyAlignment="1">
      <alignment horizontal="center"/>
    </xf>
    <xf numFmtId="0" fontId="8" fillId="11" borderId="96" xfId="2" applyFont="1" applyFill="1" applyBorder="1" applyAlignment="1">
      <alignment horizontal="center" vertical="center"/>
    </xf>
    <xf numFmtId="0" fontId="8" fillId="11" borderId="97" xfId="2" applyFont="1" applyFill="1" applyBorder="1" applyAlignment="1">
      <alignment horizontal="center" vertical="center"/>
    </xf>
    <xf numFmtId="0" fontId="8" fillId="11" borderId="98" xfId="2" applyFont="1" applyFill="1" applyBorder="1" applyAlignment="1">
      <alignment horizontal="center" vertical="center"/>
    </xf>
    <xf numFmtId="0" fontId="9" fillId="11" borderId="84" xfId="2" applyFont="1" applyFill="1" applyBorder="1" applyAlignment="1">
      <alignment horizontal="center" vertical="center" wrapText="1"/>
    </xf>
    <xf numFmtId="0" fontId="9" fillId="11" borderId="57" xfId="2" applyFont="1" applyFill="1" applyBorder="1" applyAlignment="1">
      <alignment horizontal="center" vertical="center" wrapText="1"/>
    </xf>
    <xf numFmtId="0" fontId="9" fillId="11" borderId="63" xfId="2" applyFont="1" applyFill="1" applyBorder="1" applyAlignment="1">
      <alignment horizontal="center" vertical="center" wrapText="1"/>
    </xf>
    <xf numFmtId="0" fontId="56" fillId="0" borderId="0" xfId="1" applyFont="1" applyAlignment="1">
      <alignment horizontal="center" vertical="center" wrapText="1" readingOrder="2"/>
    </xf>
    <xf numFmtId="0" fontId="8" fillId="0" borderId="0" xfId="1" applyFont="1" applyAlignment="1">
      <alignment horizontal="center" vertical="center" wrapText="1" readingOrder="2"/>
    </xf>
    <xf numFmtId="0" fontId="8" fillId="15" borderId="123" xfId="1" applyFont="1" applyFill="1" applyBorder="1" applyAlignment="1">
      <alignment horizontal="center" vertical="center" wrapText="1" readingOrder="2"/>
    </xf>
    <xf numFmtId="0" fontId="8" fillId="15" borderId="170" xfId="1" applyFont="1" applyFill="1" applyBorder="1" applyAlignment="1">
      <alignment horizontal="center" vertical="center" wrapText="1" readingOrder="2"/>
    </xf>
    <xf numFmtId="0" fontId="8" fillId="15" borderId="153" xfId="1" applyFont="1" applyFill="1" applyBorder="1" applyAlignment="1">
      <alignment horizontal="center" vertical="center" wrapText="1" readingOrder="2"/>
    </xf>
    <xf numFmtId="0" fontId="8" fillId="15" borderId="220" xfId="1" applyFont="1" applyFill="1" applyBorder="1" applyAlignment="1">
      <alignment horizontal="center" vertical="center" wrapText="1" readingOrder="2"/>
    </xf>
    <xf numFmtId="0" fontId="8" fillId="15" borderId="100" xfId="1" applyFont="1" applyFill="1" applyBorder="1" applyAlignment="1">
      <alignment horizontal="center" vertical="center" wrapText="1" readingOrder="2"/>
    </xf>
    <xf numFmtId="0" fontId="8" fillId="15" borderId="139" xfId="1" applyFont="1" applyFill="1" applyBorder="1" applyAlignment="1">
      <alignment horizontal="center" vertical="center" wrapText="1" readingOrder="2"/>
    </xf>
    <xf numFmtId="0" fontId="8" fillId="15" borderId="142" xfId="1" applyFont="1" applyFill="1" applyBorder="1" applyAlignment="1">
      <alignment horizontal="center" vertical="center" wrapText="1" readingOrder="2"/>
    </xf>
    <xf numFmtId="0" fontId="8" fillId="15" borderId="143" xfId="1" applyFont="1" applyFill="1" applyBorder="1" applyAlignment="1">
      <alignment horizontal="center" vertical="center" wrapText="1" readingOrder="2"/>
    </xf>
    <xf numFmtId="0" fontId="8" fillId="15" borderId="146" xfId="1" applyFont="1" applyFill="1" applyBorder="1" applyAlignment="1">
      <alignment horizontal="center" vertical="center" wrapText="1" readingOrder="2"/>
    </xf>
    <xf numFmtId="0" fontId="8" fillId="15" borderId="261" xfId="1" applyFont="1" applyFill="1" applyBorder="1" applyAlignment="1">
      <alignment horizontal="center" vertical="center" wrapText="1" readingOrder="2"/>
    </xf>
    <xf numFmtId="0" fontId="3" fillId="0" borderId="130" xfId="1" applyFont="1" applyBorder="1" applyAlignment="1" applyProtection="1">
      <alignment horizontal="center" vertical="center" readingOrder="2"/>
      <protection locked="0"/>
    </xf>
    <xf numFmtId="0" fontId="8" fillId="15" borderId="21" xfId="1" applyFont="1" applyFill="1" applyBorder="1" applyAlignment="1">
      <alignment horizontal="center" vertical="center" wrapText="1" readingOrder="2"/>
    </xf>
    <xf numFmtId="0" fontId="8" fillId="15" borderId="98" xfId="1" applyFont="1" applyFill="1" applyBorder="1" applyAlignment="1">
      <alignment horizontal="center" vertical="center" wrapText="1" readingOrder="2"/>
    </xf>
    <xf numFmtId="0" fontId="8" fillId="15" borderId="48" xfId="1" applyFont="1" applyFill="1" applyBorder="1" applyAlignment="1">
      <alignment horizontal="center" vertical="center" wrapText="1" readingOrder="2"/>
    </xf>
    <xf numFmtId="0" fontId="8" fillId="15" borderId="10" xfId="1" applyFont="1" applyFill="1" applyBorder="1" applyAlignment="1">
      <alignment horizontal="center" vertical="center" wrapText="1" readingOrder="2"/>
    </xf>
    <xf numFmtId="0" fontId="8" fillId="15" borderId="11" xfId="1" applyFont="1" applyFill="1" applyBorder="1" applyAlignment="1">
      <alignment horizontal="center" vertical="center" wrapText="1" readingOrder="2"/>
    </xf>
    <xf numFmtId="0" fontId="8" fillId="15" borderId="147" xfId="1" applyFont="1" applyFill="1" applyBorder="1" applyAlignment="1">
      <alignment horizontal="center" vertical="center" wrapText="1" readingOrder="2"/>
    </xf>
    <xf numFmtId="0" fontId="8" fillId="15" borderId="20" xfId="1" applyFont="1" applyFill="1" applyBorder="1" applyAlignment="1">
      <alignment horizontal="center" vertical="center" wrapText="1" readingOrder="2"/>
    </xf>
    <xf numFmtId="0" fontId="8" fillId="15" borderId="337" xfId="1" applyFont="1" applyFill="1" applyBorder="1" applyAlignment="1">
      <alignment horizontal="center" vertical="center" wrapText="1" readingOrder="2"/>
    </xf>
    <xf numFmtId="0" fontId="8" fillId="11" borderId="88" xfId="1" applyFont="1" applyFill="1" applyBorder="1" applyAlignment="1">
      <alignment horizontal="center" vertical="center" wrapText="1" readingOrder="2"/>
    </xf>
    <xf numFmtId="0" fontId="8" fillId="11" borderId="134" xfId="1" applyFont="1" applyFill="1" applyBorder="1" applyAlignment="1">
      <alignment horizontal="center" vertical="center" wrapText="1" readingOrder="2"/>
    </xf>
    <xf numFmtId="0" fontId="8" fillId="11" borderId="76" xfId="1" applyFont="1" applyFill="1" applyBorder="1" applyAlignment="1">
      <alignment horizontal="center" vertical="center"/>
    </xf>
    <xf numFmtId="0" fontId="8" fillId="11" borderId="64" xfId="1" applyFont="1" applyFill="1" applyBorder="1" applyAlignment="1">
      <alignment horizontal="center" vertical="center"/>
    </xf>
    <xf numFmtId="0" fontId="8" fillId="11" borderId="78" xfId="1" applyFont="1" applyFill="1" applyBorder="1" applyAlignment="1">
      <alignment horizontal="center" vertical="center"/>
    </xf>
    <xf numFmtId="0" fontId="8" fillId="11" borderId="93" xfId="1" applyFont="1" applyFill="1" applyBorder="1" applyAlignment="1">
      <alignment horizontal="center" vertical="center" wrapText="1" readingOrder="2"/>
    </xf>
    <xf numFmtId="0" fontId="8" fillId="11" borderId="61" xfId="1" applyFont="1" applyFill="1" applyBorder="1" applyAlignment="1">
      <alignment horizontal="center" vertical="center" wrapText="1" readingOrder="2"/>
    </xf>
    <xf numFmtId="0" fontId="8" fillId="11" borderId="62" xfId="1" applyFont="1" applyFill="1" applyBorder="1" applyAlignment="1">
      <alignment horizontal="center" vertical="center" wrapText="1" readingOrder="2"/>
    </xf>
    <xf numFmtId="0" fontId="8" fillId="4" borderId="35" xfId="1" applyFont="1" applyFill="1" applyBorder="1" applyAlignment="1">
      <alignment horizontal="center" vertical="center" wrapText="1" readingOrder="2"/>
    </xf>
    <xf numFmtId="0" fontId="8" fillId="4" borderId="87" xfId="1" applyFont="1" applyFill="1" applyBorder="1" applyAlignment="1">
      <alignment horizontal="center" vertical="center" wrapText="1" readingOrder="2"/>
    </xf>
    <xf numFmtId="0" fontId="8" fillId="11" borderId="9" xfId="1" applyFont="1" applyFill="1" applyBorder="1" applyAlignment="1">
      <alignment horizontal="center" vertical="center" wrapText="1" readingOrder="2"/>
    </xf>
    <xf numFmtId="0" fontId="8" fillId="11" borderId="89" xfId="1" applyFont="1" applyFill="1" applyBorder="1" applyAlignment="1">
      <alignment horizontal="center" vertical="center" wrapText="1" readingOrder="2"/>
    </xf>
    <xf numFmtId="0" fontId="8" fillId="11" borderId="97" xfId="1" applyFont="1" applyFill="1" applyBorder="1" applyAlignment="1">
      <alignment horizontal="center" vertical="center" wrapText="1" readingOrder="2"/>
    </xf>
    <xf numFmtId="0" fontId="8" fillId="11" borderId="98" xfId="1" applyFont="1" applyFill="1" applyBorder="1" applyAlignment="1">
      <alignment horizontal="center" vertical="center" wrapText="1" readingOrder="2"/>
    </xf>
    <xf numFmtId="0" fontId="8" fillId="11" borderId="96" xfId="1" applyFont="1" applyFill="1" applyBorder="1" applyAlignment="1">
      <alignment horizontal="center" vertical="center" wrapText="1" readingOrder="2"/>
    </xf>
    <xf numFmtId="0" fontId="8" fillId="4" borderId="34" xfId="1" applyFont="1" applyFill="1" applyBorder="1" applyAlignment="1">
      <alignment horizontal="center" vertical="center" wrapText="1" readingOrder="2"/>
    </xf>
    <xf numFmtId="0" fontId="8" fillId="11" borderId="137" xfId="1" applyFont="1" applyFill="1" applyBorder="1" applyAlignment="1">
      <alignment horizontal="center" vertical="center" wrapText="1" readingOrder="2"/>
    </xf>
    <xf numFmtId="0" fontId="23" fillId="11" borderId="71" xfId="0" applyFont="1" applyFill="1" applyBorder="1" applyAlignment="1">
      <alignment horizontal="center" vertical="center" wrapText="1"/>
    </xf>
    <xf numFmtId="0" fontId="23" fillId="11" borderId="95" xfId="0" applyFont="1" applyFill="1" applyBorder="1" applyAlignment="1">
      <alignment horizontal="center" vertical="center" wrapText="1"/>
    </xf>
    <xf numFmtId="0" fontId="23" fillId="11" borderId="70" xfId="0" applyFont="1" applyFill="1" applyBorder="1" applyAlignment="1">
      <alignment horizontal="center" vertical="center"/>
    </xf>
    <xf numFmtId="0" fontId="23" fillId="11" borderId="88" xfId="0" applyFont="1" applyFill="1" applyBorder="1" applyAlignment="1">
      <alignment horizontal="center" vertical="center"/>
    </xf>
    <xf numFmtId="0" fontId="23" fillId="11" borderId="138" xfId="0" applyFont="1" applyFill="1" applyBorder="1" applyAlignment="1">
      <alignment horizontal="center" vertical="center"/>
    </xf>
    <xf numFmtId="0" fontId="23" fillId="11" borderId="57" xfId="0" applyFont="1" applyFill="1" applyBorder="1" applyAlignment="1">
      <alignment horizontal="center" vertical="center"/>
    </xf>
    <xf numFmtId="0" fontId="23" fillId="11" borderId="201" xfId="0" applyFont="1" applyFill="1" applyBorder="1" applyAlignment="1">
      <alignment horizontal="center" vertical="center"/>
    </xf>
    <xf numFmtId="0" fontId="8" fillId="4" borderId="10" xfId="1" applyFont="1" applyFill="1" applyBorder="1" applyAlignment="1">
      <alignment horizontal="center" vertical="center"/>
    </xf>
    <xf numFmtId="0" fontId="8" fillId="4" borderId="2" xfId="1" applyFont="1" applyFill="1" applyBorder="1" applyAlignment="1">
      <alignment horizontal="center" vertical="center"/>
    </xf>
    <xf numFmtId="0" fontId="35" fillId="11" borderId="71" xfId="1" applyFont="1" applyFill="1" applyBorder="1" applyAlignment="1">
      <alignment horizontal="center" vertical="center" wrapText="1"/>
    </xf>
    <xf numFmtId="0" fontId="35" fillId="11" borderId="14" xfId="1" applyFont="1" applyFill="1" applyBorder="1" applyAlignment="1">
      <alignment horizontal="center" vertical="center" wrapText="1"/>
    </xf>
    <xf numFmtId="0" fontId="8" fillId="11" borderId="86" xfId="1" applyFont="1" applyFill="1" applyBorder="1" applyAlignment="1">
      <alignment horizontal="center" vertical="center"/>
    </xf>
    <xf numFmtId="0" fontId="8" fillId="11" borderId="10" xfId="1" applyFont="1" applyFill="1" applyBorder="1" applyAlignment="1">
      <alignment horizontal="center" vertical="center"/>
    </xf>
    <xf numFmtId="0" fontId="8" fillId="11" borderId="85" xfId="1" applyFont="1" applyFill="1" applyBorder="1" applyAlignment="1">
      <alignment horizontal="center" vertical="center" wrapText="1" readingOrder="2"/>
    </xf>
    <xf numFmtId="0" fontId="8" fillId="11" borderId="2" xfId="1" applyFont="1" applyFill="1" applyBorder="1" applyAlignment="1">
      <alignment horizontal="center" vertical="center" wrapText="1" readingOrder="2"/>
    </xf>
    <xf numFmtId="0" fontId="23" fillId="11" borderId="83" xfId="1" applyFont="1" applyFill="1" applyBorder="1" applyAlignment="1">
      <alignment horizontal="center" vertical="center" wrapText="1"/>
    </xf>
    <xf numFmtId="0" fontId="23" fillId="11" borderId="11" xfId="1" applyFont="1" applyFill="1" applyBorder="1" applyAlignment="1">
      <alignment horizontal="center" vertical="center" wrapText="1"/>
    </xf>
    <xf numFmtId="0" fontId="36" fillId="0" borderId="0" xfId="0" applyFont="1" applyAlignment="1">
      <alignment horizontal="center"/>
    </xf>
    <xf numFmtId="0" fontId="35" fillId="11" borderId="84" xfId="0" applyFont="1" applyFill="1" applyBorder="1" applyAlignment="1">
      <alignment horizontal="center" vertical="center" readingOrder="2"/>
    </xf>
    <xf numFmtId="0" fontId="35" fillId="11" borderId="57" xfId="0" applyFont="1" applyFill="1" applyBorder="1" applyAlignment="1">
      <alignment horizontal="center" vertical="center" readingOrder="2"/>
    </xf>
    <xf numFmtId="0" fontId="35" fillId="11" borderId="63" xfId="0" applyFont="1" applyFill="1" applyBorder="1" applyAlignment="1">
      <alignment horizontal="center" vertical="center" readingOrder="2"/>
    </xf>
    <xf numFmtId="0" fontId="35" fillId="11" borderId="86" xfId="0" applyFont="1" applyFill="1" applyBorder="1" applyAlignment="1">
      <alignment horizontal="center" vertical="center" wrapText="1" readingOrder="2"/>
    </xf>
    <xf numFmtId="0" fontId="35" fillId="11" borderId="57" xfId="0" applyFont="1" applyFill="1" applyBorder="1" applyAlignment="1">
      <alignment horizontal="center" vertical="center" wrapText="1" readingOrder="2"/>
    </xf>
    <xf numFmtId="0" fontId="35" fillId="11" borderId="83" xfId="0" applyFont="1" applyFill="1" applyBorder="1" applyAlignment="1">
      <alignment horizontal="center" vertical="center" wrapText="1" readingOrder="2"/>
    </xf>
    <xf numFmtId="164" fontId="35" fillId="11" borderId="84" xfId="6" applyFont="1" applyFill="1" applyBorder="1" applyAlignment="1" applyProtection="1">
      <alignment horizontal="center" vertical="center" wrapText="1" readingOrder="2"/>
    </xf>
    <xf numFmtId="164" fontId="35" fillId="11" borderId="151" xfId="6" applyFont="1" applyFill="1" applyBorder="1" applyAlignment="1" applyProtection="1">
      <alignment horizontal="center" vertical="center" wrapText="1" readingOrder="2"/>
    </xf>
    <xf numFmtId="164" fontId="35" fillId="11" borderId="138" xfId="6" applyFont="1" applyFill="1" applyBorder="1" applyAlignment="1" applyProtection="1">
      <alignment horizontal="center" vertical="center" readingOrder="2"/>
    </xf>
    <xf numFmtId="164" fontId="35" fillId="11" borderId="144" xfId="6" applyFont="1" applyFill="1" applyBorder="1" applyAlignment="1" applyProtection="1">
      <alignment horizontal="center" vertical="center" readingOrder="2"/>
    </xf>
    <xf numFmtId="0" fontId="35" fillId="11" borderId="74" xfId="0" applyFont="1" applyFill="1" applyBorder="1" applyAlignment="1">
      <alignment horizontal="center" vertical="center" wrapText="1" readingOrder="2"/>
    </xf>
    <xf numFmtId="0" fontId="35" fillId="11" borderId="75" xfId="0" applyFont="1" applyFill="1" applyBorder="1" applyAlignment="1">
      <alignment horizontal="center" vertical="center" wrapText="1" readingOrder="2"/>
    </xf>
    <xf numFmtId="0" fontId="49" fillId="11" borderId="84" xfId="0" applyFont="1" applyFill="1" applyBorder="1" applyAlignment="1">
      <alignment horizontal="center" vertical="center" readingOrder="2"/>
    </xf>
    <xf numFmtId="0" fontId="49" fillId="11" borderId="57" xfId="0" applyFont="1" applyFill="1" applyBorder="1" applyAlignment="1">
      <alignment horizontal="center" vertical="center" readingOrder="2"/>
    </xf>
    <xf numFmtId="0" fontId="49" fillId="11" borderId="63" xfId="0" applyFont="1" applyFill="1" applyBorder="1" applyAlignment="1">
      <alignment horizontal="center" vertical="center" readingOrder="2"/>
    </xf>
    <xf numFmtId="164" fontId="35" fillId="11" borderId="74" xfId="6" applyFont="1" applyFill="1" applyBorder="1" applyAlignment="1" applyProtection="1">
      <alignment horizontal="center" vertical="center" wrapText="1" readingOrder="2"/>
    </xf>
    <xf numFmtId="164" fontId="35" fillId="11" borderId="75" xfId="6" applyFont="1" applyFill="1" applyBorder="1" applyAlignment="1" applyProtection="1">
      <alignment horizontal="center" vertical="center" wrapText="1" readingOrder="2"/>
    </xf>
    <xf numFmtId="0" fontId="35" fillId="11" borderId="76" xfId="0" applyFont="1" applyFill="1" applyBorder="1" applyAlignment="1">
      <alignment horizontal="center" vertical="center" wrapText="1" readingOrder="2"/>
    </xf>
    <xf numFmtId="0" fontId="35" fillId="11" borderId="64" xfId="0" applyFont="1" applyFill="1" applyBorder="1" applyAlignment="1">
      <alignment horizontal="center" vertical="center" wrapText="1" readingOrder="2"/>
    </xf>
    <xf numFmtId="0" fontId="35" fillId="11" borderId="78" xfId="0" applyFont="1" applyFill="1" applyBorder="1" applyAlignment="1">
      <alignment horizontal="center" vertical="center" wrapText="1" readingOrder="2"/>
    </xf>
    <xf numFmtId="0" fontId="35" fillId="3" borderId="43" xfId="0" applyFont="1" applyFill="1" applyBorder="1" applyAlignment="1" applyProtection="1">
      <alignment horizontal="center" vertical="center" wrapText="1" readingOrder="2"/>
      <protection locked="0"/>
    </xf>
    <xf numFmtId="0" fontId="35" fillId="3" borderId="9" xfId="0" applyFont="1" applyFill="1" applyBorder="1" applyAlignment="1" applyProtection="1">
      <alignment horizontal="center" vertical="center" wrapText="1" readingOrder="2"/>
      <protection locked="0"/>
    </xf>
    <xf numFmtId="0" fontId="35" fillId="3" borderId="115" xfId="0" applyFont="1" applyFill="1" applyBorder="1" applyAlignment="1" applyProtection="1">
      <alignment horizontal="center" vertical="center" wrapText="1" readingOrder="2"/>
      <protection locked="0"/>
    </xf>
    <xf numFmtId="0" fontId="9" fillId="11" borderId="86" xfId="1" applyFont="1" applyFill="1" applyBorder="1" applyAlignment="1" applyProtection="1">
      <alignment horizontal="center" vertical="center" readingOrder="2"/>
      <protection locked="0"/>
    </xf>
    <xf numFmtId="0" fontId="9" fillId="11" borderId="85" xfId="1" applyFont="1" applyFill="1" applyBorder="1" applyAlignment="1" applyProtection="1">
      <alignment horizontal="center" vertical="center" readingOrder="2"/>
      <protection locked="0"/>
    </xf>
    <xf numFmtId="0" fontId="9" fillId="11" borderId="83" xfId="1" applyFont="1" applyFill="1" applyBorder="1" applyAlignment="1" applyProtection="1">
      <alignment horizontal="center" vertical="center" readingOrder="2"/>
      <protection locked="0"/>
    </xf>
    <xf numFmtId="0" fontId="9" fillId="11" borderId="74" xfId="1" applyFont="1" applyFill="1" applyBorder="1" applyAlignment="1" applyProtection="1">
      <alignment horizontal="center" vertical="center" wrapText="1" readingOrder="2"/>
      <protection locked="0"/>
    </xf>
    <xf numFmtId="0" fontId="9" fillId="11" borderId="75" xfId="1" applyFont="1" applyFill="1" applyBorder="1" applyAlignment="1" applyProtection="1">
      <alignment horizontal="center" vertical="center" wrapText="1" readingOrder="2"/>
      <protection locked="0"/>
    </xf>
    <xf numFmtId="0" fontId="36" fillId="0" borderId="0" xfId="0" applyFont="1" applyAlignment="1" applyProtection="1">
      <alignment horizontal="center"/>
      <protection locked="0"/>
    </xf>
    <xf numFmtId="0" fontId="36" fillId="11" borderId="76" xfId="0" applyFont="1" applyFill="1" applyBorder="1" applyAlignment="1" applyProtection="1">
      <alignment horizontal="center" vertical="center"/>
      <protection locked="0"/>
    </xf>
    <xf numFmtId="0" fontId="36" fillId="11" borderId="3" xfId="0" applyFont="1" applyFill="1" applyBorder="1" applyAlignment="1" applyProtection="1">
      <alignment horizontal="center" vertical="center"/>
      <protection locked="0"/>
    </xf>
    <xf numFmtId="0" fontId="36" fillId="11" borderId="77" xfId="0" applyFont="1" applyFill="1" applyBorder="1" applyAlignment="1" applyProtection="1">
      <alignment horizontal="center" vertical="center"/>
      <protection locked="0"/>
    </xf>
    <xf numFmtId="0" fontId="36" fillId="11" borderId="64" xfId="0" applyFont="1" applyFill="1" applyBorder="1" applyAlignment="1" applyProtection="1">
      <alignment horizontal="center" vertical="center"/>
      <protection locked="0"/>
    </xf>
    <xf numFmtId="0" fontId="36" fillId="11" borderId="63" xfId="0" applyFont="1" applyFill="1" applyBorder="1" applyAlignment="1" applyProtection="1">
      <alignment horizontal="center" vertical="center"/>
      <protection locked="0"/>
    </xf>
    <xf numFmtId="0" fontId="35" fillId="11" borderId="84" xfId="0" applyFont="1" applyFill="1" applyBorder="1" applyAlignment="1" applyProtection="1">
      <alignment horizontal="center" vertical="center"/>
      <protection locked="0"/>
    </xf>
    <xf numFmtId="0" fontId="35" fillId="11" borderId="57" xfId="0" applyFont="1" applyFill="1" applyBorder="1" applyAlignment="1" applyProtection="1">
      <alignment horizontal="center" vertical="center"/>
      <protection locked="0"/>
    </xf>
    <xf numFmtId="0" fontId="35" fillId="11" borderId="63" xfId="0" applyFont="1" applyFill="1" applyBorder="1" applyAlignment="1" applyProtection="1">
      <alignment horizontal="center" vertical="center"/>
      <protection locked="0"/>
    </xf>
    <xf numFmtId="0" fontId="35" fillId="11" borderId="74" xfId="0" applyFont="1" applyFill="1" applyBorder="1" applyAlignment="1" applyProtection="1">
      <alignment horizontal="center" vertical="center" textRotation="90" wrapText="1"/>
      <protection locked="0"/>
    </xf>
    <xf numFmtId="0" fontId="35" fillId="11" borderId="75" xfId="0" applyFont="1" applyFill="1" applyBorder="1" applyAlignment="1" applyProtection="1">
      <alignment horizontal="center" vertical="center" textRotation="90" wrapText="1"/>
      <protection locked="0"/>
    </xf>
    <xf numFmtId="0" fontId="35" fillId="11" borderId="71" xfId="0" applyFont="1" applyFill="1" applyBorder="1" applyAlignment="1" applyProtection="1">
      <alignment horizontal="center" vertical="center" textRotation="90" readingOrder="2"/>
      <protection locked="0"/>
    </xf>
    <xf numFmtId="0" fontId="35" fillId="11" borderId="14" xfId="0" applyFont="1" applyFill="1" applyBorder="1" applyAlignment="1" applyProtection="1">
      <alignment horizontal="center" vertical="center" textRotation="90" readingOrder="2"/>
      <protection locked="0"/>
    </xf>
    <xf numFmtId="0" fontId="99" fillId="0" borderId="0" xfId="0" applyFont="1" applyAlignment="1" applyProtection="1">
      <alignment horizontal="right" vertical="center" wrapText="1" readingOrder="2"/>
      <protection locked="0"/>
    </xf>
    <xf numFmtId="0" fontId="35" fillId="11" borderId="72" xfId="0" applyFont="1" applyFill="1" applyBorder="1" applyAlignment="1" applyProtection="1">
      <alignment horizontal="center" vertical="center" textRotation="90" readingOrder="2"/>
      <protection locked="0"/>
    </xf>
    <xf numFmtId="0" fontId="35" fillId="11" borderId="48" xfId="0" applyFont="1" applyFill="1" applyBorder="1" applyAlignment="1" applyProtection="1">
      <alignment horizontal="center" vertical="center" textRotation="90" readingOrder="2"/>
      <protection locked="0"/>
    </xf>
    <xf numFmtId="0" fontId="35" fillId="11" borderId="74" xfId="0" applyFont="1" applyFill="1" applyBorder="1" applyAlignment="1" applyProtection="1">
      <alignment horizontal="center" vertical="center" wrapText="1"/>
      <protection locked="0"/>
    </xf>
    <xf numFmtId="0" fontId="35" fillId="11" borderId="75" xfId="0" applyFont="1" applyFill="1" applyBorder="1" applyAlignment="1" applyProtection="1">
      <alignment horizontal="center" vertical="center"/>
      <protection locked="0"/>
    </xf>
    <xf numFmtId="3" fontId="14" fillId="0" borderId="70" xfId="8" applyNumberFormat="1" applyFont="1" applyBorder="1" applyAlignment="1" applyProtection="1">
      <alignment horizontal="center" vertical="center" wrapText="1"/>
      <protection locked="0"/>
    </xf>
    <xf numFmtId="3" fontId="14" fillId="0" borderId="13" xfId="8" applyNumberFormat="1" applyFont="1" applyBorder="1" applyAlignment="1" applyProtection="1">
      <alignment horizontal="center" vertical="center" wrapText="1"/>
      <protection locked="0"/>
    </xf>
    <xf numFmtId="3" fontId="36" fillId="11" borderId="86" xfId="8" applyNumberFormat="1" applyFont="1" applyFill="1" applyBorder="1" applyAlignment="1" applyProtection="1">
      <alignment horizontal="center" vertical="center" wrapText="1"/>
      <protection locked="0"/>
    </xf>
    <xf numFmtId="3" fontId="36" fillId="11" borderId="10" xfId="8" applyNumberFormat="1" applyFont="1" applyFill="1" applyBorder="1" applyAlignment="1" applyProtection="1">
      <alignment horizontal="center" vertical="center" wrapText="1"/>
      <protection locked="0"/>
    </xf>
    <xf numFmtId="3" fontId="36" fillId="11" borderId="83" xfId="8" applyNumberFormat="1" applyFont="1" applyFill="1" applyBorder="1" applyAlignment="1" applyProtection="1">
      <alignment horizontal="center" vertical="center" wrapText="1"/>
      <protection locked="0"/>
    </xf>
    <xf numFmtId="3" fontId="36" fillId="11" borderId="11" xfId="8" applyNumberFormat="1" applyFont="1" applyFill="1" applyBorder="1" applyAlignment="1" applyProtection="1">
      <alignment horizontal="center" vertical="center" wrapText="1"/>
      <protection locked="0"/>
    </xf>
    <xf numFmtId="3" fontId="36" fillId="11" borderId="93" xfId="8" applyNumberFormat="1" applyFont="1" applyFill="1" applyBorder="1" applyAlignment="1" applyProtection="1">
      <alignment horizontal="center" vertical="center" wrapText="1"/>
      <protection locked="0"/>
    </xf>
    <xf numFmtId="3" fontId="36" fillId="11" borderId="61" xfId="8" applyNumberFormat="1" applyFont="1" applyFill="1" applyBorder="1" applyAlignment="1" applyProtection="1">
      <alignment horizontal="center" vertical="center" wrapText="1"/>
      <protection locked="0"/>
    </xf>
    <xf numFmtId="3" fontId="36" fillId="11" borderId="62" xfId="8" applyNumberFormat="1" applyFont="1" applyFill="1" applyBorder="1" applyAlignment="1" applyProtection="1">
      <alignment horizontal="center" vertical="center" wrapText="1"/>
      <protection locked="0"/>
    </xf>
    <xf numFmtId="3" fontId="102" fillId="0" borderId="0" xfId="8" applyNumberFormat="1" applyFont="1" applyAlignment="1" applyProtection="1">
      <alignment horizontal="right" vertical="center" wrapText="1"/>
      <protection locked="0"/>
    </xf>
    <xf numFmtId="3" fontId="36" fillId="4" borderId="84" xfId="8" applyNumberFormat="1" applyFont="1" applyFill="1" applyBorder="1" applyAlignment="1" applyProtection="1">
      <alignment horizontal="center" vertical="center" wrapText="1"/>
      <protection locked="0"/>
    </xf>
    <xf numFmtId="3" fontId="36" fillId="4" borderId="3" xfId="8" applyNumberFormat="1" applyFont="1" applyFill="1" applyBorder="1" applyAlignment="1" applyProtection="1">
      <alignment horizontal="center" vertical="center" wrapText="1"/>
      <protection locked="0"/>
    </xf>
    <xf numFmtId="3" fontId="36" fillId="4" borderId="151" xfId="8" applyNumberFormat="1" applyFont="1" applyFill="1" applyBorder="1" applyAlignment="1" applyProtection="1">
      <alignment horizontal="center" vertical="center" wrapText="1"/>
      <protection locked="0"/>
    </xf>
    <xf numFmtId="3" fontId="102" fillId="0" borderId="0" xfId="8" applyNumberFormat="1" applyFont="1" applyAlignment="1" applyProtection="1">
      <alignment horizontal="right" vertical="center" wrapText="1" readingOrder="2"/>
      <protection locked="0"/>
    </xf>
    <xf numFmtId="3" fontId="104" fillId="3" borderId="0" xfId="8" applyNumberFormat="1" applyFont="1" applyFill="1" applyAlignment="1" applyProtection="1">
      <alignment horizontal="right" vertical="top" wrapText="1"/>
      <protection locked="0"/>
    </xf>
    <xf numFmtId="3" fontId="104" fillId="3" borderId="0" xfId="8" applyNumberFormat="1" applyFont="1" applyFill="1" applyAlignment="1" applyProtection="1">
      <alignment horizontal="center" vertical="top" wrapText="1"/>
      <protection locked="0"/>
    </xf>
    <xf numFmtId="3" fontId="103" fillId="3" borderId="0" xfId="8" applyNumberFormat="1" applyFont="1" applyFill="1" applyAlignment="1" applyProtection="1">
      <alignment horizontal="center" vertical="center" wrapText="1"/>
      <protection locked="0"/>
    </xf>
    <xf numFmtId="3" fontId="100" fillId="0" borderId="0" xfId="8" applyNumberFormat="1" applyFont="1" applyAlignment="1" applyProtection="1">
      <alignment horizontal="center" vertical="center" wrapText="1"/>
      <protection locked="0"/>
    </xf>
    <xf numFmtId="177" fontId="41" fillId="3" borderId="93" xfId="7" applyNumberFormat="1" applyFont="1" applyFill="1" applyBorder="1" applyAlignment="1" applyProtection="1">
      <alignment horizontal="right" vertical="top" wrapText="1"/>
      <protection locked="0"/>
    </xf>
    <xf numFmtId="177" fontId="41" fillId="3" borderId="61" xfId="7" applyNumberFormat="1" applyFont="1" applyFill="1" applyBorder="1" applyAlignment="1" applyProtection="1">
      <alignment horizontal="right" vertical="top" wrapText="1"/>
      <protection locked="0"/>
    </xf>
    <xf numFmtId="177" fontId="41" fillId="3" borderId="62" xfId="7" applyNumberFormat="1" applyFont="1" applyFill="1" applyBorder="1" applyAlignment="1" applyProtection="1">
      <alignment horizontal="right" vertical="top" wrapText="1"/>
      <protection locked="0"/>
    </xf>
    <xf numFmtId="177" fontId="18" fillId="0" borderId="0" xfId="0" applyNumberFormat="1" applyFont="1" applyAlignment="1" applyProtection="1">
      <alignment horizontal="center" vertical="center" wrapText="1" readingOrder="2"/>
      <protection locked="0"/>
    </xf>
    <xf numFmtId="177" fontId="36" fillId="0" borderId="0" xfId="0" applyNumberFormat="1" applyFont="1" applyAlignment="1" applyProtection="1">
      <alignment horizontal="center"/>
      <protection locked="0"/>
    </xf>
    <xf numFmtId="177" fontId="147" fillId="0" borderId="0" xfId="0" applyNumberFormat="1" applyFont="1" applyAlignment="1" applyProtection="1">
      <alignment horizontal="center" vertical="center" wrapText="1" readingOrder="2"/>
      <protection locked="0"/>
    </xf>
    <xf numFmtId="177" fontId="41" fillId="3" borderId="93" xfId="7" applyNumberFormat="1" applyFont="1" applyFill="1" applyBorder="1" applyAlignment="1" applyProtection="1">
      <alignment horizontal="right" vertical="top" wrapText="1" readingOrder="2"/>
      <protection locked="0"/>
    </xf>
    <xf numFmtId="177" fontId="41" fillId="3" borderId="61" xfId="7" applyNumberFormat="1" applyFont="1" applyFill="1" applyBorder="1" applyAlignment="1" applyProtection="1">
      <alignment horizontal="right" vertical="top" wrapText="1" readingOrder="2"/>
      <protection locked="0"/>
    </xf>
    <xf numFmtId="177" fontId="41" fillId="3" borderId="62" xfId="7" applyNumberFormat="1" applyFont="1" applyFill="1" applyBorder="1" applyAlignment="1" applyProtection="1">
      <alignment horizontal="right" vertical="top" wrapText="1" readingOrder="2"/>
      <protection locked="0"/>
    </xf>
    <xf numFmtId="166" fontId="35" fillId="4" borderId="10" xfId="0" applyNumberFormat="1" applyFont="1" applyFill="1" applyBorder="1" applyAlignment="1">
      <alignment horizontal="center" vertical="center" wrapText="1"/>
    </xf>
    <xf numFmtId="166" fontId="35" fillId="4" borderId="144" xfId="0" applyNumberFormat="1" applyFont="1" applyFill="1" applyBorder="1" applyAlignment="1">
      <alignment horizontal="center" vertical="center" wrapText="1"/>
    </xf>
    <xf numFmtId="0" fontId="35" fillId="11" borderId="139" xfId="0" applyFont="1" applyFill="1" applyBorder="1" applyAlignment="1">
      <alignment horizontal="center" vertical="center"/>
    </xf>
    <xf numFmtId="0" fontId="35" fillId="11" borderId="140" xfId="0" applyFont="1" applyFill="1" applyBorder="1" applyAlignment="1">
      <alignment horizontal="center" vertical="center"/>
    </xf>
    <xf numFmtId="0" fontId="35" fillId="11" borderId="70" xfId="0" applyFont="1" applyFill="1" applyBorder="1" applyAlignment="1">
      <alignment horizontal="center" vertical="center" wrapText="1"/>
    </xf>
    <xf numFmtId="0" fontId="35" fillId="11" borderId="7" xfId="0" applyFont="1" applyFill="1" applyBorder="1" applyAlignment="1">
      <alignment horizontal="center" vertical="center" wrapText="1"/>
    </xf>
    <xf numFmtId="0" fontId="35" fillId="11" borderId="13" xfId="0" applyFont="1" applyFill="1" applyBorder="1" applyAlignment="1">
      <alignment horizontal="center" vertical="center" wrapText="1"/>
    </xf>
    <xf numFmtId="0" fontId="35" fillId="11" borderId="131" xfId="0" applyFont="1" applyFill="1" applyBorder="1" applyAlignment="1">
      <alignment horizontal="center" vertical="center" wrapText="1"/>
    </xf>
    <xf numFmtId="0" fontId="35" fillId="11" borderId="134" xfId="0" applyFont="1" applyFill="1" applyBorder="1" applyAlignment="1">
      <alignment horizontal="center" vertical="center" wrapText="1"/>
    </xf>
    <xf numFmtId="0" fontId="35" fillId="11" borderId="215" xfId="0" applyFont="1" applyFill="1" applyBorder="1" applyAlignment="1">
      <alignment horizontal="center" vertical="center" wrapText="1"/>
    </xf>
    <xf numFmtId="0" fontId="35" fillId="11" borderId="76" xfId="0" applyFont="1" applyFill="1" applyBorder="1" applyAlignment="1">
      <alignment horizontal="center" vertical="center" wrapText="1"/>
    </xf>
    <xf numFmtId="0" fontId="35" fillId="11" borderId="78" xfId="0" applyFont="1" applyFill="1" applyBorder="1" applyAlignment="1">
      <alignment horizontal="center" vertical="center" wrapText="1"/>
    </xf>
    <xf numFmtId="0" fontId="35" fillId="11" borderId="90" xfId="0" applyFont="1" applyFill="1" applyBorder="1" applyAlignment="1">
      <alignment horizontal="center" vertical="center" wrapText="1"/>
    </xf>
    <xf numFmtId="0" fontId="35" fillId="11" borderId="92" xfId="0" applyFont="1" applyFill="1" applyBorder="1" applyAlignment="1">
      <alignment horizontal="center" vertical="center" wrapText="1"/>
    </xf>
    <xf numFmtId="0" fontId="35" fillId="11" borderId="76" xfId="0" applyFont="1" applyFill="1" applyBorder="1" applyAlignment="1">
      <alignment horizontal="center" vertical="center"/>
    </xf>
    <xf numFmtId="0" fontId="35" fillId="11" borderId="64" xfId="0" applyFont="1" applyFill="1" applyBorder="1" applyAlignment="1">
      <alignment horizontal="center" vertical="center"/>
    </xf>
    <xf numFmtId="0" fontId="35" fillId="11" borderId="78" xfId="0" applyFont="1" applyFill="1" applyBorder="1" applyAlignment="1">
      <alignment horizontal="center" vertical="center"/>
    </xf>
    <xf numFmtId="0" fontId="35" fillId="11" borderId="141" xfId="0" applyFont="1" applyFill="1" applyBorder="1" applyAlignment="1">
      <alignment horizontal="center" vertical="center"/>
    </xf>
    <xf numFmtId="0" fontId="35" fillId="11" borderId="163" xfId="0" applyFont="1" applyFill="1" applyBorder="1" applyAlignment="1">
      <alignment horizontal="center" vertical="center"/>
    </xf>
    <xf numFmtId="0" fontId="35" fillId="11" borderId="220" xfId="0" applyFont="1" applyFill="1" applyBorder="1" applyAlignment="1">
      <alignment horizontal="center" vertical="center"/>
    </xf>
    <xf numFmtId="3" fontId="35" fillId="11" borderId="144" xfId="0" applyNumberFormat="1" applyFont="1" applyFill="1" applyBorder="1" applyAlignment="1">
      <alignment horizontal="center" vertical="center" wrapText="1"/>
    </xf>
    <xf numFmtId="3" fontId="35" fillId="11" borderId="82" xfId="0" applyNumberFormat="1" applyFont="1" applyFill="1" applyBorder="1" applyAlignment="1">
      <alignment horizontal="center" vertical="center" wrapText="1"/>
    </xf>
    <xf numFmtId="3" fontId="35" fillId="11" borderId="15" xfId="0" applyNumberFormat="1" applyFont="1" applyFill="1" applyBorder="1" applyAlignment="1">
      <alignment horizontal="center" vertical="center" wrapText="1"/>
    </xf>
    <xf numFmtId="0" fontId="114" fillId="3" borderId="0" xfId="17" applyFont="1" applyFill="1" applyAlignment="1">
      <alignment horizontal="center" vertical="center" readingOrder="2"/>
    </xf>
    <xf numFmtId="0" fontId="8" fillId="0" borderId="0" xfId="15" applyFont="1" applyAlignment="1" applyProtection="1">
      <alignment horizontal="center" vertical="center" readingOrder="2"/>
      <protection locked="0"/>
    </xf>
    <xf numFmtId="171" fontId="9" fillId="11" borderId="74" xfId="18" applyNumberFormat="1" applyFont="1" applyFill="1" applyBorder="1" applyAlignment="1">
      <alignment horizontal="center" vertical="center"/>
    </xf>
    <xf numFmtId="171" fontId="9" fillId="11" borderId="75" xfId="18" applyNumberFormat="1" applyFont="1" applyFill="1" applyBorder="1" applyAlignment="1">
      <alignment horizontal="center" vertical="center"/>
    </xf>
    <xf numFmtId="0" fontId="9" fillId="11" borderId="76" xfId="15" applyFont="1" applyFill="1" applyBorder="1" applyAlignment="1">
      <alignment horizontal="center" vertical="center" wrapText="1" readingOrder="2"/>
    </xf>
    <xf numFmtId="0" fontId="9" fillId="11" borderId="64" xfId="15" applyFont="1" applyFill="1" applyBorder="1" applyAlignment="1">
      <alignment horizontal="center" vertical="center" wrapText="1" readingOrder="2"/>
    </xf>
    <xf numFmtId="0" fontId="9" fillId="11" borderId="78" xfId="15" applyFont="1" applyFill="1" applyBorder="1" applyAlignment="1">
      <alignment horizontal="center" vertical="center" wrapText="1" readingOrder="2"/>
    </xf>
    <xf numFmtId="0" fontId="8" fillId="3" borderId="64" xfId="15" applyFont="1" applyFill="1" applyBorder="1" applyAlignment="1" applyProtection="1">
      <alignment horizontal="right" vertical="center" wrapText="1" readingOrder="2"/>
      <protection locked="0"/>
    </xf>
    <xf numFmtId="0" fontId="8" fillId="3" borderId="0" xfId="15" applyFont="1" applyFill="1" applyAlignment="1" applyProtection="1">
      <alignment horizontal="right" vertical="center" wrapText="1" readingOrder="2"/>
      <protection locked="0"/>
    </xf>
    <xf numFmtId="0" fontId="25" fillId="0" borderId="0" xfId="1" applyFont="1" applyAlignment="1">
      <alignment horizontal="justify" vertical="center" wrapText="1" readingOrder="2"/>
    </xf>
    <xf numFmtId="171" fontId="9" fillId="11" borderId="100" xfId="18" applyNumberFormat="1" applyFont="1" applyFill="1" applyBorder="1" applyAlignment="1">
      <alignment horizontal="center" vertical="center"/>
    </xf>
    <xf numFmtId="0" fontId="114" fillId="3" borderId="0" xfId="17" applyFont="1" applyFill="1" applyAlignment="1" applyProtection="1">
      <alignment horizontal="center" vertical="center" readingOrder="2"/>
      <protection locked="0"/>
    </xf>
    <xf numFmtId="0" fontId="9" fillId="11" borderId="57" xfId="15" applyFont="1" applyFill="1" applyBorder="1" applyAlignment="1">
      <alignment horizontal="center" vertical="center" wrapText="1" readingOrder="2"/>
    </xf>
    <xf numFmtId="0" fontId="9" fillId="11" borderId="63" xfId="15" applyFont="1" applyFill="1" applyBorder="1" applyAlignment="1">
      <alignment horizontal="center" vertical="center" wrapText="1" readingOrder="2"/>
    </xf>
    <xf numFmtId="0" fontId="8" fillId="11" borderId="141" xfId="15" applyFont="1" applyFill="1" applyBorder="1" applyAlignment="1">
      <alignment horizontal="center" vertical="center"/>
    </xf>
    <xf numFmtId="0" fontId="8" fillId="11" borderId="163" xfId="15" applyFont="1" applyFill="1" applyBorder="1" applyAlignment="1">
      <alignment horizontal="center" vertical="center"/>
    </xf>
    <xf numFmtId="0" fontId="8" fillId="11" borderId="143" xfId="15" applyFont="1" applyFill="1" applyBorder="1" applyAlignment="1">
      <alignment horizontal="center" vertical="center"/>
    </xf>
    <xf numFmtId="0" fontId="8" fillId="11" borderId="220" xfId="15" applyFont="1" applyFill="1" applyBorder="1" applyAlignment="1">
      <alignment horizontal="center" vertical="center"/>
    </xf>
    <xf numFmtId="0" fontId="9" fillId="11" borderId="90" xfId="15" applyFont="1" applyFill="1" applyBorder="1" applyAlignment="1">
      <alignment horizontal="center" vertical="center" wrapText="1" readingOrder="2"/>
    </xf>
    <xf numFmtId="0" fontId="9" fillId="11" borderId="91" xfId="15" applyFont="1" applyFill="1" applyBorder="1" applyAlignment="1">
      <alignment horizontal="center" vertical="center" wrapText="1" readingOrder="2"/>
    </xf>
    <xf numFmtId="0" fontId="9" fillId="11" borderId="92" xfId="15" applyFont="1" applyFill="1" applyBorder="1" applyAlignment="1">
      <alignment horizontal="center" vertical="center" wrapText="1" readingOrder="2"/>
    </xf>
    <xf numFmtId="0" fontId="9" fillId="11" borderId="86" xfId="1" applyFont="1" applyFill="1" applyBorder="1" applyAlignment="1">
      <alignment horizontal="center" vertical="center" readingOrder="2"/>
    </xf>
    <xf numFmtId="0" fontId="9" fillId="11" borderId="201" xfId="1" applyFont="1" applyFill="1" applyBorder="1" applyAlignment="1">
      <alignment horizontal="center" vertical="center" readingOrder="2"/>
    </xf>
    <xf numFmtId="0" fontId="9" fillId="11" borderId="85" xfId="1" applyFont="1" applyFill="1" applyBorder="1" applyAlignment="1">
      <alignment horizontal="center" vertical="center" readingOrder="2"/>
    </xf>
    <xf numFmtId="0" fontId="9" fillId="11" borderId="83" xfId="1" applyFont="1" applyFill="1" applyBorder="1" applyAlignment="1">
      <alignment horizontal="center" vertical="center" readingOrder="2"/>
    </xf>
    <xf numFmtId="0" fontId="52" fillId="0" borderId="214" xfId="0" applyFont="1" applyBorder="1" applyAlignment="1" applyProtection="1">
      <alignment horizontal="center"/>
      <protection locked="0"/>
    </xf>
    <xf numFmtId="0" fontId="52" fillId="0" borderId="0" xfId="0" applyFont="1" applyAlignment="1" applyProtection="1">
      <alignment horizontal="center"/>
      <protection locked="0"/>
    </xf>
    <xf numFmtId="0" fontId="76" fillId="0" borderId="0" xfId="0" applyFont="1" applyAlignment="1">
      <alignment horizontal="center" vertical="center"/>
    </xf>
    <xf numFmtId="3" fontId="35" fillId="30" borderId="172" xfId="0" applyNumberFormat="1" applyFont="1" applyFill="1" applyBorder="1" applyAlignment="1">
      <alignment horizontal="center" vertical="center"/>
    </xf>
    <xf numFmtId="3" fontId="41" fillId="0" borderId="93" xfId="0" applyNumberFormat="1" applyFont="1" applyBorder="1" applyAlignment="1">
      <alignment horizontal="center" vertical="center"/>
    </xf>
    <xf numFmtId="3" fontId="41" fillId="0" borderId="62" xfId="0" applyNumberFormat="1" applyFont="1" applyBorder="1" applyAlignment="1">
      <alignment horizontal="center" vertical="center"/>
    </xf>
    <xf numFmtId="0" fontId="43" fillId="29" borderId="86" xfId="0" applyFont="1" applyFill="1" applyBorder="1" applyAlignment="1" applyProtection="1">
      <alignment horizontal="center" vertical="center" shrinkToFit="1"/>
      <protection hidden="1"/>
    </xf>
    <xf numFmtId="0" fontId="43" fillId="29" borderId="85" xfId="0" applyFont="1" applyFill="1" applyBorder="1" applyAlignment="1" applyProtection="1">
      <alignment horizontal="center" vertical="center" shrinkToFit="1"/>
      <protection hidden="1"/>
    </xf>
    <xf numFmtId="0" fontId="43" fillId="29" borderId="138" xfId="0" applyFont="1" applyFill="1" applyBorder="1" applyAlignment="1" applyProtection="1">
      <alignment horizontal="center" vertical="center" shrinkToFit="1"/>
      <protection hidden="1"/>
    </xf>
    <xf numFmtId="0" fontId="43" fillId="29" borderId="139" xfId="0" applyFont="1" applyFill="1" applyBorder="1" applyAlignment="1" applyProtection="1">
      <alignment horizontal="center" vertical="center" textRotation="90" shrinkToFit="1"/>
      <protection hidden="1"/>
    </xf>
    <xf numFmtId="0" fontId="43" fillId="28" borderId="86" xfId="0" applyFont="1" applyFill="1" applyBorder="1" applyAlignment="1" applyProtection="1">
      <alignment horizontal="center" vertical="center" shrinkToFit="1"/>
      <protection hidden="1"/>
    </xf>
    <xf numFmtId="0" fontId="43" fillId="28" borderId="83" xfId="0" applyFont="1" applyFill="1" applyBorder="1" applyAlignment="1" applyProtection="1">
      <alignment horizontal="center" vertical="center" shrinkToFit="1"/>
      <protection hidden="1"/>
    </xf>
    <xf numFmtId="0" fontId="43" fillId="29" borderId="84" xfId="0" applyFont="1" applyFill="1" applyBorder="1" applyAlignment="1" applyProtection="1">
      <alignment horizontal="center" vertical="center" shrinkToFit="1"/>
      <protection hidden="1"/>
    </xf>
    <xf numFmtId="0" fontId="43" fillId="29" borderId="63" xfId="0" applyFont="1" applyFill="1" applyBorder="1" applyAlignment="1" applyProtection="1">
      <alignment horizontal="center" vertical="center" shrinkToFit="1"/>
      <protection hidden="1"/>
    </xf>
    <xf numFmtId="0" fontId="43" fillId="39" borderId="86" xfId="0" applyFont="1" applyFill="1" applyBorder="1" applyAlignment="1" applyProtection="1">
      <alignment horizontal="center" vertical="center" shrinkToFit="1"/>
      <protection hidden="1"/>
    </xf>
    <xf numFmtId="0" fontId="43" fillId="39" borderId="83" xfId="0" applyFont="1" applyFill="1" applyBorder="1" applyAlignment="1" applyProtection="1">
      <alignment horizontal="center" vertical="center" shrinkToFit="1"/>
      <protection hidden="1"/>
    </xf>
    <xf numFmtId="0" fontId="43" fillId="39" borderId="84" xfId="0" applyFont="1" applyFill="1" applyBorder="1" applyAlignment="1" applyProtection="1">
      <alignment horizontal="center" vertical="center" shrinkToFit="1"/>
      <protection hidden="1"/>
    </xf>
    <xf numFmtId="0" fontId="43" fillId="39" borderId="63" xfId="0" applyFont="1" applyFill="1" applyBorder="1" applyAlignment="1" applyProtection="1">
      <alignment horizontal="center" vertical="center" shrinkToFit="1"/>
      <protection hidden="1"/>
    </xf>
    <xf numFmtId="0" fontId="43" fillId="28" borderId="85" xfId="0" applyFont="1" applyFill="1" applyBorder="1" applyAlignment="1" applyProtection="1">
      <alignment horizontal="center" vertical="center" shrinkToFit="1"/>
      <protection hidden="1"/>
    </xf>
    <xf numFmtId="0" fontId="43" fillId="29" borderId="83" xfId="0" applyFont="1" applyFill="1" applyBorder="1" applyAlignment="1" applyProtection="1">
      <alignment horizontal="center" vertical="center" shrinkToFit="1"/>
      <protection hidden="1"/>
    </xf>
    <xf numFmtId="0" fontId="43" fillId="39" borderId="138" xfId="0" applyFont="1" applyFill="1" applyBorder="1" applyAlignment="1" applyProtection="1">
      <alignment horizontal="center" vertical="center" shrinkToFit="1"/>
      <protection hidden="1"/>
    </xf>
    <xf numFmtId="0" fontId="43" fillId="29" borderId="201" xfId="0" applyFont="1" applyFill="1" applyBorder="1" applyAlignment="1" applyProtection="1">
      <alignment horizontal="center" vertical="center" shrinkToFit="1"/>
      <protection hidden="1"/>
    </xf>
    <xf numFmtId="0" fontId="43" fillId="29" borderId="57" xfId="0" applyFont="1" applyFill="1" applyBorder="1" applyAlignment="1" applyProtection="1">
      <alignment horizontal="center" vertical="center" shrinkToFit="1"/>
      <protection hidden="1"/>
    </xf>
    <xf numFmtId="0" fontId="43" fillId="28" borderId="84" xfId="0" applyFont="1" applyFill="1" applyBorder="1" applyAlignment="1" applyProtection="1">
      <alignment horizontal="center" vertical="center" shrinkToFit="1"/>
      <protection hidden="1"/>
    </xf>
    <xf numFmtId="0" fontId="43" fillId="28" borderId="57" xfId="0" applyFont="1" applyFill="1" applyBorder="1" applyAlignment="1" applyProtection="1">
      <alignment horizontal="center" vertical="center" shrinkToFit="1"/>
      <protection hidden="1"/>
    </xf>
    <xf numFmtId="0" fontId="43" fillId="28" borderId="63" xfId="0" applyFont="1" applyFill="1" applyBorder="1" applyAlignment="1" applyProtection="1">
      <alignment horizontal="center" vertical="center" shrinkToFit="1"/>
      <protection hidden="1"/>
    </xf>
    <xf numFmtId="0" fontId="43" fillId="28" borderId="201" xfId="0" applyFont="1" applyFill="1" applyBorder="1" applyAlignment="1" applyProtection="1">
      <alignment horizontal="center" vertical="center" shrinkToFit="1"/>
      <protection hidden="1"/>
    </xf>
    <xf numFmtId="0" fontId="43" fillId="8" borderId="86" xfId="0" applyFont="1" applyFill="1" applyBorder="1" applyAlignment="1" applyProtection="1">
      <alignment horizontal="center" vertical="center" shrinkToFit="1"/>
      <protection hidden="1"/>
    </xf>
    <xf numFmtId="0" fontId="43" fillId="8" borderId="83" xfId="0" applyFont="1" applyFill="1" applyBorder="1" applyAlignment="1" applyProtection="1">
      <alignment horizontal="center" vertical="center" shrinkToFit="1"/>
      <protection hidden="1"/>
    </xf>
    <xf numFmtId="0" fontId="43" fillId="39" borderId="57" xfId="0" applyFont="1" applyFill="1" applyBorder="1" applyAlignment="1" applyProtection="1">
      <alignment horizontal="center" vertical="center" shrinkToFit="1"/>
      <protection hidden="1"/>
    </xf>
    <xf numFmtId="0" fontId="43" fillId="28" borderId="138" xfId="0" applyFont="1" applyFill="1" applyBorder="1" applyAlignment="1" applyProtection="1">
      <alignment horizontal="center" vertical="center" shrinkToFit="1"/>
      <protection hidden="1"/>
    </xf>
    <xf numFmtId="0" fontId="43" fillId="0" borderId="0" xfId="0" applyFont="1" applyAlignment="1" applyProtection="1">
      <alignment horizontal="center" vertical="center" shrinkToFit="1"/>
      <protection hidden="1"/>
    </xf>
    <xf numFmtId="3" fontId="83" fillId="21" borderId="88" xfId="1" applyNumberFormat="1" applyFont="1" applyFill="1" applyBorder="1" applyAlignment="1" applyProtection="1">
      <alignment horizontal="center" vertical="center" wrapText="1" readingOrder="2"/>
      <protection locked="0"/>
    </xf>
    <xf numFmtId="3" fontId="83" fillId="21" borderId="142" xfId="1" applyNumberFormat="1" applyFont="1" applyFill="1" applyBorder="1" applyAlignment="1" applyProtection="1">
      <alignment horizontal="center" vertical="center" wrapText="1" readingOrder="2"/>
      <protection locked="0"/>
    </xf>
    <xf numFmtId="3" fontId="83" fillId="21" borderId="83" xfId="1" applyNumberFormat="1" applyFont="1" applyFill="1" applyBorder="1" applyAlignment="1" applyProtection="1">
      <alignment horizontal="center" vertical="center" wrapText="1" readingOrder="2"/>
      <protection locked="0"/>
    </xf>
    <xf numFmtId="3" fontId="83" fillId="21" borderId="142" xfId="1" applyNumberFormat="1" applyFont="1" applyFill="1" applyBorder="1" applyAlignment="1" applyProtection="1">
      <alignment horizontal="center" vertical="center" wrapText="1" readingOrder="2"/>
      <protection locked="0"/>
    </xf>
    <xf numFmtId="3" fontId="83" fillId="21" borderId="72" xfId="1" applyNumberFormat="1" applyFont="1" applyFill="1" applyBorder="1" applyAlignment="1" applyProtection="1">
      <alignment horizontal="center" vertical="center" wrapText="1" readingOrder="2"/>
      <protection locked="0"/>
    </xf>
    <xf numFmtId="3" fontId="83" fillId="21" borderId="9" xfId="1" applyNumberFormat="1" applyFont="1" applyFill="1" applyBorder="1" applyAlignment="1" applyProtection="1">
      <alignment horizontal="center" vertical="center" wrapText="1" readingOrder="2"/>
      <protection locked="0"/>
    </xf>
    <xf numFmtId="3" fontId="83" fillId="21" borderId="89" xfId="1" applyNumberFormat="1" applyFont="1" applyFill="1" applyBorder="1" applyAlignment="1" applyProtection="1">
      <alignment horizontal="center" vertical="center" wrapText="1" readingOrder="2"/>
      <protection locked="0"/>
    </xf>
    <xf numFmtId="3" fontId="8" fillId="46" borderId="139" xfId="1" applyNumberFormat="1" applyFont="1" applyFill="1" applyBorder="1" applyAlignment="1" applyProtection="1">
      <alignment horizontal="center" vertical="center" wrapText="1" readingOrder="2"/>
      <protection locked="0" hidden="1"/>
    </xf>
    <xf numFmtId="3" fontId="83" fillId="21" borderId="98" xfId="1" applyNumberFormat="1" applyFont="1" applyFill="1" applyBorder="1" applyAlignment="1" applyProtection="1">
      <alignment horizontal="center" vertical="center" wrapText="1" readingOrder="2"/>
      <protection locked="0"/>
    </xf>
    <xf numFmtId="3" fontId="83" fillId="21" borderId="67" xfId="1" applyNumberFormat="1" applyFont="1" applyFill="1" applyBorder="1" applyAlignment="1" applyProtection="1">
      <alignment horizontal="center" vertical="center" wrapText="1" readingOrder="2"/>
      <protection locked="0"/>
    </xf>
  </cellXfs>
  <cellStyles count="32">
    <cellStyle name="40% - Accent1 3" xfId="9" xr:uid="{00000000-0005-0000-0000-000000000000}"/>
    <cellStyle name="Bad 2" xfId="10" xr:uid="{00000000-0005-0000-0000-000001000000}"/>
    <cellStyle name="Comma 2 2 10" xfId="16" xr:uid="{00000000-0005-0000-0000-000002000000}"/>
    <cellStyle name="Comma 3" xfId="6" xr:uid="{00000000-0005-0000-0000-000003000000}"/>
    <cellStyle name="Comma 3 2" xfId="27" xr:uid="{00000000-0005-0000-0000-000004000000}"/>
    <cellStyle name="Comma 3 2 2" xfId="30" xr:uid="{00000000-0005-0000-0000-000005000000}"/>
    <cellStyle name="Comma 3 2 3" xfId="26" xr:uid="{00000000-0005-0000-0000-000006000000}"/>
    <cellStyle name="Comma 3 3" xfId="21" xr:uid="{00000000-0005-0000-0000-000007000000}"/>
    <cellStyle name="Comma 3 3 2" xfId="29" xr:uid="{00000000-0005-0000-0000-000008000000}"/>
    <cellStyle name="Good 2" xfId="11" xr:uid="{00000000-0005-0000-0000-000009000000}"/>
    <cellStyle name="Normal" xfId="0" builtinId="0"/>
    <cellStyle name="Normal 10" xfId="7" xr:uid="{00000000-0005-0000-0000-00000B000000}"/>
    <cellStyle name="Normal 2" xfId="1" xr:uid="{00000000-0005-0000-0000-00000C000000}"/>
    <cellStyle name="Normal 2 11" xfId="15" xr:uid="{00000000-0005-0000-0000-00000D000000}"/>
    <cellStyle name="Normal 2 2 2" xfId="17" xr:uid="{00000000-0005-0000-0000-00000E000000}"/>
    <cellStyle name="Normal 2 2 3" xfId="31" xr:uid="{662B8DF8-7B84-4478-8398-3D21E2ECD413}"/>
    <cellStyle name="Normal 3" xfId="4" xr:uid="{00000000-0005-0000-0000-00000F000000}"/>
    <cellStyle name="Normal 3 3" xfId="14" xr:uid="{00000000-0005-0000-0000-000010000000}"/>
    <cellStyle name="Normal 3 3 2" xfId="25" xr:uid="{00000000-0005-0000-0000-000011000000}"/>
    <cellStyle name="Normal 4" xfId="3" xr:uid="{00000000-0005-0000-0000-000012000000}"/>
    <cellStyle name="Normal 4 2" xfId="22" xr:uid="{00000000-0005-0000-0000-000013000000}"/>
    <cellStyle name="Normal 5" xfId="12" xr:uid="{00000000-0005-0000-0000-000014000000}"/>
    <cellStyle name="Normal 5 2" xfId="24" xr:uid="{00000000-0005-0000-0000-000015000000}"/>
    <cellStyle name="Normal 6" xfId="28" xr:uid="{00000000-0005-0000-0000-000016000000}"/>
    <cellStyle name="Normal 8 2" xfId="8" xr:uid="{00000000-0005-0000-0000-000017000000}"/>
    <cellStyle name="Normal 8 2 2" xfId="23" xr:uid="{00000000-0005-0000-0000-000018000000}"/>
    <cellStyle name="Normal_11حوزه مالی - جداول اصلی" xfId="2" xr:uid="{00000000-0005-0000-0000-000019000000}"/>
    <cellStyle name="Normal_بودجه 3 ماهه" xfId="18" xr:uid="{00000000-0005-0000-0000-00001A000000}"/>
    <cellStyle name="Normal_سالانه 1005 مالی" xfId="19" xr:uid="{00000000-0005-0000-0000-00001B000000}"/>
    <cellStyle name="Percent" xfId="13" builtinId="5"/>
    <cellStyle name="Percent 2" xfId="5" xr:uid="{00000000-0005-0000-0000-00001D000000}"/>
    <cellStyle name="Percent 3" xfId="20" xr:uid="{00000000-0005-0000-0000-00001E000000}"/>
  </cellStyles>
  <dxfs count="848">
    <dxf>
      <font>
        <name val="Tahoma"/>
        <scheme val="none"/>
      </font>
    </dxf>
    <dxf>
      <fill>
        <patternFill patternType="solid">
          <bgColor theme="4" tint="-0.249977111117893"/>
        </patternFill>
      </fill>
    </dxf>
    <dxf>
      <font>
        <color theme="0"/>
      </font>
    </dxf>
    <dxf>
      <alignment horizontal="center" readingOrder="0"/>
    </dxf>
    <dxf>
      <alignment vertical="center" readingOrder="0"/>
    </dxf>
    <dxf>
      <font>
        <sz val="10"/>
      </font>
    </dxf>
    <dxf>
      <font>
        <sz val="11"/>
      </font>
    </dxf>
    <dxf>
      <font>
        <sz val="12"/>
      </font>
    </dxf>
    <dxf>
      <font>
        <sz val="14"/>
      </font>
    </dxf>
    <dxf>
      <font>
        <sz val="12"/>
        <name val="Vazir"/>
        <scheme val="none"/>
      </font>
    </dxf>
    <dxf>
      <font>
        <sz val="12"/>
        <name val="Vazir"/>
        <scheme val="none"/>
      </font>
    </dxf>
    <dxf>
      <font>
        <sz val="10"/>
        <name val="Vazir"/>
        <scheme val="none"/>
      </font>
    </dxf>
    <dxf>
      <protection locked="0" hidden="1"/>
    </dxf>
    <dxf>
      <protection locked="0" hidden="1"/>
    </dxf>
    <dxf>
      <protection locked="0" hidden="1"/>
    </dxf>
    <dxf>
      <protection locked="1" hidden="1"/>
    </dxf>
    <dxf>
      <protection locked="1" hidden="1"/>
    </dxf>
    <dxf>
      <protection locked="1" hidden="1"/>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ont>
        <color rgb="FFFF0000"/>
      </font>
    </dxf>
    <dxf>
      <font>
        <color rgb="FFFF0000"/>
      </font>
    </dxf>
    <dxf>
      <font>
        <color rgb="FFFF000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auto="1"/>
      </font>
    </dxf>
    <dxf>
      <font>
        <color auto="1"/>
      </font>
    </dxf>
    <dxf>
      <font>
        <color auto="1"/>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protection locked="0" hidden="0"/>
    </dxf>
    <dxf>
      <protection locked="0" hidden="0"/>
    </dxf>
    <dxf>
      <protection locked="0" hidden="0"/>
    </dxf>
    <dxf>
      <protection locked="1" hidden="1"/>
    </dxf>
    <dxf>
      <protection locked="1" hidden="1"/>
    </dxf>
    <dxf>
      <protection locked="1" hidden="1"/>
    </dxf>
    <dxf>
      <font>
        <color theme="0"/>
      </font>
    </dxf>
    <dxf>
      <font>
        <color theme="0"/>
      </font>
    </dxf>
    <dxf>
      <font>
        <color theme="0"/>
      </font>
    </dxf>
    <dxf>
      <protection hidden="1"/>
    </dxf>
    <dxf>
      <protection hidden="1"/>
    </dxf>
    <dxf>
      <protection hidden="1"/>
    </dxf>
    <dxf>
      <protection hidden="1"/>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font>
        <color auto="1"/>
      </font>
    </dxf>
    <dxf>
      <font>
        <color auto="1"/>
      </font>
    </dxf>
    <dxf>
      <font>
        <color auto="1"/>
      </font>
    </dxf>
    <dxf>
      <font>
        <color auto="1"/>
      </font>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protection locked="0" hidden="0"/>
    </dxf>
    <dxf>
      <protection locked="0" hidden="0"/>
    </dxf>
    <dxf>
      <protection locked="0" hidden="0"/>
    </dxf>
    <dxf>
      <protection locked="0" hidden="0"/>
    </dxf>
    <dxf>
      <protection locked="1" hidden="1"/>
    </dxf>
    <dxf>
      <protection locked="1" hidden="1"/>
    </dxf>
    <dxf>
      <protection locked="1" hidden="1"/>
    </dxf>
    <dxf>
      <protection locked="1" hidden="1"/>
    </dxf>
    <dxf>
      <font>
        <color theme="0"/>
      </font>
    </dxf>
    <dxf>
      <font>
        <color theme="0"/>
      </font>
    </dxf>
    <dxf>
      <font>
        <color theme="0"/>
      </font>
    </dxf>
    <dxf>
      <font>
        <color theme="0"/>
      </font>
    </dxf>
    <dxf>
      <fill>
        <patternFill>
          <bgColor rgb="FFFF0000"/>
        </patternFill>
      </fill>
    </dxf>
    <dxf>
      <font>
        <b/>
        <i val="0"/>
        <strike val="0"/>
        <condense val="0"/>
        <extend val="0"/>
        <outline val="0"/>
        <shadow val="0"/>
        <u val="none"/>
        <vertAlign val="baseline"/>
        <sz val="11"/>
        <color theme="0"/>
        <name val="B Nazanin"/>
        <scheme val="none"/>
      </font>
      <fill>
        <patternFill patternType="solid">
          <fgColor theme="1"/>
          <bgColor theme="1"/>
        </patternFill>
      </fill>
      <alignment horizontal="center" vertical="center" textRotation="0" wrapText="1" indent="0" justifyLastLine="0" shrinkToFit="0" readingOrder="0"/>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E60000"/>
      </font>
    </dxf>
    <dxf>
      <numFmt numFmtId="178" formatCode="&quot;&quot;"/>
    </dxf>
    <dxf>
      <numFmt numFmtId="178" formatCode="&quot;&quot;"/>
    </dxf>
    <dxf>
      <font>
        <color rgb="FFFF0000"/>
      </font>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numFmt numFmtId="178" formatCode="&quot;&quot;"/>
    </dxf>
    <dxf>
      <font>
        <color rgb="FFFF0000"/>
      </font>
    </dxf>
    <dxf>
      <numFmt numFmtId="178" formatCode="&quot;&quot;"/>
    </dxf>
    <dxf>
      <font>
        <color rgb="FFFF0000"/>
      </font>
    </dxf>
    <dxf>
      <numFmt numFmtId="178" formatCode="&quot;&quot;"/>
    </dxf>
    <dxf>
      <font>
        <color rgb="FFFF0000"/>
      </font>
    </dxf>
    <dxf>
      <numFmt numFmtId="178" formatCode="&quot;&quot;"/>
    </dxf>
    <dxf>
      <font>
        <color rgb="FFFF0000"/>
      </fon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dxf>
    <dxf>
      <numFmt numFmtId="178" formatCode="&quot;&quot;"/>
    </dxf>
    <dxf>
      <font>
        <color rgb="FFC00000"/>
      </font>
    </dxf>
    <dxf>
      <numFmt numFmtId="178" formatCode="&quot;&quot;"/>
    </dxf>
    <dxf>
      <font>
        <color rgb="FFC00000"/>
      </fon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font>
        <color rgb="FFC00000"/>
      </font>
    </dxf>
    <dxf>
      <numFmt numFmtId="178" formatCode="&quot;&quot;"/>
    </dxf>
    <dxf>
      <font>
        <color rgb="FFC00000"/>
      </font>
    </dxf>
    <dxf>
      <font>
        <color rgb="FFC00000"/>
      </font>
    </dxf>
    <dxf>
      <numFmt numFmtId="178" formatCode="&quot;&quot;"/>
    </dxf>
    <dxf>
      <font>
        <color rgb="FFC00000"/>
      </font>
    </dxf>
    <dxf>
      <font>
        <color rgb="FFC00000"/>
      </font>
    </dxf>
    <dxf>
      <numFmt numFmtId="178" formatCode="&quot;&quot;"/>
    </dxf>
    <dxf>
      <font>
        <color rgb="FFC00000"/>
      </font>
    </dxf>
    <dxf>
      <font>
        <color rgb="FFC00000"/>
      </font>
    </dxf>
    <dxf>
      <numFmt numFmtId="178" formatCode="&quot;&quot;"/>
    </dxf>
    <dxf>
      <font>
        <color rgb="FFC00000"/>
      </font>
    </dxf>
    <dxf>
      <numFmt numFmtId="178" formatCode="&quot;&quot;"/>
    </dxf>
    <dxf>
      <font>
        <color rgb="FFC00000"/>
      </fon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numFmt numFmtId="178" formatCode="&quot;&quot;"/>
    </dxf>
    <dxf>
      <fill>
        <patternFill>
          <bgColor rgb="FFFFFF00"/>
        </patternFill>
      </fill>
    </dxf>
    <dxf>
      <fill>
        <patternFill>
          <bgColor rgb="FFFFFF00"/>
        </patternFill>
      </fill>
    </dxf>
    <dxf>
      <font>
        <b/>
        <i val="0"/>
        <strike val="0"/>
        <condense val="0"/>
        <extend val="0"/>
        <outline val="0"/>
        <shadow val="0"/>
        <u val="none"/>
        <vertAlign val="baseline"/>
        <sz val="12"/>
        <color theme="1"/>
        <name val="B Nazanin"/>
        <scheme val="none"/>
      </font>
      <fill>
        <patternFill patternType="solid">
          <fgColor indexed="64"/>
          <bgColor theme="6" tint="0.79998168889431442"/>
        </patternFill>
      </fill>
      <alignment horizontal="center" vertical="center" textRotation="0" indent="0" justifyLastLine="0" shrinkToFit="0"/>
      <border diagonalUp="0" diagonalDown="0">
        <left/>
        <right/>
        <top style="thin">
          <color theme="1"/>
        </top>
        <bottom style="thin">
          <color theme="1"/>
        </bottom>
      </border>
      <protection locked="0" hidden="1"/>
    </dxf>
    <dxf>
      <font>
        <b/>
        <i val="0"/>
        <strike val="0"/>
        <condense val="0"/>
        <extend val="0"/>
        <outline val="0"/>
        <shadow val="0"/>
        <u val="none"/>
        <vertAlign val="baseline"/>
        <sz val="12"/>
        <color theme="1"/>
        <name val="B Nazanin"/>
        <scheme val="none"/>
      </font>
      <fill>
        <patternFill patternType="solid">
          <fgColor indexed="64"/>
          <bgColor theme="6" tint="0.79998168889431442"/>
        </patternFill>
      </fill>
      <alignment horizontal="center" vertical="center" textRotation="0" wrapText="1" indent="0" justifyLastLine="0" shrinkToFit="0" readingOrder="0"/>
      <border diagonalUp="0" diagonalDown="0">
        <left/>
        <right/>
        <top style="thin">
          <color theme="1"/>
        </top>
        <bottom style="thin">
          <color theme="1"/>
        </bottom>
      </border>
      <protection locked="0" hidden="1"/>
    </dxf>
    <dxf>
      <font>
        <b/>
        <i val="0"/>
        <strike val="0"/>
        <condense val="0"/>
        <extend val="0"/>
        <outline val="0"/>
        <shadow val="0"/>
        <u val="none"/>
        <vertAlign val="baseline"/>
        <sz val="12"/>
        <color theme="1"/>
        <name val="B Nazanin"/>
        <scheme val="none"/>
      </font>
      <numFmt numFmtId="3" formatCode="#,##0"/>
      <fill>
        <patternFill patternType="solid">
          <fgColor indexed="64"/>
          <bgColor theme="6" tint="0.79998168889431442"/>
        </patternFill>
      </fill>
      <alignment horizontal="center" vertical="center" textRotation="0" wrapText="1" indent="0" justifyLastLine="0" shrinkToFit="0" readingOrder="2"/>
      <border diagonalUp="0" diagonalDown="0">
        <left/>
        <right/>
        <top style="thin">
          <color indexed="64"/>
        </top>
        <bottom style="thin">
          <color indexed="64"/>
        </bottom>
      </border>
      <protection locked="0" hidden="1"/>
    </dxf>
    <dxf>
      <font>
        <b/>
        <i val="0"/>
        <strike val="0"/>
        <condense val="0"/>
        <extend val="0"/>
        <outline val="0"/>
        <shadow val="0"/>
        <u val="none"/>
        <vertAlign val="baseline"/>
        <sz val="12"/>
        <color theme="1"/>
        <name val="B Nazanin"/>
        <scheme val="none"/>
      </font>
      <numFmt numFmtId="175" formatCode="0.0"/>
      <fill>
        <patternFill patternType="solid">
          <fgColor indexed="64"/>
          <bgColor theme="6" tint="0.79998168889431442"/>
        </patternFill>
      </fill>
      <alignment horizontal="center" vertical="center" textRotation="0" wrapText="1" indent="0" justifyLastLine="0" shrinkToFit="0" readingOrder="0"/>
      <border diagonalUp="0" diagonalDown="0">
        <left/>
        <right/>
        <top style="thin">
          <color theme="1"/>
        </top>
        <bottom style="thin">
          <color theme="1"/>
        </bottom>
      </border>
      <protection locked="0" hidden="1"/>
    </dxf>
    <dxf>
      <font>
        <b/>
        <i val="0"/>
        <strike val="0"/>
        <condense val="0"/>
        <extend val="0"/>
        <outline val="0"/>
        <shadow val="0"/>
        <u val="none"/>
        <vertAlign val="baseline"/>
        <sz val="12"/>
        <color theme="1"/>
        <name val="B Nazanin"/>
        <scheme val="none"/>
      </font>
      <fill>
        <patternFill patternType="solid">
          <fgColor indexed="64"/>
          <bgColor theme="6" tint="0.79998168889431442"/>
        </patternFill>
      </fill>
      <alignment horizontal="center" vertical="center" textRotation="0" wrapText="1" indent="0" justifyLastLine="0" shrinkToFit="0" readingOrder="0"/>
      <border diagonalUp="0" diagonalDown="0">
        <left/>
        <right/>
        <top style="thin">
          <color theme="1"/>
        </top>
        <bottom style="thin">
          <color theme="1"/>
        </bottom>
      </border>
      <protection locked="0" hidden="1"/>
    </dxf>
    <dxf>
      <font>
        <b/>
        <i val="0"/>
        <strike val="0"/>
        <condense val="0"/>
        <extend val="0"/>
        <outline val="0"/>
        <shadow val="0"/>
        <u val="none"/>
        <vertAlign val="baseline"/>
        <sz val="14"/>
        <color theme="1"/>
        <name val="B Nazanin"/>
        <scheme val="none"/>
      </font>
      <fill>
        <patternFill patternType="solid">
          <fgColor indexed="64"/>
          <bgColor theme="6" tint="0.39997558519241921"/>
        </patternFill>
      </fill>
      <alignment horizontal="center" vertical="center" textRotation="0" wrapText="1" indent="0" justifyLastLine="0" shrinkToFit="0" readingOrder="0"/>
      <border diagonalUp="0" diagonalDown="0">
        <left/>
        <right/>
        <top style="thin">
          <color theme="1"/>
        </top>
        <bottom style="thin">
          <color theme="1"/>
        </bottom>
      </border>
      <protection locked="1" hidden="0"/>
    </dxf>
    <dxf>
      <border>
        <top style="thin">
          <color theme="1"/>
        </top>
      </border>
    </dxf>
    <dxf>
      <border diagonalUp="0" diagonalDown="0">
        <left style="thin">
          <color theme="1"/>
        </left>
        <right style="thin">
          <color theme="1"/>
        </right>
        <top style="thin">
          <color theme="1"/>
        </top>
        <bottom style="thin">
          <color theme="1"/>
        </bottom>
      </border>
    </dxf>
    <dxf>
      <font>
        <b val="0"/>
        <i val="0"/>
        <strike val="0"/>
        <condense val="0"/>
        <extend val="0"/>
        <outline val="0"/>
        <shadow val="0"/>
        <u val="none"/>
        <vertAlign val="baseline"/>
        <sz val="12"/>
        <color theme="1"/>
        <name val="Arial"/>
        <scheme val="none"/>
      </font>
      <alignment horizontal="center" vertical="center" textRotation="0" wrapText="1" indent="0" justifyLastLine="0" shrinkToFit="0" readingOrder="0"/>
      <protection locked="0" hidden="0"/>
    </dxf>
    <dxf>
      <border>
        <bottom style="thin">
          <color theme="1"/>
        </bottom>
      </border>
    </dxf>
    <dxf>
      <font>
        <b/>
        <i val="0"/>
        <strike val="0"/>
        <condense val="0"/>
        <extend val="0"/>
        <outline val="0"/>
        <shadow val="0"/>
        <u val="none"/>
        <vertAlign val="baseline"/>
        <sz val="12"/>
        <color auto="1"/>
        <name val="B Nazanin"/>
        <scheme val="none"/>
      </font>
      <fill>
        <patternFill patternType="solid">
          <fgColor indexed="64"/>
          <bgColor theme="6" tint="-0.249977111117893"/>
        </patternFill>
      </fill>
      <alignment horizontal="center" vertical="center" textRotation="0" wrapText="1" indent="0" justifyLastLine="0" shrinkToFit="0" readingOrder="2"/>
      <protection locked="1" hidden="0"/>
    </dxf>
    <dxf>
      <font>
        <color theme="0"/>
      </font>
    </dxf>
    <dxf>
      <font>
        <color theme="0"/>
      </font>
    </dxf>
    <dxf>
      <font>
        <color theme="0"/>
      </font>
    </dxf>
    <dxf>
      <font>
        <color theme="0"/>
      </font>
    </dxf>
    <dxf>
      <protection locked="1" hidden="1"/>
    </dxf>
    <dxf>
      <protection locked="1" hidden="1"/>
    </dxf>
    <dxf>
      <protection locked="1" hidden="1"/>
    </dxf>
    <dxf>
      <protection locked="1" hidden="1"/>
    </dxf>
    <dxf>
      <protection locked="0" hidden="0"/>
    </dxf>
    <dxf>
      <protection locked="0" hidden="0"/>
    </dxf>
    <dxf>
      <protection locked="0" hidden="0"/>
    </dxf>
    <dxf>
      <protection locked="0" hidden="0"/>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font>
        <color auto="1"/>
      </font>
    </dxf>
    <dxf>
      <font>
        <color auto="1"/>
      </font>
    </dxf>
    <dxf>
      <font>
        <color auto="1"/>
      </font>
    </dxf>
    <dxf>
      <font>
        <color auto="1"/>
      </font>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protection hidden="1"/>
    </dxf>
    <dxf>
      <protection hidden="1"/>
    </dxf>
    <dxf>
      <protection hidden="1"/>
    </dxf>
    <dxf>
      <protection hidden="1"/>
    </dxf>
    <dxf>
      <font>
        <color theme="0"/>
      </font>
    </dxf>
    <dxf>
      <font>
        <color theme="0"/>
      </font>
    </dxf>
    <dxf>
      <font>
        <color theme="0"/>
      </font>
    </dxf>
    <dxf>
      <protection locked="1" hidden="1"/>
    </dxf>
    <dxf>
      <protection locked="1" hidden="1"/>
    </dxf>
    <dxf>
      <protection locked="1" hidden="1"/>
    </dxf>
    <dxf>
      <protection locked="0" hidden="0"/>
    </dxf>
    <dxf>
      <protection locked="0" hidden="0"/>
    </dxf>
    <dxf>
      <protection locked="0" hidden="0"/>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auto="1"/>
      </font>
    </dxf>
    <dxf>
      <font>
        <color auto="1"/>
      </font>
    </dxf>
    <dxf>
      <font>
        <color auto="1"/>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rgb="FFFF0000"/>
      </font>
    </dxf>
    <dxf>
      <font>
        <color rgb="FFFF0000"/>
      </font>
    </dxf>
    <dxf>
      <font>
        <color rgb="FFFF0000"/>
      </font>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protection locked="1" hidden="1"/>
    </dxf>
    <dxf>
      <protection locked="1" hidden="1"/>
    </dxf>
    <dxf>
      <protection locked="1" hidden="1"/>
    </dxf>
    <dxf>
      <protection locked="0" hidden="1"/>
    </dxf>
    <dxf>
      <protection locked="0" hidden="1"/>
    </dxf>
    <dxf>
      <protection locked="0" hidden="1"/>
    </dxf>
    <dxf>
      <font>
        <sz val="10"/>
        <name val="Vazir"/>
        <scheme val="none"/>
      </font>
    </dxf>
    <dxf>
      <font>
        <sz val="12"/>
        <name val="Vazir"/>
        <scheme val="none"/>
      </font>
    </dxf>
    <dxf>
      <font>
        <sz val="12"/>
        <name val="Vazir"/>
        <scheme val="none"/>
      </font>
    </dxf>
    <dxf>
      <font>
        <sz val="14"/>
      </font>
    </dxf>
    <dxf>
      <font>
        <sz val="12"/>
      </font>
    </dxf>
    <dxf>
      <font>
        <sz val="11"/>
      </font>
    </dxf>
    <dxf>
      <font>
        <sz val="10"/>
      </font>
    </dxf>
    <dxf>
      <alignment vertical="center" readingOrder="0"/>
    </dxf>
    <dxf>
      <alignment horizontal="center" readingOrder="0"/>
    </dxf>
    <dxf>
      <font>
        <color theme="0"/>
      </font>
    </dxf>
    <dxf>
      <fill>
        <patternFill patternType="solid">
          <bgColor theme="4" tint="-0.249977111117893"/>
        </patternFill>
      </fill>
    </dxf>
    <dxf>
      <font>
        <name val="Tahoma"/>
        <scheme val="none"/>
      </font>
    </dxf>
    <dxf>
      <protection locked="0" hidden="1"/>
    </dxf>
    <dxf>
      <protection locked="0" hidden="1"/>
    </dxf>
    <dxf>
      <protection locked="0" hidden="1"/>
    </dxf>
    <dxf>
      <protection locked="0" hidden="1"/>
    </dxf>
    <dxf>
      <protection locked="1" hidden="1"/>
    </dxf>
    <dxf>
      <border>
        <left style="double">
          <color auto="1"/>
        </left>
        <right style="double">
          <color auto="1"/>
        </right>
        <top style="double">
          <color auto="1"/>
        </top>
        <bottom style="double">
          <color auto="1"/>
        </bottom>
        <vertical style="thin">
          <color auto="1"/>
        </vertical>
        <horizontal style="thin">
          <color auto="1"/>
        </horizontal>
      </border>
    </dxf>
    <dxf>
      <font>
        <b/>
        <color theme="1"/>
      </font>
      <border>
        <bottom style="thin">
          <color theme="6"/>
        </bottom>
        <vertical/>
        <horizontal/>
      </border>
    </dxf>
    <dxf>
      <font>
        <color theme="1"/>
        <name val="Vazir"/>
        <scheme val="none"/>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color theme="1"/>
        <name val="2  Bardiya"/>
        <scheme val="none"/>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i val="0"/>
        <sz val="11"/>
        <color theme="1"/>
        <name val="F_Nazanin"/>
        <scheme val="none"/>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sz val="10"/>
        <color theme="1"/>
        <name val="B Nazanin"/>
        <scheme val="none"/>
      </font>
      <border>
        <left style="thin">
          <color theme="6"/>
        </left>
        <right style="thin">
          <color theme="6"/>
        </right>
        <top style="thin">
          <color theme="6"/>
        </top>
        <bottom style="thin">
          <color theme="6"/>
        </bottom>
        <vertical/>
        <horizontal/>
      </border>
    </dxf>
    <dxf>
      <font>
        <b/>
        <color theme="1"/>
      </font>
      <border>
        <bottom style="thin">
          <color theme="4"/>
        </bottom>
        <vertical/>
        <horizontal/>
      </border>
    </dxf>
    <dxf>
      <font>
        <strike val="0"/>
        <sz val="10"/>
        <color theme="1"/>
        <name val="Vazir"/>
        <scheme val="none"/>
      </font>
      <border>
        <left style="thin">
          <color theme="4"/>
        </left>
        <right style="thin">
          <color theme="4"/>
        </right>
        <top style="thin">
          <color theme="4"/>
        </top>
        <bottom style="thin">
          <color theme="4"/>
        </bottom>
        <vertical/>
        <horizontal/>
      </border>
    </dxf>
    <dxf>
      <font>
        <name val="B Mitra"/>
        <scheme val="none"/>
      </font>
    </dxf>
    <dxf>
      <font>
        <strike val="0"/>
      </font>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rgb="FF207A01"/>
        </patternFill>
      </fill>
    </dxf>
    <dxf>
      <font>
        <color theme="1"/>
      </font>
      <border>
        <left style="thin">
          <color theme="6"/>
        </left>
        <right style="thin">
          <color theme="6"/>
        </right>
        <top style="thin">
          <color theme="6"/>
        </top>
        <bottom style="thin">
          <color theme="6"/>
        </bottom>
      </border>
    </dxf>
    <dxf>
      <font>
        <strike val="0"/>
      </font>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rgb="FF207A01"/>
        </patternFill>
      </fill>
    </dxf>
    <dxf>
      <font>
        <color theme="1"/>
      </font>
      <border>
        <left style="thin">
          <color theme="6"/>
        </left>
        <right style="thin">
          <color theme="6"/>
        </right>
        <top style="thin">
          <color theme="6"/>
        </top>
        <bottom style="thin">
          <color theme="6"/>
        </bottom>
      </border>
    </dxf>
    <dxf>
      <font>
        <strike val="0"/>
      </font>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rgb="FF207A01"/>
        </patternFill>
      </fill>
    </dxf>
    <dxf>
      <font>
        <color theme="1"/>
      </font>
      <border>
        <left style="thin">
          <color theme="6"/>
        </left>
        <right style="thin">
          <color theme="6"/>
        </right>
        <top style="thin">
          <color theme="6"/>
        </top>
        <bottom style="thin">
          <color theme="6"/>
        </bottom>
      </border>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theme="6"/>
        </patternFill>
      </fill>
    </dxf>
    <dxf>
      <font>
        <color theme="1"/>
      </font>
      <border>
        <left style="thin">
          <color theme="6"/>
        </left>
        <right style="thin">
          <color theme="6"/>
        </right>
        <top style="thin">
          <color theme="6"/>
        </top>
        <bottom style="thin">
          <color theme="6"/>
        </bottom>
      </border>
    </dxf>
  </dxfs>
  <tableStyles count="11" defaultTableStyle="TableStyleMedium2" defaultPivotStyle="PivotStyleLight16">
    <tableStyle name="New" pivot="0" count="9" xr9:uid="{00000000-0011-0000-FFFF-FFFF00000000}">
      <tableStyleElement type="wholeTable" dxfId="847"/>
      <tableStyleElement type="headerRow" dxfId="846"/>
      <tableStyleElement type="totalRow" dxfId="845"/>
      <tableStyleElement type="firstColumn" dxfId="844"/>
      <tableStyleElement type="lastColumn" dxfId="843"/>
      <tableStyleElement type="firstRowStripe" dxfId="842"/>
      <tableStyleElement type="secondRowStripe" dxfId="841"/>
      <tableStyleElement type="firstColumnStripe" dxfId="840"/>
      <tableStyleElement type="secondColumnStripe" dxfId="839"/>
    </tableStyle>
    <tableStyle name="New 2" pivot="0" count="10" xr9:uid="{00000000-0011-0000-FFFF-FFFF01000000}">
      <tableStyleElement type="wholeTable" dxfId="838"/>
      <tableStyleElement type="headerRow" dxfId="837"/>
      <tableStyleElement type="totalRow" dxfId="836"/>
      <tableStyleElement type="firstColumn" dxfId="835"/>
      <tableStyleElement type="lastColumn" dxfId="834"/>
      <tableStyleElement type="firstRowStripe" dxfId="833"/>
      <tableStyleElement type="secondRowStripe" dxfId="832"/>
      <tableStyleElement type="firstColumnStripe" dxfId="831"/>
      <tableStyleElement type="secondColumnStripe" dxfId="830"/>
      <tableStyleElement type="firstHeaderCell" dxfId="829"/>
    </tableStyle>
    <tableStyle name="New 2 2" pivot="0" count="10" xr9:uid="{00000000-0011-0000-FFFF-FFFF02000000}">
      <tableStyleElement type="wholeTable" dxfId="828"/>
      <tableStyleElement type="headerRow" dxfId="827"/>
      <tableStyleElement type="totalRow" dxfId="826"/>
      <tableStyleElement type="firstColumn" dxfId="825"/>
      <tableStyleElement type="lastColumn" dxfId="824"/>
      <tableStyleElement type="firstRowStripe" dxfId="823"/>
      <tableStyleElement type="secondRowStripe" dxfId="822"/>
      <tableStyleElement type="firstColumnStripe" dxfId="821"/>
      <tableStyleElement type="secondColumnStripe" dxfId="820"/>
      <tableStyleElement type="firstHeaderCell" dxfId="819"/>
    </tableStyle>
    <tableStyle name="New 2 2 2" pivot="0" count="10" xr9:uid="{00000000-0011-0000-FFFF-FFFF03000000}">
      <tableStyleElement type="wholeTable" dxfId="818"/>
      <tableStyleElement type="headerRow" dxfId="817"/>
      <tableStyleElement type="totalRow" dxfId="816"/>
      <tableStyleElement type="firstColumn" dxfId="815"/>
      <tableStyleElement type="lastColumn" dxfId="814"/>
      <tableStyleElement type="firstRowStripe" dxfId="813"/>
      <tableStyleElement type="secondRowStripe" dxfId="812"/>
      <tableStyleElement type="firstColumnStripe" dxfId="811"/>
      <tableStyleElement type="secondColumnStripe" dxfId="810"/>
      <tableStyleElement type="firstHeaderCell" dxfId="809"/>
    </tableStyle>
    <tableStyle name="Slicer Style 1" pivot="0" table="0" count="1" xr9:uid="{00000000-0011-0000-FFFF-FFFF04000000}">
      <tableStyleElement type="wholeTable" dxfId="808"/>
    </tableStyle>
    <tableStyle name="SlicerStyleLight1 2" pivot="0" table="0" count="10" xr9:uid="{00000000-0011-0000-FFFF-FFFF05000000}">
      <tableStyleElement type="wholeTable" dxfId="807"/>
      <tableStyleElement type="headerRow" dxfId="806"/>
    </tableStyle>
    <tableStyle name="SlicerStyleLight3 2" pivot="0" table="0" count="10" xr9:uid="{00000000-0011-0000-FFFF-FFFF06000000}">
      <tableStyleElement type="wholeTable" dxfId="805"/>
      <tableStyleElement type="headerRow" dxfId="804"/>
    </tableStyle>
    <tableStyle name="SlicerStyleLight3 3" pivot="0" table="0" count="10" xr9:uid="{00000000-0011-0000-FFFF-FFFF07000000}">
      <tableStyleElement type="wholeTable" dxfId="803"/>
      <tableStyleElement type="headerRow" dxfId="802"/>
    </tableStyle>
    <tableStyle name="SlicerStyleLight3 4" pivot="0" table="0" count="10" xr9:uid="{00000000-0011-0000-FFFF-FFFF08000000}">
      <tableStyleElement type="wholeTable" dxfId="801"/>
      <tableStyleElement type="headerRow" dxfId="800"/>
    </tableStyle>
    <tableStyle name="SlicerStyleLight3 5" pivot="0" table="0" count="10" xr9:uid="{00000000-0011-0000-FFFF-FFFF09000000}">
      <tableStyleElement type="wholeTable" dxfId="799"/>
      <tableStyleElement type="headerRow" dxfId="798"/>
    </tableStyle>
    <tableStyle name="Table Style 1" pivot="0" count="2" xr9:uid="{00000000-0011-0000-FFFF-FFFF0A000000}">
      <tableStyleElement type="wholeTable" dxfId="797"/>
      <tableStyleElement type="firstColumnStripe" size="2"/>
    </tableStyle>
  </tableStyles>
  <colors>
    <mruColors>
      <color rgb="FFE60000"/>
      <color rgb="FFCD1076"/>
      <color rgb="FFFFA07A"/>
      <color rgb="FF32CD32"/>
      <color rgb="FFCD0F76"/>
      <color rgb="FF8A2BE2"/>
      <color rgb="FFFF9912"/>
      <color rgb="FFCDC0B0"/>
      <color rgb="FF0000FF"/>
      <color rgb="FF458B74"/>
    </mruColors>
  </color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3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3 3">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3 4">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3 5">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pivotCacheDefinition" Target="pivotCache/pivotCacheDefinition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externalLink" Target="externalLinks/externalLink5.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calcChain" Target="calcChain.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externalLink" Target="externalLinks/externalLink6.xml"/><Relationship Id="rId118" Type="http://schemas.microsoft.com/office/2007/relationships/slicerCache" Target="slicerCaches/slicerCache1.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externalLink" Target="externalLinks/externalLink1.xml"/><Relationship Id="rId124" Type="http://schemas.microsoft.com/office/2006/relationships/vbaProject" Target="vbaProject.bin"/><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externalLink" Target="externalLinks/externalLink7.xml"/><Relationship Id="rId119" Type="http://schemas.openxmlformats.org/officeDocument/2006/relationships/theme" Target="theme/theme1.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2.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externalLink" Target="externalLinks/externalLink3.xml"/><Relationship Id="rId115" Type="http://schemas.openxmlformats.org/officeDocument/2006/relationships/externalLink" Target="externalLinks/externalLink8.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externalLink" Target="externalLinks/externalLink4.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درآمدها</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4752804775807522E-2"/>
          <c:y val="0.21386172039091947"/>
          <c:w val="0.94331264771678824"/>
          <c:h val="0.55187163723901134"/>
        </c:manualLayout>
      </c:layout>
      <c:bar3DChart>
        <c:barDir val="col"/>
        <c:grouping val="clustered"/>
        <c:varyColors val="0"/>
        <c:ser>
          <c:idx val="0"/>
          <c:order val="0"/>
          <c:tx>
            <c:strRef>
              <c:f>'در یک نگاه'!$S$41</c:f>
              <c:strCache>
                <c:ptCount val="1"/>
                <c:pt idx="0">
                  <c:v>عملکرد</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cap="flat" cmpd="sng" algn="ctr">
              <a:solidFill>
                <a:schemeClr val="accent3">
                  <a:shade val="95000"/>
                  <a:satMod val="105000"/>
                </a:schemeClr>
              </a:solidFill>
              <a:prstDash val="solid"/>
              <a:round/>
            </a:ln>
            <a:effectLst>
              <a:outerShdw blurRad="40000" dist="23000" dir="5400000" rotWithShape="0">
                <a:srgbClr val="000000">
                  <a:alpha val="35000"/>
                </a:srgbClr>
              </a:outerShdw>
            </a:effectLst>
            <a:sp3d contourW="9525">
              <a:contourClr>
                <a:schemeClr val="accent3">
                  <a:shade val="95000"/>
                  <a:satMod val="10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نگاه'!$R$42:$R$112</c:f>
              <c:strCach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انبارداری واردات</c:v>
                </c:pt>
                <c:pt idx="36">
                  <c:v>باربری واردات</c:v>
                </c:pt>
                <c:pt idx="37">
                  <c:v>حمل یکسره واردات</c:v>
                </c:pt>
                <c:pt idx="38">
                  <c:v>ترانشیپ واردات</c:v>
                </c:pt>
                <c:pt idx="39">
                  <c:v>خدمات باربری واردات</c:v>
                </c:pt>
                <c:pt idx="40">
                  <c:v>انبارداری صادرات</c:v>
                </c:pt>
                <c:pt idx="41">
                  <c:v>باربری صادرات</c:v>
                </c:pt>
                <c:pt idx="42">
                  <c:v>حمل یکسره صادرات</c:v>
                </c:pt>
                <c:pt idx="43">
                  <c:v>ترانشیپ صادرات</c:v>
                </c:pt>
                <c:pt idx="44">
                  <c:v>خدمات باربری صادرات</c:v>
                </c:pt>
                <c:pt idx="45">
                  <c:v>حمل‌ونقل داخلی</c:v>
                </c:pt>
                <c:pt idx="46">
                  <c:v>حمل‌ونقل داخلی</c:v>
                </c:pt>
                <c:pt idx="47">
                  <c:v>0</c:v>
                </c:pt>
                <c:pt idx="48">
                  <c:v>0</c:v>
                </c:pt>
                <c:pt idx="49">
                  <c:v>0</c:v>
                </c:pt>
                <c:pt idx="50">
                  <c:v>0</c:v>
                </c:pt>
                <c:pt idx="51">
                  <c:v>0</c:v>
                </c:pt>
                <c:pt idx="52">
                  <c:v>0</c:v>
                </c:pt>
                <c:pt idx="53">
                  <c:v>0</c:v>
                </c:pt>
                <c:pt idx="54">
                  <c:v>0</c:v>
                </c:pt>
                <c:pt idx="55">
                  <c:v>صادرات 0</c:v>
                </c:pt>
                <c:pt idx="56">
                  <c:v>صادرات 0</c:v>
                </c:pt>
                <c:pt idx="57">
                  <c:v>صادرات 0</c:v>
                </c:pt>
                <c:pt idx="58">
                  <c:v>صادرات 0</c:v>
                </c:pt>
                <c:pt idx="59">
                  <c:v>صادرات 0</c:v>
                </c:pt>
                <c:pt idx="60">
                  <c:v>صادرات 0</c:v>
                </c:pt>
                <c:pt idx="61">
                  <c:v>صادرات 0</c:v>
                </c:pt>
                <c:pt idx="62">
                  <c:v>صادرات 0</c:v>
                </c:pt>
                <c:pt idx="63">
                  <c:v>صادرات 0</c:v>
                </c:pt>
                <c:pt idx="64">
                  <c:v>صادرات 0</c:v>
                </c:pt>
                <c:pt idx="65">
                  <c:v>صادرات 0</c:v>
                </c:pt>
                <c:pt idx="66">
                  <c:v>صادرات 0</c:v>
                </c:pt>
                <c:pt idx="67">
                  <c:v>گردش سهام</c:v>
                </c:pt>
                <c:pt idx="68">
                  <c:v>سود سهام</c:v>
                </c:pt>
                <c:pt idx="69">
                  <c:v>سایر عملیاتی</c:v>
                </c:pt>
                <c:pt idx="70">
                  <c:v>سایر غیرعملیاتی</c:v>
                </c:pt>
              </c:strCache>
            </c:strRef>
          </c:cat>
          <c:val>
            <c:numRef>
              <c:f>'در یک نگاه'!$S$42:$S$112</c:f>
              <c:numCache>
                <c:formatCode>#,###,;\(#,###,\)</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528593</c:v>
                </c:pt>
                <c:pt idx="36">
                  <c:v>808273</c:v>
                </c:pt>
                <c:pt idx="37">
                  <c:v>479</c:v>
                </c:pt>
                <c:pt idx="38">
                  <c:v>164419</c:v>
                </c:pt>
                <c:pt idx="39">
                  <c:v>118106</c:v>
                </c:pt>
                <c:pt idx="40">
                  <c:v>50631</c:v>
                </c:pt>
                <c:pt idx="41">
                  <c:v>44261</c:v>
                </c:pt>
                <c:pt idx="42">
                  <c:v>0</c:v>
                </c:pt>
                <c:pt idx="43">
                  <c:v>949122</c:v>
                </c:pt>
                <c:pt idx="44">
                  <c:v>34526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1042459</c:v>
                </c:pt>
                <c:pt idx="70">
                  <c:v>100</c:v>
                </c:pt>
              </c:numCache>
            </c:numRef>
          </c:val>
          <c:extLst>
            <c:ext xmlns:c16="http://schemas.microsoft.com/office/drawing/2014/chart" uri="{C3380CC4-5D6E-409C-BE32-E72D297353CC}">
              <c16:uniqueId val="{00000000-8B98-4ECC-A803-628DAED6F25C}"/>
            </c:ext>
          </c:extLst>
        </c:ser>
        <c:ser>
          <c:idx val="1"/>
          <c:order val="1"/>
          <c:tx>
            <c:strRef>
              <c:f>'در یک نگاه'!$T$41</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نگاه'!$R$42:$R$112</c:f>
              <c:strCach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انبارداری واردات</c:v>
                </c:pt>
                <c:pt idx="36">
                  <c:v>باربری واردات</c:v>
                </c:pt>
                <c:pt idx="37">
                  <c:v>حمل یکسره واردات</c:v>
                </c:pt>
                <c:pt idx="38">
                  <c:v>ترانشیپ واردات</c:v>
                </c:pt>
                <c:pt idx="39">
                  <c:v>خدمات باربری واردات</c:v>
                </c:pt>
                <c:pt idx="40">
                  <c:v>انبارداری صادرات</c:v>
                </c:pt>
                <c:pt idx="41">
                  <c:v>باربری صادرات</c:v>
                </c:pt>
                <c:pt idx="42">
                  <c:v>حمل یکسره صادرات</c:v>
                </c:pt>
                <c:pt idx="43">
                  <c:v>ترانشیپ صادرات</c:v>
                </c:pt>
                <c:pt idx="44">
                  <c:v>خدمات باربری صادرات</c:v>
                </c:pt>
                <c:pt idx="45">
                  <c:v>حمل‌ونقل داخلی</c:v>
                </c:pt>
                <c:pt idx="46">
                  <c:v>حمل‌ونقل داخلی</c:v>
                </c:pt>
                <c:pt idx="47">
                  <c:v>0</c:v>
                </c:pt>
                <c:pt idx="48">
                  <c:v>0</c:v>
                </c:pt>
                <c:pt idx="49">
                  <c:v>0</c:v>
                </c:pt>
                <c:pt idx="50">
                  <c:v>0</c:v>
                </c:pt>
                <c:pt idx="51">
                  <c:v>0</c:v>
                </c:pt>
                <c:pt idx="52">
                  <c:v>0</c:v>
                </c:pt>
                <c:pt idx="53">
                  <c:v>0</c:v>
                </c:pt>
                <c:pt idx="54">
                  <c:v>0</c:v>
                </c:pt>
                <c:pt idx="55">
                  <c:v>صادرات 0</c:v>
                </c:pt>
                <c:pt idx="56">
                  <c:v>صادرات 0</c:v>
                </c:pt>
                <c:pt idx="57">
                  <c:v>صادرات 0</c:v>
                </c:pt>
                <c:pt idx="58">
                  <c:v>صادرات 0</c:v>
                </c:pt>
                <c:pt idx="59">
                  <c:v>صادرات 0</c:v>
                </c:pt>
                <c:pt idx="60">
                  <c:v>صادرات 0</c:v>
                </c:pt>
                <c:pt idx="61">
                  <c:v>صادرات 0</c:v>
                </c:pt>
                <c:pt idx="62">
                  <c:v>صادرات 0</c:v>
                </c:pt>
                <c:pt idx="63">
                  <c:v>صادرات 0</c:v>
                </c:pt>
                <c:pt idx="64">
                  <c:v>صادرات 0</c:v>
                </c:pt>
                <c:pt idx="65">
                  <c:v>صادرات 0</c:v>
                </c:pt>
                <c:pt idx="66">
                  <c:v>صادرات 0</c:v>
                </c:pt>
                <c:pt idx="67">
                  <c:v>گردش سهام</c:v>
                </c:pt>
                <c:pt idx="68">
                  <c:v>سود سهام</c:v>
                </c:pt>
                <c:pt idx="69">
                  <c:v>سایر عملیاتی</c:v>
                </c:pt>
                <c:pt idx="70">
                  <c:v>سایر غیرعملیاتی</c:v>
                </c:pt>
              </c:strCache>
            </c:strRef>
          </c:cat>
          <c:val>
            <c:numRef>
              <c:f>'در یک نگاه'!$T$42:$T$112</c:f>
              <c:numCache>
                <c:formatCode>#,###,;\(#,###,\)</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615444</c:v>
                </c:pt>
                <c:pt idx="36">
                  <c:v>690927.00000000012</c:v>
                </c:pt>
                <c:pt idx="37">
                  <c:v>67</c:v>
                </c:pt>
                <c:pt idx="38">
                  <c:v>146941</c:v>
                </c:pt>
                <c:pt idx="39">
                  <c:v>132255</c:v>
                </c:pt>
                <c:pt idx="40">
                  <c:v>46391</c:v>
                </c:pt>
                <c:pt idx="41">
                  <c:v>56912</c:v>
                </c:pt>
                <c:pt idx="42">
                  <c:v>0</c:v>
                </c:pt>
                <c:pt idx="43">
                  <c:v>8953</c:v>
                </c:pt>
                <c:pt idx="44">
                  <c:v>55246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9">
                  <c:v>922003</c:v>
                </c:pt>
                <c:pt idx="70">
                  <c:v>5</c:v>
                </c:pt>
              </c:numCache>
            </c:numRef>
          </c:val>
          <c:extLst>
            <c:ext xmlns:c16="http://schemas.microsoft.com/office/drawing/2014/chart" uri="{C3380CC4-5D6E-409C-BE32-E72D297353CC}">
              <c16:uniqueId val="{00000001-8B98-4ECC-A803-628DAED6F25C}"/>
            </c:ext>
          </c:extLst>
        </c:ser>
        <c:dLbls>
          <c:showLegendKey val="0"/>
          <c:showVal val="1"/>
          <c:showCatName val="0"/>
          <c:showSerName val="0"/>
          <c:showPercent val="0"/>
          <c:showBubbleSize val="0"/>
        </c:dLbls>
        <c:gapWidth val="65"/>
        <c:shape val="box"/>
        <c:axId val="213737280"/>
        <c:axId val="213737824"/>
        <c:axId val="0"/>
      </c:bar3DChart>
      <c:catAx>
        <c:axId val="2137372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600" b="1" i="0" u="none" strike="noStrike" kern="1200" cap="all" baseline="0">
                <a:solidFill>
                  <a:schemeClr val="dk1">
                    <a:lumMod val="75000"/>
                    <a:lumOff val="25000"/>
                  </a:schemeClr>
                </a:solidFill>
                <a:latin typeface="+mn-lt"/>
                <a:ea typeface="+mn-ea"/>
                <a:cs typeface="B Nazanin" panose="00000400000000000000" pitchFamily="2" charset="-78"/>
              </a:defRPr>
            </a:pPr>
            <a:endParaRPr lang="en-US"/>
          </a:p>
        </c:txPr>
        <c:crossAx val="213737824"/>
        <c:crosses val="autoZero"/>
        <c:auto val="1"/>
        <c:lblAlgn val="ctr"/>
        <c:lblOffset val="100"/>
        <c:noMultiLvlLbl val="0"/>
      </c:catAx>
      <c:valAx>
        <c:axId val="213737824"/>
        <c:scaling>
          <c:orientation val="minMax"/>
        </c:scaling>
        <c:delete val="1"/>
        <c:axPos val="l"/>
        <c:majorGridlines>
          <c:spPr>
            <a:ln w="9525" cap="flat" cmpd="sng" algn="ctr">
              <a:solidFill>
                <a:schemeClr val="dk1">
                  <a:lumMod val="15000"/>
                  <a:lumOff val="85000"/>
                </a:schemeClr>
              </a:solidFill>
              <a:round/>
            </a:ln>
            <a:effectLst/>
          </c:spPr>
        </c:majorGridlines>
        <c:numFmt formatCode="#,###,;\(#,###,\)" sourceLinked="1"/>
        <c:majorTickMark val="none"/>
        <c:minorTickMark val="none"/>
        <c:tickLblPos val="nextTo"/>
        <c:crossAx val="213737280"/>
        <c:crosses val="autoZero"/>
        <c:crossBetween val="between"/>
      </c:valAx>
      <c:spPr>
        <a:noFill/>
        <a:ln>
          <a:noFill/>
        </a:ln>
        <a:effectLst/>
      </c:spPr>
    </c:plotArea>
    <c:legend>
      <c:legendPos val="t"/>
      <c:layout>
        <c:manualLayout>
          <c:xMode val="edge"/>
          <c:yMode val="edge"/>
          <c:x val="5.3494363907060173E-2"/>
          <c:y val="3.420219244823388E-2"/>
          <c:w val="0.22846561656711212"/>
          <c:h val="8.2217384215523617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هزینه ‏ها </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2163750095259493E-2"/>
          <c:y val="0.20899641669081212"/>
          <c:w val="0.93567249980948097"/>
          <c:h val="0.64225086465214021"/>
        </c:manualLayout>
      </c:layout>
      <c:bar3DChart>
        <c:barDir val="col"/>
        <c:grouping val="clustered"/>
        <c:varyColors val="0"/>
        <c:ser>
          <c:idx val="0"/>
          <c:order val="0"/>
          <c:tx>
            <c:strRef>
              <c:f>'در یک نگاه'!$U$13</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نگاه'!$T$14:$T$18</c:f>
              <c:strCache>
                <c:ptCount val="5"/>
                <c:pt idx="0">
                  <c:v>پرسنلی</c:v>
                </c:pt>
                <c:pt idx="1">
                  <c:v>مواد اولیه مصرفی</c:v>
                </c:pt>
                <c:pt idx="2">
                  <c:v>سربار</c:v>
                </c:pt>
                <c:pt idx="3">
                  <c:v>کالای تجاری</c:v>
                </c:pt>
                <c:pt idx="4">
                  <c:v>سایر</c:v>
                </c:pt>
              </c:strCache>
            </c:strRef>
          </c:cat>
          <c:val>
            <c:numRef>
              <c:f>'در یک نگاه'!$U$14:$U$18</c:f>
              <c:numCache>
                <c:formatCode>#,###,;\(#,###,\)</c:formatCode>
                <c:ptCount val="5"/>
                <c:pt idx="0">
                  <c:v>1356288</c:v>
                </c:pt>
                <c:pt idx="1">
                  <c:v>0</c:v>
                </c:pt>
                <c:pt idx="2">
                  <c:v>840989</c:v>
                </c:pt>
                <c:pt idx="3">
                  <c:v>0</c:v>
                </c:pt>
                <c:pt idx="4" formatCode="#,###,">
                  <c:v>1761334</c:v>
                </c:pt>
              </c:numCache>
            </c:numRef>
          </c:val>
          <c:extLst>
            <c:ext xmlns:c16="http://schemas.microsoft.com/office/drawing/2014/chart" uri="{C3380CC4-5D6E-409C-BE32-E72D297353CC}">
              <c16:uniqueId val="{00000000-CBA6-429E-82D2-DF57C3F6D90F}"/>
            </c:ext>
          </c:extLst>
        </c:ser>
        <c:ser>
          <c:idx val="1"/>
          <c:order val="1"/>
          <c:tx>
            <c:strRef>
              <c:f>'در یک نگاه'!$V$13</c:f>
              <c:strCache>
                <c:ptCount val="1"/>
                <c:pt idx="0">
                  <c:v>عملکرد</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'در یک نگاه'!$V$14:$V$18</c:f>
              <c:numCache>
                <c:formatCode>#,###,;\(#,###,\)</c:formatCode>
                <c:ptCount val="5"/>
                <c:pt idx="0">
                  <c:v>1466479</c:v>
                </c:pt>
                <c:pt idx="1">
                  <c:v>0</c:v>
                </c:pt>
                <c:pt idx="2">
                  <c:v>1708534</c:v>
                </c:pt>
                <c:pt idx="3">
                  <c:v>0</c:v>
                </c:pt>
                <c:pt idx="4" formatCode="#,###,">
                  <c:v>40035</c:v>
                </c:pt>
              </c:numCache>
            </c:numRef>
          </c:val>
          <c:extLst>
            <c:ext xmlns:c16="http://schemas.microsoft.com/office/drawing/2014/chart" uri="{C3380CC4-5D6E-409C-BE32-E72D297353CC}">
              <c16:uniqueId val="{00000001-CBA6-429E-82D2-DF57C3F6D90F}"/>
            </c:ext>
          </c:extLst>
        </c:ser>
        <c:dLbls>
          <c:showLegendKey val="0"/>
          <c:showVal val="1"/>
          <c:showCatName val="0"/>
          <c:showSerName val="0"/>
          <c:showPercent val="0"/>
          <c:showBubbleSize val="0"/>
        </c:dLbls>
        <c:gapWidth val="65"/>
        <c:shape val="box"/>
        <c:axId val="213738912"/>
        <c:axId val="213744352"/>
        <c:axId val="0"/>
      </c:bar3DChart>
      <c:catAx>
        <c:axId val="213738912"/>
        <c:scaling>
          <c:orientation val="maxMin"/>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B Nazanin" panose="00000400000000000000" pitchFamily="2" charset="-78"/>
              </a:defRPr>
            </a:pPr>
            <a:endParaRPr lang="en-US"/>
          </a:p>
        </c:txPr>
        <c:crossAx val="213744352"/>
        <c:crosses val="autoZero"/>
        <c:auto val="1"/>
        <c:lblAlgn val="ctr"/>
        <c:lblOffset val="100"/>
        <c:noMultiLvlLbl val="0"/>
      </c:catAx>
      <c:valAx>
        <c:axId val="213744352"/>
        <c:scaling>
          <c:orientation val="minMax"/>
        </c:scaling>
        <c:delete val="1"/>
        <c:axPos val="r"/>
        <c:majorGridlines>
          <c:spPr>
            <a:ln w="9525" cap="flat" cmpd="sng" algn="ctr">
              <a:solidFill>
                <a:schemeClr val="dk1">
                  <a:lumMod val="15000"/>
                  <a:lumOff val="85000"/>
                </a:schemeClr>
              </a:solidFill>
              <a:round/>
            </a:ln>
            <a:effectLst/>
          </c:spPr>
        </c:majorGridlines>
        <c:numFmt formatCode="#,###,;\(#,###,\)" sourceLinked="1"/>
        <c:majorTickMark val="none"/>
        <c:minorTickMark val="none"/>
        <c:tickLblPos val="nextTo"/>
        <c:crossAx val="213738912"/>
        <c:crosses val="autoZero"/>
        <c:crossBetween val="between"/>
      </c:valAx>
      <c:spPr>
        <a:noFill/>
        <a:ln>
          <a:noFill/>
        </a:ln>
        <a:effectLst/>
      </c:spPr>
    </c:plotArea>
    <c:legend>
      <c:legendPos val="t"/>
      <c:layout>
        <c:manualLayout>
          <c:xMode val="edge"/>
          <c:yMode val="edge"/>
          <c:x val="3.4105547291418549E-2"/>
          <c:y val="5.2518219128342612E-2"/>
          <c:w val="0.34971274801140767"/>
          <c:h val="9.8254007841468843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سود خالص قبل از مالیات</a:t>
            </a:r>
            <a:endParaRPr lang="en-US" sz="1200">
              <a:cs typeface="B Nazanin" panose="00000400000000000000" pitchFamily="2" charset="-78"/>
            </a:endParaRP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'در یک نگاه'!$T$2</c:f>
              <c:strCache>
                <c:ptCount val="1"/>
                <c:pt idx="0">
                  <c:v>عملکرد</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0-60A0-46CF-A39F-0692C96F687A}"/>
              </c:ext>
            </c:extLst>
          </c:dPt>
          <c:dPt>
            <c:idx val="1"/>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60A0-46CF-A39F-0692C96F687A}"/>
              </c:ext>
            </c:extLst>
          </c:dPt>
          <c:dPt>
            <c:idx val="2"/>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60A0-46CF-A39F-0692C96F687A}"/>
              </c:ext>
            </c:extLst>
          </c:dPt>
          <c:dLbls>
            <c:spPr>
              <a:solidFill>
                <a:sysClr val="windowText" lastClr="000000">
                  <a:lumMod val="65000"/>
                  <a:lumOff val="35000"/>
                  <a:alpha val="75000"/>
                </a:sysClr>
              </a:solidFill>
              <a:ln>
                <a:noFill/>
              </a:ln>
              <a:effectLst/>
            </c:spPr>
            <c:txPr>
              <a:bodyPr rot="-540000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numRef>
              <c:f>'در یک نگاه'!$T$5:$T$7</c:f>
              <c:numCache>
                <c:formatCode>0</c:formatCode>
                <c:ptCount val="3"/>
                <c:pt idx="0" formatCode="#,###,;\(#,###,\)">
                  <c:v>525921</c:v>
                </c:pt>
              </c:numCache>
            </c:numRef>
          </c:cat>
          <c:val>
            <c:numRef>
              <c:f>'در یک نگاه'!$T$5</c:f>
              <c:numCache>
                <c:formatCode>#,###,;\(#,###,\)</c:formatCode>
                <c:ptCount val="1"/>
                <c:pt idx="0">
                  <c:v>525921</c:v>
                </c:pt>
              </c:numCache>
            </c:numRef>
          </c:val>
          <c:extLst>
            <c:ext xmlns:c16="http://schemas.microsoft.com/office/drawing/2014/chart" uri="{C3380CC4-5D6E-409C-BE32-E72D297353CC}">
              <c16:uniqueId val="{00000005-60A0-46CF-A39F-0692C96F687A}"/>
            </c:ext>
          </c:extLst>
        </c:ser>
        <c:ser>
          <c:idx val="1"/>
          <c:order val="1"/>
          <c:tx>
            <c:strRef>
              <c:f>'در یک نگاه'!$U$2</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solidFill>
                <a:sysClr val="windowText" lastClr="000000">
                  <a:lumMod val="65000"/>
                  <a:lumOff val="35000"/>
                  <a:alpha val="75000"/>
                </a:sysClr>
              </a:solidFill>
              <a:ln>
                <a:noFill/>
              </a:ln>
              <a:effectLst/>
            </c:spPr>
            <c:txPr>
              <a:bodyPr rot="-540000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val>
            <c:numRef>
              <c:f>'در یک نگاه'!$U$5</c:f>
              <c:numCache>
                <c:formatCode>#,###,;\(#,###,\)</c:formatCode>
                <c:ptCount val="1"/>
                <c:pt idx="0">
                  <c:v>-1283467</c:v>
                </c:pt>
              </c:numCache>
            </c:numRef>
          </c:val>
          <c:extLst>
            <c:ext xmlns:c16="http://schemas.microsoft.com/office/drawing/2014/chart" uri="{C3380CC4-5D6E-409C-BE32-E72D297353CC}">
              <c16:uniqueId val="{00000006-60A0-46CF-A39F-0692C96F687A}"/>
            </c:ext>
          </c:extLst>
        </c:ser>
        <c:dLbls>
          <c:showLegendKey val="0"/>
          <c:showVal val="0"/>
          <c:showCatName val="0"/>
          <c:showSerName val="0"/>
          <c:showPercent val="0"/>
          <c:showBubbleSize val="0"/>
        </c:dLbls>
        <c:gapWidth val="65"/>
        <c:shape val="box"/>
        <c:axId val="213731296"/>
        <c:axId val="213739456"/>
        <c:axId val="0"/>
      </c:bar3DChart>
      <c:catAx>
        <c:axId val="213731296"/>
        <c:scaling>
          <c:orientation val="minMax"/>
        </c:scaling>
        <c:delete val="1"/>
        <c:axPos val="b"/>
        <c:numFmt formatCode="#,###,;\(#,###,\)" sourceLinked="1"/>
        <c:majorTickMark val="none"/>
        <c:minorTickMark val="none"/>
        <c:tickLblPos val="nextTo"/>
        <c:crossAx val="213739456"/>
        <c:crosses val="autoZero"/>
        <c:auto val="1"/>
        <c:lblAlgn val="ctr"/>
        <c:lblOffset val="100"/>
        <c:noMultiLvlLbl val="0"/>
      </c:catAx>
      <c:valAx>
        <c:axId val="213739456"/>
        <c:scaling>
          <c:orientation val="minMax"/>
        </c:scaling>
        <c:delete val="1"/>
        <c:axPos val="l"/>
        <c:majorGridlines>
          <c:spPr>
            <a:ln w="9525" cap="flat" cmpd="sng" algn="ctr">
              <a:solidFill>
                <a:schemeClr val="dk1">
                  <a:lumMod val="15000"/>
                  <a:lumOff val="85000"/>
                </a:schemeClr>
              </a:solidFill>
              <a:round/>
            </a:ln>
            <a:effectLst/>
          </c:spPr>
        </c:majorGridlines>
        <c:numFmt formatCode="#,###,;\(#,###,\)" sourceLinked="1"/>
        <c:majorTickMark val="none"/>
        <c:minorTickMark val="none"/>
        <c:tickLblPos val="nextTo"/>
        <c:crossAx val="21373129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تعداد پرسنل</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2163742690058478E-2"/>
          <c:y val="0.22719068413391558"/>
          <c:w val="0.93567251461988299"/>
          <c:h val="0.61308072298822913"/>
        </c:manualLayout>
      </c:layout>
      <c:bar3DChart>
        <c:barDir val="col"/>
        <c:grouping val="clustered"/>
        <c:varyColors val="0"/>
        <c:ser>
          <c:idx val="0"/>
          <c:order val="0"/>
          <c:tx>
            <c:strRef>
              <c:f>'در یک نگاه'!$U$27</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نگاه'!$T$28:$T$30</c:f>
              <c:strCache>
                <c:ptCount val="3"/>
                <c:pt idx="0">
                  <c:v>رسمی</c:v>
                </c:pt>
                <c:pt idx="1">
                  <c:v>قراردادی</c:v>
                </c:pt>
                <c:pt idx="2">
                  <c:v>پیمانکار</c:v>
                </c:pt>
              </c:strCache>
            </c:strRef>
          </c:cat>
          <c:val>
            <c:numRef>
              <c:f>'در یک نگاه'!$U$28:$U$30</c:f>
              <c:numCache>
                <c:formatCode>#,##0</c:formatCode>
                <c:ptCount val="3"/>
                <c:pt idx="0">
                  <c:v>0</c:v>
                </c:pt>
                <c:pt idx="1">
                  <c:v>197</c:v>
                </c:pt>
                <c:pt idx="2">
                  <c:v>110</c:v>
                </c:pt>
              </c:numCache>
            </c:numRef>
          </c:val>
          <c:extLst>
            <c:ext xmlns:c16="http://schemas.microsoft.com/office/drawing/2014/chart" uri="{C3380CC4-5D6E-409C-BE32-E72D297353CC}">
              <c16:uniqueId val="{00000000-11E1-4A39-B4BF-F95616544A3C}"/>
            </c:ext>
          </c:extLst>
        </c:ser>
        <c:ser>
          <c:idx val="1"/>
          <c:order val="1"/>
          <c:tx>
            <c:strRef>
              <c:f>'در یک نگاه'!$V$27</c:f>
              <c:strCache>
                <c:ptCount val="1"/>
                <c:pt idx="0">
                  <c:v>عملکرد</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نگاه'!$T$28:$T$30</c:f>
              <c:strCache>
                <c:ptCount val="3"/>
                <c:pt idx="0">
                  <c:v>رسمی</c:v>
                </c:pt>
                <c:pt idx="1">
                  <c:v>قراردادی</c:v>
                </c:pt>
                <c:pt idx="2">
                  <c:v>پیمانکار</c:v>
                </c:pt>
              </c:strCache>
            </c:strRef>
          </c:cat>
          <c:val>
            <c:numRef>
              <c:f>'در یک نگاه'!$V$28:$V$30</c:f>
              <c:numCache>
                <c:formatCode>#,##0</c:formatCode>
                <c:ptCount val="3"/>
                <c:pt idx="0">
                  <c:v>0</c:v>
                </c:pt>
                <c:pt idx="1">
                  <c:v>193</c:v>
                </c:pt>
                <c:pt idx="2">
                  <c:v>49</c:v>
                </c:pt>
              </c:numCache>
            </c:numRef>
          </c:val>
          <c:extLst>
            <c:ext xmlns:c16="http://schemas.microsoft.com/office/drawing/2014/chart" uri="{C3380CC4-5D6E-409C-BE32-E72D297353CC}">
              <c16:uniqueId val="{00000001-11E1-4A39-B4BF-F95616544A3C}"/>
            </c:ext>
          </c:extLst>
        </c:ser>
        <c:dLbls>
          <c:showLegendKey val="0"/>
          <c:showVal val="1"/>
          <c:showCatName val="0"/>
          <c:showSerName val="0"/>
          <c:showPercent val="0"/>
          <c:showBubbleSize val="0"/>
        </c:dLbls>
        <c:gapWidth val="65"/>
        <c:shape val="box"/>
        <c:axId val="101238272"/>
        <c:axId val="101239904"/>
        <c:axId val="0"/>
      </c:bar3DChart>
      <c:catAx>
        <c:axId val="10123827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B Nazanin" panose="00000400000000000000" pitchFamily="2" charset="-78"/>
              </a:defRPr>
            </a:pPr>
            <a:endParaRPr lang="en-US"/>
          </a:p>
        </c:txPr>
        <c:crossAx val="101239904"/>
        <c:crosses val="autoZero"/>
        <c:auto val="1"/>
        <c:lblAlgn val="ctr"/>
        <c:lblOffset val="100"/>
        <c:noMultiLvlLbl val="0"/>
      </c:catAx>
      <c:valAx>
        <c:axId val="101239904"/>
        <c:scaling>
          <c:orientation val="minMax"/>
        </c:scaling>
        <c:delete val="1"/>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crossAx val="101238272"/>
        <c:crosses val="autoZero"/>
        <c:crossBetween val="between"/>
      </c:valAx>
      <c:spPr>
        <a:noFill/>
        <a:ln>
          <a:noFill/>
        </a:ln>
        <a:effectLst/>
      </c:spPr>
    </c:plotArea>
    <c:legend>
      <c:legendPos val="b"/>
      <c:layout>
        <c:manualLayout>
          <c:xMode val="edge"/>
          <c:yMode val="edge"/>
          <c:x val="3.4623106322236037E-2"/>
          <c:y val="5.7495673302845877E-2"/>
          <c:w val="0.31974766312105724"/>
          <c:h val="9.8253962796135214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cs typeface="B Titr" panose="00000700000000000000" pitchFamily="2" charset="-78"/>
              </a:rPr>
              <a:t>سهم</a:t>
            </a:r>
            <a:r>
              <a:rPr lang="fa-IR" baseline="0">
                <a:cs typeface="B Titr" panose="00000700000000000000" pitchFamily="2" charset="-78"/>
              </a:rPr>
              <a:t> حوزه‌ها در سال جاری</a:t>
            </a:r>
            <a:endParaRPr lang="en-US">
              <a:cs typeface="B Titr" panose="00000700000000000000" pitchFamily="2" charset="-78"/>
            </a:endParaRPr>
          </a:p>
        </c:rich>
      </c:tx>
      <c:layout>
        <c:manualLayout>
          <c:xMode val="edge"/>
          <c:yMode val="edge"/>
          <c:x val="0.66354915685737903"/>
          <c:y val="2.73590149031232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AA-44C2-B292-C661CFB586D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AA-44C2-B292-C661CFB586D8}"/>
              </c:ext>
            </c:extLst>
          </c:dPt>
          <c:dPt>
            <c:idx val="2"/>
            <c:bubble3D val="0"/>
            <c:explosion val="10"/>
            <c:spPr>
              <a:solidFill>
                <a:schemeClr val="accent3"/>
              </a:solidFill>
              <a:ln w="19050">
                <a:solidFill>
                  <a:schemeClr val="lt1"/>
                </a:solidFill>
              </a:ln>
              <a:effectLst/>
            </c:spPr>
            <c:extLst>
              <c:ext xmlns:c16="http://schemas.microsoft.com/office/drawing/2014/chart" uri="{C3380CC4-5D6E-409C-BE32-E72D297353CC}">
                <c16:uniqueId val="{00000005-25AA-44C2-B292-C661CFB586D8}"/>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B Titr" panose="00000700000000000000" pitchFamily="2" charset="-78"/>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واردات!$A$88:$A$90</c:f>
              <c:strCache>
                <c:ptCount val="3"/>
                <c:pt idx="0">
                  <c:v>دریایی</c:v>
                </c:pt>
                <c:pt idx="1">
                  <c:v>هوائی</c:v>
                </c:pt>
                <c:pt idx="2">
                  <c:v>زمینی</c:v>
                </c:pt>
              </c:strCache>
            </c:strRef>
          </c:cat>
          <c:val>
            <c:numRef>
              <c:f>واردات!$E$88:$E$90</c:f>
              <c:numCache>
                <c:formatCode>#,##0_);[Red]\(#,##0\)</c:formatCode>
                <c:ptCount val="3"/>
              </c:numCache>
            </c:numRef>
          </c:val>
          <c:extLst>
            <c:ext xmlns:c16="http://schemas.microsoft.com/office/drawing/2014/chart" uri="{C3380CC4-5D6E-409C-BE32-E72D297353CC}">
              <c16:uniqueId val="{00000006-25AA-44C2-B292-C661CFB586D8}"/>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62960882957460695"/>
          <c:y val="0.75570923245191557"/>
          <c:w val="0.35484024496937883"/>
          <c:h val="0.2130233219445150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B Titr" panose="00000700000000000000" pitchFamily="2" charset="-78"/>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cs typeface="B Titr" panose="00000700000000000000" pitchFamily="2" charset="-78"/>
              </a:rPr>
              <a:t>سهم</a:t>
            </a:r>
            <a:r>
              <a:rPr lang="fa-IR" baseline="0">
                <a:cs typeface="B Titr" panose="00000700000000000000" pitchFamily="2" charset="-78"/>
              </a:rPr>
              <a:t> حوزه‌ها در سال جاری</a:t>
            </a:r>
            <a:endParaRPr lang="en-US">
              <a:cs typeface="B Titr" panose="00000700000000000000" pitchFamily="2" charset="-78"/>
            </a:endParaRPr>
          </a:p>
        </c:rich>
      </c:tx>
      <c:layout>
        <c:manualLayout>
          <c:xMode val="edge"/>
          <c:yMode val="edge"/>
          <c:x val="0.66354915685737903"/>
          <c:y val="2.73590149031232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7765896762904638"/>
          <c:y val="0.17417485305125363"/>
          <c:w val="0.24690428696412947"/>
          <c:h val="0.6550150575319573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F93-4224-AFCA-236ED86441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F93-4224-AFCA-236ED86441E5}"/>
              </c:ext>
            </c:extLst>
          </c:dPt>
          <c:dPt>
            <c:idx val="2"/>
            <c:bubble3D val="0"/>
            <c:explosion val="10"/>
            <c:spPr>
              <a:solidFill>
                <a:schemeClr val="accent3"/>
              </a:solidFill>
              <a:ln w="19050">
                <a:solidFill>
                  <a:schemeClr val="lt1"/>
                </a:solidFill>
              </a:ln>
              <a:effectLst/>
            </c:spPr>
            <c:extLst>
              <c:ext xmlns:c16="http://schemas.microsoft.com/office/drawing/2014/chart" uri="{C3380CC4-5D6E-409C-BE32-E72D297353CC}">
                <c16:uniqueId val="{00000005-CF93-4224-AFCA-236ED86441E5}"/>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B Titr" panose="00000700000000000000" pitchFamily="2" charset="-78"/>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صادرات!$A$88:$A$90</c:f>
              <c:strCache>
                <c:ptCount val="3"/>
                <c:pt idx="0">
                  <c:v>دریایی</c:v>
                </c:pt>
                <c:pt idx="1">
                  <c:v>هوائی</c:v>
                </c:pt>
                <c:pt idx="2">
                  <c:v>زمینی</c:v>
                </c:pt>
              </c:strCache>
            </c:strRef>
          </c:cat>
          <c:val>
            <c:numRef>
              <c:f>صادرات!$E$88:$E$90</c:f>
              <c:numCache>
                <c:formatCode>#,##0_);[Red]\(#,##0\)</c:formatCode>
                <c:ptCount val="3"/>
              </c:numCache>
            </c:numRef>
          </c:val>
          <c:extLst>
            <c:ext xmlns:c16="http://schemas.microsoft.com/office/drawing/2014/chart" uri="{C3380CC4-5D6E-409C-BE32-E72D297353CC}">
              <c16:uniqueId val="{00000006-CF93-4224-AFCA-236ED86441E5}"/>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62960882957460695"/>
          <c:y val="0.75570923245191557"/>
          <c:w val="0.35484024496937883"/>
          <c:h val="0.2130233219445150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B Titr" panose="00000700000000000000" pitchFamily="2" charset="-78"/>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7326</xdr:colOff>
      <xdr:row>0</xdr:row>
      <xdr:rowOff>36635</xdr:rowOff>
    </xdr:from>
    <xdr:to>
      <xdr:col>7</xdr:col>
      <xdr:colOff>637443</xdr:colOff>
      <xdr:row>29</xdr:row>
      <xdr:rowOff>131885</xdr:rowOff>
    </xdr:to>
    <xdr:sp macro="" textlink="">
      <xdr:nvSpPr>
        <xdr:cNvPr id="3" name="Rounded Rectangle 2">
          <a:extLst>
            <a:ext uri="{FF2B5EF4-FFF2-40B4-BE49-F238E27FC236}">
              <a16:creationId xmlns:a16="http://schemas.microsoft.com/office/drawing/2014/main" id="{00000000-0008-0000-0200-000003000000}"/>
            </a:ext>
          </a:extLst>
        </xdr:cNvPr>
        <xdr:cNvSpPr/>
      </xdr:nvSpPr>
      <xdr:spPr>
        <a:xfrm>
          <a:off x="11279395096" y="36635"/>
          <a:ext cx="6022732" cy="9517673"/>
        </a:xfrm>
        <a:prstGeom prst="roundRect">
          <a:avLst/>
        </a:prstGeom>
        <a:noFill/>
        <a:ln>
          <a:solidFill>
            <a:srgbClr val="144B0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fa-I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2</xdr:row>
      <xdr:rowOff>47625</xdr:rowOff>
    </xdr:from>
    <xdr:to>
      <xdr:col>9</xdr:col>
      <xdr:colOff>7505</xdr:colOff>
      <xdr:row>12</xdr:row>
      <xdr:rowOff>152400</xdr:rowOff>
    </xdr:to>
    <mc:AlternateContent xmlns:mc="http://schemas.openxmlformats.org/markup-compatibility/2006" xmlns:a14="http://schemas.microsoft.com/office/drawing/2010/main">
      <mc:Choice Requires="a14">
        <xdr:graphicFrame macro="">
          <xdr:nvGraphicFramePr>
            <xdr:cNvPr id="2" name="نام شرکت">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نام شرکت"/>
            </a:graphicData>
          </a:graphic>
        </xdr:graphicFrame>
      </mc:Choice>
      <mc:Fallback xmlns="">
        <xdr:sp macro="" textlink="">
          <xdr:nvSpPr>
            <xdr:cNvPr id="0" name=""/>
            <xdr:cNvSpPr>
              <a:spLocks noTextEdit="1"/>
            </xdr:cNvSpPr>
          </xdr:nvSpPr>
          <xdr:spPr>
            <a:xfrm>
              <a:off x="11180335895" y="539750"/>
              <a:ext cx="6909955" cy="2435225"/>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12701</xdr:colOff>
      <xdr:row>13</xdr:row>
      <xdr:rowOff>31752</xdr:rowOff>
    </xdr:from>
    <xdr:to>
      <xdr:col>11</xdr:col>
      <xdr:colOff>22226</xdr:colOff>
      <xdr:row>15</xdr:row>
      <xdr:rowOff>1</xdr:rowOff>
    </xdr:to>
    <xdr:sp macro="[0]!hide_wokrsheets_By_color" textlink="">
      <xdr:nvSpPr>
        <xdr:cNvPr id="3" name="Rectangle 2">
          <a:extLst>
            <a:ext uri="{FF2B5EF4-FFF2-40B4-BE49-F238E27FC236}">
              <a16:creationId xmlns:a16="http://schemas.microsoft.com/office/drawing/2014/main" id="{00000000-0008-0000-0300-000003000000}"/>
            </a:ext>
          </a:extLst>
        </xdr:cNvPr>
        <xdr:cNvSpPr/>
      </xdr:nvSpPr>
      <xdr:spPr>
        <a:xfrm>
          <a:off x="9828015649" y="2613027"/>
          <a:ext cx="1295400" cy="349249"/>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fa-IR" sz="2000">
              <a:cs typeface="B Titr" panose="00000700000000000000" pitchFamily="2" charset="-78"/>
            </a:rPr>
            <a:t>تایید</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333374</xdr:colOff>
      <xdr:row>17</xdr:row>
      <xdr:rowOff>79375</xdr:rowOff>
    </xdr:from>
    <xdr:to>
      <xdr:col>13</xdr:col>
      <xdr:colOff>352424</xdr:colOff>
      <xdr:row>21</xdr:row>
      <xdr:rowOff>79375</xdr:rowOff>
    </xdr:to>
    <xdr:sp macro="" textlink="$T$3">
      <xdr:nvSpPr>
        <xdr:cNvPr id="2" name="Rounded Rectangle 1">
          <a:extLst>
            <a:ext uri="{FF2B5EF4-FFF2-40B4-BE49-F238E27FC236}">
              <a16:creationId xmlns:a16="http://schemas.microsoft.com/office/drawing/2014/main" id="{00000000-0008-0000-0400-000002000000}"/>
            </a:ext>
          </a:extLst>
        </xdr:cNvPr>
        <xdr:cNvSpPr/>
      </xdr:nvSpPr>
      <xdr:spPr>
        <a:xfrm>
          <a:off x="11230213126" y="3403600"/>
          <a:ext cx="2076450" cy="723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1" anchor="b"/>
        <a:lstStyle/>
        <a:p>
          <a:pPr algn="ctr" rtl="1"/>
          <a:fld id="{6E88D0F8-7099-4820-9330-9A10867FF53A}" type="TxLink">
            <a:rPr lang="en-US" sz="1400" b="0" i="0" u="none" strike="noStrike">
              <a:solidFill>
                <a:srgbClr val="000000"/>
              </a:solidFill>
              <a:latin typeface="F_Titr" panose="05000000000000000000" pitchFamily="2" charset="2"/>
              <a:cs typeface="B Nazanin" panose="00000400000000000000" pitchFamily="2" charset="-78"/>
            </a:rPr>
            <a:pPr algn="ctr" rtl="1"/>
            <a:t>3,741</a:t>
          </a:fld>
          <a:endParaRPr lang="en-US" sz="1400" b="0">
            <a:latin typeface="F_Titr" panose="05000000000000000000" pitchFamily="2" charset="2"/>
            <a:cs typeface="B Nazanin" panose="00000400000000000000" pitchFamily="2" charset="-78"/>
          </a:endParaRPr>
        </a:p>
      </xdr:txBody>
    </xdr:sp>
    <xdr:clientData/>
  </xdr:twoCellAnchor>
  <xdr:twoCellAnchor>
    <xdr:from>
      <xdr:col>3</xdr:col>
      <xdr:colOff>561975</xdr:colOff>
      <xdr:row>1</xdr:row>
      <xdr:rowOff>287194</xdr:rowOff>
    </xdr:from>
    <xdr:to>
      <xdr:col>13</xdr:col>
      <xdr:colOff>352424</xdr:colOff>
      <xdr:row>16</xdr:row>
      <xdr:rowOff>87169</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323850</xdr:colOff>
      <xdr:row>17</xdr:row>
      <xdr:rowOff>129023</xdr:rowOff>
    </xdr:from>
    <xdr:to>
      <xdr:col>13</xdr:col>
      <xdr:colOff>361950</xdr:colOff>
      <xdr:row>19</xdr:row>
      <xdr:rowOff>71007</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1230203600" y="3453248"/>
          <a:ext cx="209550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کل درآمد </a:t>
          </a:r>
          <a:r>
            <a:rPr lang="fa-IR" sz="1050" b="1">
              <a:cs typeface="B Nazanin" panose="00000400000000000000" pitchFamily="2" charset="-78"/>
            </a:rPr>
            <a:t>(میلیارد ریال)</a:t>
          </a:r>
          <a:endParaRPr lang="fa-IR" sz="1600" b="1">
            <a:cs typeface="B Nazanin" panose="00000400000000000000" pitchFamily="2" charset="-78"/>
          </a:endParaRPr>
        </a:p>
      </xdr:txBody>
    </xdr:sp>
    <xdr:clientData/>
  </xdr:twoCellAnchor>
  <xdr:twoCellAnchor>
    <xdr:from>
      <xdr:col>7</xdr:col>
      <xdr:colOff>123825</xdr:colOff>
      <xdr:row>17</xdr:row>
      <xdr:rowOff>79375</xdr:rowOff>
    </xdr:from>
    <xdr:to>
      <xdr:col>10</xdr:col>
      <xdr:colOff>142875</xdr:colOff>
      <xdr:row>21</xdr:row>
      <xdr:rowOff>79375</xdr:rowOff>
    </xdr:to>
    <xdr:sp macro="" textlink="$T$4">
      <xdr:nvSpPr>
        <xdr:cNvPr id="5" name="Rounded Rectangle 4">
          <a:extLst>
            <a:ext uri="{FF2B5EF4-FFF2-40B4-BE49-F238E27FC236}">
              <a16:creationId xmlns:a16="http://schemas.microsoft.com/office/drawing/2014/main" id="{00000000-0008-0000-0400-000005000000}"/>
            </a:ext>
          </a:extLst>
        </xdr:cNvPr>
        <xdr:cNvSpPr/>
      </xdr:nvSpPr>
      <xdr:spPr>
        <a:xfrm>
          <a:off x="11232480075" y="3403600"/>
          <a:ext cx="2076450" cy="7239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1" anchor="b"/>
        <a:lstStyle/>
        <a:p>
          <a:pPr algn="ctr" rtl="1"/>
          <a:fld id="{5064C3E0-C6F6-46AD-A4D4-F819A073F421}" type="TxLink">
            <a:rPr lang="en-US" sz="1400" b="0" i="0" u="none" strike="noStrike">
              <a:solidFill>
                <a:srgbClr val="000000"/>
              </a:solidFill>
              <a:latin typeface="F_Titr" panose="05000000000000000000" pitchFamily="2" charset="2"/>
              <a:cs typeface="Arial"/>
            </a:rPr>
            <a:pPr algn="ctr" rtl="1"/>
            <a:t>3,215</a:t>
          </a:fld>
          <a:endParaRPr lang="en-US" sz="1800" b="0">
            <a:latin typeface="F_Titr" panose="05000000000000000000" pitchFamily="2" charset="2"/>
            <a:cs typeface="B Nazanin" panose="00000400000000000000" pitchFamily="2" charset="-78"/>
          </a:endParaRPr>
        </a:p>
      </xdr:txBody>
    </xdr:sp>
    <xdr:clientData/>
  </xdr:twoCellAnchor>
  <xdr:twoCellAnchor>
    <xdr:from>
      <xdr:col>7</xdr:col>
      <xdr:colOff>114300</xdr:colOff>
      <xdr:row>17</xdr:row>
      <xdr:rowOff>129023</xdr:rowOff>
    </xdr:from>
    <xdr:to>
      <xdr:col>10</xdr:col>
      <xdr:colOff>152400</xdr:colOff>
      <xdr:row>19</xdr:row>
      <xdr:rowOff>71007</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1232470550" y="3453248"/>
          <a:ext cx="209550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کل هزینه </a:t>
          </a:r>
          <a:r>
            <a:rPr lang="fa-IR" sz="1050" b="1">
              <a:cs typeface="B Nazanin" panose="00000400000000000000" pitchFamily="2" charset="-78"/>
            </a:rPr>
            <a:t>(میلیارد ریال)</a:t>
          </a:r>
          <a:endParaRPr lang="fa-IR" sz="1600" b="1">
            <a:cs typeface="B Nazanin" panose="00000400000000000000" pitchFamily="2" charset="-78"/>
          </a:endParaRPr>
        </a:p>
      </xdr:txBody>
    </xdr:sp>
    <xdr:clientData/>
  </xdr:twoCellAnchor>
  <xdr:twoCellAnchor>
    <xdr:from>
      <xdr:col>7</xdr:col>
      <xdr:colOff>123825</xdr:colOff>
      <xdr:row>22</xdr:row>
      <xdr:rowOff>6351</xdr:rowOff>
    </xdr:from>
    <xdr:to>
      <xdr:col>13</xdr:col>
      <xdr:colOff>352424</xdr:colOff>
      <xdr:row>32</xdr:row>
      <xdr:rowOff>98611</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323850</xdr:colOff>
      <xdr:row>17</xdr:row>
      <xdr:rowOff>79375</xdr:rowOff>
    </xdr:from>
    <xdr:to>
      <xdr:col>3</xdr:col>
      <xdr:colOff>342900</xdr:colOff>
      <xdr:row>21</xdr:row>
      <xdr:rowOff>79375</xdr:rowOff>
    </xdr:to>
    <xdr:sp macro="" textlink="$T$5">
      <xdr:nvSpPr>
        <xdr:cNvPr id="8" name="Rounded Rectangle 7">
          <a:extLst>
            <a:ext uri="{FF2B5EF4-FFF2-40B4-BE49-F238E27FC236}">
              <a16:creationId xmlns:a16="http://schemas.microsoft.com/office/drawing/2014/main" id="{00000000-0008-0000-0400-000008000000}"/>
            </a:ext>
          </a:extLst>
        </xdr:cNvPr>
        <xdr:cNvSpPr/>
      </xdr:nvSpPr>
      <xdr:spPr>
        <a:xfrm>
          <a:off x="11237080650" y="3403600"/>
          <a:ext cx="2076450" cy="7239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b"/>
        <a:lstStyle/>
        <a:p>
          <a:pPr algn="ctr" rtl="1"/>
          <a:fld id="{62B88918-0E6F-4606-B86B-DDC4704BCCAA}" type="TxLink">
            <a:rPr lang="en-US" sz="1400" b="0" i="0" u="none" strike="noStrike">
              <a:solidFill>
                <a:srgbClr val="000000"/>
              </a:solidFill>
              <a:latin typeface="F_Titr" panose="05000000000000000000" pitchFamily="2" charset="2"/>
              <a:cs typeface="Arial"/>
            </a:rPr>
            <a:pPr algn="ctr" rtl="1"/>
            <a:t>526</a:t>
          </a:fld>
          <a:endParaRPr lang="en-US" sz="2400" b="0">
            <a:latin typeface="F_Titr" panose="05000000000000000000" pitchFamily="2" charset="2"/>
            <a:cs typeface="B Nazanin" panose="00000400000000000000" pitchFamily="2" charset="-78"/>
          </a:endParaRPr>
        </a:p>
      </xdr:txBody>
    </xdr:sp>
    <xdr:clientData/>
  </xdr:twoCellAnchor>
  <xdr:twoCellAnchor>
    <xdr:from>
      <xdr:col>0</xdr:col>
      <xdr:colOff>273050</xdr:colOff>
      <xdr:row>17</xdr:row>
      <xdr:rowOff>97273</xdr:rowOff>
    </xdr:from>
    <xdr:to>
      <xdr:col>3</xdr:col>
      <xdr:colOff>412750</xdr:colOff>
      <xdr:row>19</xdr:row>
      <xdr:rowOff>142875</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5064625" y="3319898"/>
          <a:ext cx="2187575" cy="394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 سود خالص </a:t>
          </a:r>
          <a:r>
            <a:rPr lang="fa-IR" sz="1050" b="1">
              <a:cs typeface="B Nazanin" panose="00000400000000000000" pitchFamily="2" charset="-78"/>
            </a:rPr>
            <a:t>(میلیارد ریال)</a:t>
          </a:r>
          <a:endParaRPr lang="fa-IR" sz="1600" b="1">
            <a:cs typeface="B Nazanin" panose="00000400000000000000" pitchFamily="2" charset="-78"/>
          </a:endParaRPr>
        </a:p>
      </xdr:txBody>
    </xdr:sp>
    <xdr:clientData/>
  </xdr:twoCellAnchor>
  <xdr:twoCellAnchor>
    <xdr:from>
      <xdr:col>3</xdr:col>
      <xdr:colOff>533400</xdr:colOff>
      <xdr:row>17</xdr:row>
      <xdr:rowOff>79375</xdr:rowOff>
    </xdr:from>
    <xdr:to>
      <xdr:col>6</xdr:col>
      <xdr:colOff>552450</xdr:colOff>
      <xdr:row>21</xdr:row>
      <xdr:rowOff>79375</xdr:rowOff>
    </xdr:to>
    <xdr:sp macro="" textlink="$V$31">
      <xdr:nvSpPr>
        <xdr:cNvPr id="10" name="Rounded Rectangle 9">
          <a:extLst>
            <a:ext uri="{FF2B5EF4-FFF2-40B4-BE49-F238E27FC236}">
              <a16:creationId xmlns:a16="http://schemas.microsoft.com/office/drawing/2014/main" id="{00000000-0008-0000-0400-00000A000000}"/>
            </a:ext>
          </a:extLst>
        </xdr:cNvPr>
        <xdr:cNvSpPr/>
      </xdr:nvSpPr>
      <xdr:spPr>
        <a:xfrm>
          <a:off x="11234813700" y="3403600"/>
          <a:ext cx="2076450" cy="7239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b"/>
        <a:lstStyle/>
        <a:p>
          <a:pPr algn="ctr" rtl="1"/>
          <a:fld id="{D22A88C1-AC74-47EE-89E5-C5844C4FA95D}" type="TxLink">
            <a:rPr lang="en-US" sz="1400" b="0" i="0" u="none" strike="noStrike">
              <a:solidFill>
                <a:sysClr val="windowText" lastClr="000000"/>
              </a:solidFill>
              <a:latin typeface="F_Titr" panose="05000000000000000000" pitchFamily="2" charset="2"/>
              <a:cs typeface="Arial"/>
            </a:rPr>
            <a:pPr algn="ctr" rtl="1"/>
            <a:t>242</a:t>
          </a:fld>
          <a:endParaRPr lang="en-US" sz="1800" b="0">
            <a:solidFill>
              <a:sysClr val="windowText" lastClr="000000"/>
            </a:solidFill>
            <a:latin typeface="F_Titr" panose="05000000000000000000" pitchFamily="2" charset="2"/>
            <a:cs typeface="B Nazanin" panose="00000400000000000000" pitchFamily="2" charset="-78"/>
          </a:endParaRPr>
        </a:p>
      </xdr:txBody>
    </xdr:sp>
    <xdr:clientData/>
  </xdr:twoCellAnchor>
  <xdr:twoCellAnchor>
    <xdr:from>
      <xdr:col>3</xdr:col>
      <xdr:colOff>523875</xdr:colOff>
      <xdr:row>17</xdr:row>
      <xdr:rowOff>129023</xdr:rowOff>
    </xdr:from>
    <xdr:to>
      <xdr:col>6</xdr:col>
      <xdr:colOff>561975</xdr:colOff>
      <xdr:row>19</xdr:row>
      <xdr:rowOff>71007</xdr:rowOff>
    </xdr:to>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11234804175" y="3453248"/>
          <a:ext cx="209550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تعداد پرسنل </a:t>
          </a:r>
          <a:r>
            <a:rPr lang="fa-IR" sz="1050" b="1">
              <a:cs typeface="B Nazanin" panose="00000400000000000000" pitchFamily="2" charset="-78"/>
            </a:rPr>
            <a:t>(نفر)</a:t>
          </a:r>
          <a:endParaRPr lang="fa-IR" sz="1600" b="1">
            <a:cs typeface="B Nazanin" panose="00000400000000000000" pitchFamily="2" charset="-78"/>
          </a:endParaRPr>
        </a:p>
      </xdr:txBody>
    </xdr:sp>
    <xdr:clientData/>
  </xdr:twoCellAnchor>
  <xdr:twoCellAnchor>
    <xdr:from>
      <xdr:col>0</xdr:col>
      <xdr:colOff>352425</xdr:colOff>
      <xdr:row>1</xdr:row>
      <xdr:rowOff>266701</xdr:rowOff>
    </xdr:from>
    <xdr:to>
      <xdr:col>3</xdr:col>
      <xdr:colOff>342899</xdr:colOff>
      <xdr:row>16</xdr:row>
      <xdr:rowOff>87169</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323850</xdr:colOff>
      <xdr:row>22</xdr:row>
      <xdr:rowOff>6351</xdr:rowOff>
    </xdr:from>
    <xdr:to>
      <xdr:col>6</xdr:col>
      <xdr:colOff>552450</xdr:colOff>
      <xdr:row>32</xdr:row>
      <xdr:rowOff>98612</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856590</xdr:colOff>
      <xdr:row>67</xdr:row>
      <xdr:rowOff>310698</xdr:rowOff>
    </xdr:from>
    <xdr:to>
      <xdr:col>5</xdr:col>
      <xdr:colOff>2217965</xdr:colOff>
      <xdr:row>69</xdr:row>
      <xdr:rowOff>215698</xdr:rowOff>
    </xdr:to>
    <xdr:sp macro="[0]!HideSheet8.HideRows" textlink="">
      <xdr:nvSpPr>
        <xdr:cNvPr id="2" name="Rounded Rectangle 1">
          <a:extLst>
            <a:ext uri="{FF2B5EF4-FFF2-40B4-BE49-F238E27FC236}">
              <a16:creationId xmlns:a16="http://schemas.microsoft.com/office/drawing/2014/main" id="{00000000-0008-0000-0500-000002000000}"/>
            </a:ext>
          </a:extLst>
        </xdr:cNvPr>
        <xdr:cNvSpPr/>
      </xdr:nvSpPr>
      <xdr:spPr>
        <a:xfrm>
          <a:off x="11184259535" y="20456073"/>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111126</xdr:colOff>
      <xdr:row>74</xdr:row>
      <xdr:rowOff>700768</xdr:rowOff>
    </xdr:from>
    <xdr:to>
      <xdr:col>24</xdr:col>
      <xdr:colOff>79376</xdr:colOff>
      <xdr:row>89</xdr:row>
      <xdr:rowOff>167368</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111126</xdr:colOff>
      <xdr:row>74</xdr:row>
      <xdr:rowOff>700768</xdr:rowOff>
    </xdr:from>
    <xdr:to>
      <xdr:col>24</xdr:col>
      <xdr:colOff>79376</xdr:colOff>
      <xdr:row>89</xdr:row>
      <xdr:rowOff>167368</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23</xdr:col>
      <xdr:colOff>247773</xdr:colOff>
      <xdr:row>50</xdr:row>
      <xdr:rowOff>156482</xdr:rowOff>
    </xdr:from>
    <xdr:to>
      <xdr:col>29</xdr:col>
      <xdr:colOff>0</xdr:colOff>
      <xdr:row>53</xdr:row>
      <xdr:rowOff>86016</xdr:rowOff>
    </xdr:to>
    <xdr:sp macro="[0]!HideSheet22.HideRows" textlink="">
      <xdr:nvSpPr>
        <xdr:cNvPr id="2" name="Rounded Rectangle 1">
          <a:extLst>
            <a:ext uri="{FF2B5EF4-FFF2-40B4-BE49-F238E27FC236}">
              <a16:creationId xmlns:a16="http://schemas.microsoft.com/office/drawing/2014/main" id="{00000000-0008-0000-1900-000002000000}"/>
            </a:ext>
          </a:extLst>
        </xdr:cNvPr>
        <xdr:cNvSpPr/>
      </xdr:nvSpPr>
      <xdr:spPr>
        <a:xfrm>
          <a:off x="11162284000" y="13189857"/>
          <a:ext cx="3070102" cy="548659"/>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21</xdr:col>
      <xdr:colOff>383432</xdr:colOff>
      <xdr:row>48</xdr:row>
      <xdr:rowOff>90714</xdr:rowOff>
    </xdr:from>
    <xdr:to>
      <xdr:col>26</xdr:col>
      <xdr:colOff>95250</xdr:colOff>
      <xdr:row>50</xdr:row>
      <xdr:rowOff>177555</xdr:rowOff>
    </xdr:to>
    <xdr:sp macro="[0]!HideSheet69.HideRows" textlink="">
      <xdr:nvSpPr>
        <xdr:cNvPr id="3" name="Rounded Rectangle 2">
          <a:extLst>
            <a:ext uri="{FF2B5EF4-FFF2-40B4-BE49-F238E27FC236}">
              <a16:creationId xmlns:a16="http://schemas.microsoft.com/office/drawing/2014/main" id="{00000000-0008-0000-1A00-000003000000}"/>
            </a:ext>
          </a:extLst>
        </xdr:cNvPr>
        <xdr:cNvSpPr/>
      </xdr:nvSpPr>
      <xdr:spPr>
        <a:xfrm>
          <a:off x="11163808000" y="12647839"/>
          <a:ext cx="3061443" cy="547216"/>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296429</xdr:colOff>
      <xdr:row>14</xdr:row>
      <xdr:rowOff>190500</xdr:rowOff>
    </xdr:from>
    <xdr:to>
      <xdr:col>10</xdr:col>
      <xdr:colOff>22679</xdr:colOff>
      <xdr:row>16</xdr:row>
      <xdr:rowOff>190750</xdr:rowOff>
    </xdr:to>
    <xdr:sp macro="[0]!HideSheet74.insertpagebreaks" textlink="">
      <xdr:nvSpPr>
        <xdr:cNvPr id="2" name="Rounded Rectangle 1">
          <a:extLst>
            <a:ext uri="{FF2B5EF4-FFF2-40B4-BE49-F238E27FC236}">
              <a16:creationId xmlns:a16="http://schemas.microsoft.com/office/drawing/2014/main" id="{00000000-0008-0000-2400-000002000000}"/>
            </a:ext>
          </a:extLst>
        </xdr:cNvPr>
        <xdr:cNvSpPr/>
      </xdr:nvSpPr>
      <xdr:spPr>
        <a:xfrm>
          <a:off x="11175739196" y="5683250"/>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42429</xdr:colOff>
      <xdr:row>25</xdr:row>
      <xdr:rowOff>190500</xdr:rowOff>
    </xdr:from>
    <xdr:to>
      <xdr:col>18</xdr:col>
      <xdr:colOff>22679</xdr:colOff>
      <xdr:row>28</xdr:row>
      <xdr:rowOff>111375</xdr:rowOff>
    </xdr:to>
    <xdr:sp macro="[0]!HideSheet42.insertpagebreaks" textlink="">
      <xdr:nvSpPr>
        <xdr:cNvPr id="2" name="Rounded Rectangle 1">
          <a:extLst>
            <a:ext uri="{FF2B5EF4-FFF2-40B4-BE49-F238E27FC236}">
              <a16:creationId xmlns:a16="http://schemas.microsoft.com/office/drawing/2014/main" id="{00000000-0008-0000-2500-000002000000}"/>
            </a:ext>
          </a:extLst>
        </xdr:cNvPr>
        <xdr:cNvSpPr/>
      </xdr:nvSpPr>
      <xdr:spPr>
        <a:xfrm>
          <a:off x="11171818071" y="8096250"/>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431139</xdr:colOff>
      <xdr:row>55</xdr:row>
      <xdr:rowOff>206375</xdr:rowOff>
    </xdr:from>
    <xdr:to>
      <xdr:col>6</xdr:col>
      <xdr:colOff>7711</xdr:colOff>
      <xdr:row>58</xdr:row>
      <xdr:rowOff>25197</xdr:rowOff>
    </xdr:to>
    <xdr:sp macro="[0]!HideSheet31.HideRows" textlink="">
      <xdr:nvSpPr>
        <xdr:cNvPr id="2" name="Rounded Rectangle 1">
          <a:extLst>
            <a:ext uri="{FF2B5EF4-FFF2-40B4-BE49-F238E27FC236}">
              <a16:creationId xmlns:a16="http://schemas.microsoft.com/office/drawing/2014/main" id="{00000000-0008-0000-2600-000002000000}"/>
            </a:ext>
          </a:extLst>
        </xdr:cNvPr>
        <xdr:cNvSpPr/>
      </xdr:nvSpPr>
      <xdr:spPr>
        <a:xfrm>
          <a:off x="11180024539" y="15875000"/>
          <a:ext cx="3053197" cy="533197"/>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399389</xdr:colOff>
      <xdr:row>55</xdr:row>
      <xdr:rowOff>174625</xdr:rowOff>
    </xdr:from>
    <xdr:to>
      <xdr:col>5</xdr:col>
      <xdr:colOff>1007836</xdr:colOff>
      <xdr:row>57</xdr:row>
      <xdr:rowOff>263321</xdr:rowOff>
    </xdr:to>
    <xdr:sp macro="[0]!HideSheet31.HideRows" textlink="">
      <xdr:nvSpPr>
        <xdr:cNvPr id="2" name="Rounded Rectangle 1">
          <a:extLst>
            <a:ext uri="{FF2B5EF4-FFF2-40B4-BE49-F238E27FC236}">
              <a16:creationId xmlns:a16="http://schemas.microsoft.com/office/drawing/2014/main" id="{00000000-0008-0000-2700-000002000000}"/>
            </a:ext>
          </a:extLst>
        </xdr:cNvPr>
        <xdr:cNvSpPr/>
      </xdr:nvSpPr>
      <xdr:spPr>
        <a:xfrm>
          <a:off x="11180056289" y="15890875"/>
          <a:ext cx="3053197" cy="533196"/>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363104</xdr:colOff>
      <xdr:row>38</xdr:row>
      <xdr:rowOff>127000</xdr:rowOff>
    </xdr:from>
    <xdr:to>
      <xdr:col>5</xdr:col>
      <xdr:colOff>978354</xdr:colOff>
      <xdr:row>41</xdr:row>
      <xdr:rowOff>47875</xdr:rowOff>
    </xdr:to>
    <xdr:sp macro="[0]!HideSheet40.HideRows" textlink="">
      <xdr:nvSpPr>
        <xdr:cNvPr id="2" name="Rounded Rectangle 1">
          <a:extLst>
            <a:ext uri="{FF2B5EF4-FFF2-40B4-BE49-F238E27FC236}">
              <a16:creationId xmlns:a16="http://schemas.microsoft.com/office/drawing/2014/main" id="{00000000-0008-0000-2800-000002000000}"/>
            </a:ext>
          </a:extLst>
        </xdr:cNvPr>
        <xdr:cNvSpPr/>
      </xdr:nvSpPr>
      <xdr:spPr>
        <a:xfrm>
          <a:off x="11180085771" y="8366125"/>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21</xdr:col>
      <xdr:colOff>107157</xdr:colOff>
      <xdr:row>27</xdr:row>
      <xdr:rowOff>83342</xdr:rowOff>
    </xdr:from>
    <xdr:to>
      <xdr:col>28</xdr:col>
      <xdr:colOff>83344</xdr:colOff>
      <xdr:row>34</xdr:row>
      <xdr:rowOff>535781</xdr:rowOff>
    </xdr:to>
    <xdr:sp macro="" textlink="">
      <xdr:nvSpPr>
        <xdr:cNvPr id="2" name="TextBox 1">
          <a:extLst>
            <a:ext uri="{FF2B5EF4-FFF2-40B4-BE49-F238E27FC236}">
              <a16:creationId xmlns:a16="http://schemas.microsoft.com/office/drawing/2014/main" id="{00000000-0008-0000-5C00-000002000000}"/>
            </a:ext>
          </a:extLst>
        </xdr:cNvPr>
        <xdr:cNvSpPr txBox="1"/>
      </xdr:nvSpPr>
      <xdr:spPr>
        <a:xfrm>
          <a:off x="11372766656" y="23943467"/>
          <a:ext cx="6557962" cy="26717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600" b="1" i="0" u="none" strike="noStrike">
              <a:solidFill>
                <a:srgbClr val="000000"/>
              </a:solidFill>
              <a:effectLst/>
              <a:latin typeface="Calibri" panose="020F0502020204030204" pitchFamily="34" charset="0"/>
              <a:cs typeface="B Titr" panose="00000700000000000000" pitchFamily="2" charset="-78"/>
            </a:rPr>
            <a:t>نحوه</a:t>
          </a:r>
          <a:r>
            <a:rPr lang="fa-IR" sz="1600" b="1" i="0" u="none" strike="noStrike" baseline="0">
              <a:solidFill>
                <a:srgbClr val="000000"/>
              </a:solidFill>
              <a:effectLst/>
              <a:latin typeface="Calibri" panose="020F0502020204030204" pitchFamily="34" charset="0"/>
              <a:cs typeface="B Titr" panose="00000700000000000000" pitchFamily="2" charset="-78"/>
            </a:rPr>
            <a:t> محاسبه ظرفیت انبارها:</a:t>
          </a:r>
        </a:p>
        <a:p>
          <a:pPr algn="l" rtl="0"/>
          <a:r>
            <a:rPr lang="en-US" sz="1600" b="1" i="0" u="none" strike="noStrike">
              <a:solidFill>
                <a:srgbClr val="000000"/>
              </a:solidFill>
              <a:effectLst/>
              <a:latin typeface="Calibri" panose="020F0502020204030204" pitchFamily="34" charset="0"/>
              <a:cs typeface="B Titr" panose="00000700000000000000" pitchFamily="2" charset="-78"/>
            </a:rPr>
            <a:t>V = M * X * A * B * T</a:t>
          </a:r>
          <a:endParaRPr lang="fa-IR" sz="1600" b="1" i="0" u="none" strike="noStrike">
            <a:solidFill>
              <a:srgbClr val="000000"/>
            </a:solidFill>
            <a:effectLst/>
            <a:latin typeface="Calibri" panose="020F0502020204030204" pitchFamily="34" charset="0"/>
            <a:cs typeface="B Titr" panose="00000700000000000000" pitchFamily="2" charset="-78"/>
          </a:endParaRPr>
        </a:p>
        <a:p>
          <a:pPr algn="l" rtl="0"/>
          <a:r>
            <a:rPr lang="en-US" sz="1200">
              <a:cs typeface="B Titr" panose="00000700000000000000" pitchFamily="2" charset="-78"/>
            </a:rPr>
            <a:t> </a:t>
          </a:r>
          <a:r>
            <a:rPr lang="en-US" sz="1200" b="0" i="0" u="none" strike="noStrike">
              <a:solidFill>
                <a:srgbClr val="000000"/>
              </a:solidFill>
              <a:effectLst/>
              <a:latin typeface="Calibri" panose="020F0502020204030204" pitchFamily="34" charset="0"/>
              <a:cs typeface="B Titr" panose="00000700000000000000" pitchFamily="2" charset="-78"/>
            </a:rPr>
            <a:t>V: </a:t>
          </a:r>
          <a:r>
            <a:rPr lang="fa-IR" sz="1200" b="0" i="0" u="none" strike="noStrike">
              <a:solidFill>
                <a:srgbClr val="000000"/>
              </a:solidFill>
              <a:effectLst/>
              <a:latin typeface="Calibri" panose="020F0502020204030204" pitchFamily="34" charset="0"/>
              <a:cs typeface="B Titr" panose="00000700000000000000" pitchFamily="2" charset="-78"/>
            </a:rPr>
            <a:t>ظرفیت </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M: </a:t>
          </a:r>
          <a:r>
            <a:rPr lang="fa-IR" sz="1200" b="0" i="0" u="none" strike="noStrike">
              <a:solidFill>
                <a:srgbClr val="000000"/>
              </a:solidFill>
              <a:effectLst/>
              <a:latin typeface="Calibri" panose="020F0502020204030204" pitchFamily="34" charset="0"/>
              <a:cs typeface="B Titr" panose="00000700000000000000" pitchFamily="2" charset="-78"/>
            </a:rPr>
            <a:t>متراژ انبارها</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X: </a:t>
          </a:r>
          <a:r>
            <a:rPr lang="fa-IR" sz="1200" b="0" i="0" u="none" strike="noStrike">
              <a:solidFill>
                <a:srgbClr val="000000"/>
              </a:solidFill>
              <a:effectLst/>
              <a:latin typeface="Calibri" panose="020F0502020204030204" pitchFamily="34" charset="0"/>
              <a:cs typeface="B Titr" panose="00000700000000000000" pitchFamily="2" charset="-78"/>
            </a:rPr>
            <a:t>درصد فضای مفید (مسقف: 0.65 ، هانگار: 0.68 ، بارانداز: 0.7)</a:t>
          </a:r>
        </a:p>
        <a:p>
          <a:pPr algn="l" rtl="0"/>
          <a:r>
            <a:rPr lang="fa-IR" sz="1200">
              <a:cs typeface="B Titr" panose="00000700000000000000" pitchFamily="2" charset="-78"/>
            </a:rPr>
            <a:t> </a:t>
          </a:r>
          <a:r>
            <a:rPr lang="en-US" sz="1200" b="0" i="0" u="none" strike="noStrike">
              <a:solidFill>
                <a:srgbClr val="000000"/>
              </a:solidFill>
              <a:effectLst/>
              <a:latin typeface="Calibri" panose="020F0502020204030204" pitchFamily="34" charset="0"/>
              <a:cs typeface="B Titr" panose="00000700000000000000" pitchFamily="2" charset="-78"/>
            </a:rPr>
            <a:t>A: </a:t>
          </a:r>
          <a:r>
            <a:rPr lang="fa-IR" sz="1200" b="0" i="0" u="none" strike="noStrike">
              <a:solidFill>
                <a:srgbClr val="000000"/>
              </a:solidFill>
              <a:effectLst/>
              <a:latin typeface="Calibri" panose="020F0502020204030204" pitchFamily="34" charset="0"/>
              <a:cs typeface="B Titr" panose="00000700000000000000" pitchFamily="2" charset="-78"/>
            </a:rPr>
            <a:t>مقدار کالای انبار شده در واحد سطح (تن) (مسقف: 0.5 ، هانگار: 0.6 ، بارانداز: 1.1)</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B: </a:t>
          </a:r>
          <a:r>
            <a:rPr lang="fa-IR" sz="1200" b="0" i="0" u="none" strike="noStrike">
              <a:solidFill>
                <a:srgbClr val="000000"/>
              </a:solidFill>
              <a:effectLst/>
              <a:latin typeface="Calibri" panose="020F0502020204030204" pitchFamily="34" charset="0"/>
              <a:cs typeface="B Titr" panose="00000700000000000000" pitchFamily="2" charset="-78"/>
            </a:rPr>
            <a:t>مقدار کالای انبار شده در واحد ارتفاع (عدد) (مسقف: 2 ، هانگار: 2 ، بارانداز: 1)</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T:</a:t>
          </a:r>
          <a:r>
            <a:rPr lang="fa-IR" sz="1200" b="0" i="0" u="none" strike="noStrike">
              <a:solidFill>
                <a:srgbClr val="000000"/>
              </a:solidFill>
              <a:effectLst/>
              <a:latin typeface="Calibri" panose="020F0502020204030204" pitchFamily="34" charset="0"/>
              <a:cs typeface="B Titr" panose="00000700000000000000" pitchFamily="2" charset="-78"/>
            </a:rPr>
            <a:t>تعداد دوره تخلیه و بارگیری</a:t>
          </a:r>
          <a:r>
            <a:rPr lang="fa-IR" sz="1200">
              <a:cs typeface="B Titr" panose="00000700000000000000" pitchFamily="2" charset="-78"/>
            </a:rPr>
            <a:t> </a:t>
          </a:r>
          <a:endParaRPr lang="en-US" sz="1200">
            <a:cs typeface="B Titr" panose="00000700000000000000" pitchFamily="2" charset="-78"/>
          </a:endParaRP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342900</xdr:colOff>
          <xdr:row>3</xdr:row>
          <xdr:rowOff>152400</xdr:rowOff>
        </xdr:from>
        <xdr:to>
          <xdr:col>4</xdr:col>
          <xdr:colOff>142875</xdr:colOff>
          <xdr:row>6</xdr:row>
          <xdr:rowOff>76200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6700-000001780100}"/>
                </a:ext>
              </a:extLst>
            </xdr:cNvPr>
            <xdr:cNvSpPr/>
          </xdr:nvSpPr>
          <xdr:spPr bwMode="auto">
            <a:xfrm>
              <a:off x="0" y="0"/>
              <a:ext cx="0" cy="0"/>
            </a:xfrm>
            <a:prstGeom prst="rect">
              <a:avLst/>
            </a:prstGeom>
            <a:noFill/>
            <a:ln w="9525">
              <a:miter lim="800000"/>
              <a:headEnd/>
              <a:tailEnd/>
            </a:ln>
          </xdr:spPr>
          <xdr:txBody>
            <a:bodyPr vertOverflow="clip" wrap="square" lIns="45720" tIns="82296" rIns="45720" bIns="82296" anchor="ctr" upright="1"/>
            <a:lstStyle/>
            <a:p>
              <a:pPr algn="ctr" rtl="1">
                <a:defRPr sz="1000"/>
              </a:pPr>
              <a:r>
                <a:rPr lang="en-US" sz="1600" b="0" i="0" u="none" strike="noStrike" baseline="0">
                  <a:solidFill>
                    <a:srgbClr val="000000"/>
                  </a:solidFill>
                  <a:cs typeface="B Titr"/>
                </a:rPr>
                <a:t>پایان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6</xdr:row>
          <xdr:rowOff>133350</xdr:rowOff>
        </xdr:from>
        <xdr:to>
          <xdr:col>4</xdr:col>
          <xdr:colOff>133350</xdr:colOff>
          <xdr:row>9</xdr:row>
          <xdr:rowOff>114300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6700-000002780100}"/>
                </a:ext>
              </a:extLst>
            </xdr:cNvPr>
            <xdr:cNvSpPr/>
          </xdr:nvSpPr>
          <xdr:spPr bwMode="auto">
            <a:xfrm>
              <a:off x="0" y="0"/>
              <a:ext cx="0" cy="0"/>
            </a:xfrm>
            <a:prstGeom prst="rect">
              <a:avLst/>
            </a:prstGeom>
            <a:noFill/>
            <a:ln w="9525">
              <a:miter lim="800000"/>
              <a:headEnd/>
              <a:tailEnd/>
            </a:ln>
          </xdr:spPr>
          <xdr:txBody>
            <a:bodyPr vertOverflow="clip" wrap="square" lIns="45720" tIns="82296" rIns="45720" bIns="82296" anchor="ctr" upright="1"/>
            <a:lstStyle/>
            <a:p>
              <a:pPr algn="ctr" rtl="1">
                <a:defRPr sz="1000"/>
              </a:pPr>
              <a:r>
                <a:rPr lang="en-US" sz="1600" b="0" i="0" u="none" strike="noStrike" baseline="0">
                  <a:solidFill>
                    <a:srgbClr val="008000"/>
                  </a:solidFill>
                  <a:cs typeface="B Titr"/>
                </a:rPr>
                <a:t>مرتب‌سازی</a:t>
              </a:r>
              <a:r>
                <a:rPr lang="en-US" sz="1600" b="0" i="0" u="none" strike="noStrike" baseline="0">
                  <a:solidFill>
                    <a:srgbClr val="008000"/>
                  </a:solidFill>
                  <a:latin typeface="Calibri"/>
                  <a:cs typeface="Calibri"/>
                </a:rPr>
                <a:t> </a:t>
              </a:r>
              <a:r>
                <a:rPr lang="en-US" sz="1600" b="0" i="0" u="none" strike="noStrike" baseline="0">
                  <a:solidFill>
                    <a:srgbClr val="008000"/>
                  </a:solidFill>
                  <a:latin typeface="Calibri"/>
                  <a:cs typeface="B Titr"/>
                </a:rPr>
                <a:t>صفحات</a:t>
              </a:r>
              <a:endParaRPr lang="en-US" sz="1600" b="0" i="0" u="none" strike="noStrike" baseline="0">
                <a:solidFill>
                  <a:srgbClr val="008000"/>
                </a:solidFill>
                <a:cs typeface="B Titr"/>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file:///\\padvish-srv\Users\Shafaghatian\Downloads\Users\auditor02\Desktop\Users\Shafaghatian\Downloads\Users\auditor01-a\Desktop\a.h\Auditor01-a\Downloads\Documents%20and%20Settings\acst-8\Desktop\&#1602;&#1740;&#1605;&#1578;%20&#1578;&#1605;&#1575;&#1605;%20&#1588;&#1583;&#1607;%20-%2031-6-91.xlsx?244A5E18" TargetMode="External"/><Relationship Id="rId1" Type="http://schemas.openxmlformats.org/officeDocument/2006/relationships/externalLinkPath" Target="file:///\\244A5E18\&#1602;&#1740;&#1605;&#1578;%20&#1578;&#1605;&#1575;&#1605;%20&#1588;&#1583;&#1607;%20-%2031-6-91.xlsx"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Users/Shafaghatian/Downloads/Users/auditor02/Desktop/Users/Shafaghatian/Downloads/Users/auditor01-a/Desktop/a.h/Auditor01-a/Downloads/&#1589;&#1606;&#1593;&#1578;&#1740;/&#1602;&#1740;&#1605;&#1578;%20&#1578;&#1605;&#1575;&#1605;%20&#1588;&#1583;&#1607;/&#1602;%20.%20&#1578;%20.%20&#1588;%20-%2090/&#1602;.&#1578;.&#1588;%20-%20&#1582;&#1585;&#1583;&#1575;&#1583;%20&#1605;&#1575;&#1607;%2090/3-%20%20&#1602;&#1740;&#1605;&#1578;%20&#1578;&#1605;&#1575;&#1605;%20&#1588;&#1583;&#1607;.%20xlsx.xlsx?2F7B4F2D" TargetMode="External"/><Relationship Id="rId1" Type="http://schemas.openxmlformats.org/officeDocument/2006/relationships/externalLinkPath" Target="file:///\\2F7B4F2D\3-%20%20&#1602;&#1740;&#1605;&#1578;%20&#1578;&#1605;&#1575;&#1605;%20&#1588;&#1583;&#1607;.%20xls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59C040A5\3-%20%20&#1602;&#1740;&#1605;&#1578;%20&#1578;&#1605;&#1575;&#1605;%20&#1588;&#1583;&#1607;.%20xlsx.xlsx"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Users/hesabrasan2/Desktop/&#1575;&#1585;&#1605;&#1575;&#1606;%20&#1662;&#1582;&#1578;%201397/New%20folder%20(2)/05.%20Budget/1393/2.%20Budget-Bourse/1.%20First%20Budget%20Forcacasted/&#1576;&#1608;&#1583;&#1580;&#1607;%201393/18-Pages/05.%20Budget/1392/2.%20Budget-Bourse/1.%20First%20Budget%20Forcacasted/1.%20Data%20Source/8.%20Other/Driver.xlsx?734AB0BF" TargetMode="External"/><Relationship Id="rId1" Type="http://schemas.openxmlformats.org/officeDocument/2006/relationships/externalLinkPath" Target="file:///\\734AB0BF\Driver.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3616412\Driver.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ain-server\RAZ\pakhsh%20razi\1387\138712\138712%2026.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padvish-srv\mali2025$\Users\Shafaghatian\Downloads\Users\auditor02\Desktop\Users\auditor01-a\Desktop\a.h\Auditor01-a\Downloads\&#1589;&#1606;&#1593;&#1578;&#1740;\&#1602;&#1740;&#1605;&#1578;%20&#1578;&#1605;&#1575;&#1605;%20&#1588;&#1583;&#1607;\&#1602;%20.%20&#1578;%20.%20&#1588;%20-%2090\&#1602;.&#1578;.&#1588;%20-%20&#1582;&#1585;&#1583;&#1575;&#1583;%20&#1605;&#1575;&#1607;%2090\3-%20%20&#1602;&#1740;&#1605;&#1578;%20&#1578;&#1605;&#1575;&#1605;%20&#1588;&#1583;&#1607;.%20xlsx.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Acst-8\1390\&#1589;&#1608;&#1585;&#1578;&#1607;&#1575;&#1740;%20&#1605;&#1575;&#1604;&#1740;%20&#1580;&#1575;&#1576;&#1585;&#1575;&#1576;&#1606;%20&#1581;&#1740;&#1575;&#1606;\1390\&#1662;&#1575;&#1740;&#1575;&#1606;%20&#1587;&#1575;&#1604;89\&#1705;&#1575;&#1585;&#1576;&#1585;&#1711;%20&#1607;&#1575;&#1740;%20000\&#1605;&#1608;&#1580;&#1608;&#1583;&#1740;%20&#1580;&#1575;&#1576;&#1585;12-89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padvish-srv\mali2025$\&#1576;&#1608;&#1583;&#1580;&#1607;\1405-6Month-Quarterly-Visible-Unprotected-4Sheets-&#1582;&#1585;&#1575;&#1587;&#1575;&#16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گزارش تعداد نفرات"/>
      <sheetName val="مصرف مواد"/>
      <sheetName val="کارکرد صنایع "/>
      <sheetName val="تولید صنایع "/>
      <sheetName val="گردش کالا "/>
      <sheetName val="تسهیم هزینه"/>
      <sheetName val="آمار تولید و ساعات تولید"/>
      <sheetName val="توقفات تولید سال 91 "/>
      <sheetName val="تولید همگن و تسهیم مزد و سربار "/>
      <sheetName val="نرخ د.س کار در جریان اول دوره"/>
      <sheetName val="کار درجریان شهریور   91"/>
      <sheetName val="عوامل در مراکز91  "/>
      <sheetName val="تمام شده تولید"/>
      <sheetName val="خرید بازرگانی "/>
      <sheetName val="فروش910630"/>
      <sheetName val="3"/>
      <sheetName val="فروش "/>
      <sheetName val="برگشت کلا سنواتی (4 ماهه اول)"/>
      <sheetName val="برگشت کلا سنواتی (4 ماهه دوم)"/>
      <sheetName val="گردش کالای ساخته شده"/>
      <sheetName val="سند تولید"/>
      <sheetName val="سند بهای تمام شده"/>
      <sheetName val="سند بهای تمام شده (2)"/>
      <sheetName val="خ  د ه عملیاتی "/>
      <sheetName val="خ س د  ه غیرعملیاتی"/>
      <sheetName val="سود وزیان "/>
      <sheetName val="سود وزیان - مقایسه ای"/>
      <sheetName val="تربتی  "/>
      <sheetName val="کاربرگ محاسبه مالیات"/>
      <sheetName val="حاشیه سود"/>
      <sheetName val="گزارش1 -( کل) ارقام میلیون ریال"/>
      <sheetName val="گزارش 6 ماهه( کل) ارقام میلیون"/>
      <sheetName val="گزارش(واحد) "/>
      <sheetName val="گزارش 6  ماهه (واحد محصول)38"/>
      <sheetName val="کنترل حاشیه سود - کل"/>
      <sheetName val="کنترل حاشیه سود 6 ماهه - کل -43"/>
      <sheetName val="کنترل حاشیه سود - واحد کالا (2)"/>
      <sheetName val="کنترل حاشیه سود6 ماهه واحد کالا"/>
      <sheetName val="تعداد تولید 1391"/>
      <sheetName val="ذخیره کاهش ارزش موجودی"/>
      <sheetName val="100022"/>
      <sheetName val="ترازنامه 31-06-1391"/>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 sheetId="13"/>
      <sheetData sheetId="14" refreshError="1"/>
      <sheetData sheetId="15" refreshError="1"/>
      <sheetData sheetId="16">
        <row r="164">
          <cell r="D164">
            <v>28129095</v>
          </cell>
        </row>
      </sheetData>
      <sheetData sheetId="17" refreshError="1"/>
      <sheetData sheetId="18" refreshError="1"/>
      <sheetData sheetId="19">
        <row r="167">
          <cell r="S167">
            <v>204729070256</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ow r="1">
          <cell r="A1" t="str">
            <v>حاشیه سود محصولات تولیدی در پایان 5 ماهه 1391</v>
          </cell>
        </row>
      </sheetData>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1">
          <cell r="A1" t="str">
            <v>کد حساب</v>
          </cell>
          <cell r="B1" t="str">
            <v>شرح  حساب</v>
          </cell>
          <cell r="C1" t="str">
            <v>مشترك استريل ها</v>
          </cell>
          <cell r="D1" t="str">
            <v>استريل فرزياني</v>
          </cell>
          <cell r="E1" t="str">
            <v>استريل قدس</v>
          </cell>
          <cell r="F1" t="str">
            <v>استريل بعثت</v>
          </cell>
          <cell r="G1" t="str">
            <v>استريل غفارزاده</v>
          </cell>
          <cell r="H1" t="str">
            <v>پمادوكرم</v>
          </cell>
          <cell r="I1" t="str">
            <v>سفالوسپورين</v>
          </cell>
          <cell r="J1" t="str">
            <v>پني سيلين وي</v>
          </cell>
          <cell r="K1" t="str">
            <v>نيستاتين</v>
          </cell>
          <cell r="L1" t="str">
            <v>دراژه(نيستا،سفالوس،پني سيلسن وي)</v>
          </cell>
          <cell r="M1" t="str">
            <v>قرص و كپسول و شربت</v>
          </cell>
          <cell r="N1" t="str">
            <v>مشترک اسپري ها</v>
          </cell>
          <cell r="O1" t="str">
            <v>اسپري دهاني</v>
          </cell>
          <cell r="P1" t="str">
            <v>اسپري بيني</v>
          </cell>
          <cell r="Q1" t="str">
            <v xml:space="preserve">سیل سازی </v>
          </cell>
          <cell r="R1" t="str">
            <v>سافت ژل</v>
          </cell>
          <cell r="S1" t="str">
            <v>جمع توليد</v>
          </cell>
          <cell r="T1" t="str">
            <v>بسته بندي</v>
          </cell>
          <cell r="U1" t="str">
            <v>عمومي توليد</v>
          </cell>
          <cell r="V1" t="str">
            <v>فني و مهندسي قديم</v>
          </cell>
          <cell r="W1" t="str">
            <v>فني مهندسي افشانه</v>
          </cell>
          <cell r="X1" t="str">
            <v>آزمايشگاه و چکينگ</v>
          </cell>
          <cell r="Y1" t="str">
            <v>انبارها قديم</v>
          </cell>
          <cell r="Z1" t="str">
            <v>انبار افشانه ها</v>
          </cell>
          <cell r="AA1" t="str">
            <v>مهندسي صنايع قديم</v>
          </cell>
          <cell r="AB1" t="str">
            <v>مهندسي صنايع اسپري</v>
          </cell>
          <cell r="AC1" t="str">
            <v>امور بازرگاني</v>
          </cell>
          <cell r="AD1" t="str">
            <v>انتظامات و نگهباني</v>
          </cell>
          <cell r="AE1" t="str">
            <v>خدمات عمومي</v>
          </cell>
          <cell r="AF1" t="str">
            <v>رستوران</v>
          </cell>
          <cell r="AG1" t="str">
            <v>حمل ونقل</v>
          </cell>
          <cell r="AH1" t="str">
            <v>جمع خدماتي</v>
          </cell>
          <cell r="AI1" t="str">
            <v>سربار</v>
          </cell>
          <cell r="AJ1" t="str">
            <v>فروش و بازاريابي</v>
          </cell>
          <cell r="AK1" t="str">
            <v>مديريت</v>
          </cell>
          <cell r="AL1" t="str">
            <v>تحقيقات</v>
          </cell>
          <cell r="AM1" t="str">
            <v>آموزش</v>
          </cell>
          <cell r="AN1" t="str">
            <v>مامورين</v>
          </cell>
          <cell r="AO1" t="str">
            <v>عمومي اداري</v>
          </cell>
          <cell r="AP1" t="str">
            <v>فن آوري اطلاعات</v>
          </cell>
          <cell r="AQ1" t="str">
            <v>امورمالي</v>
          </cell>
          <cell r="AR1" t="str">
            <v>دبيرخانه و كارگزيني</v>
          </cell>
          <cell r="AS1" t="str">
            <v>شورا ،انجمن و بسيج</v>
          </cell>
          <cell r="AT1" t="str">
            <v>HSE</v>
          </cell>
          <cell r="AU1" t="str">
            <v>تضمين كيفيت</v>
          </cell>
          <cell r="AV1" t="str">
            <v>جمع اداري</v>
          </cell>
        </row>
        <row r="2">
          <cell r="A2">
            <v>7101000</v>
          </cell>
          <cell r="B2" t="str">
            <v>هزينه مواداوليه توليدى</v>
          </cell>
          <cell r="C2">
            <v>0</v>
          </cell>
          <cell r="D2">
            <v>14906141895</v>
          </cell>
          <cell r="E2">
            <v>10537711017</v>
          </cell>
          <cell r="F2">
            <v>6578256662</v>
          </cell>
          <cell r="G2">
            <v>33730980659</v>
          </cell>
          <cell r="H2">
            <v>979118605</v>
          </cell>
          <cell r="I2">
            <v>11155535147</v>
          </cell>
          <cell r="J2">
            <v>9841932909</v>
          </cell>
          <cell r="K2">
            <v>754872627</v>
          </cell>
          <cell r="L2">
            <v>54084355</v>
          </cell>
          <cell r="M2">
            <v>0</v>
          </cell>
          <cell r="N2">
            <v>0</v>
          </cell>
          <cell r="O2">
            <v>0</v>
          </cell>
          <cell r="P2">
            <v>0</v>
          </cell>
          <cell r="Q2">
            <v>0</v>
          </cell>
          <cell r="R2">
            <v>7987716923</v>
          </cell>
          <cell r="S2">
            <v>96526350799</v>
          </cell>
          <cell r="T2">
            <v>0</v>
          </cell>
          <cell r="U2">
            <v>0</v>
          </cell>
          <cell r="V2">
            <v>0</v>
          </cell>
          <cell r="W2">
            <v>0</v>
          </cell>
          <cell r="X2">
            <v>0</v>
          </cell>
          <cell r="Y2">
            <v>0</v>
          </cell>
          <cell r="Z2">
            <v>0</v>
          </cell>
          <cell r="AA2">
            <v>0</v>
          </cell>
          <cell r="AB2">
            <v>0</v>
          </cell>
          <cell r="AC2">
            <v>0</v>
          </cell>
          <cell r="AD2">
            <v>0</v>
          </cell>
          <cell r="AE2">
            <v>0</v>
          </cell>
          <cell r="AF2">
            <v>0</v>
          </cell>
          <cell r="AG2">
            <v>0</v>
          </cell>
          <cell r="AH2">
            <v>0</v>
          </cell>
          <cell r="AI2">
            <v>0</v>
          </cell>
          <cell r="AJ2">
            <v>0</v>
          </cell>
          <cell r="AK2">
            <v>0</v>
          </cell>
          <cell r="AL2">
            <v>0</v>
          </cell>
          <cell r="AM2">
            <v>0</v>
          </cell>
          <cell r="AN2">
            <v>0</v>
          </cell>
          <cell r="AO2">
            <v>0</v>
          </cell>
          <cell r="AP2">
            <v>0</v>
          </cell>
          <cell r="AQ2">
            <v>0</v>
          </cell>
          <cell r="AR2">
            <v>0</v>
          </cell>
          <cell r="AS2">
            <v>0</v>
          </cell>
          <cell r="AT2">
            <v>0</v>
          </cell>
          <cell r="AU2">
            <v>0</v>
          </cell>
          <cell r="AV2">
            <v>0</v>
          </cell>
        </row>
        <row r="3">
          <cell r="A3">
            <v>7102000</v>
          </cell>
          <cell r="B3" t="str">
            <v>هزينه موادبسته بندى</v>
          </cell>
          <cell r="C3">
            <v>0</v>
          </cell>
          <cell r="D3">
            <v>1855661088</v>
          </cell>
          <cell r="E3">
            <v>6219993729</v>
          </cell>
          <cell r="F3">
            <v>2088524135</v>
          </cell>
          <cell r="G3">
            <v>11042229016</v>
          </cell>
          <cell r="H3">
            <v>373167119</v>
          </cell>
          <cell r="I3">
            <v>578048953</v>
          </cell>
          <cell r="J3">
            <v>1304482794</v>
          </cell>
          <cell r="K3">
            <v>550103597</v>
          </cell>
          <cell r="L3">
            <v>0</v>
          </cell>
          <cell r="M3">
            <v>0</v>
          </cell>
          <cell r="N3">
            <v>0</v>
          </cell>
          <cell r="O3">
            <v>0</v>
          </cell>
          <cell r="P3">
            <v>0</v>
          </cell>
          <cell r="Q3">
            <v>441709369</v>
          </cell>
          <cell r="R3">
            <v>1453605389</v>
          </cell>
          <cell r="S3">
            <v>25907525189</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0</v>
          </cell>
        </row>
        <row r="4">
          <cell r="A4">
            <v>7106000</v>
          </cell>
          <cell r="B4" t="str">
            <v>هزينه مواداوليه توليدى افشانه ها</v>
          </cell>
          <cell r="C4">
            <v>0</v>
          </cell>
          <cell r="D4">
            <v>0</v>
          </cell>
          <cell r="E4">
            <v>0</v>
          </cell>
          <cell r="F4">
            <v>0</v>
          </cell>
          <cell r="G4">
            <v>0</v>
          </cell>
          <cell r="H4">
            <v>0</v>
          </cell>
          <cell r="I4">
            <v>0</v>
          </cell>
          <cell r="J4">
            <v>0</v>
          </cell>
          <cell r="K4">
            <v>0</v>
          </cell>
          <cell r="L4">
            <v>0</v>
          </cell>
          <cell r="M4">
            <v>0</v>
          </cell>
          <cell r="N4">
            <v>0</v>
          </cell>
          <cell r="O4">
            <v>3096391533</v>
          </cell>
          <cell r="P4">
            <v>423959674</v>
          </cell>
          <cell r="Q4">
            <v>0</v>
          </cell>
          <cell r="R4">
            <v>0</v>
          </cell>
          <cell r="S4">
            <v>3520351207</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0</v>
          </cell>
        </row>
        <row r="5">
          <cell r="A5">
            <v>7107000</v>
          </cell>
          <cell r="B5" t="str">
            <v>هزينه موادبسته بندى افشانه ها</v>
          </cell>
          <cell r="C5">
            <v>0</v>
          </cell>
          <cell r="D5">
            <v>0</v>
          </cell>
          <cell r="E5">
            <v>0</v>
          </cell>
          <cell r="F5">
            <v>0</v>
          </cell>
          <cell r="G5">
            <v>0</v>
          </cell>
          <cell r="H5">
            <v>0</v>
          </cell>
          <cell r="I5">
            <v>0</v>
          </cell>
          <cell r="J5">
            <v>0</v>
          </cell>
          <cell r="K5">
            <v>0</v>
          </cell>
          <cell r="L5">
            <v>0</v>
          </cell>
          <cell r="M5">
            <v>0</v>
          </cell>
          <cell r="N5">
            <v>0</v>
          </cell>
          <cell r="O5">
            <v>6968425659</v>
          </cell>
          <cell r="P5">
            <v>1460021326</v>
          </cell>
          <cell r="Q5">
            <v>0</v>
          </cell>
          <cell r="R5">
            <v>0</v>
          </cell>
          <cell r="S5">
            <v>8428446985</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0</v>
          </cell>
        </row>
        <row r="6">
          <cell r="A6">
            <v>7201000</v>
          </cell>
          <cell r="B6" t="str">
            <v>هزينه حقوق ودستمزد</v>
          </cell>
          <cell r="C6">
            <v>0</v>
          </cell>
          <cell r="D6">
            <v>262764339</v>
          </cell>
          <cell r="E6">
            <v>277899856</v>
          </cell>
          <cell r="F6">
            <v>104673997</v>
          </cell>
          <cell r="G6">
            <v>245600880</v>
          </cell>
          <cell r="H6">
            <v>144789984</v>
          </cell>
          <cell r="I6">
            <v>473508142</v>
          </cell>
          <cell r="J6">
            <v>253604454</v>
          </cell>
          <cell r="K6">
            <v>88647595</v>
          </cell>
          <cell r="L6">
            <v>37526106</v>
          </cell>
          <cell r="M6">
            <v>179363242</v>
          </cell>
          <cell r="N6">
            <v>199283652</v>
          </cell>
          <cell r="O6">
            <v>0</v>
          </cell>
          <cell r="P6">
            <v>0</v>
          </cell>
          <cell r="Q6">
            <v>0</v>
          </cell>
          <cell r="R6">
            <v>39217184</v>
          </cell>
          <cell r="S6">
            <v>2306879431</v>
          </cell>
          <cell r="T6">
            <v>103177241</v>
          </cell>
          <cell r="U6">
            <v>315146134</v>
          </cell>
          <cell r="V6">
            <v>1353152006</v>
          </cell>
          <cell r="W6">
            <v>194684045</v>
          </cell>
          <cell r="X6">
            <v>2200267417</v>
          </cell>
          <cell r="Y6">
            <v>426857377</v>
          </cell>
          <cell r="Z6">
            <v>30566575</v>
          </cell>
          <cell r="AA6">
            <v>283257374</v>
          </cell>
          <cell r="AB6">
            <v>24108843</v>
          </cell>
          <cell r="AC6">
            <v>571520042</v>
          </cell>
          <cell r="AD6">
            <v>104722092</v>
          </cell>
          <cell r="AE6">
            <v>38616444</v>
          </cell>
          <cell r="AF6">
            <v>0</v>
          </cell>
          <cell r="AG6">
            <v>63801450</v>
          </cell>
          <cell r="AH6">
            <v>5709877040</v>
          </cell>
          <cell r="AI6">
            <v>5709877040</v>
          </cell>
          <cell r="AJ6">
            <v>1466786622</v>
          </cell>
          <cell r="AK6">
            <v>696761510</v>
          </cell>
          <cell r="AL6">
            <v>595169773</v>
          </cell>
          <cell r="AM6">
            <v>0</v>
          </cell>
          <cell r="AN6">
            <v>35340288</v>
          </cell>
          <cell r="AO6">
            <v>0</v>
          </cell>
          <cell r="AP6">
            <v>275151658</v>
          </cell>
          <cell r="AQ6">
            <v>678683331</v>
          </cell>
          <cell r="AR6">
            <v>355740316</v>
          </cell>
          <cell r="AS6">
            <v>0</v>
          </cell>
          <cell r="AT6">
            <v>80931040</v>
          </cell>
          <cell r="AU6">
            <v>898485082</v>
          </cell>
          <cell r="AV6">
            <v>5083049620</v>
          </cell>
        </row>
        <row r="7">
          <cell r="A7">
            <v>7201001</v>
          </cell>
          <cell r="B7" t="str">
            <v>هزينه حقوق ودستمزد ( پارس پاکان)</v>
          </cell>
          <cell r="C7">
            <v>0</v>
          </cell>
          <cell r="D7">
            <v>468576043</v>
          </cell>
          <cell r="E7">
            <v>361801635</v>
          </cell>
          <cell r="F7">
            <v>525956098</v>
          </cell>
          <cell r="G7">
            <v>638615593</v>
          </cell>
          <cell r="H7">
            <v>112263491</v>
          </cell>
          <cell r="I7">
            <v>524122717</v>
          </cell>
          <cell r="J7">
            <v>523928715</v>
          </cell>
          <cell r="K7">
            <v>392899906</v>
          </cell>
          <cell r="L7">
            <v>112165177</v>
          </cell>
          <cell r="M7">
            <v>0</v>
          </cell>
          <cell r="N7">
            <v>1761622636</v>
          </cell>
          <cell r="O7">
            <v>280522303</v>
          </cell>
          <cell r="P7">
            <v>251661854</v>
          </cell>
          <cell r="Q7">
            <v>293707903</v>
          </cell>
          <cell r="R7">
            <v>1196325589</v>
          </cell>
          <cell r="S7">
            <v>7444169660</v>
          </cell>
          <cell r="T7">
            <v>162827567</v>
          </cell>
          <cell r="U7">
            <v>990062557</v>
          </cell>
          <cell r="V7">
            <v>714585939</v>
          </cell>
          <cell r="W7">
            <v>0</v>
          </cell>
          <cell r="X7">
            <v>54662632</v>
          </cell>
          <cell r="Y7">
            <v>718599292</v>
          </cell>
          <cell r="Z7">
            <v>254819291</v>
          </cell>
          <cell r="AA7">
            <v>0</v>
          </cell>
          <cell r="AB7">
            <v>0</v>
          </cell>
          <cell r="AC7">
            <v>0</v>
          </cell>
          <cell r="AD7">
            <v>526219194</v>
          </cell>
          <cell r="AE7">
            <v>3048689452</v>
          </cell>
          <cell r="AF7">
            <v>0</v>
          </cell>
          <cell r="AG7">
            <v>0</v>
          </cell>
          <cell r="AH7">
            <v>6470465924</v>
          </cell>
          <cell r="AI7">
            <v>6470465924</v>
          </cell>
          <cell r="AJ7">
            <v>147091303</v>
          </cell>
          <cell r="AK7">
            <v>0</v>
          </cell>
          <cell r="AL7">
            <v>0</v>
          </cell>
          <cell r="AM7">
            <v>43619447</v>
          </cell>
          <cell r="AN7">
            <v>0</v>
          </cell>
          <cell r="AO7">
            <v>0</v>
          </cell>
          <cell r="AP7">
            <v>0</v>
          </cell>
          <cell r="AQ7">
            <v>0</v>
          </cell>
          <cell r="AR7">
            <v>0</v>
          </cell>
          <cell r="AS7">
            <v>0</v>
          </cell>
          <cell r="AT7">
            <v>0</v>
          </cell>
          <cell r="AU7">
            <v>0</v>
          </cell>
          <cell r="AV7">
            <v>190710750</v>
          </cell>
        </row>
        <row r="8">
          <cell r="A8">
            <v>7202000</v>
          </cell>
          <cell r="B8" t="str">
            <v>هزينه مسکن</v>
          </cell>
          <cell r="C8">
            <v>0</v>
          </cell>
          <cell r="D8">
            <v>4666500</v>
          </cell>
          <cell r="E8">
            <v>4934530</v>
          </cell>
          <cell r="F8">
            <v>1830965</v>
          </cell>
          <cell r="G8">
            <v>4339986</v>
          </cell>
          <cell r="H8">
            <v>2479992</v>
          </cell>
          <cell r="I8">
            <v>8553704</v>
          </cell>
          <cell r="J8">
            <v>4522397</v>
          </cell>
          <cell r="K8">
            <v>1546359</v>
          </cell>
          <cell r="L8">
            <v>619998</v>
          </cell>
          <cell r="M8">
            <v>2479992</v>
          </cell>
          <cell r="N8">
            <v>2777413</v>
          </cell>
          <cell r="O8">
            <v>0</v>
          </cell>
          <cell r="P8">
            <v>0</v>
          </cell>
          <cell r="Q8">
            <v>0</v>
          </cell>
          <cell r="R8">
            <v>281492</v>
          </cell>
          <cell r="S8">
            <v>39033328</v>
          </cell>
          <cell r="T8">
            <v>1898482</v>
          </cell>
          <cell r="U8">
            <v>5145441</v>
          </cell>
          <cell r="V8">
            <v>22686494</v>
          </cell>
          <cell r="W8">
            <v>3278340</v>
          </cell>
          <cell r="X8">
            <v>30239128</v>
          </cell>
          <cell r="Y8">
            <v>7319588</v>
          </cell>
          <cell r="Z8">
            <v>381129</v>
          </cell>
          <cell r="AA8">
            <v>3990898</v>
          </cell>
          <cell r="AB8">
            <v>370529</v>
          </cell>
          <cell r="AC8">
            <v>7995537</v>
          </cell>
          <cell r="AD8">
            <v>1859994</v>
          </cell>
          <cell r="AE8">
            <v>619998</v>
          </cell>
          <cell r="AF8">
            <v>0</v>
          </cell>
          <cell r="AG8">
            <v>1239996</v>
          </cell>
          <cell r="AH8">
            <v>87025554</v>
          </cell>
          <cell r="AI8">
            <v>87025554</v>
          </cell>
          <cell r="AJ8">
            <v>19409333</v>
          </cell>
          <cell r="AK8">
            <v>3823321</v>
          </cell>
          <cell r="AL8">
            <v>6428466</v>
          </cell>
          <cell r="AM8">
            <v>0</v>
          </cell>
          <cell r="AN8">
            <v>619998</v>
          </cell>
          <cell r="AO8">
            <v>0</v>
          </cell>
          <cell r="AP8">
            <v>3506050</v>
          </cell>
          <cell r="AQ8">
            <v>10276531</v>
          </cell>
          <cell r="AR8">
            <v>4753318</v>
          </cell>
          <cell r="AS8">
            <v>0</v>
          </cell>
          <cell r="AT8">
            <v>1229087</v>
          </cell>
          <cell r="AU8">
            <v>9505144</v>
          </cell>
          <cell r="AV8">
            <v>59551248</v>
          </cell>
        </row>
        <row r="9">
          <cell r="A9">
            <v>7203000</v>
          </cell>
          <cell r="B9" t="str">
            <v>هزينه خواروبار</v>
          </cell>
          <cell r="C9">
            <v>0</v>
          </cell>
          <cell r="D9">
            <v>102633</v>
          </cell>
          <cell r="E9">
            <v>89469</v>
          </cell>
          <cell r="F9">
            <v>39577</v>
          </cell>
          <cell r="G9">
            <v>80610</v>
          </cell>
          <cell r="H9">
            <v>52704</v>
          </cell>
          <cell r="I9">
            <v>152492</v>
          </cell>
          <cell r="J9">
            <v>85447</v>
          </cell>
          <cell r="K9">
            <v>26814</v>
          </cell>
          <cell r="L9">
            <v>12402</v>
          </cell>
          <cell r="M9">
            <v>12408</v>
          </cell>
          <cell r="N9">
            <v>30311</v>
          </cell>
          <cell r="O9">
            <v>0</v>
          </cell>
          <cell r="P9">
            <v>0</v>
          </cell>
          <cell r="Q9">
            <v>0</v>
          </cell>
          <cell r="R9">
            <v>2815</v>
          </cell>
          <cell r="S9">
            <v>687682</v>
          </cell>
          <cell r="T9">
            <v>28293</v>
          </cell>
          <cell r="U9">
            <v>88181</v>
          </cell>
          <cell r="V9">
            <v>338779</v>
          </cell>
          <cell r="W9">
            <v>34419</v>
          </cell>
          <cell r="X9">
            <v>359031</v>
          </cell>
          <cell r="Y9">
            <v>151705</v>
          </cell>
          <cell r="Z9">
            <v>7622</v>
          </cell>
          <cell r="AA9">
            <v>51250</v>
          </cell>
          <cell r="AB9">
            <v>3704</v>
          </cell>
          <cell r="AC9">
            <v>104772</v>
          </cell>
          <cell r="AD9">
            <v>31002</v>
          </cell>
          <cell r="AE9">
            <v>12402</v>
          </cell>
          <cell r="AF9">
            <v>0</v>
          </cell>
          <cell r="AG9">
            <v>15498</v>
          </cell>
          <cell r="AH9">
            <v>1226658</v>
          </cell>
          <cell r="AI9">
            <v>1226658</v>
          </cell>
          <cell r="AJ9">
            <v>181228</v>
          </cell>
          <cell r="AK9">
            <v>49606</v>
          </cell>
          <cell r="AL9">
            <v>78785</v>
          </cell>
          <cell r="AM9">
            <v>0</v>
          </cell>
          <cell r="AN9">
            <v>12402</v>
          </cell>
          <cell r="AO9">
            <v>0</v>
          </cell>
          <cell r="AP9">
            <v>50560</v>
          </cell>
          <cell r="AQ9">
            <v>149934</v>
          </cell>
          <cell r="AR9">
            <v>68722</v>
          </cell>
          <cell r="AS9">
            <v>0</v>
          </cell>
          <cell r="AT9">
            <v>21538</v>
          </cell>
          <cell r="AU9">
            <v>107460</v>
          </cell>
          <cell r="AV9">
            <v>720235</v>
          </cell>
        </row>
        <row r="10">
          <cell r="A10">
            <v>7204000</v>
          </cell>
          <cell r="B10" t="str">
            <v>هزينه حق اولاد</v>
          </cell>
          <cell r="C10">
            <v>0</v>
          </cell>
          <cell r="D10">
            <v>36370819</v>
          </cell>
          <cell r="E10">
            <v>29657351</v>
          </cell>
          <cell r="F10">
            <v>14270578</v>
          </cell>
          <cell r="G10">
            <v>28993680</v>
          </cell>
          <cell r="H10">
            <v>19329120</v>
          </cell>
          <cell r="I10">
            <v>53781670</v>
          </cell>
          <cell r="J10">
            <v>28889642</v>
          </cell>
          <cell r="K10">
            <v>8845009</v>
          </cell>
          <cell r="L10">
            <v>4832280</v>
          </cell>
          <cell r="M10">
            <v>0</v>
          </cell>
          <cell r="N10">
            <v>4470774</v>
          </cell>
          <cell r="O10">
            <v>0</v>
          </cell>
          <cell r="P10">
            <v>0</v>
          </cell>
          <cell r="Q10">
            <v>0</v>
          </cell>
          <cell r="R10">
            <v>0</v>
          </cell>
          <cell r="S10">
            <v>229440923</v>
          </cell>
          <cell r="T10">
            <v>7256687</v>
          </cell>
          <cell r="U10">
            <v>25403716</v>
          </cell>
          <cell r="V10">
            <v>94350324</v>
          </cell>
          <cell r="W10">
            <v>2818830</v>
          </cell>
          <cell r="X10">
            <v>80143249</v>
          </cell>
          <cell r="Y10">
            <v>52372608</v>
          </cell>
          <cell r="Z10">
            <v>2970518</v>
          </cell>
          <cell r="AA10">
            <v>11470170</v>
          </cell>
          <cell r="AB10">
            <v>0</v>
          </cell>
          <cell r="AC10">
            <v>28993680</v>
          </cell>
          <cell r="AD10">
            <v>9664560</v>
          </cell>
          <cell r="AE10">
            <v>4832280</v>
          </cell>
          <cell r="AF10">
            <v>0</v>
          </cell>
          <cell r="AG10">
            <v>2416140</v>
          </cell>
          <cell r="AH10">
            <v>322692762</v>
          </cell>
          <cell r="AI10">
            <v>322692762</v>
          </cell>
          <cell r="AJ10">
            <v>18729218</v>
          </cell>
          <cell r="AK10">
            <v>13288770</v>
          </cell>
          <cell r="AL10">
            <v>14496840</v>
          </cell>
          <cell r="AM10">
            <v>0</v>
          </cell>
          <cell r="AN10">
            <v>4832280</v>
          </cell>
          <cell r="AO10">
            <v>0</v>
          </cell>
          <cell r="AP10">
            <v>12080700</v>
          </cell>
          <cell r="AQ10">
            <v>41434557</v>
          </cell>
          <cell r="AR10">
            <v>19329120</v>
          </cell>
          <cell r="AS10">
            <v>0</v>
          </cell>
          <cell r="AT10">
            <v>7205907</v>
          </cell>
          <cell r="AU10">
            <v>19329120</v>
          </cell>
          <cell r="AV10">
            <v>150726512</v>
          </cell>
        </row>
        <row r="11">
          <cell r="A11">
            <v>7205000</v>
          </cell>
          <cell r="B11" t="str">
            <v>هزينه حق جذب</v>
          </cell>
          <cell r="C11">
            <v>0</v>
          </cell>
          <cell r="D11">
            <v>70009206</v>
          </cell>
          <cell r="E11">
            <v>73934323</v>
          </cell>
          <cell r="F11">
            <v>31150038</v>
          </cell>
          <cell r="G11">
            <v>65789250</v>
          </cell>
          <cell r="H11">
            <v>40829616</v>
          </cell>
          <cell r="I11">
            <v>122166663</v>
          </cell>
          <cell r="J11">
            <v>56142933</v>
          </cell>
          <cell r="K11">
            <v>27614633</v>
          </cell>
          <cell r="L11">
            <v>15085998</v>
          </cell>
          <cell r="M11">
            <v>40686294</v>
          </cell>
          <cell r="N11">
            <v>30865296</v>
          </cell>
          <cell r="O11">
            <v>0</v>
          </cell>
          <cell r="P11">
            <v>0</v>
          </cell>
          <cell r="Q11">
            <v>0</v>
          </cell>
          <cell r="R11">
            <v>9804297</v>
          </cell>
          <cell r="S11">
            <v>584078547</v>
          </cell>
          <cell r="T11">
            <v>25515268</v>
          </cell>
          <cell r="U11">
            <v>34781948</v>
          </cell>
          <cell r="V11">
            <v>258921398</v>
          </cell>
          <cell r="W11">
            <v>24242496</v>
          </cell>
          <cell r="X11">
            <v>498380531</v>
          </cell>
          <cell r="Y11">
            <v>112704775</v>
          </cell>
          <cell r="Z11">
            <v>6113314</v>
          </cell>
          <cell r="AA11">
            <v>67264321</v>
          </cell>
          <cell r="AB11">
            <v>4821770</v>
          </cell>
          <cell r="AC11">
            <v>109107704</v>
          </cell>
          <cell r="AD11">
            <v>25978812</v>
          </cell>
          <cell r="AE11">
            <v>15477990</v>
          </cell>
          <cell r="AF11">
            <v>0</v>
          </cell>
          <cell r="AG11">
            <v>6380142</v>
          </cell>
          <cell r="AH11">
            <v>1189690469</v>
          </cell>
          <cell r="AI11">
            <v>1189690469</v>
          </cell>
          <cell r="AJ11">
            <v>282385128</v>
          </cell>
          <cell r="AK11">
            <v>52911198</v>
          </cell>
          <cell r="AL11">
            <v>139014239</v>
          </cell>
          <cell r="AM11">
            <v>0</v>
          </cell>
          <cell r="AN11">
            <v>5720802</v>
          </cell>
          <cell r="AO11">
            <v>0</v>
          </cell>
          <cell r="AP11">
            <v>53766790</v>
          </cell>
          <cell r="AQ11">
            <v>158180921</v>
          </cell>
          <cell r="AR11">
            <v>58356696</v>
          </cell>
          <cell r="AS11">
            <v>0</v>
          </cell>
          <cell r="AT11">
            <v>17892735</v>
          </cell>
          <cell r="AU11">
            <v>200920574</v>
          </cell>
          <cell r="AV11">
            <v>969149083</v>
          </cell>
        </row>
        <row r="12">
          <cell r="A12">
            <v>7206000</v>
          </cell>
          <cell r="B12" t="str">
            <v>هزينه اضافه کارى</v>
          </cell>
          <cell r="C12">
            <v>0</v>
          </cell>
          <cell r="D12">
            <v>72043030</v>
          </cell>
          <cell r="E12">
            <v>72205213</v>
          </cell>
          <cell r="F12">
            <v>18651243</v>
          </cell>
          <cell r="G12">
            <v>114919644</v>
          </cell>
          <cell r="H12">
            <v>49463917</v>
          </cell>
          <cell r="I12">
            <v>106591685</v>
          </cell>
          <cell r="J12">
            <v>63228380</v>
          </cell>
          <cell r="K12">
            <v>35890801</v>
          </cell>
          <cell r="L12">
            <v>37474893</v>
          </cell>
          <cell r="M12">
            <v>54005991</v>
          </cell>
          <cell r="N12">
            <v>38711671</v>
          </cell>
          <cell r="O12">
            <v>0</v>
          </cell>
          <cell r="P12">
            <v>0</v>
          </cell>
          <cell r="Q12">
            <v>1145455</v>
          </cell>
          <cell r="R12">
            <v>503262</v>
          </cell>
          <cell r="S12">
            <v>664835185</v>
          </cell>
          <cell r="T12">
            <v>12110768</v>
          </cell>
          <cell r="U12">
            <v>134220379</v>
          </cell>
          <cell r="V12">
            <v>1002474943</v>
          </cell>
          <cell r="W12">
            <v>54444170</v>
          </cell>
          <cell r="X12">
            <v>259181161</v>
          </cell>
          <cell r="Y12">
            <v>135789611</v>
          </cell>
          <cell r="Z12">
            <v>3089483</v>
          </cell>
          <cell r="AA12">
            <v>46125016</v>
          </cell>
          <cell r="AB12">
            <v>1534206</v>
          </cell>
          <cell r="AC12">
            <v>172333020</v>
          </cell>
          <cell r="AD12">
            <v>71812297</v>
          </cell>
          <cell r="AE12">
            <v>46462976</v>
          </cell>
          <cell r="AF12">
            <v>0</v>
          </cell>
          <cell r="AG12">
            <v>59004264</v>
          </cell>
          <cell r="AH12">
            <v>1998582294</v>
          </cell>
          <cell r="AI12">
            <v>1998582294</v>
          </cell>
          <cell r="AJ12">
            <v>44709437</v>
          </cell>
          <cell r="AK12">
            <v>259135547</v>
          </cell>
          <cell r="AL12">
            <v>41974528</v>
          </cell>
          <cell r="AM12">
            <v>0</v>
          </cell>
          <cell r="AN12">
            <v>25459516</v>
          </cell>
          <cell r="AO12">
            <v>0</v>
          </cell>
          <cell r="AP12">
            <v>77507110</v>
          </cell>
          <cell r="AQ12">
            <v>289705388</v>
          </cell>
          <cell r="AR12">
            <v>113331680</v>
          </cell>
          <cell r="AS12">
            <v>0</v>
          </cell>
          <cell r="AT12">
            <v>44132929</v>
          </cell>
          <cell r="AU12">
            <v>79031291</v>
          </cell>
          <cell r="AV12">
            <v>974987426</v>
          </cell>
        </row>
        <row r="13">
          <cell r="A13">
            <v>7206001</v>
          </cell>
          <cell r="B13" t="str">
            <v>هزينه اضافه كاري ( پارس پاکان)</v>
          </cell>
          <cell r="C13">
            <v>0</v>
          </cell>
          <cell r="D13">
            <v>30215782</v>
          </cell>
          <cell r="E13">
            <v>55054111</v>
          </cell>
          <cell r="F13">
            <v>42749084</v>
          </cell>
          <cell r="G13">
            <v>75576764</v>
          </cell>
          <cell r="H13">
            <v>7669646</v>
          </cell>
          <cell r="I13">
            <v>50659743</v>
          </cell>
          <cell r="J13">
            <v>44280471</v>
          </cell>
          <cell r="K13">
            <v>34962536</v>
          </cell>
          <cell r="L13">
            <v>22649889</v>
          </cell>
          <cell r="M13">
            <v>0</v>
          </cell>
          <cell r="N13">
            <v>154897129</v>
          </cell>
          <cell r="O13">
            <v>41464799</v>
          </cell>
          <cell r="P13">
            <v>34366955</v>
          </cell>
          <cell r="Q13">
            <v>33502747</v>
          </cell>
          <cell r="R13">
            <v>117612418</v>
          </cell>
          <cell r="S13">
            <v>745662074</v>
          </cell>
          <cell r="T13">
            <v>24294759</v>
          </cell>
          <cell r="U13">
            <v>97334415</v>
          </cell>
          <cell r="V13">
            <v>249618147</v>
          </cell>
          <cell r="W13">
            <v>0</v>
          </cell>
          <cell r="X13">
            <v>4202279</v>
          </cell>
          <cell r="Y13">
            <v>68853573</v>
          </cell>
          <cell r="Z13">
            <v>29936191</v>
          </cell>
          <cell r="AA13">
            <v>0</v>
          </cell>
          <cell r="AB13">
            <v>0</v>
          </cell>
          <cell r="AC13">
            <v>0</v>
          </cell>
          <cell r="AD13">
            <v>129638631</v>
          </cell>
          <cell r="AE13">
            <v>605163466</v>
          </cell>
          <cell r="AF13">
            <v>0</v>
          </cell>
          <cell r="AG13">
            <v>0</v>
          </cell>
          <cell r="AH13">
            <v>1209041461</v>
          </cell>
          <cell r="AI13">
            <v>1209041461</v>
          </cell>
          <cell r="AJ13">
            <v>10440952</v>
          </cell>
          <cell r="AK13">
            <v>0</v>
          </cell>
          <cell r="AL13">
            <v>0</v>
          </cell>
          <cell r="AM13">
            <v>1602192</v>
          </cell>
          <cell r="AN13">
            <v>0</v>
          </cell>
          <cell r="AO13">
            <v>0</v>
          </cell>
          <cell r="AP13">
            <v>0</v>
          </cell>
          <cell r="AQ13">
            <v>0</v>
          </cell>
          <cell r="AR13">
            <v>0</v>
          </cell>
          <cell r="AS13">
            <v>0</v>
          </cell>
          <cell r="AT13">
            <v>0</v>
          </cell>
          <cell r="AU13">
            <v>0</v>
          </cell>
          <cell r="AV13">
            <v>12043144</v>
          </cell>
        </row>
        <row r="14">
          <cell r="A14">
            <v>7207000</v>
          </cell>
          <cell r="B14" t="str">
            <v>هزينه نوبتکارى</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29364588</v>
          </cell>
          <cell r="AE14">
            <v>0</v>
          </cell>
          <cell r="AF14">
            <v>0</v>
          </cell>
          <cell r="AG14">
            <v>0</v>
          </cell>
          <cell r="AH14">
            <v>29364588</v>
          </cell>
          <cell r="AI14">
            <v>29364588</v>
          </cell>
          <cell r="AJ14">
            <v>0</v>
          </cell>
          <cell r="AK14">
            <v>0</v>
          </cell>
          <cell r="AL14">
            <v>0</v>
          </cell>
          <cell r="AM14">
            <v>0</v>
          </cell>
          <cell r="AN14">
            <v>0</v>
          </cell>
          <cell r="AO14">
            <v>0</v>
          </cell>
          <cell r="AP14">
            <v>0</v>
          </cell>
          <cell r="AQ14">
            <v>0</v>
          </cell>
          <cell r="AR14">
            <v>0</v>
          </cell>
          <cell r="AS14">
            <v>0</v>
          </cell>
          <cell r="AT14">
            <v>0</v>
          </cell>
          <cell r="AU14">
            <v>0</v>
          </cell>
          <cell r="AV14">
            <v>0</v>
          </cell>
        </row>
        <row r="15">
          <cell r="A15">
            <v>7208000</v>
          </cell>
          <cell r="B15" t="str">
            <v>هزينه شبکارى</v>
          </cell>
          <cell r="C15">
            <v>0</v>
          </cell>
          <cell r="D15">
            <v>383919</v>
          </cell>
          <cell r="E15">
            <v>556410</v>
          </cell>
          <cell r="F15">
            <v>0</v>
          </cell>
          <cell r="G15">
            <v>848967</v>
          </cell>
          <cell r="H15">
            <v>0</v>
          </cell>
          <cell r="I15">
            <v>43790</v>
          </cell>
          <cell r="J15">
            <v>0</v>
          </cell>
          <cell r="K15">
            <v>0</v>
          </cell>
          <cell r="L15">
            <v>40500</v>
          </cell>
          <cell r="M15">
            <v>31957</v>
          </cell>
          <cell r="N15">
            <v>90914</v>
          </cell>
          <cell r="O15">
            <v>0</v>
          </cell>
          <cell r="P15">
            <v>0</v>
          </cell>
          <cell r="Q15">
            <v>0</v>
          </cell>
          <cell r="R15">
            <v>0</v>
          </cell>
          <cell r="S15">
            <v>1996457</v>
          </cell>
          <cell r="T15">
            <v>0</v>
          </cell>
          <cell r="U15">
            <v>9179</v>
          </cell>
          <cell r="V15">
            <v>25426100</v>
          </cell>
          <cell r="W15">
            <v>52803</v>
          </cell>
          <cell r="X15">
            <v>2459102</v>
          </cell>
          <cell r="Y15">
            <v>147174</v>
          </cell>
          <cell r="Z15">
            <v>0</v>
          </cell>
          <cell r="AA15">
            <v>0</v>
          </cell>
          <cell r="AB15">
            <v>0</v>
          </cell>
          <cell r="AC15">
            <v>0</v>
          </cell>
          <cell r="AD15">
            <v>0</v>
          </cell>
          <cell r="AE15">
            <v>13881</v>
          </cell>
          <cell r="AF15">
            <v>0</v>
          </cell>
          <cell r="AG15">
            <v>72033</v>
          </cell>
          <cell r="AH15">
            <v>28180272</v>
          </cell>
          <cell r="AI15">
            <v>28180272</v>
          </cell>
          <cell r="AJ15">
            <v>0</v>
          </cell>
          <cell r="AK15">
            <v>475266</v>
          </cell>
          <cell r="AL15">
            <v>17909</v>
          </cell>
          <cell r="AM15">
            <v>0</v>
          </cell>
          <cell r="AN15">
            <v>0</v>
          </cell>
          <cell r="AO15">
            <v>0</v>
          </cell>
          <cell r="AP15">
            <v>23062</v>
          </cell>
          <cell r="AQ15">
            <v>722618</v>
          </cell>
          <cell r="AR15">
            <v>318993</v>
          </cell>
          <cell r="AS15">
            <v>0</v>
          </cell>
          <cell r="AT15">
            <v>0</v>
          </cell>
          <cell r="AU15">
            <v>39254</v>
          </cell>
          <cell r="AV15">
            <v>1597102</v>
          </cell>
        </row>
        <row r="16">
          <cell r="A16">
            <v>7211000</v>
          </cell>
          <cell r="B16" t="str">
            <v>هزينه عيدى وپاداش ساليانه</v>
          </cell>
          <cell r="C16">
            <v>0</v>
          </cell>
          <cell r="D16">
            <v>45488067</v>
          </cell>
          <cell r="E16">
            <v>45445572</v>
          </cell>
          <cell r="F16">
            <v>16904355</v>
          </cell>
          <cell r="G16">
            <v>40013590</v>
          </cell>
          <cell r="H16">
            <v>23470726</v>
          </cell>
          <cell r="I16">
            <v>77426773</v>
          </cell>
          <cell r="J16">
            <v>41469835</v>
          </cell>
          <cell r="K16">
            <v>14309654</v>
          </cell>
          <cell r="L16">
            <v>5941328</v>
          </cell>
          <cell r="M16">
            <v>23428719</v>
          </cell>
          <cell r="N16">
            <v>25005524</v>
          </cell>
          <cell r="O16">
            <v>0</v>
          </cell>
          <cell r="P16">
            <v>0</v>
          </cell>
          <cell r="Q16">
            <v>0</v>
          </cell>
          <cell r="R16">
            <v>2697482</v>
          </cell>
          <cell r="S16">
            <v>361601625</v>
          </cell>
          <cell r="T16">
            <v>17802576</v>
          </cell>
          <cell r="U16">
            <v>45110069</v>
          </cell>
          <cell r="V16">
            <v>209254169</v>
          </cell>
          <cell r="W16">
            <v>29984189</v>
          </cell>
          <cell r="X16">
            <v>286797264</v>
          </cell>
          <cell r="Y16">
            <v>68800271</v>
          </cell>
          <cell r="Z16">
            <v>3652276</v>
          </cell>
          <cell r="AA16">
            <v>37957583</v>
          </cell>
          <cell r="AB16">
            <v>3550713</v>
          </cell>
          <cell r="AC16">
            <v>80643491</v>
          </cell>
          <cell r="AD16">
            <v>17167555</v>
          </cell>
          <cell r="AE16">
            <v>5941328</v>
          </cell>
          <cell r="AF16">
            <v>0</v>
          </cell>
          <cell r="AG16">
            <v>10459255</v>
          </cell>
          <cell r="AH16">
            <v>817120739</v>
          </cell>
          <cell r="AI16">
            <v>817120739</v>
          </cell>
          <cell r="AJ16">
            <v>181662693</v>
          </cell>
          <cell r="AK16">
            <v>36539565</v>
          </cell>
          <cell r="AL16">
            <v>71060721</v>
          </cell>
          <cell r="AM16">
            <v>0</v>
          </cell>
          <cell r="AN16">
            <v>5793489</v>
          </cell>
          <cell r="AO16">
            <v>7927166</v>
          </cell>
          <cell r="AP16">
            <v>33319312</v>
          </cell>
          <cell r="AQ16">
            <v>97324591</v>
          </cell>
          <cell r="AR16">
            <v>44364957</v>
          </cell>
          <cell r="AS16">
            <v>0</v>
          </cell>
          <cell r="AT16">
            <v>11778116</v>
          </cell>
          <cell r="AU16">
            <v>94418190</v>
          </cell>
          <cell r="AV16">
            <v>584188800</v>
          </cell>
        </row>
        <row r="17">
          <cell r="A17">
            <v>7213000</v>
          </cell>
          <cell r="B17" t="str">
            <v>هزينه بن کالاى اساسى</v>
          </cell>
          <cell r="C17">
            <v>0</v>
          </cell>
          <cell r="D17">
            <v>16800000</v>
          </cell>
          <cell r="E17">
            <v>16800000</v>
          </cell>
          <cell r="F17">
            <v>6300000</v>
          </cell>
          <cell r="G17">
            <v>14700000</v>
          </cell>
          <cell r="H17">
            <v>8400000</v>
          </cell>
          <cell r="I17">
            <v>28700000</v>
          </cell>
          <cell r="J17">
            <v>15050000</v>
          </cell>
          <cell r="K17">
            <v>5250000</v>
          </cell>
          <cell r="L17">
            <v>2100000</v>
          </cell>
          <cell r="M17">
            <v>8400000</v>
          </cell>
          <cell r="N17">
            <v>11200000</v>
          </cell>
          <cell r="O17">
            <v>0</v>
          </cell>
          <cell r="P17">
            <v>0</v>
          </cell>
          <cell r="Q17">
            <v>0</v>
          </cell>
          <cell r="R17">
            <v>1050000</v>
          </cell>
          <cell r="S17">
            <v>134750000</v>
          </cell>
          <cell r="T17">
            <v>7000000</v>
          </cell>
          <cell r="U17">
            <v>17850000</v>
          </cell>
          <cell r="V17">
            <v>77350000</v>
          </cell>
          <cell r="W17">
            <v>11550000</v>
          </cell>
          <cell r="X17">
            <v>103950000</v>
          </cell>
          <cell r="Y17">
            <v>25200000</v>
          </cell>
          <cell r="Z17">
            <v>1400000</v>
          </cell>
          <cell r="AA17">
            <v>14350000</v>
          </cell>
          <cell r="AB17">
            <v>1400000</v>
          </cell>
          <cell r="AC17">
            <v>29400000</v>
          </cell>
          <cell r="AD17">
            <v>6300000</v>
          </cell>
          <cell r="AE17">
            <v>2100000</v>
          </cell>
          <cell r="AF17">
            <v>0</v>
          </cell>
          <cell r="AG17">
            <v>4200000</v>
          </cell>
          <cell r="AH17">
            <v>302050000</v>
          </cell>
          <cell r="AI17">
            <v>302050000</v>
          </cell>
          <cell r="AJ17">
            <v>66150000</v>
          </cell>
          <cell r="AK17">
            <v>12950000</v>
          </cell>
          <cell r="AL17">
            <v>25200000</v>
          </cell>
          <cell r="AM17">
            <v>0</v>
          </cell>
          <cell r="AN17">
            <v>2100000</v>
          </cell>
          <cell r="AO17">
            <v>0</v>
          </cell>
          <cell r="AP17">
            <v>11900000</v>
          </cell>
          <cell r="AQ17">
            <v>35000000</v>
          </cell>
          <cell r="AR17">
            <v>16100000</v>
          </cell>
          <cell r="AS17">
            <v>0</v>
          </cell>
          <cell r="AT17">
            <v>4200000</v>
          </cell>
          <cell r="AU17">
            <v>33600000</v>
          </cell>
          <cell r="AV17">
            <v>207200000</v>
          </cell>
        </row>
        <row r="18">
          <cell r="A18">
            <v>7215000</v>
          </cell>
          <cell r="B18" t="str">
            <v>هزينه حق بيمه سهم کارفرما</v>
          </cell>
          <cell r="C18">
            <v>0</v>
          </cell>
          <cell r="D18">
            <v>98471710</v>
          </cell>
          <cell r="E18">
            <v>104178411</v>
          </cell>
          <cell r="F18">
            <v>36991516</v>
          </cell>
          <cell r="G18">
            <v>108391273</v>
          </cell>
          <cell r="H18">
            <v>55365369</v>
          </cell>
          <cell r="I18">
            <v>167619481</v>
          </cell>
          <cell r="J18">
            <v>88339983</v>
          </cell>
          <cell r="K18">
            <v>35873563</v>
          </cell>
          <cell r="L18">
            <v>21296130</v>
          </cell>
          <cell r="M18">
            <v>65609772</v>
          </cell>
          <cell r="N18">
            <v>70216763</v>
          </cell>
          <cell r="O18">
            <v>0</v>
          </cell>
          <cell r="P18">
            <v>0</v>
          </cell>
          <cell r="Q18">
            <v>0</v>
          </cell>
          <cell r="R18">
            <v>15410845</v>
          </cell>
          <cell r="S18">
            <v>867764816</v>
          </cell>
          <cell r="T18">
            <v>33792248</v>
          </cell>
          <cell r="U18">
            <v>123769603</v>
          </cell>
          <cell r="V18">
            <v>629033721</v>
          </cell>
          <cell r="W18">
            <v>66505938</v>
          </cell>
          <cell r="X18">
            <v>718755119</v>
          </cell>
          <cell r="Y18">
            <v>162303220</v>
          </cell>
          <cell r="Z18">
            <v>10288284</v>
          </cell>
          <cell r="AA18">
            <v>97061342</v>
          </cell>
          <cell r="AB18">
            <v>7092983</v>
          </cell>
          <cell r="AC18">
            <v>173686871</v>
          </cell>
          <cell r="AD18">
            <v>55209942</v>
          </cell>
          <cell r="AE18">
            <v>24073846</v>
          </cell>
          <cell r="AF18">
            <v>0</v>
          </cell>
          <cell r="AG18">
            <v>31361650</v>
          </cell>
          <cell r="AH18">
            <v>2132934767</v>
          </cell>
          <cell r="AI18">
            <v>2132934767</v>
          </cell>
          <cell r="AJ18">
            <v>517003102</v>
          </cell>
          <cell r="AK18">
            <v>196276387</v>
          </cell>
          <cell r="AL18">
            <v>193338251</v>
          </cell>
          <cell r="AM18">
            <v>0</v>
          </cell>
          <cell r="AN18">
            <v>15445194</v>
          </cell>
          <cell r="AO18">
            <v>0</v>
          </cell>
          <cell r="AP18">
            <v>101474801</v>
          </cell>
          <cell r="AQ18">
            <v>283578891</v>
          </cell>
          <cell r="AR18">
            <v>132329790</v>
          </cell>
          <cell r="AS18">
            <v>0</v>
          </cell>
          <cell r="AT18">
            <v>35672076</v>
          </cell>
          <cell r="AU18">
            <v>312331342</v>
          </cell>
          <cell r="AV18">
            <v>1787449834</v>
          </cell>
        </row>
        <row r="19">
          <cell r="A19">
            <v>7216000</v>
          </cell>
          <cell r="B19" t="str">
            <v>هزينه بازخريدسنوات</v>
          </cell>
          <cell r="C19">
            <v>0</v>
          </cell>
          <cell r="D19">
            <v>163358871</v>
          </cell>
          <cell r="E19">
            <v>184604110</v>
          </cell>
          <cell r="F19">
            <v>252343164</v>
          </cell>
          <cell r="G19">
            <v>142345600</v>
          </cell>
          <cell r="H19">
            <v>83264527</v>
          </cell>
          <cell r="I19">
            <v>266911049</v>
          </cell>
          <cell r="J19">
            <v>130371975</v>
          </cell>
          <cell r="K19">
            <v>234089943</v>
          </cell>
          <cell r="L19">
            <v>20891306</v>
          </cell>
          <cell r="M19">
            <v>38385402</v>
          </cell>
          <cell r="N19">
            <v>46311419</v>
          </cell>
          <cell r="O19">
            <v>0</v>
          </cell>
          <cell r="P19">
            <v>0</v>
          </cell>
          <cell r="Q19">
            <v>0</v>
          </cell>
          <cell r="R19">
            <v>23998572</v>
          </cell>
          <cell r="S19">
            <v>1586875938</v>
          </cell>
          <cell r="T19">
            <v>78349471</v>
          </cell>
          <cell r="U19">
            <v>145728980</v>
          </cell>
          <cell r="V19">
            <v>491770340</v>
          </cell>
          <cell r="W19">
            <v>176831619</v>
          </cell>
          <cell r="X19">
            <v>893807077</v>
          </cell>
          <cell r="Y19">
            <v>262800663</v>
          </cell>
          <cell r="Z19">
            <v>11301706</v>
          </cell>
          <cell r="AA19">
            <v>386398940</v>
          </cell>
          <cell r="AB19">
            <v>6994465</v>
          </cell>
          <cell r="AC19">
            <v>228056201</v>
          </cell>
          <cell r="AD19">
            <v>62267985</v>
          </cell>
          <cell r="AE19">
            <v>22228222</v>
          </cell>
          <cell r="AF19">
            <v>0</v>
          </cell>
          <cell r="AG19">
            <v>9263315</v>
          </cell>
          <cell r="AH19">
            <v>2775798984</v>
          </cell>
          <cell r="AI19">
            <v>2775798984</v>
          </cell>
          <cell r="AJ19">
            <v>2802895125</v>
          </cell>
          <cell r="AK19">
            <v>1380605459</v>
          </cell>
          <cell r="AL19">
            <v>151518312</v>
          </cell>
          <cell r="AM19">
            <v>0</v>
          </cell>
          <cell r="AN19">
            <v>23865287</v>
          </cell>
          <cell r="AO19">
            <v>0</v>
          </cell>
          <cell r="AP19">
            <v>71095296</v>
          </cell>
          <cell r="AQ19">
            <v>685625466</v>
          </cell>
          <cell r="AR19">
            <v>71906755</v>
          </cell>
          <cell r="AS19">
            <v>0</v>
          </cell>
          <cell r="AT19">
            <v>32561351</v>
          </cell>
          <cell r="AU19">
            <v>371658010</v>
          </cell>
          <cell r="AV19">
            <v>5591731061</v>
          </cell>
        </row>
        <row r="20">
          <cell r="A20">
            <v>7217000</v>
          </cell>
          <cell r="B20" t="str">
            <v>هزينه اياب وذهاب</v>
          </cell>
          <cell r="C20">
            <v>0</v>
          </cell>
          <cell r="D20">
            <v>5230608</v>
          </cell>
          <cell r="E20">
            <v>4836078</v>
          </cell>
          <cell r="F20">
            <v>1735872</v>
          </cell>
          <cell r="G20">
            <v>4722426</v>
          </cell>
          <cell r="H20">
            <v>2302788</v>
          </cell>
          <cell r="I20">
            <v>12175710</v>
          </cell>
          <cell r="J20">
            <v>5803270</v>
          </cell>
          <cell r="K20">
            <v>2592033</v>
          </cell>
          <cell r="L20">
            <v>1211976</v>
          </cell>
          <cell r="M20">
            <v>0</v>
          </cell>
          <cell r="N20">
            <v>5200000</v>
          </cell>
          <cell r="O20">
            <v>0</v>
          </cell>
          <cell r="P20">
            <v>0</v>
          </cell>
          <cell r="Q20">
            <v>0</v>
          </cell>
          <cell r="R20">
            <v>3120000</v>
          </cell>
          <cell r="S20">
            <v>48930761</v>
          </cell>
          <cell r="T20">
            <v>1373164</v>
          </cell>
          <cell r="U20">
            <v>9607808</v>
          </cell>
          <cell r="V20">
            <v>24382284</v>
          </cell>
          <cell r="W20">
            <v>3120000</v>
          </cell>
          <cell r="X20">
            <v>21195172</v>
          </cell>
          <cell r="Y20">
            <v>11190970</v>
          </cell>
          <cell r="Z20">
            <v>0</v>
          </cell>
          <cell r="AA20">
            <v>4386960</v>
          </cell>
          <cell r="AB20">
            <v>0</v>
          </cell>
          <cell r="AC20">
            <v>11799346</v>
          </cell>
          <cell r="AD20">
            <v>18011430</v>
          </cell>
          <cell r="AE20">
            <v>20669300</v>
          </cell>
          <cell r="AF20">
            <v>0</v>
          </cell>
          <cell r="AG20">
            <v>2373665351</v>
          </cell>
          <cell r="AH20">
            <v>2245257785</v>
          </cell>
          <cell r="AI20">
            <v>2245257785</v>
          </cell>
          <cell r="AJ20">
            <v>138456000</v>
          </cell>
          <cell r="AK20">
            <v>52342500</v>
          </cell>
          <cell r="AL20">
            <v>0</v>
          </cell>
          <cell r="AM20">
            <v>0</v>
          </cell>
          <cell r="AN20">
            <v>0</v>
          </cell>
          <cell r="AO20">
            <v>0</v>
          </cell>
          <cell r="AP20">
            <v>6240000</v>
          </cell>
          <cell r="AQ20">
            <v>23307823</v>
          </cell>
          <cell r="AR20">
            <v>7165236</v>
          </cell>
          <cell r="AS20">
            <v>23078946</v>
          </cell>
          <cell r="AT20">
            <v>3803566</v>
          </cell>
          <cell r="AU20">
            <v>24399480</v>
          </cell>
          <cell r="AV20">
            <v>278793551</v>
          </cell>
        </row>
        <row r="21">
          <cell r="A21">
            <v>7218000</v>
          </cell>
          <cell r="B21" t="str">
            <v>هزينه پاداش بهره ورى</v>
          </cell>
          <cell r="C21">
            <v>0</v>
          </cell>
          <cell r="D21">
            <v>30400000</v>
          </cell>
          <cell r="E21">
            <v>30400000</v>
          </cell>
          <cell r="F21">
            <v>11400000</v>
          </cell>
          <cell r="G21">
            <v>26600000</v>
          </cell>
          <cell r="H21">
            <v>15200000</v>
          </cell>
          <cell r="I21">
            <v>57000000</v>
          </cell>
          <cell r="J21">
            <v>30400000</v>
          </cell>
          <cell r="K21">
            <v>11400000</v>
          </cell>
          <cell r="L21">
            <v>3800000</v>
          </cell>
          <cell r="M21">
            <v>15200000</v>
          </cell>
          <cell r="N21">
            <v>19000000</v>
          </cell>
          <cell r="O21">
            <v>0</v>
          </cell>
          <cell r="P21">
            <v>3800000</v>
          </cell>
          <cell r="Q21">
            <v>3800000</v>
          </cell>
          <cell r="R21">
            <v>3800000</v>
          </cell>
          <cell r="S21">
            <v>262200000</v>
          </cell>
          <cell r="T21">
            <v>11400000</v>
          </cell>
          <cell r="U21">
            <v>30400000</v>
          </cell>
          <cell r="V21">
            <v>148200000</v>
          </cell>
          <cell r="W21">
            <v>19000000</v>
          </cell>
          <cell r="X21">
            <v>193800000</v>
          </cell>
          <cell r="Y21">
            <v>45600000</v>
          </cell>
          <cell r="Z21">
            <v>3800000</v>
          </cell>
          <cell r="AA21">
            <v>26600000</v>
          </cell>
          <cell r="AB21">
            <v>3800000</v>
          </cell>
          <cell r="AC21">
            <v>57000000</v>
          </cell>
          <cell r="AD21">
            <v>11400000</v>
          </cell>
          <cell r="AE21">
            <v>7600000</v>
          </cell>
          <cell r="AF21">
            <v>0</v>
          </cell>
          <cell r="AG21">
            <v>7600000</v>
          </cell>
          <cell r="AH21">
            <v>566200000</v>
          </cell>
          <cell r="AI21">
            <v>566200000</v>
          </cell>
          <cell r="AJ21">
            <v>125400000</v>
          </cell>
          <cell r="AK21">
            <v>30400000</v>
          </cell>
          <cell r="AL21">
            <v>45600000</v>
          </cell>
          <cell r="AM21">
            <v>0</v>
          </cell>
          <cell r="AN21">
            <v>7600000</v>
          </cell>
          <cell r="AO21">
            <v>0</v>
          </cell>
          <cell r="AP21">
            <v>22800000</v>
          </cell>
          <cell r="AQ21">
            <v>68400000</v>
          </cell>
          <cell r="AR21">
            <v>34200000</v>
          </cell>
          <cell r="AS21">
            <v>0</v>
          </cell>
          <cell r="AT21">
            <v>11400000</v>
          </cell>
          <cell r="AU21">
            <v>60800000</v>
          </cell>
          <cell r="AV21">
            <v>406600000</v>
          </cell>
        </row>
        <row r="22">
          <cell r="A22">
            <v>7218001</v>
          </cell>
          <cell r="B22" t="str">
            <v>هزينه پاداش بهره ورى( پارس پاکان)</v>
          </cell>
          <cell r="C22">
            <v>0</v>
          </cell>
          <cell r="D22">
            <v>16200000</v>
          </cell>
          <cell r="E22">
            <v>12600000</v>
          </cell>
          <cell r="F22">
            <v>18000000</v>
          </cell>
          <cell r="G22">
            <v>21600000</v>
          </cell>
          <cell r="H22">
            <v>5400000</v>
          </cell>
          <cell r="I22">
            <v>19800000</v>
          </cell>
          <cell r="J22">
            <v>18000000</v>
          </cell>
          <cell r="K22">
            <v>12600000</v>
          </cell>
          <cell r="L22">
            <v>3600000</v>
          </cell>
          <cell r="M22">
            <v>0</v>
          </cell>
          <cell r="N22">
            <v>66600000</v>
          </cell>
          <cell r="O22">
            <v>9000000</v>
          </cell>
          <cell r="P22">
            <v>9000000</v>
          </cell>
          <cell r="Q22">
            <v>0</v>
          </cell>
          <cell r="R22">
            <v>0</v>
          </cell>
          <cell r="S22">
            <v>212400000</v>
          </cell>
          <cell r="T22">
            <v>5400000</v>
          </cell>
          <cell r="U22">
            <v>120600000</v>
          </cell>
          <cell r="V22">
            <v>25200000</v>
          </cell>
          <cell r="W22">
            <v>0</v>
          </cell>
          <cell r="X22">
            <v>1800000</v>
          </cell>
          <cell r="Y22">
            <v>25200000</v>
          </cell>
          <cell r="Z22">
            <v>10800000</v>
          </cell>
          <cell r="AA22">
            <v>0</v>
          </cell>
          <cell r="AB22">
            <v>0</v>
          </cell>
          <cell r="AC22">
            <v>0</v>
          </cell>
          <cell r="AD22">
            <v>18000000</v>
          </cell>
          <cell r="AE22">
            <v>117000000</v>
          </cell>
          <cell r="AF22">
            <v>0</v>
          </cell>
          <cell r="AG22">
            <v>0</v>
          </cell>
          <cell r="AH22">
            <v>324000000</v>
          </cell>
          <cell r="AI22">
            <v>324000000</v>
          </cell>
          <cell r="AJ22">
            <v>5400000</v>
          </cell>
          <cell r="AK22">
            <v>0</v>
          </cell>
          <cell r="AL22">
            <v>0</v>
          </cell>
          <cell r="AM22">
            <v>1800000</v>
          </cell>
          <cell r="AN22">
            <v>0</v>
          </cell>
          <cell r="AO22">
            <v>0</v>
          </cell>
          <cell r="AP22">
            <v>0</v>
          </cell>
          <cell r="AQ22">
            <v>0</v>
          </cell>
          <cell r="AR22">
            <v>0</v>
          </cell>
          <cell r="AS22">
            <v>0</v>
          </cell>
          <cell r="AT22">
            <v>0</v>
          </cell>
          <cell r="AU22">
            <v>0</v>
          </cell>
          <cell r="AV22">
            <v>7200000</v>
          </cell>
        </row>
        <row r="23">
          <cell r="A23">
            <v>7219000</v>
          </cell>
          <cell r="B23" t="str">
            <v>هزينه سايرمزاياى نقدى</v>
          </cell>
          <cell r="C23">
            <v>0</v>
          </cell>
          <cell r="D23">
            <v>5683590</v>
          </cell>
          <cell r="E23">
            <v>8528483</v>
          </cell>
          <cell r="F23">
            <v>2750969</v>
          </cell>
          <cell r="G23">
            <v>9782099</v>
          </cell>
          <cell r="H23">
            <v>799998</v>
          </cell>
          <cell r="I23">
            <v>5281656</v>
          </cell>
          <cell r="J23">
            <v>700000</v>
          </cell>
          <cell r="K23">
            <v>619998</v>
          </cell>
          <cell r="L23">
            <v>619998</v>
          </cell>
          <cell r="M23">
            <v>8680002</v>
          </cell>
          <cell r="N23">
            <v>33993390</v>
          </cell>
          <cell r="O23">
            <v>0</v>
          </cell>
          <cell r="P23">
            <v>0</v>
          </cell>
          <cell r="Q23">
            <v>0</v>
          </cell>
          <cell r="R23">
            <v>14074622</v>
          </cell>
          <cell r="S23">
            <v>91514805</v>
          </cell>
          <cell r="T23">
            <v>1460000</v>
          </cell>
          <cell r="U23">
            <v>43779760</v>
          </cell>
          <cell r="V23">
            <v>36196164</v>
          </cell>
          <cell r="W23">
            <v>9300000</v>
          </cell>
          <cell r="X23">
            <v>126125902</v>
          </cell>
          <cell r="Y23">
            <v>61961248</v>
          </cell>
          <cell r="Z23">
            <v>14129100</v>
          </cell>
          <cell r="AA23">
            <v>38627775</v>
          </cell>
          <cell r="AB23">
            <v>0</v>
          </cell>
          <cell r="AC23">
            <v>25675863</v>
          </cell>
          <cell r="AD23">
            <v>7160000</v>
          </cell>
          <cell r="AE23">
            <v>8827017</v>
          </cell>
          <cell r="AF23">
            <v>0</v>
          </cell>
          <cell r="AG23">
            <v>1492640</v>
          </cell>
          <cell r="AH23">
            <v>374735469</v>
          </cell>
          <cell r="AI23">
            <v>374735469</v>
          </cell>
          <cell r="AJ23">
            <v>456525999</v>
          </cell>
          <cell r="AK23">
            <v>178837092</v>
          </cell>
          <cell r="AL23">
            <v>62002244</v>
          </cell>
          <cell r="AM23">
            <v>0</v>
          </cell>
          <cell r="AN23">
            <v>0</v>
          </cell>
          <cell r="AO23">
            <v>0</v>
          </cell>
          <cell r="AP23">
            <v>45488886</v>
          </cell>
          <cell r="AQ23">
            <v>196598707</v>
          </cell>
          <cell r="AR23">
            <v>35390132</v>
          </cell>
          <cell r="AS23">
            <v>0</v>
          </cell>
          <cell r="AT23">
            <v>10090909</v>
          </cell>
          <cell r="AU23">
            <v>160560010</v>
          </cell>
          <cell r="AV23">
            <v>1145493979</v>
          </cell>
        </row>
        <row r="24">
          <cell r="A24">
            <v>7219001</v>
          </cell>
          <cell r="B24" t="str">
            <v>هزينه سايرمزاياى نقدى ( پارس پاکان)</v>
          </cell>
          <cell r="C24">
            <v>0</v>
          </cell>
          <cell r="D24">
            <v>0</v>
          </cell>
          <cell r="E24">
            <v>0</v>
          </cell>
          <cell r="F24">
            <v>0</v>
          </cell>
          <cell r="G24">
            <v>0</v>
          </cell>
          <cell r="H24">
            <v>0</v>
          </cell>
          <cell r="I24">
            <v>0</v>
          </cell>
          <cell r="J24">
            <v>0</v>
          </cell>
          <cell r="K24">
            <v>600000</v>
          </cell>
          <cell r="L24">
            <v>0</v>
          </cell>
          <cell r="M24">
            <v>0</v>
          </cell>
          <cell r="N24">
            <v>0</v>
          </cell>
          <cell r="O24">
            <v>0</v>
          </cell>
          <cell r="P24">
            <v>0</v>
          </cell>
          <cell r="Q24">
            <v>0</v>
          </cell>
          <cell r="R24">
            <v>0</v>
          </cell>
          <cell r="S24">
            <v>600000</v>
          </cell>
          <cell r="T24">
            <v>0</v>
          </cell>
          <cell r="U24">
            <v>600000</v>
          </cell>
          <cell r="V24">
            <v>600000</v>
          </cell>
          <cell r="W24">
            <v>0</v>
          </cell>
          <cell r="X24">
            <v>0</v>
          </cell>
          <cell r="Y24">
            <v>0</v>
          </cell>
          <cell r="Z24">
            <v>0</v>
          </cell>
          <cell r="AA24">
            <v>0</v>
          </cell>
          <cell r="AB24">
            <v>0</v>
          </cell>
          <cell r="AC24">
            <v>0</v>
          </cell>
          <cell r="AD24">
            <v>0</v>
          </cell>
          <cell r="AE24">
            <v>1200000</v>
          </cell>
          <cell r="AF24">
            <v>0</v>
          </cell>
          <cell r="AG24">
            <v>0</v>
          </cell>
          <cell r="AH24">
            <v>2400000</v>
          </cell>
          <cell r="AI24">
            <v>2400000</v>
          </cell>
          <cell r="AJ24">
            <v>1200000</v>
          </cell>
          <cell r="AK24">
            <v>0</v>
          </cell>
          <cell r="AL24">
            <v>0</v>
          </cell>
          <cell r="AM24">
            <v>0</v>
          </cell>
          <cell r="AN24">
            <v>0</v>
          </cell>
          <cell r="AO24">
            <v>0</v>
          </cell>
          <cell r="AP24">
            <v>0</v>
          </cell>
          <cell r="AQ24">
            <v>0</v>
          </cell>
          <cell r="AR24">
            <v>600000</v>
          </cell>
          <cell r="AS24">
            <v>0</v>
          </cell>
          <cell r="AT24">
            <v>0</v>
          </cell>
          <cell r="AU24">
            <v>0</v>
          </cell>
          <cell r="AV24">
            <v>1800000</v>
          </cell>
        </row>
        <row r="25">
          <cell r="A25">
            <v>7223000</v>
          </cell>
          <cell r="B25" t="str">
            <v>هزينه بيمه حوادث كاركنان</v>
          </cell>
          <cell r="C25">
            <v>0</v>
          </cell>
          <cell r="D25">
            <v>11690083</v>
          </cell>
          <cell r="E25">
            <v>8179183</v>
          </cell>
          <cell r="F25">
            <v>4788601</v>
          </cell>
          <cell r="G25">
            <v>7718938</v>
          </cell>
          <cell r="H25">
            <v>7387266</v>
          </cell>
          <cell r="I25">
            <v>17450252</v>
          </cell>
          <cell r="J25">
            <v>10309786</v>
          </cell>
          <cell r="K25">
            <v>2737682</v>
          </cell>
          <cell r="L25">
            <v>1380296</v>
          </cell>
          <cell r="M25">
            <v>3578049</v>
          </cell>
          <cell r="N25">
            <v>5499234</v>
          </cell>
          <cell r="O25">
            <v>0</v>
          </cell>
          <cell r="P25">
            <v>0</v>
          </cell>
          <cell r="Q25">
            <v>0</v>
          </cell>
          <cell r="R25">
            <v>179241</v>
          </cell>
          <cell r="S25">
            <v>80898611</v>
          </cell>
          <cell r="T25">
            <v>3901905</v>
          </cell>
          <cell r="U25">
            <v>10965315</v>
          </cell>
          <cell r="V25">
            <v>41572717</v>
          </cell>
          <cell r="W25">
            <v>6888022</v>
          </cell>
          <cell r="X25">
            <v>41020214</v>
          </cell>
          <cell r="Y25">
            <v>18020908</v>
          </cell>
          <cell r="Z25">
            <v>1380296</v>
          </cell>
          <cell r="AA25">
            <v>6647494</v>
          </cell>
          <cell r="AB25">
            <v>732584</v>
          </cell>
          <cell r="AC25">
            <v>15016595</v>
          </cell>
          <cell r="AD25">
            <v>4464745</v>
          </cell>
          <cell r="AE25">
            <v>7620296</v>
          </cell>
          <cell r="AF25">
            <v>0</v>
          </cell>
          <cell r="AG25">
            <v>1789025</v>
          </cell>
          <cell r="AH25">
            <v>160020116</v>
          </cell>
          <cell r="AI25">
            <v>160020116</v>
          </cell>
          <cell r="AJ25">
            <v>48475986</v>
          </cell>
          <cell r="AK25">
            <v>9969260</v>
          </cell>
          <cell r="AL25">
            <v>8780039</v>
          </cell>
          <cell r="AM25">
            <v>0</v>
          </cell>
          <cell r="AN25">
            <v>1380296</v>
          </cell>
          <cell r="AO25">
            <v>0</v>
          </cell>
          <cell r="AP25">
            <v>4972434</v>
          </cell>
          <cell r="AQ25">
            <v>23921150</v>
          </cell>
          <cell r="AR25">
            <v>8256418</v>
          </cell>
          <cell r="AS25">
            <v>0</v>
          </cell>
          <cell r="AT25">
            <v>1873897</v>
          </cell>
          <cell r="AU25">
            <v>11094743</v>
          </cell>
          <cell r="AV25">
            <v>118724223</v>
          </cell>
        </row>
        <row r="26">
          <cell r="A26">
            <v>7224000</v>
          </cell>
          <cell r="B26" t="str">
            <v>هزينه بهداشت ودرمان</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11156500</v>
          </cell>
          <cell r="W26">
            <v>0</v>
          </cell>
          <cell r="X26">
            <v>282450</v>
          </cell>
          <cell r="Y26">
            <v>0</v>
          </cell>
          <cell r="Z26">
            <v>0</v>
          </cell>
          <cell r="AA26">
            <v>0</v>
          </cell>
          <cell r="AB26">
            <v>0</v>
          </cell>
          <cell r="AC26">
            <v>0</v>
          </cell>
          <cell r="AD26">
            <v>0</v>
          </cell>
          <cell r="AE26">
            <v>583000</v>
          </cell>
          <cell r="AF26">
            <v>0</v>
          </cell>
          <cell r="AG26">
            <v>0</v>
          </cell>
          <cell r="AH26">
            <v>12021950</v>
          </cell>
          <cell r="AI26">
            <v>12021950</v>
          </cell>
          <cell r="AJ26">
            <v>0</v>
          </cell>
          <cell r="AK26">
            <v>193095</v>
          </cell>
          <cell r="AL26">
            <v>0</v>
          </cell>
          <cell r="AM26">
            <v>0</v>
          </cell>
          <cell r="AN26">
            <v>0</v>
          </cell>
          <cell r="AO26">
            <v>0</v>
          </cell>
          <cell r="AP26">
            <v>203160</v>
          </cell>
          <cell r="AQ26">
            <v>0</v>
          </cell>
          <cell r="AR26">
            <v>0</v>
          </cell>
          <cell r="AS26">
            <v>0</v>
          </cell>
          <cell r="AT26">
            <v>82560250</v>
          </cell>
          <cell r="AU26">
            <v>617622</v>
          </cell>
          <cell r="AV26">
            <v>83574127</v>
          </cell>
        </row>
        <row r="27">
          <cell r="A27">
            <v>7225000</v>
          </cell>
          <cell r="B27" t="str">
            <v>هزينه تغذيه پرسنل</v>
          </cell>
          <cell r="C27">
            <v>0</v>
          </cell>
          <cell r="D27">
            <v>0</v>
          </cell>
          <cell r="E27">
            <v>0</v>
          </cell>
          <cell r="F27">
            <v>0</v>
          </cell>
          <cell r="G27">
            <v>0</v>
          </cell>
          <cell r="H27">
            <v>0</v>
          </cell>
          <cell r="I27">
            <v>0</v>
          </cell>
          <cell r="J27">
            <v>0</v>
          </cell>
          <cell r="K27">
            <v>0</v>
          </cell>
          <cell r="L27">
            <v>0</v>
          </cell>
          <cell r="M27">
            <v>0</v>
          </cell>
          <cell r="N27">
            <v>480000</v>
          </cell>
          <cell r="O27">
            <v>0</v>
          </cell>
          <cell r="P27">
            <v>0</v>
          </cell>
          <cell r="Q27">
            <v>0</v>
          </cell>
          <cell r="R27">
            <v>0</v>
          </cell>
          <cell r="S27">
            <v>480000</v>
          </cell>
          <cell r="T27">
            <v>0</v>
          </cell>
          <cell r="U27">
            <v>130000</v>
          </cell>
          <cell r="V27">
            <v>564000</v>
          </cell>
          <cell r="W27">
            <v>0</v>
          </cell>
          <cell r="X27">
            <v>50000</v>
          </cell>
          <cell r="Y27">
            <v>0</v>
          </cell>
          <cell r="Z27">
            <v>0</v>
          </cell>
          <cell r="AA27">
            <v>0</v>
          </cell>
          <cell r="AB27">
            <v>0</v>
          </cell>
          <cell r="AC27">
            <v>5195500</v>
          </cell>
          <cell r="AD27">
            <v>3306000</v>
          </cell>
          <cell r="AE27">
            <v>190500</v>
          </cell>
          <cell r="AF27">
            <v>4090965890</v>
          </cell>
          <cell r="AG27">
            <v>475000</v>
          </cell>
          <cell r="AH27">
            <v>4100876890</v>
          </cell>
          <cell r="AI27">
            <v>4100876890</v>
          </cell>
          <cell r="AJ27">
            <v>505000</v>
          </cell>
          <cell r="AK27">
            <v>1160000</v>
          </cell>
          <cell r="AL27">
            <v>0</v>
          </cell>
          <cell r="AM27">
            <v>0</v>
          </cell>
          <cell r="AN27">
            <v>0</v>
          </cell>
          <cell r="AO27">
            <v>0</v>
          </cell>
          <cell r="AP27">
            <v>0</v>
          </cell>
          <cell r="AQ27">
            <v>2814000</v>
          </cell>
          <cell r="AR27">
            <v>0</v>
          </cell>
          <cell r="AS27">
            <v>1780000</v>
          </cell>
          <cell r="AT27">
            <v>0</v>
          </cell>
          <cell r="AU27">
            <v>418000</v>
          </cell>
          <cell r="AV27">
            <v>6677000</v>
          </cell>
        </row>
        <row r="28">
          <cell r="A28">
            <v>7226000</v>
          </cell>
          <cell r="B28" t="str">
            <v>هزينه 3%صندوق پس انداز آتيه سهم کارفرما</v>
          </cell>
          <cell r="C28">
            <v>0</v>
          </cell>
          <cell r="D28">
            <v>11217407</v>
          </cell>
          <cell r="E28">
            <v>11595468</v>
          </cell>
          <cell r="F28">
            <v>4558955</v>
          </cell>
          <cell r="G28">
            <v>10344138</v>
          </cell>
          <cell r="H28">
            <v>6229842</v>
          </cell>
          <cell r="I28">
            <v>19754079</v>
          </cell>
          <cell r="J28">
            <v>10297352</v>
          </cell>
          <cell r="K28">
            <v>3800409</v>
          </cell>
          <cell r="L28">
            <v>1742304</v>
          </cell>
          <cell r="M28">
            <v>6862261</v>
          </cell>
          <cell r="N28">
            <v>7582515</v>
          </cell>
          <cell r="O28">
            <v>0</v>
          </cell>
          <cell r="P28">
            <v>0</v>
          </cell>
          <cell r="Q28">
            <v>0</v>
          </cell>
          <cell r="R28">
            <v>1732518</v>
          </cell>
          <cell r="S28">
            <v>95717248</v>
          </cell>
          <cell r="T28">
            <v>4136276</v>
          </cell>
          <cell r="U28">
            <v>11974966</v>
          </cell>
          <cell r="V28">
            <v>52837118</v>
          </cell>
          <cell r="W28">
            <v>7030744</v>
          </cell>
          <cell r="X28">
            <v>86515695</v>
          </cell>
          <cell r="Y28">
            <v>18056320</v>
          </cell>
          <cell r="Z28">
            <v>1315514</v>
          </cell>
          <cell r="AA28">
            <v>11461026</v>
          </cell>
          <cell r="AB28">
            <v>879146</v>
          </cell>
          <cell r="AC28">
            <v>22395068</v>
          </cell>
          <cell r="AD28">
            <v>4267692</v>
          </cell>
          <cell r="AE28">
            <v>1786776</v>
          </cell>
          <cell r="AF28">
            <v>0</v>
          </cell>
          <cell r="AG28">
            <v>2215596</v>
          </cell>
          <cell r="AH28">
            <v>224871937</v>
          </cell>
          <cell r="AI28">
            <v>224871937</v>
          </cell>
          <cell r="AJ28">
            <v>45196708</v>
          </cell>
          <cell r="AK28">
            <v>35325191</v>
          </cell>
          <cell r="AL28">
            <v>24596746</v>
          </cell>
          <cell r="AM28">
            <v>0</v>
          </cell>
          <cell r="AN28">
            <v>1395774</v>
          </cell>
          <cell r="AO28">
            <v>0</v>
          </cell>
          <cell r="AP28">
            <v>11085162</v>
          </cell>
          <cell r="AQ28">
            <v>28501673</v>
          </cell>
          <cell r="AR28">
            <v>14077441</v>
          </cell>
          <cell r="AS28">
            <v>0</v>
          </cell>
          <cell r="AT28">
            <v>3407561</v>
          </cell>
          <cell r="AU28">
            <v>37801716</v>
          </cell>
          <cell r="AV28">
            <v>201387972</v>
          </cell>
        </row>
        <row r="29">
          <cell r="A29">
            <v>7231000</v>
          </cell>
          <cell r="B29" t="str">
            <v>هزينه بازخريدمرخصي</v>
          </cell>
          <cell r="C29">
            <v>0</v>
          </cell>
          <cell r="D29">
            <v>7254055</v>
          </cell>
          <cell r="E29">
            <v>9965250</v>
          </cell>
          <cell r="F29">
            <v>0</v>
          </cell>
          <cell r="G29">
            <v>38991344</v>
          </cell>
          <cell r="H29">
            <v>0</v>
          </cell>
          <cell r="I29">
            <v>0</v>
          </cell>
          <cell r="J29">
            <v>0</v>
          </cell>
          <cell r="K29">
            <v>0</v>
          </cell>
          <cell r="L29">
            <v>0</v>
          </cell>
          <cell r="M29">
            <v>0</v>
          </cell>
          <cell r="N29">
            <v>0</v>
          </cell>
          <cell r="O29">
            <v>0</v>
          </cell>
          <cell r="P29">
            <v>0</v>
          </cell>
          <cell r="Q29">
            <v>0</v>
          </cell>
          <cell r="R29">
            <v>0</v>
          </cell>
          <cell r="S29">
            <v>56210649</v>
          </cell>
          <cell r="T29">
            <v>1359597</v>
          </cell>
          <cell r="U29">
            <v>3565126</v>
          </cell>
          <cell r="V29">
            <v>10562944</v>
          </cell>
          <cell r="W29">
            <v>0</v>
          </cell>
          <cell r="X29">
            <v>6196072</v>
          </cell>
          <cell r="Y29">
            <v>0</v>
          </cell>
          <cell r="Z29">
            <v>0</v>
          </cell>
          <cell r="AA29">
            <v>0</v>
          </cell>
          <cell r="AB29">
            <v>0</v>
          </cell>
          <cell r="AC29">
            <v>2310744</v>
          </cell>
          <cell r="AD29">
            <v>0</v>
          </cell>
          <cell r="AE29">
            <v>0</v>
          </cell>
          <cell r="AF29">
            <v>0</v>
          </cell>
          <cell r="AG29">
            <v>3997215</v>
          </cell>
          <cell r="AH29">
            <v>27991698</v>
          </cell>
          <cell r="AI29">
            <v>27991698</v>
          </cell>
          <cell r="AJ29">
            <v>0</v>
          </cell>
          <cell r="AK29">
            <v>10707059</v>
          </cell>
          <cell r="AL29">
            <v>0</v>
          </cell>
          <cell r="AM29">
            <v>0</v>
          </cell>
          <cell r="AN29">
            <v>0</v>
          </cell>
          <cell r="AO29">
            <v>0</v>
          </cell>
          <cell r="AP29">
            <v>0</v>
          </cell>
          <cell r="AQ29">
            <v>13763610</v>
          </cell>
          <cell r="AR29">
            <v>5165412</v>
          </cell>
          <cell r="AS29">
            <v>0</v>
          </cell>
          <cell r="AT29">
            <v>0</v>
          </cell>
          <cell r="AU29">
            <v>26322316</v>
          </cell>
          <cell r="AV29">
            <v>55958397</v>
          </cell>
        </row>
        <row r="30">
          <cell r="A30">
            <v>7233000</v>
          </cell>
          <cell r="B30" t="str">
            <v>هزينه مزاياى غيرنقدى</v>
          </cell>
          <cell r="C30">
            <v>4200000</v>
          </cell>
          <cell r="D30">
            <v>15120000</v>
          </cell>
          <cell r="E30">
            <v>15120000</v>
          </cell>
          <cell r="F30">
            <v>4320000</v>
          </cell>
          <cell r="G30">
            <v>12960000</v>
          </cell>
          <cell r="H30">
            <v>8760000</v>
          </cell>
          <cell r="I30">
            <v>21600000</v>
          </cell>
          <cell r="J30">
            <v>14520000</v>
          </cell>
          <cell r="K30">
            <v>4320000</v>
          </cell>
          <cell r="L30">
            <v>2160000</v>
          </cell>
          <cell r="M30">
            <v>6480000</v>
          </cell>
          <cell r="N30">
            <v>4320000</v>
          </cell>
          <cell r="O30">
            <v>6480000</v>
          </cell>
          <cell r="P30">
            <v>600000</v>
          </cell>
          <cell r="Q30">
            <v>1500000</v>
          </cell>
          <cell r="R30">
            <v>600000</v>
          </cell>
          <cell r="S30">
            <v>123060000</v>
          </cell>
          <cell r="T30">
            <v>6480000</v>
          </cell>
          <cell r="U30">
            <v>23760000</v>
          </cell>
          <cell r="V30">
            <v>69460000</v>
          </cell>
          <cell r="W30">
            <v>12000000</v>
          </cell>
          <cell r="X30">
            <v>102980000</v>
          </cell>
          <cell r="Y30">
            <v>17280000</v>
          </cell>
          <cell r="Z30">
            <v>2160000</v>
          </cell>
          <cell r="AA30">
            <v>14420000</v>
          </cell>
          <cell r="AB30">
            <v>2160000</v>
          </cell>
          <cell r="AC30">
            <v>29640000</v>
          </cell>
          <cell r="AD30">
            <v>4320000</v>
          </cell>
          <cell r="AE30">
            <v>4320000</v>
          </cell>
          <cell r="AF30">
            <v>0</v>
          </cell>
          <cell r="AG30">
            <v>4320000</v>
          </cell>
          <cell r="AH30">
            <v>293300000</v>
          </cell>
          <cell r="AI30">
            <v>293300000</v>
          </cell>
          <cell r="AJ30">
            <v>41600000</v>
          </cell>
          <cell r="AK30">
            <v>16570000</v>
          </cell>
          <cell r="AL30">
            <v>30500000</v>
          </cell>
          <cell r="AM30">
            <v>0</v>
          </cell>
          <cell r="AN30">
            <v>2160000</v>
          </cell>
          <cell r="AO30">
            <v>0</v>
          </cell>
          <cell r="AP30">
            <v>10800000</v>
          </cell>
          <cell r="AQ30">
            <v>34460000</v>
          </cell>
          <cell r="AR30">
            <v>12960000</v>
          </cell>
          <cell r="AS30">
            <v>2160000</v>
          </cell>
          <cell r="AT30">
            <v>4320000</v>
          </cell>
          <cell r="AU30">
            <v>34560000</v>
          </cell>
          <cell r="AV30">
            <v>190090000</v>
          </cell>
        </row>
        <row r="31">
          <cell r="A31">
            <v>7233001</v>
          </cell>
          <cell r="B31" t="str">
            <v>هزينه مزاياى غيرنقدى ( پارس پاکان)</v>
          </cell>
          <cell r="C31">
            <v>0</v>
          </cell>
          <cell r="D31">
            <v>19440000</v>
          </cell>
          <cell r="E31">
            <v>15120000</v>
          </cell>
          <cell r="F31">
            <v>21600000</v>
          </cell>
          <cell r="G31">
            <v>25920000</v>
          </cell>
          <cell r="H31">
            <v>4320000</v>
          </cell>
          <cell r="I31">
            <v>23160000</v>
          </cell>
          <cell r="J31">
            <v>21600000</v>
          </cell>
          <cell r="K31">
            <v>15120000</v>
          </cell>
          <cell r="L31">
            <v>4320000</v>
          </cell>
          <cell r="M31">
            <v>0</v>
          </cell>
          <cell r="N31">
            <v>78360000</v>
          </cell>
          <cell r="O31">
            <v>10800000</v>
          </cell>
          <cell r="P31">
            <v>10800000</v>
          </cell>
          <cell r="Q31">
            <v>0</v>
          </cell>
          <cell r="R31">
            <v>10800000</v>
          </cell>
          <cell r="S31">
            <v>261360000</v>
          </cell>
          <cell r="T31">
            <v>6480000</v>
          </cell>
          <cell r="U31">
            <v>130340000</v>
          </cell>
          <cell r="V31">
            <v>30240000</v>
          </cell>
          <cell r="W31">
            <v>0</v>
          </cell>
          <cell r="X31">
            <v>2160000</v>
          </cell>
          <cell r="Y31">
            <v>34440000</v>
          </cell>
          <cell r="Z31">
            <v>8160000</v>
          </cell>
          <cell r="AA31">
            <v>0</v>
          </cell>
          <cell r="AB31">
            <v>0</v>
          </cell>
          <cell r="AC31">
            <v>0</v>
          </cell>
          <cell r="AD31">
            <v>19440000</v>
          </cell>
          <cell r="AE31">
            <v>132960000</v>
          </cell>
          <cell r="AF31">
            <v>0</v>
          </cell>
          <cell r="AG31">
            <v>0</v>
          </cell>
          <cell r="AH31">
            <v>364220000</v>
          </cell>
          <cell r="AI31">
            <v>364220000</v>
          </cell>
          <cell r="AJ31">
            <v>4060000</v>
          </cell>
          <cell r="AK31">
            <v>0</v>
          </cell>
          <cell r="AL31">
            <v>0</v>
          </cell>
          <cell r="AM31">
            <v>1460000</v>
          </cell>
          <cell r="AN31">
            <v>0</v>
          </cell>
          <cell r="AO31">
            <v>0</v>
          </cell>
          <cell r="AP31">
            <v>0</v>
          </cell>
          <cell r="AQ31">
            <v>0</v>
          </cell>
          <cell r="AR31">
            <v>0</v>
          </cell>
          <cell r="AS31">
            <v>0</v>
          </cell>
          <cell r="AT31">
            <v>0</v>
          </cell>
          <cell r="AU31">
            <v>0</v>
          </cell>
          <cell r="AV31">
            <v>5520000</v>
          </cell>
        </row>
        <row r="32">
          <cell r="A32">
            <v>7234000</v>
          </cell>
          <cell r="B32" t="str">
            <v>هزينه سفروماموريت</v>
          </cell>
          <cell r="C32">
            <v>0</v>
          </cell>
          <cell r="D32">
            <v>0</v>
          </cell>
          <cell r="E32">
            <v>0</v>
          </cell>
          <cell r="F32">
            <v>0</v>
          </cell>
          <cell r="G32">
            <v>0</v>
          </cell>
          <cell r="H32">
            <v>0</v>
          </cell>
          <cell r="I32">
            <v>0</v>
          </cell>
          <cell r="J32">
            <v>0</v>
          </cell>
          <cell r="K32">
            <v>428193</v>
          </cell>
          <cell r="L32">
            <v>424291</v>
          </cell>
          <cell r="M32">
            <v>0</v>
          </cell>
          <cell r="N32">
            <v>990114</v>
          </cell>
          <cell r="O32">
            <v>0</v>
          </cell>
          <cell r="P32">
            <v>0</v>
          </cell>
          <cell r="Q32">
            <v>0</v>
          </cell>
          <cell r="R32">
            <v>0</v>
          </cell>
          <cell r="S32">
            <v>1842598</v>
          </cell>
          <cell r="T32">
            <v>0</v>
          </cell>
          <cell r="U32">
            <v>109331964</v>
          </cell>
          <cell r="V32">
            <v>1506940</v>
          </cell>
          <cell r="W32">
            <v>106798000</v>
          </cell>
          <cell r="X32">
            <v>1426658</v>
          </cell>
          <cell r="Y32">
            <v>0</v>
          </cell>
          <cell r="Z32">
            <v>0</v>
          </cell>
          <cell r="AA32">
            <v>0</v>
          </cell>
          <cell r="AB32">
            <v>0</v>
          </cell>
          <cell r="AC32">
            <v>0</v>
          </cell>
          <cell r="AD32">
            <v>1948150</v>
          </cell>
          <cell r="AE32">
            <v>1718090</v>
          </cell>
          <cell r="AF32">
            <v>0</v>
          </cell>
          <cell r="AG32">
            <v>0</v>
          </cell>
          <cell r="AH32">
            <v>222729802</v>
          </cell>
          <cell r="AI32">
            <v>222729802</v>
          </cell>
          <cell r="AJ32">
            <v>95179742</v>
          </cell>
          <cell r="AK32">
            <v>58744458</v>
          </cell>
          <cell r="AL32">
            <v>0</v>
          </cell>
          <cell r="AM32">
            <v>0</v>
          </cell>
          <cell r="AN32">
            <v>0</v>
          </cell>
          <cell r="AO32">
            <v>0</v>
          </cell>
          <cell r="AP32">
            <v>0</v>
          </cell>
          <cell r="AQ32">
            <v>0</v>
          </cell>
          <cell r="AR32">
            <v>0</v>
          </cell>
          <cell r="AS32">
            <v>0</v>
          </cell>
          <cell r="AT32">
            <v>0</v>
          </cell>
          <cell r="AU32">
            <v>1968946</v>
          </cell>
          <cell r="AV32">
            <v>155893146</v>
          </cell>
        </row>
        <row r="33">
          <cell r="A33">
            <v>7235000</v>
          </cell>
          <cell r="B33" t="str">
            <v>هزينه پوشاک</v>
          </cell>
          <cell r="C33">
            <v>0</v>
          </cell>
          <cell r="D33">
            <v>0</v>
          </cell>
          <cell r="E33">
            <v>371000</v>
          </cell>
          <cell r="F33">
            <v>0</v>
          </cell>
          <cell r="G33">
            <v>4275000</v>
          </cell>
          <cell r="H33">
            <v>0</v>
          </cell>
          <cell r="I33">
            <v>0</v>
          </cell>
          <cell r="J33">
            <v>0</v>
          </cell>
          <cell r="K33">
            <v>125000</v>
          </cell>
          <cell r="L33">
            <v>0</v>
          </cell>
          <cell r="M33">
            <v>0</v>
          </cell>
          <cell r="N33">
            <v>0</v>
          </cell>
          <cell r="O33">
            <v>0</v>
          </cell>
          <cell r="P33">
            <v>0</v>
          </cell>
          <cell r="Q33">
            <v>714320</v>
          </cell>
          <cell r="R33">
            <v>0</v>
          </cell>
          <cell r="S33">
            <v>5485320</v>
          </cell>
          <cell r="T33">
            <v>0</v>
          </cell>
          <cell r="U33">
            <v>1905000</v>
          </cell>
          <cell r="V33">
            <v>1963940</v>
          </cell>
          <cell r="W33">
            <v>0</v>
          </cell>
          <cell r="X33">
            <v>596580</v>
          </cell>
          <cell r="Y33">
            <v>0</v>
          </cell>
          <cell r="Z33">
            <v>249900</v>
          </cell>
          <cell r="AA33">
            <v>2140000</v>
          </cell>
          <cell r="AB33">
            <v>0</v>
          </cell>
          <cell r="AC33">
            <v>0</v>
          </cell>
          <cell r="AD33">
            <v>0</v>
          </cell>
          <cell r="AE33">
            <v>74902373</v>
          </cell>
          <cell r="AF33">
            <v>3504000</v>
          </cell>
          <cell r="AG33">
            <v>0</v>
          </cell>
          <cell r="AH33">
            <v>85261793</v>
          </cell>
          <cell r="AI33">
            <v>85261793</v>
          </cell>
          <cell r="AJ33">
            <v>240000</v>
          </cell>
          <cell r="AK33">
            <v>268500</v>
          </cell>
          <cell r="AL33">
            <v>1002000</v>
          </cell>
          <cell r="AM33">
            <v>0</v>
          </cell>
          <cell r="AN33">
            <v>0</v>
          </cell>
          <cell r="AO33">
            <v>0</v>
          </cell>
          <cell r="AP33">
            <v>0</v>
          </cell>
          <cell r="AQ33">
            <v>0</v>
          </cell>
          <cell r="AR33">
            <v>33944800</v>
          </cell>
          <cell r="AS33">
            <v>0</v>
          </cell>
          <cell r="AT33">
            <v>600000</v>
          </cell>
          <cell r="AU33">
            <v>1465000</v>
          </cell>
          <cell r="AV33">
            <v>37520300</v>
          </cell>
        </row>
        <row r="34">
          <cell r="A34">
            <v>7236000</v>
          </cell>
          <cell r="B34" t="str">
            <v>هزينه هاى ورزشى</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165623500</v>
          </cell>
          <cell r="AF34">
            <v>0</v>
          </cell>
          <cell r="AG34">
            <v>0</v>
          </cell>
          <cell r="AH34">
            <v>165623500</v>
          </cell>
          <cell r="AI34">
            <v>165623500</v>
          </cell>
          <cell r="AJ34">
            <v>0</v>
          </cell>
          <cell r="AK34">
            <v>0</v>
          </cell>
          <cell r="AL34">
            <v>0</v>
          </cell>
          <cell r="AM34">
            <v>0</v>
          </cell>
          <cell r="AN34">
            <v>0</v>
          </cell>
          <cell r="AO34">
            <v>0</v>
          </cell>
          <cell r="AP34">
            <v>0</v>
          </cell>
          <cell r="AQ34">
            <v>0</v>
          </cell>
          <cell r="AR34">
            <v>0</v>
          </cell>
          <cell r="AS34">
            <v>0</v>
          </cell>
          <cell r="AT34">
            <v>0</v>
          </cell>
          <cell r="AU34">
            <v>0</v>
          </cell>
          <cell r="AV34">
            <v>0</v>
          </cell>
        </row>
        <row r="35">
          <cell r="A35">
            <v>7237000</v>
          </cell>
          <cell r="B35" t="str">
            <v>هزينه هاى آموزشى</v>
          </cell>
          <cell r="C35">
            <v>0</v>
          </cell>
          <cell r="D35">
            <v>0</v>
          </cell>
          <cell r="E35">
            <v>0</v>
          </cell>
          <cell r="F35">
            <v>0</v>
          </cell>
          <cell r="G35">
            <v>0</v>
          </cell>
          <cell r="H35">
            <v>0</v>
          </cell>
          <cell r="I35">
            <v>0</v>
          </cell>
          <cell r="J35">
            <v>0</v>
          </cell>
          <cell r="K35">
            <v>0</v>
          </cell>
          <cell r="L35">
            <v>0</v>
          </cell>
          <cell r="M35">
            <v>0</v>
          </cell>
          <cell r="N35">
            <v>44444</v>
          </cell>
          <cell r="O35">
            <v>0</v>
          </cell>
          <cell r="P35">
            <v>0</v>
          </cell>
          <cell r="Q35">
            <v>0</v>
          </cell>
          <cell r="R35">
            <v>0</v>
          </cell>
          <cell r="S35">
            <v>44444</v>
          </cell>
          <cell r="T35">
            <v>0</v>
          </cell>
          <cell r="U35">
            <v>0</v>
          </cell>
          <cell r="V35">
            <v>3421667</v>
          </cell>
          <cell r="W35">
            <v>0</v>
          </cell>
          <cell r="X35">
            <v>0</v>
          </cell>
          <cell r="Y35">
            <v>0</v>
          </cell>
          <cell r="Z35">
            <v>0</v>
          </cell>
          <cell r="AA35">
            <v>0</v>
          </cell>
          <cell r="AB35">
            <v>0</v>
          </cell>
          <cell r="AC35">
            <v>0</v>
          </cell>
          <cell r="AD35">
            <v>0</v>
          </cell>
          <cell r="AE35">
            <v>48600</v>
          </cell>
          <cell r="AF35">
            <v>0</v>
          </cell>
          <cell r="AG35">
            <v>0</v>
          </cell>
          <cell r="AH35">
            <v>3470267</v>
          </cell>
          <cell r="AI35">
            <v>3470267</v>
          </cell>
          <cell r="AJ35">
            <v>20000000</v>
          </cell>
          <cell r="AK35">
            <v>0</v>
          </cell>
          <cell r="AL35">
            <v>0</v>
          </cell>
          <cell r="AM35">
            <v>10407152</v>
          </cell>
          <cell r="AN35">
            <v>0</v>
          </cell>
          <cell r="AO35">
            <v>0</v>
          </cell>
          <cell r="AP35">
            <v>4370526</v>
          </cell>
          <cell r="AQ35">
            <v>0</v>
          </cell>
          <cell r="AR35">
            <v>2900000</v>
          </cell>
          <cell r="AS35">
            <v>500000</v>
          </cell>
          <cell r="AT35">
            <v>0</v>
          </cell>
          <cell r="AU35">
            <v>4476818</v>
          </cell>
          <cell r="AV35">
            <v>42654496</v>
          </cell>
        </row>
        <row r="36">
          <cell r="A36">
            <v>7313000</v>
          </cell>
          <cell r="B36" t="str">
            <v>هزينه سربار مواد اوليه</v>
          </cell>
          <cell r="C36">
            <v>0</v>
          </cell>
          <cell r="D36">
            <v>18959782</v>
          </cell>
          <cell r="E36">
            <v>125568684</v>
          </cell>
          <cell r="F36">
            <v>33639008</v>
          </cell>
          <cell r="G36">
            <v>40625261</v>
          </cell>
          <cell r="H36">
            <v>7168984</v>
          </cell>
          <cell r="I36">
            <v>32301953</v>
          </cell>
          <cell r="J36">
            <v>26991881</v>
          </cell>
          <cell r="K36">
            <v>3007336</v>
          </cell>
          <cell r="L36">
            <v>716258</v>
          </cell>
          <cell r="M36">
            <v>0</v>
          </cell>
          <cell r="N36">
            <v>0</v>
          </cell>
          <cell r="O36">
            <v>0</v>
          </cell>
          <cell r="P36">
            <v>0</v>
          </cell>
          <cell r="Q36">
            <v>94640</v>
          </cell>
          <cell r="R36">
            <v>28011384</v>
          </cell>
          <cell r="S36">
            <v>317085171</v>
          </cell>
          <cell r="T36">
            <v>0</v>
          </cell>
          <cell r="U36">
            <v>0</v>
          </cell>
          <cell r="V36">
            <v>0</v>
          </cell>
          <cell r="W36">
            <v>0</v>
          </cell>
          <cell r="X36">
            <v>307540797</v>
          </cell>
          <cell r="Y36">
            <v>938125</v>
          </cell>
          <cell r="Z36">
            <v>20737076</v>
          </cell>
          <cell r="AA36">
            <v>0</v>
          </cell>
          <cell r="AB36">
            <v>0</v>
          </cell>
          <cell r="AC36">
            <v>0</v>
          </cell>
          <cell r="AD36">
            <v>0</v>
          </cell>
          <cell r="AE36">
            <v>0</v>
          </cell>
          <cell r="AF36">
            <v>0</v>
          </cell>
          <cell r="AG36">
            <v>0</v>
          </cell>
          <cell r="AH36">
            <v>329215998</v>
          </cell>
          <cell r="AI36">
            <v>329215998</v>
          </cell>
          <cell r="AJ36">
            <v>0</v>
          </cell>
          <cell r="AK36">
            <v>0</v>
          </cell>
          <cell r="AL36">
            <v>37579</v>
          </cell>
          <cell r="AM36">
            <v>0</v>
          </cell>
          <cell r="AN36">
            <v>0</v>
          </cell>
          <cell r="AO36">
            <v>0</v>
          </cell>
          <cell r="AP36">
            <v>0</v>
          </cell>
          <cell r="AQ36">
            <v>0</v>
          </cell>
          <cell r="AR36">
            <v>0</v>
          </cell>
          <cell r="AS36">
            <v>0</v>
          </cell>
          <cell r="AT36">
            <v>0</v>
          </cell>
          <cell r="AU36">
            <v>0</v>
          </cell>
          <cell r="AV36">
            <v>37579</v>
          </cell>
        </row>
        <row r="37">
          <cell r="A37">
            <v>7314000</v>
          </cell>
          <cell r="B37" t="str">
            <v>هزينه  سربار مواد بسته بندى</v>
          </cell>
          <cell r="C37">
            <v>8767268</v>
          </cell>
          <cell r="D37">
            <v>5121324</v>
          </cell>
          <cell r="E37">
            <v>5604768</v>
          </cell>
          <cell r="F37">
            <v>1510496</v>
          </cell>
          <cell r="G37">
            <v>7984162</v>
          </cell>
          <cell r="H37">
            <v>0</v>
          </cell>
          <cell r="I37">
            <v>2440437</v>
          </cell>
          <cell r="J37">
            <v>2869568</v>
          </cell>
          <cell r="K37">
            <v>2695734</v>
          </cell>
          <cell r="L37">
            <v>0</v>
          </cell>
          <cell r="M37">
            <v>0</v>
          </cell>
          <cell r="N37">
            <v>0</v>
          </cell>
          <cell r="O37">
            <v>0</v>
          </cell>
          <cell r="P37">
            <v>0</v>
          </cell>
          <cell r="Q37">
            <v>0</v>
          </cell>
          <cell r="R37">
            <v>2190240</v>
          </cell>
          <cell r="S37">
            <v>39183997</v>
          </cell>
          <cell r="T37">
            <v>0</v>
          </cell>
          <cell r="U37">
            <v>0</v>
          </cell>
          <cell r="V37">
            <v>0</v>
          </cell>
          <cell r="W37">
            <v>0</v>
          </cell>
          <cell r="X37">
            <v>3987753</v>
          </cell>
          <cell r="Y37">
            <v>2408546</v>
          </cell>
          <cell r="Z37">
            <v>0</v>
          </cell>
          <cell r="AA37">
            <v>0</v>
          </cell>
          <cell r="AB37">
            <v>0</v>
          </cell>
          <cell r="AC37">
            <v>0</v>
          </cell>
          <cell r="AD37">
            <v>0</v>
          </cell>
          <cell r="AE37">
            <v>0</v>
          </cell>
          <cell r="AF37">
            <v>0</v>
          </cell>
          <cell r="AG37">
            <v>0</v>
          </cell>
          <cell r="AH37">
            <v>6396299</v>
          </cell>
          <cell r="AI37">
            <v>6396299</v>
          </cell>
          <cell r="AJ37">
            <v>0</v>
          </cell>
          <cell r="AK37">
            <v>0</v>
          </cell>
          <cell r="AL37">
            <v>0</v>
          </cell>
          <cell r="AM37">
            <v>0</v>
          </cell>
          <cell r="AN37">
            <v>0</v>
          </cell>
          <cell r="AO37">
            <v>0</v>
          </cell>
          <cell r="AP37">
            <v>0</v>
          </cell>
          <cell r="AQ37">
            <v>0</v>
          </cell>
          <cell r="AR37">
            <v>0</v>
          </cell>
          <cell r="AS37">
            <v>0</v>
          </cell>
          <cell r="AT37">
            <v>0</v>
          </cell>
          <cell r="AU37">
            <v>0</v>
          </cell>
          <cell r="AV37">
            <v>0</v>
          </cell>
        </row>
        <row r="38">
          <cell r="A38">
            <v>7316000</v>
          </cell>
          <cell r="B38" t="str">
            <v>هزينه سربار مواد اوليه (افشانه ها )</v>
          </cell>
          <cell r="C38">
            <v>0</v>
          </cell>
          <cell r="D38">
            <v>0</v>
          </cell>
          <cell r="E38">
            <v>0</v>
          </cell>
          <cell r="F38">
            <v>0</v>
          </cell>
          <cell r="G38">
            <v>0</v>
          </cell>
          <cell r="H38">
            <v>0</v>
          </cell>
          <cell r="I38">
            <v>0</v>
          </cell>
          <cell r="J38">
            <v>0</v>
          </cell>
          <cell r="K38">
            <v>0</v>
          </cell>
          <cell r="L38">
            <v>0</v>
          </cell>
          <cell r="M38">
            <v>0</v>
          </cell>
          <cell r="N38">
            <v>0</v>
          </cell>
          <cell r="O38">
            <v>44871349</v>
          </cell>
          <cell r="P38">
            <v>11974607</v>
          </cell>
          <cell r="Q38">
            <v>0</v>
          </cell>
          <cell r="R38">
            <v>0</v>
          </cell>
          <cell r="S38">
            <v>56845956</v>
          </cell>
          <cell r="T38">
            <v>0</v>
          </cell>
          <cell r="U38">
            <v>0</v>
          </cell>
          <cell r="V38">
            <v>0</v>
          </cell>
          <cell r="W38">
            <v>0</v>
          </cell>
          <cell r="X38">
            <v>88411890</v>
          </cell>
          <cell r="Y38">
            <v>0</v>
          </cell>
          <cell r="Z38">
            <v>0</v>
          </cell>
          <cell r="AA38">
            <v>0</v>
          </cell>
          <cell r="AB38">
            <v>0</v>
          </cell>
          <cell r="AC38">
            <v>0</v>
          </cell>
          <cell r="AD38">
            <v>0</v>
          </cell>
          <cell r="AE38">
            <v>0</v>
          </cell>
          <cell r="AF38">
            <v>0</v>
          </cell>
          <cell r="AG38">
            <v>0</v>
          </cell>
          <cell r="AH38">
            <v>88411890</v>
          </cell>
          <cell r="AI38">
            <v>88411890</v>
          </cell>
          <cell r="AJ38">
            <v>0</v>
          </cell>
          <cell r="AK38">
            <v>0</v>
          </cell>
          <cell r="AL38">
            <v>6020628</v>
          </cell>
          <cell r="AM38">
            <v>0</v>
          </cell>
          <cell r="AN38">
            <v>0</v>
          </cell>
          <cell r="AO38">
            <v>0</v>
          </cell>
          <cell r="AP38">
            <v>0</v>
          </cell>
          <cell r="AQ38">
            <v>0</v>
          </cell>
          <cell r="AR38">
            <v>0</v>
          </cell>
          <cell r="AS38">
            <v>0</v>
          </cell>
          <cell r="AT38">
            <v>0</v>
          </cell>
          <cell r="AU38">
            <v>0</v>
          </cell>
          <cell r="AV38">
            <v>6020628</v>
          </cell>
        </row>
        <row r="39">
          <cell r="A39">
            <v>7317000</v>
          </cell>
          <cell r="B39" t="str">
            <v>هزينه  سربار  بسته بندى (افشا نه ها )</v>
          </cell>
          <cell r="C39">
            <v>0</v>
          </cell>
          <cell r="D39">
            <v>0</v>
          </cell>
          <cell r="E39">
            <v>0</v>
          </cell>
          <cell r="F39">
            <v>0</v>
          </cell>
          <cell r="G39">
            <v>0</v>
          </cell>
          <cell r="H39">
            <v>0</v>
          </cell>
          <cell r="I39">
            <v>0</v>
          </cell>
          <cell r="J39">
            <v>0</v>
          </cell>
          <cell r="K39">
            <v>0</v>
          </cell>
          <cell r="L39">
            <v>0</v>
          </cell>
          <cell r="M39">
            <v>0</v>
          </cell>
          <cell r="N39">
            <v>0</v>
          </cell>
          <cell r="O39">
            <v>2280717</v>
          </cell>
          <cell r="P39">
            <v>0</v>
          </cell>
          <cell r="Q39">
            <v>0</v>
          </cell>
          <cell r="R39">
            <v>0</v>
          </cell>
          <cell r="S39">
            <v>2280717</v>
          </cell>
          <cell r="T39">
            <v>0</v>
          </cell>
          <cell r="U39">
            <v>0</v>
          </cell>
          <cell r="V39">
            <v>0</v>
          </cell>
          <cell r="W39">
            <v>0</v>
          </cell>
          <cell r="X39">
            <v>203153</v>
          </cell>
          <cell r="Y39">
            <v>0</v>
          </cell>
          <cell r="Z39">
            <v>0</v>
          </cell>
          <cell r="AA39">
            <v>0</v>
          </cell>
          <cell r="AB39">
            <v>0</v>
          </cell>
          <cell r="AC39">
            <v>0</v>
          </cell>
          <cell r="AD39">
            <v>0</v>
          </cell>
          <cell r="AE39">
            <v>0</v>
          </cell>
          <cell r="AF39">
            <v>0</v>
          </cell>
          <cell r="AG39">
            <v>0</v>
          </cell>
          <cell r="AH39">
            <v>203153</v>
          </cell>
          <cell r="AI39">
            <v>203153</v>
          </cell>
          <cell r="AJ39">
            <v>0</v>
          </cell>
          <cell r="AK39">
            <v>0</v>
          </cell>
          <cell r="AL39">
            <v>0</v>
          </cell>
          <cell r="AM39">
            <v>0</v>
          </cell>
          <cell r="AN39">
            <v>0</v>
          </cell>
          <cell r="AO39">
            <v>0</v>
          </cell>
          <cell r="AP39">
            <v>0</v>
          </cell>
          <cell r="AQ39">
            <v>0</v>
          </cell>
          <cell r="AR39">
            <v>0</v>
          </cell>
          <cell r="AS39">
            <v>0</v>
          </cell>
          <cell r="AT39">
            <v>0</v>
          </cell>
          <cell r="AU39">
            <v>0</v>
          </cell>
          <cell r="AV39">
            <v>0</v>
          </cell>
        </row>
        <row r="40">
          <cell r="A40">
            <v>7319000</v>
          </cell>
          <cell r="B40" t="str">
            <v>تعميرونگهدارى ساختمان وتاسيسات</v>
          </cell>
          <cell r="C40">
            <v>0</v>
          </cell>
          <cell r="D40">
            <v>0</v>
          </cell>
          <cell r="E40">
            <v>0</v>
          </cell>
          <cell r="F40">
            <v>0</v>
          </cell>
          <cell r="G40">
            <v>80500000</v>
          </cell>
          <cell r="H40">
            <v>0</v>
          </cell>
          <cell r="I40">
            <v>0</v>
          </cell>
          <cell r="J40">
            <v>120576869</v>
          </cell>
          <cell r="K40">
            <v>0</v>
          </cell>
          <cell r="L40">
            <v>0</v>
          </cell>
          <cell r="M40">
            <v>0</v>
          </cell>
          <cell r="N40">
            <v>926000</v>
          </cell>
          <cell r="O40">
            <v>0</v>
          </cell>
          <cell r="P40">
            <v>640000</v>
          </cell>
          <cell r="Q40">
            <v>20689684</v>
          </cell>
          <cell r="R40">
            <v>1800000</v>
          </cell>
          <cell r="S40">
            <v>225132553</v>
          </cell>
          <cell r="T40">
            <v>0</v>
          </cell>
          <cell r="U40">
            <v>24839750</v>
          </cell>
          <cell r="V40">
            <v>1054945404</v>
          </cell>
          <cell r="W40">
            <v>23874400</v>
          </cell>
          <cell r="X40">
            <v>37550000</v>
          </cell>
          <cell r="Y40">
            <v>20746000</v>
          </cell>
          <cell r="Z40">
            <v>0</v>
          </cell>
          <cell r="AA40">
            <v>0</v>
          </cell>
          <cell r="AB40">
            <v>0</v>
          </cell>
          <cell r="AC40">
            <v>0</v>
          </cell>
          <cell r="AD40">
            <v>3340000</v>
          </cell>
          <cell r="AE40">
            <v>0</v>
          </cell>
          <cell r="AF40">
            <v>36300000</v>
          </cell>
          <cell r="AG40">
            <v>0</v>
          </cell>
          <cell r="AH40">
            <v>1201595554</v>
          </cell>
          <cell r="AI40">
            <v>1201595554</v>
          </cell>
          <cell r="AJ40">
            <v>5504356</v>
          </cell>
          <cell r="AK40">
            <v>1041000</v>
          </cell>
          <cell r="AL40">
            <v>2890000</v>
          </cell>
          <cell r="AM40">
            <v>1750000</v>
          </cell>
          <cell r="AN40">
            <v>0</v>
          </cell>
          <cell r="AO40">
            <v>0</v>
          </cell>
          <cell r="AP40">
            <v>0</v>
          </cell>
          <cell r="AQ40">
            <v>0</v>
          </cell>
          <cell r="AR40">
            <v>0</v>
          </cell>
          <cell r="AS40">
            <v>0</v>
          </cell>
          <cell r="AT40">
            <v>2457000</v>
          </cell>
          <cell r="AU40">
            <v>3650100</v>
          </cell>
          <cell r="AV40">
            <v>17292456</v>
          </cell>
        </row>
        <row r="41">
          <cell r="A41">
            <v>7320000</v>
          </cell>
          <cell r="B41" t="str">
            <v>تعميرونگهدارى ماشين آلات</v>
          </cell>
          <cell r="C41">
            <v>0</v>
          </cell>
          <cell r="D41">
            <v>27732842</v>
          </cell>
          <cell r="E41">
            <v>23608442</v>
          </cell>
          <cell r="F41">
            <v>5768509</v>
          </cell>
          <cell r="G41">
            <v>151872353</v>
          </cell>
          <cell r="H41">
            <v>1410606</v>
          </cell>
          <cell r="I41">
            <v>44105681</v>
          </cell>
          <cell r="J41">
            <v>4152773</v>
          </cell>
          <cell r="K41">
            <v>3039152</v>
          </cell>
          <cell r="L41">
            <v>0</v>
          </cell>
          <cell r="M41">
            <v>0</v>
          </cell>
          <cell r="N41">
            <v>0</v>
          </cell>
          <cell r="O41">
            <v>0</v>
          </cell>
          <cell r="P41">
            <v>0</v>
          </cell>
          <cell r="Q41">
            <v>762750</v>
          </cell>
          <cell r="R41">
            <v>291314887</v>
          </cell>
          <cell r="S41">
            <v>553767995</v>
          </cell>
          <cell r="T41">
            <v>12900160</v>
          </cell>
          <cell r="U41">
            <v>4716600</v>
          </cell>
          <cell r="V41">
            <v>211492050</v>
          </cell>
          <cell r="W41">
            <v>38648533</v>
          </cell>
          <cell r="X41">
            <v>909833</v>
          </cell>
          <cell r="Y41">
            <v>122492</v>
          </cell>
          <cell r="Z41">
            <v>0</v>
          </cell>
          <cell r="AA41">
            <v>0</v>
          </cell>
          <cell r="AB41">
            <v>0</v>
          </cell>
          <cell r="AC41">
            <v>0</v>
          </cell>
          <cell r="AD41">
            <v>0</v>
          </cell>
          <cell r="AE41">
            <v>343</v>
          </cell>
          <cell r="AF41">
            <v>1220996</v>
          </cell>
          <cell r="AG41">
            <v>0</v>
          </cell>
          <cell r="AH41">
            <v>270011007</v>
          </cell>
          <cell r="AI41">
            <v>270011007</v>
          </cell>
          <cell r="AJ41">
            <v>0</v>
          </cell>
          <cell r="AK41">
            <v>0</v>
          </cell>
          <cell r="AL41">
            <v>0</v>
          </cell>
          <cell r="AM41">
            <v>0</v>
          </cell>
          <cell r="AN41">
            <v>0</v>
          </cell>
          <cell r="AO41">
            <v>0</v>
          </cell>
          <cell r="AP41">
            <v>0</v>
          </cell>
          <cell r="AQ41">
            <v>0</v>
          </cell>
          <cell r="AR41">
            <v>0</v>
          </cell>
          <cell r="AS41">
            <v>0</v>
          </cell>
          <cell r="AT41">
            <v>135000</v>
          </cell>
          <cell r="AU41">
            <v>0</v>
          </cell>
          <cell r="AV41">
            <v>135000</v>
          </cell>
        </row>
        <row r="42">
          <cell r="A42">
            <v>7321000</v>
          </cell>
          <cell r="B42" t="str">
            <v>تعميرونگهدارى وسائط نقليه</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14050000</v>
          </cell>
          <cell r="W42">
            <v>0</v>
          </cell>
          <cell r="X42">
            <v>165000</v>
          </cell>
          <cell r="Y42">
            <v>220000</v>
          </cell>
          <cell r="Z42">
            <v>0</v>
          </cell>
          <cell r="AA42">
            <v>0</v>
          </cell>
          <cell r="AB42">
            <v>0</v>
          </cell>
          <cell r="AC42">
            <v>8475246</v>
          </cell>
          <cell r="AD42">
            <v>200000</v>
          </cell>
          <cell r="AE42">
            <v>0</v>
          </cell>
          <cell r="AF42">
            <v>0</v>
          </cell>
          <cell r="AG42">
            <v>2450541</v>
          </cell>
          <cell r="AH42">
            <v>25560787</v>
          </cell>
          <cell r="AI42">
            <v>25560787</v>
          </cell>
          <cell r="AJ42">
            <v>0</v>
          </cell>
          <cell r="AK42">
            <v>17310000</v>
          </cell>
          <cell r="AL42">
            <v>0</v>
          </cell>
          <cell r="AM42">
            <v>0</v>
          </cell>
          <cell r="AN42">
            <v>0</v>
          </cell>
          <cell r="AO42">
            <v>0</v>
          </cell>
          <cell r="AP42">
            <v>0</v>
          </cell>
          <cell r="AQ42">
            <v>0</v>
          </cell>
          <cell r="AR42">
            <v>0</v>
          </cell>
          <cell r="AS42">
            <v>0</v>
          </cell>
          <cell r="AT42">
            <v>0</v>
          </cell>
          <cell r="AU42">
            <v>0</v>
          </cell>
          <cell r="AV42">
            <v>17310000</v>
          </cell>
        </row>
        <row r="43">
          <cell r="A43">
            <v>7322000</v>
          </cell>
          <cell r="B43" t="str">
            <v>تعميرونگهدارى اثاثيه ومنصوبات</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4450000</v>
          </cell>
          <cell r="W43">
            <v>0</v>
          </cell>
          <cell r="X43">
            <v>8101950</v>
          </cell>
          <cell r="Y43">
            <v>9390675</v>
          </cell>
          <cell r="Z43">
            <v>0</v>
          </cell>
          <cell r="AA43">
            <v>0</v>
          </cell>
          <cell r="AB43">
            <v>0</v>
          </cell>
          <cell r="AC43">
            <v>737850</v>
          </cell>
          <cell r="AD43">
            <v>10170001</v>
          </cell>
          <cell r="AE43">
            <v>398000</v>
          </cell>
          <cell r="AF43">
            <v>0</v>
          </cell>
          <cell r="AG43">
            <v>0</v>
          </cell>
          <cell r="AH43">
            <v>33248476</v>
          </cell>
          <cell r="AI43">
            <v>33248476</v>
          </cell>
          <cell r="AJ43">
            <v>32756199</v>
          </cell>
          <cell r="AK43">
            <v>0</v>
          </cell>
          <cell r="AL43">
            <v>0</v>
          </cell>
          <cell r="AM43">
            <v>0</v>
          </cell>
          <cell r="AN43">
            <v>0</v>
          </cell>
          <cell r="AO43">
            <v>0</v>
          </cell>
          <cell r="AP43">
            <v>11933277</v>
          </cell>
          <cell r="AQ43">
            <v>950000</v>
          </cell>
          <cell r="AR43">
            <v>1197374</v>
          </cell>
          <cell r="AS43">
            <v>0</v>
          </cell>
          <cell r="AT43">
            <v>7400000</v>
          </cell>
          <cell r="AU43">
            <v>5118000</v>
          </cell>
          <cell r="AV43">
            <v>59354850</v>
          </cell>
        </row>
        <row r="44">
          <cell r="A44">
            <v>7323000</v>
          </cell>
          <cell r="B44" t="str">
            <v>تعميرونگهدارى سايردارائيها</v>
          </cell>
          <cell r="C44">
            <v>0</v>
          </cell>
          <cell r="D44">
            <v>0</v>
          </cell>
          <cell r="E44">
            <v>0</v>
          </cell>
          <cell r="F44">
            <v>0</v>
          </cell>
          <cell r="G44">
            <v>0</v>
          </cell>
          <cell r="H44">
            <v>0</v>
          </cell>
          <cell r="I44">
            <v>0</v>
          </cell>
          <cell r="J44">
            <v>0</v>
          </cell>
          <cell r="K44">
            <v>0</v>
          </cell>
          <cell r="L44">
            <v>0</v>
          </cell>
          <cell r="M44">
            <v>0</v>
          </cell>
          <cell r="N44">
            <v>7421350</v>
          </cell>
          <cell r="O44">
            <v>0</v>
          </cell>
          <cell r="P44">
            <v>0</v>
          </cell>
          <cell r="Q44">
            <v>0</v>
          </cell>
          <cell r="R44">
            <v>0</v>
          </cell>
          <cell r="S44">
            <v>7421350</v>
          </cell>
          <cell r="T44">
            <v>0</v>
          </cell>
          <cell r="U44">
            <v>1723500</v>
          </cell>
          <cell r="V44">
            <v>11350000</v>
          </cell>
          <cell r="W44">
            <v>3734707</v>
          </cell>
          <cell r="X44">
            <v>57575000</v>
          </cell>
          <cell r="Y44">
            <v>0</v>
          </cell>
          <cell r="Z44">
            <v>0</v>
          </cell>
          <cell r="AA44">
            <v>0</v>
          </cell>
          <cell r="AB44">
            <v>0</v>
          </cell>
          <cell r="AC44">
            <v>0</v>
          </cell>
          <cell r="AD44">
            <v>0</v>
          </cell>
          <cell r="AE44">
            <v>1162500</v>
          </cell>
          <cell r="AF44">
            <v>0</v>
          </cell>
          <cell r="AG44">
            <v>0</v>
          </cell>
          <cell r="AH44">
            <v>75545707</v>
          </cell>
          <cell r="AI44">
            <v>75545707</v>
          </cell>
          <cell r="AJ44">
            <v>1047525</v>
          </cell>
          <cell r="AK44">
            <v>330000</v>
          </cell>
          <cell r="AL44">
            <v>33890000</v>
          </cell>
          <cell r="AM44">
            <v>0</v>
          </cell>
          <cell r="AN44">
            <v>0</v>
          </cell>
          <cell r="AO44">
            <v>0</v>
          </cell>
          <cell r="AP44">
            <v>200000</v>
          </cell>
          <cell r="AQ44">
            <v>836850</v>
          </cell>
          <cell r="AR44">
            <v>3476812</v>
          </cell>
          <cell r="AS44">
            <v>0</v>
          </cell>
          <cell r="AT44">
            <v>0</v>
          </cell>
          <cell r="AU44">
            <v>13573400</v>
          </cell>
          <cell r="AV44">
            <v>53354587</v>
          </cell>
        </row>
        <row r="45">
          <cell r="A45">
            <v>7324000</v>
          </cell>
          <cell r="B45" t="str">
            <v>هزينه موادوملزومات مصرفى</v>
          </cell>
          <cell r="C45">
            <v>0</v>
          </cell>
          <cell r="D45">
            <v>11159502</v>
          </cell>
          <cell r="E45">
            <v>22119224</v>
          </cell>
          <cell r="F45">
            <v>11580950</v>
          </cell>
          <cell r="G45">
            <v>42191800</v>
          </cell>
          <cell r="H45">
            <v>9291118</v>
          </cell>
          <cell r="I45">
            <v>21305980</v>
          </cell>
          <cell r="J45">
            <v>18908266</v>
          </cell>
          <cell r="K45">
            <v>5210248</v>
          </cell>
          <cell r="L45">
            <v>0</v>
          </cell>
          <cell r="M45">
            <v>0</v>
          </cell>
          <cell r="N45">
            <v>40941029</v>
          </cell>
          <cell r="O45">
            <v>0</v>
          </cell>
          <cell r="P45">
            <v>0</v>
          </cell>
          <cell r="Q45">
            <v>24732870</v>
          </cell>
          <cell r="R45">
            <v>77400127</v>
          </cell>
          <cell r="S45">
            <v>284841114</v>
          </cell>
          <cell r="T45">
            <v>8591843</v>
          </cell>
          <cell r="U45">
            <v>95188167</v>
          </cell>
          <cell r="V45">
            <v>453115540</v>
          </cell>
          <cell r="W45">
            <v>37087312</v>
          </cell>
          <cell r="X45">
            <v>543049746</v>
          </cell>
          <cell r="Y45">
            <v>47782420</v>
          </cell>
          <cell r="Z45">
            <v>7237650</v>
          </cell>
          <cell r="AA45">
            <v>4944670</v>
          </cell>
          <cell r="AB45">
            <v>930577</v>
          </cell>
          <cell r="AC45">
            <v>50627407</v>
          </cell>
          <cell r="AD45">
            <v>8031730</v>
          </cell>
          <cell r="AE45">
            <v>236875042</v>
          </cell>
          <cell r="AF45">
            <v>17536465</v>
          </cell>
          <cell r="AG45">
            <v>1305000</v>
          </cell>
          <cell r="AH45">
            <v>1512303569</v>
          </cell>
          <cell r="AI45">
            <v>1512303569</v>
          </cell>
          <cell r="AJ45">
            <v>117671540</v>
          </cell>
          <cell r="AK45">
            <v>14969809</v>
          </cell>
          <cell r="AL45">
            <v>256049101</v>
          </cell>
          <cell r="AM45">
            <v>5810429</v>
          </cell>
          <cell r="AN45">
            <v>0</v>
          </cell>
          <cell r="AO45">
            <v>0</v>
          </cell>
          <cell r="AP45">
            <v>66590546</v>
          </cell>
          <cell r="AQ45">
            <v>28891243</v>
          </cell>
          <cell r="AR45">
            <v>127544854</v>
          </cell>
          <cell r="AS45">
            <v>2907830</v>
          </cell>
          <cell r="AT45">
            <v>78182007</v>
          </cell>
          <cell r="AU45">
            <v>136698689</v>
          </cell>
          <cell r="AV45">
            <v>835316048</v>
          </cell>
        </row>
        <row r="46">
          <cell r="A46">
            <v>7349000</v>
          </cell>
          <cell r="B46" t="str">
            <v>هزينه ثبت محصولات</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45081000</v>
          </cell>
          <cell r="AV46">
            <v>45081000</v>
          </cell>
        </row>
        <row r="47">
          <cell r="A47">
            <v>7350000</v>
          </cell>
          <cell r="B47" t="str">
            <v>هزينه حق المشاوره حقوقى وساير حق المشاوره ها</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20860476</v>
          </cell>
          <cell r="R47">
            <v>71062800</v>
          </cell>
          <cell r="S47">
            <v>91923276</v>
          </cell>
          <cell r="T47">
            <v>0</v>
          </cell>
          <cell r="U47">
            <v>0</v>
          </cell>
          <cell r="V47">
            <v>0</v>
          </cell>
          <cell r="W47">
            <v>0</v>
          </cell>
          <cell r="X47">
            <v>36818760</v>
          </cell>
          <cell r="Y47">
            <v>0</v>
          </cell>
          <cell r="Z47">
            <v>0</v>
          </cell>
          <cell r="AA47">
            <v>0</v>
          </cell>
          <cell r="AB47">
            <v>0</v>
          </cell>
          <cell r="AC47">
            <v>66637191</v>
          </cell>
          <cell r="AD47">
            <v>0</v>
          </cell>
          <cell r="AE47">
            <v>63457392</v>
          </cell>
          <cell r="AF47">
            <v>0</v>
          </cell>
          <cell r="AG47">
            <v>0</v>
          </cell>
          <cell r="AH47">
            <v>166913343</v>
          </cell>
          <cell r="AI47">
            <v>166913343</v>
          </cell>
          <cell r="AJ47">
            <v>72297648</v>
          </cell>
          <cell r="AK47">
            <v>781120740</v>
          </cell>
          <cell r="AL47">
            <v>158936080</v>
          </cell>
          <cell r="AM47">
            <v>0</v>
          </cell>
          <cell r="AN47">
            <v>0</v>
          </cell>
          <cell r="AO47">
            <v>38167806</v>
          </cell>
          <cell r="AP47">
            <v>0</v>
          </cell>
          <cell r="AQ47">
            <v>41105480</v>
          </cell>
          <cell r="AR47">
            <v>0</v>
          </cell>
          <cell r="AS47">
            <v>0</v>
          </cell>
          <cell r="AT47">
            <v>42508660</v>
          </cell>
          <cell r="AU47">
            <v>41189820</v>
          </cell>
          <cell r="AV47">
            <v>1175326234</v>
          </cell>
        </row>
        <row r="48">
          <cell r="A48">
            <v>7376000</v>
          </cell>
          <cell r="B48" t="str">
            <v>هزينه اجاره</v>
          </cell>
        </row>
        <row r="49">
          <cell r="A49">
            <v>7325000</v>
          </cell>
          <cell r="B49" t="str">
            <v>هزينه ضايعات مواد اوليه وبسته بندي</v>
          </cell>
        </row>
        <row r="50">
          <cell r="A50">
            <v>7351000</v>
          </cell>
          <cell r="B50" t="str">
            <v>حق الزحمه بازرس قانوني وحسابرسي</v>
          </cell>
        </row>
        <row r="51">
          <cell r="A51">
            <v>7352000</v>
          </cell>
          <cell r="B51" t="str">
            <v>هزينه پشتيباني سيستم هاي مكانيزه</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21202222</v>
          </cell>
          <cell r="AQ51">
            <v>0</v>
          </cell>
          <cell r="AR51">
            <v>0</v>
          </cell>
          <cell r="AS51">
            <v>0</v>
          </cell>
          <cell r="AT51">
            <v>0</v>
          </cell>
          <cell r="AU51">
            <v>0</v>
          </cell>
          <cell r="AV51">
            <v>21202222</v>
          </cell>
        </row>
        <row r="52">
          <cell r="A52">
            <v>7353100</v>
          </cell>
          <cell r="B52" t="str">
            <v>هزينه جابجايى بين کدها (داخل انبار )</v>
          </cell>
          <cell r="C52">
            <v>0</v>
          </cell>
          <cell r="D52">
            <v>0</v>
          </cell>
          <cell r="E52">
            <v>0</v>
          </cell>
          <cell r="F52">
            <v>0</v>
          </cell>
          <cell r="G52">
            <v>0</v>
          </cell>
          <cell r="H52">
            <v>0</v>
          </cell>
          <cell r="I52">
            <v>0</v>
          </cell>
          <cell r="J52">
            <v>0</v>
          </cell>
          <cell r="K52">
            <v>0</v>
          </cell>
          <cell r="L52">
            <v>0</v>
          </cell>
          <cell r="M52">
            <v>0</v>
          </cell>
          <cell r="N52">
            <v>0</v>
          </cell>
          <cell r="O52">
            <v>0</v>
          </cell>
          <cell r="P52">
            <v>39692</v>
          </cell>
          <cell r="Q52">
            <v>0</v>
          </cell>
          <cell r="R52">
            <v>0</v>
          </cell>
          <cell r="S52">
            <v>39692</v>
          </cell>
          <cell r="T52">
            <v>0</v>
          </cell>
          <cell r="U52">
            <v>0</v>
          </cell>
          <cell r="V52">
            <v>0</v>
          </cell>
          <cell r="W52">
            <v>0</v>
          </cell>
          <cell r="X52">
            <v>0</v>
          </cell>
          <cell r="Y52">
            <v>1069908</v>
          </cell>
          <cell r="Z52">
            <v>0</v>
          </cell>
          <cell r="AA52">
            <v>0</v>
          </cell>
          <cell r="AB52">
            <v>0</v>
          </cell>
          <cell r="AC52">
            <v>0</v>
          </cell>
          <cell r="AD52">
            <v>0</v>
          </cell>
          <cell r="AE52">
            <v>0</v>
          </cell>
          <cell r="AF52">
            <v>0</v>
          </cell>
          <cell r="AG52">
            <v>0</v>
          </cell>
          <cell r="AH52">
            <v>1069908</v>
          </cell>
          <cell r="AI52">
            <v>1069908</v>
          </cell>
          <cell r="AJ52">
            <v>0</v>
          </cell>
          <cell r="AK52">
            <v>0</v>
          </cell>
          <cell r="AL52">
            <v>0</v>
          </cell>
          <cell r="AM52">
            <v>0</v>
          </cell>
          <cell r="AN52">
            <v>0</v>
          </cell>
          <cell r="AO52">
            <v>0</v>
          </cell>
          <cell r="AP52">
            <v>0</v>
          </cell>
          <cell r="AQ52">
            <v>0</v>
          </cell>
          <cell r="AR52">
            <v>0</v>
          </cell>
          <cell r="AS52">
            <v>0</v>
          </cell>
          <cell r="AT52">
            <v>0</v>
          </cell>
          <cell r="AU52">
            <v>0</v>
          </cell>
          <cell r="AV52">
            <v>0</v>
          </cell>
        </row>
        <row r="53">
          <cell r="A53">
            <v>7354000</v>
          </cell>
          <cell r="B53" t="str">
            <v>حق الزحمه سايرخدمات حرفه اى ومشاوره اى</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25000000</v>
          </cell>
          <cell r="AU53">
            <v>0</v>
          </cell>
          <cell r="AV53">
            <v>25000000</v>
          </cell>
        </row>
        <row r="54">
          <cell r="A54">
            <v>7355000</v>
          </cell>
          <cell r="B54" t="str">
            <v>هزينه حق الزحمه هيات مديره</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59500000</v>
          </cell>
          <cell r="AL54">
            <v>0</v>
          </cell>
          <cell r="AM54">
            <v>0</v>
          </cell>
          <cell r="AN54">
            <v>0</v>
          </cell>
          <cell r="AO54">
            <v>0</v>
          </cell>
          <cell r="AP54">
            <v>0</v>
          </cell>
          <cell r="AQ54">
            <v>0</v>
          </cell>
          <cell r="AR54">
            <v>0</v>
          </cell>
          <cell r="AS54">
            <v>0</v>
          </cell>
          <cell r="AT54">
            <v>0</v>
          </cell>
          <cell r="AU54">
            <v>0</v>
          </cell>
          <cell r="AV54">
            <v>59500000</v>
          </cell>
        </row>
        <row r="55">
          <cell r="A55">
            <v>7356000</v>
          </cell>
          <cell r="B55" t="str">
            <v>هزينه هاى ثبتى ومحضرى</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550000</v>
          </cell>
          <cell r="AD55">
            <v>0</v>
          </cell>
          <cell r="AE55">
            <v>0</v>
          </cell>
          <cell r="AF55">
            <v>0</v>
          </cell>
          <cell r="AG55">
            <v>0</v>
          </cell>
          <cell r="AH55">
            <v>550000</v>
          </cell>
          <cell r="AI55">
            <v>550000</v>
          </cell>
          <cell r="AJ55">
            <v>1400000</v>
          </cell>
          <cell r="AK55">
            <v>500000</v>
          </cell>
          <cell r="AL55">
            <v>0</v>
          </cell>
          <cell r="AM55">
            <v>0</v>
          </cell>
          <cell r="AN55">
            <v>0</v>
          </cell>
          <cell r="AO55">
            <v>0</v>
          </cell>
          <cell r="AP55">
            <v>0</v>
          </cell>
          <cell r="AQ55">
            <v>80000</v>
          </cell>
          <cell r="AR55">
            <v>0</v>
          </cell>
          <cell r="AS55">
            <v>0</v>
          </cell>
          <cell r="AT55">
            <v>0</v>
          </cell>
          <cell r="AU55">
            <v>0</v>
          </cell>
          <cell r="AV55">
            <v>1980000</v>
          </cell>
        </row>
        <row r="56">
          <cell r="A56">
            <v>7357000</v>
          </cell>
          <cell r="B56" t="str">
            <v>هزينه هاى عوارض</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34759000</v>
          </cell>
          <cell r="AD56">
            <v>0</v>
          </cell>
          <cell r="AE56">
            <v>48000</v>
          </cell>
          <cell r="AF56">
            <v>0</v>
          </cell>
          <cell r="AG56">
            <v>480000</v>
          </cell>
          <cell r="AH56">
            <v>35287000</v>
          </cell>
          <cell r="AI56">
            <v>35287000</v>
          </cell>
          <cell r="AJ56">
            <v>492000</v>
          </cell>
          <cell r="AK56">
            <v>2477000</v>
          </cell>
          <cell r="AL56">
            <v>0</v>
          </cell>
          <cell r="AM56">
            <v>0</v>
          </cell>
          <cell r="AN56">
            <v>0</v>
          </cell>
          <cell r="AO56">
            <v>-105557000</v>
          </cell>
          <cell r="AP56">
            <v>0</v>
          </cell>
          <cell r="AQ56">
            <v>253500</v>
          </cell>
          <cell r="AR56">
            <v>0</v>
          </cell>
          <cell r="AS56">
            <v>0</v>
          </cell>
          <cell r="AT56">
            <v>250000</v>
          </cell>
          <cell r="AU56">
            <v>0</v>
          </cell>
          <cell r="AV56">
            <v>-102084500</v>
          </cell>
        </row>
        <row r="57">
          <cell r="A57">
            <v>7358000</v>
          </cell>
          <cell r="B57" t="str">
            <v>هزينه سه درهزارفروش سهم وزارت صنايع</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1898226385</v>
          </cell>
          <cell r="AP57">
            <v>0</v>
          </cell>
          <cell r="AQ57">
            <v>0</v>
          </cell>
          <cell r="AR57">
            <v>0</v>
          </cell>
          <cell r="AS57">
            <v>0</v>
          </cell>
          <cell r="AT57">
            <v>0</v>
          </cell>
          <cell r="AU57">
            <v>0</v>
          </cell>
          <cell r="AV57">
            <v>1898226385</v>
          </cell>
        </row>
        <row r="58">
          <cell r="A58">
            <v>7359000</v>
          </cell>
          <cell r="B58" t="str">
            <v>يك درصدبازآموزي ونوآموزي</v>
          </cell>
        </row>
        <row r="59">
          <cell r="A59">
            <v>7361000</v>
          </cell>
          <cell r="B59" t="str">
            <v>هزينه هاى آزمايشگاهى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4693300</v>
          </cell>
          <cell r="AM59">
            <v>0</v>
          </cell>
          <cell r="AN59">
            <v>0</v>
          </cell>
          <cell r="AO59">
            <v>0</v>
          </cell>
          <cell r="AP59">
            <v>0</v>
          </cell>
          <cell r="AQ59">
            <v>0</v>
          </cell>
          <cell r="AR59">
            <v>0</v>
          </cell>
          <cell r="AS59">
            <v>0</v>
          </cell>
          <cell r="AT59">
            <v>0</v>
          </cell>
          <cell r="AU59">
            <v>199982456</v>
          </cell>
          <cell r="AV59">
            <v>204675756</v>
          </cell>
        </row>
        <row r="60">
          <cell r="A60">
            <v>7364000</v>
          </cell>
          <cell r="B60" t="str">
            <v>هزينه حمل ونگهدارى</v>
          </cell>
          <cell r="C60">
            <v>0</v>
          </cell>
          <cell r="D60">
            <v>0</v>
          </cell>
          <cell r="E60">
            <v>0</v>
          </cell>
          <cell r="F60">
            <v>0</v>
          </cell>
          <cell r="G60">
            <v>0</v>
          </cell>
          <cell r="H60">
            <v>0</v>
          </cell>
          <cell r="I60">
            <v>0</v>
          </cell>
          <cell r="J60">
            <v>0</v>
          </cell>
          <cell r="K60">
            <v>0</v>
          </cell>
          <cell r="L60">
            <v>0</v>
          </cell>
          <cell r="M60">
            <v>0</v>
          </cell>
          <cell r="N60">
            <v>80000</v>
          </cell>
          <cell r="O60">
            <v>0</v>
          </cell>
          <cell r="P60">
            <v>0</v>
          </cell>
          <cell r="Q60">
            <v>0</v>
          </cell>
          <cell r="R60">
            <v>0</v>
          </cell>
          <cell r="S60">
            <v>80000</v>
          </cell>
          <cell r="T60">
            <v>0</v>
          </cell>
          <cell r="U60">
            <v>1450000</v>
          </cell>
          <cell r="V60">
            <v>4354000</v>
          </cell>
          <cell r="W60">
            <v>200000</v>
          </cell>
          <cell r="X60">
            <v>200000</v>
          </cell>
          <cell r="Y60">
            <v>67751998</v>
          </cell>
          <cell r="Z60">
            <v>3120000</v>
          </cell>
          <cell r="AA60">
            <v>0</v>
          </cell>
          <cell r="AB60">
            <v>0</v>
          </cell>
          <cell r="AC60">
            <v>1350000</v>
          </cell>
          <cell r="AD60">
            <v>120000</v>
          </cell>
          <cell r="AE60">
            <v>10619632</v>
          </cell>
          <cell r="AF60">
            <v>100000</v>
          </cell>
          <cell r="AG60">
            <v>16250000</v>
          </cell>
          <cell r="AH60">
            <v>105515630</v>
          </cell>
          <cell r="AI60">
            <v>105515630</v>
          </cell>
          <cell r="AJ60">
            <v>13739000</v>
          </cell>
          <cell r="AK60">
            <v>570000</v>
          </cell>
          <cell r="AL60">
            <v>0</v>
          </cell>
          <cell r="AM60">
            <v>0</v>
          </cell>
          <cell r="AN60">
            <v>0</v>
          </cell>
          <cell r="AO60">
            <v>0</v>
          </cell>
          <cell r="AP60">
            <v>530000</v>
          </cell>
          <cell r="AQ60">
            <v>2670000</v>
          </cell>
          <cell r="AR60">
            <v>48875500</v>
          </cell>
          <cell r="AS60">
            <v>0</v>
          </cell>
          <cell r="AT60">
            <v>260000</v>
          </cell>
          <cell r="AU60">
            <v>1130000</v>
          </cell>
          <cell r="AV60">
            <v>67774500</v>
          </cell>
        </row>
        <row r="61">
          <cell r="A61">
            <v>7367000</v>
          </cell>
          <cell r="B61" t="str">
            <v>هزينه حق عضويت</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5848000</v>
          </cell>
          <cell r="AM61">
            <v>0</v>
          </cell>
          <cell r="AN61">
            <v>0</v>
          </cell>
          <cell r="AO61">
            <v>0</v>
          </cell>
          <cell r="AP61">
            <v>0</v>
          </cell>
          <cell r="AQ61">
            <v>0</v>
          </cell>
          <cell r="AR61">
            <v>0</v>
          </cell>
          <cell r="AS61">
            <v>0</v>
          </cell>
          <cell r="AT61">
            <v>0</v>
          </cell>
          <cell r="AU61">
            <v>14908800</v>
          </cell>
          <cell r="AV61">
            <v>20756800</v>
          </cell>
        </row>
        <row r="62">
          <cell r="A62">
            <v>7368000</v>
          </cell>
          <cell r="B62" t="str">
            <v>هزينه تبليغات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682718230</v>
          </cell>
          <cell r="AK62">
            <v>0</v>
          </cell>
          <cell r="AL62">
            <v>0</v>
          </cell>
          <cell r="AM62">
            <v>0</v>
          </cell>
          <cell r="AN62">
            <v>0</v>
          </cell>
          <cell r="AO62">
            <v>0</v>
          </cell>
          <cell r="AP62">
            <v>0</v>
          </cell>
          <cell r="AQ62">
            <v>0</v>
          </cell>
          <cell r="AR62">
            <v>0</v>
          </cell>
          <cell r="AS62">
            <v>0</v>
          </cell>
          <cell r="AT62">
            <v>0</v>
          </cell>
          <cell r="AU62">
            <v>0</v>
          </cell>
          <cell r="AV62">
            <v>682718230</v>
          </cell>
        </row>
        <row r="63">
          <cell r="A63">
            <v>7368100</v>
          </cell>
          <cell r="B63" t="str">
            <v>هزينه پورسانت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1453423733</v>
          </cell>
          <cell r="AK63">
            <v>0</v>
          </cell>
          <cell r="AL63">
            <v>0</v>
          </cell>
          <cell r="AM63">
            <v>0</v>
          </cell>
          <cell r="AN63">
            <v>0</v>
          </cell>
          <cell r="AO63">
            <v>0</v>
          </cell>
          <cell r="AP63">
            <v>0</v>
          </cell>
          <cell r="AQ63">
            <v>0</v>
          </cell>
          <cell r="AR63">
            <v>0</v>
          </cell>
          <cell r="AS63">
            <v>0</v>
          </cell>
          <cell r="AT63">
            <v>0</v>
          </cell>
          <cell r="AU63">
            <v>0</v>
          </cell>
          <cell r="AV63">
            <v>1453423733</v>
          </cell>
        </row>
        <row r="64">
          <cell r="A64">
            <v>7369000</v>
          </cell>
          <cell r="B64" t="str">
            <v>هزينه کارمزد بانکى</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72000</v>
          </cell>
          <cell r="AD64">
            <v>0</v>
          </cell>
          <cell r="AE64">
            <v>0</v>
          </cell>
          <cell r="AF64">
            <v>0</v>
          </cell>
          <cell r="AG64">
            <v>0</v>
          </cell>
          <cell r="AH64">
            <v>72000</v>
          </cell>
          <cell r="AI64">
            <v>72000</v>
          </cell>
          <cell r="AJ64">
            <v>0</v>
          </cell>
          <cell r="AK64">
            <v>0</v>
          </cell>
          <cell r="AL64">
            <v>0</v>
          </cell>
          <cell r="AM64">
            <v>0</v>
          </cell>
          <cell r="AN64">
            <v>0</v>
          </cell>
          <cell r="AO64">
            <v>130738729</v>
          </cell>
          <cell r="AP64">
            <v>0</v>
          </cell>
          <cell r="AQ64">
            <v>321500</v>
          </cell>
          <cell r="AR64">
            <v>40000</v>
          </cell>
          <cell r="AS64">
            <v>0</v>
          </cell>
          <cell r="AT64">
            <v>0</v>
          </cell>
          <cell r="AU64">
            <v>0</v>
          </cell>
          <cell r="AV64">
            <v>131100229</v>
          </cell>
        </row>
        <row r="65">
          <cell r="A65">
            <v>7371000</v>
          </cell>
          <cell r="B65" t="str">
            <v>هزینه مطالبات سوخت و مشکوک الوصول غیر تجاری</v>
          </cell>
        </row>
        <row r="66">
          <cell r="A66">
            <v>7372000</v>
          </cell>
          <cell r="B66" t="str">
            <v>هزينه مراسم وپذيرائى</v>
          </cell>
          <cell r="C66">
            <v>0</v>
          </cell>
          <cell r="D66">
            <v>0</v>
          </cell>
          <cell r="E66">
            <v>0</v>
          </cell>
          <cell r="F66">
            <v>0</v>
          </cell>
          <cell r="G66">
            <v>0</v>
          </cell>
          <cell r="H66">
            <v>0</v>
          </cell>
          <cell r="I66">
            <v>0</v>
          </cell>
          <cell r="J66">
            <v>0</v>
          </cell>
          <cell r="K66">
            <v>0</v>
          </cell>
          <cell r="L66">
            <v>165000</v>
          </cell>
          <cell r="M66">
            <v>0</v>
          </cell>
          <cell r="N66">
            <v>14754500</v>
          </cell>
          <cell r="O66">
            <v>0</v>
          </cell>
          <cell r="P66">
            <v>0</v>
          </cell>
          <cell r="Q66">
            <v>0</v>
          </cell>
          <cell r="R66">
            <v>3790000</v>
          </cell>
          <cell r="S66">
            <v>18709500</v>
          </cell>
          <cell r="T66">
            <v>0</v>
          </cell>
          <cell r="U66">
            <v>31451000</v>
          </cell>
          <cell r="V66">
            <v>3065000</v>
          </cell>
          <cell r="W66">
            <v>0</v>
          </cell>
          <cell r="X66">
            <v>6822250</v>
          </cell>
          <cell r="Y66">
            <v>0</v>
          </cell>
          <cell r="Z66">
            <v>0</v>
          </cell>
          <cell r="AA66">
            <v>120000</v>
          </cell>
          <cell r="AB66">
            <v>0</v>
          </cell>
          <cell r="AC66">
            <v>930000</v>
          </cell>
          <cell r="AD66">
            <v>11226300</v>
          </cell>
          <cell r="AE66">
            <v>205540830</v>
          </cell>
          <cell r="AF66">
            <v>42769800</v>
          </cell>
          <cell r="AG66">
            <v>0</v>
          </cell>
          <cell r="AH66">
            <v>301925180</v>
          </cell>
          <cell r="AI66">
            <v>301925180</v>
          </cell>
          <cell r="AJ66">
            <v>36741590</v>
          </cell>
          <cell r="AK66">
            <v>90668420</v>
          </cell>
          <cell r="AL66">
            <v>380000</v>
          </cell>
          <cell r="AM66">
            <v>2036225</v>
          </cell>
          <cell r="AN66">
            <v>0</v>
          </cell>
          <cell r="AO66">
            <v>-189000000</v>
          </cell>
          <cell r="AP66">
            <v>55000</v>
          </cell>
          <cell r="AQ66">
            <v>11492597</v>
          </cell>
          <cell r="AR66">
            <v>2688800</v>
          </cell>
          <cell r="AS66">
            <v>36342500</v>
          </cell>
          <cell r="AT66">
            <v>0</v>
          </cell>
          <cell r="AU66">
            <v>1996689</v>
          </cell>
          <cell r="AV66">
            <v>-6598179</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25431210</v>
          </cell>
          <cell r="AK67">
            <v>930000</v>
          </cell>
          <cell r="AL67">
            <v>0</v>
          </cell>
          <cell r="AM67">
            <v>0</v>
          </cell>
          <cell r="AN67">
            <v>0</v>
          </cell>
          <cell r="AO67">
            <v>50000000</v>
          </cell>
          <cell r="AP67">
            <v>71456707</v>
          </cell>
          <cell r="AQ67">
            <v>32821555</v>
          </cell>
          <cell r="AR67">
            <v>0</v>
          </cell>
          <cell r="AS67">
            <v>0</v>
          </cell>
          <cell r="AT67">
            <v>0</v>
          </cell>
          <cell r="AU67">
            <v>0</v>
          </cell>
          <cell r="AV67">
            <v>180639472</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736200</v>
          </cell>
          <cell r="AK68">
            <v>0</v>
          </cell>
          <cell r="AL68">
            <v>0</v>
          </cell>
          <cell r="AM68">
            <v>0</v>
          </cell>
          <cell r="AN68">
            <v>0</v>
          </cell>
          <cell r="AO68">
            <v>0</v>
          </cell>
          <cell r="AP68">
            <v>0</v>
          </cell>
          <cell r="AQ68">
            <v>0</v>
          </cell>
          <cell r="AR68">
            <v>0</v>
          </cell>
          <cell r="AS68">
            <v>0</v>
          </cell>
          <cell r="AT68">
            <v>0</v>
          </cell>
          <cell r="AU68">
            <v>0</v>
          </cell>
          <cell r="AV68">
            <v>736200</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1374785548</v>
          </cell>
          <cell r="W69">
            <v>0</v>
          </cell>
          <cell r="X69">
            <v>0</v>
          </cell>
          <cell r="Y69">
            <v>0</v>
          </cell>
          <cell r="Z69">
            <v>0</v>
          </cell>
          <cell r="AA69">
            <v>0</v>
          </cell>
          <cell r="AB69">
            <v>0</v>
          </cell>
          <cell r="AC69">
            <v>0</v>
          </cell>
          <cell r="AD69">
            <v>0</v>
          </cell>
          <cell r="AE69">
            <v>0</v>
          </cell>
          <cell r="AF69">
            <v>0</v>
          </cell>
          <cell r="AG69">
            <v>0</v>
          </cell>
          <cell r="AH69">
            <v>1374785548</v>
          </cell>
          <cell r="AI69">
            <v>1374785548</v>
          </cell>
          <cell r="AJ69">
            <v>7115000</v>
          </cell>
          <cell r="AK69">
            <v>0</v>
          </cell>
          <cell r="AL69">
            <v>0</v>
          </cell>
          <cell r="AM69">
            <v>0</v>
          </cell>
          <cell r="AN69">
            <v>0</v>
          </cell>
          <cell r="AO69">
            <v>0</v>
          </cell>
          <cell r="AP69">
            <v>0</v>
          </cell>
          <cell r="AQ69">
            <v>0</v>
          </cell>
          <cell r="AR69">
            <v>0</v>
          </cell>
          <cell r="AS69">
            <v>0</v>
          </cell>
          <cell r="AT69">
            <v>0</v>
          </cell>
          <cell r="AU69">
            <v>0</v>
          </cell>
          <cell r="AV69">
            <v>7115000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880865355</v>
          </cell>
          <cell r="W70">
            <v>0</v>
          </cell>
          <cell r="X70">
            <v>0</v>
          </cell>
          <cell r="Y70">
            <v>0</v>
          </cell>
          <cell r="Z70">
            <v>0</v>
          </cell>
          <cell r="AA70">
            <v>0</v>
          </cell>
          <cell r="AB70">
            <v>0</v>
          </cell>
          <cell r="AC70">
            <v>0</v>
          </cell>
          <cell r="AD70">
            <v>0</v>
          </cell>
          <cell r="AE70">
            <v>0</v>
          </cell>
          <cell r="AF70">
            <v>0</v>
          </cell>
          <cell r="AG70">
            <v>0</v>
          </cell>
          <cell r="AH70">
            <v>880865355</v>
          </cell>
          <cell r="AI70">
            <v>880865355</v>
          </cell>
          <cell r="AJ70">
            <v>6836200</v>
          </cell>
          <cell r="AK70">
            <v>0</v>
          </cell>
          <cell r="AL70">
            <v>0</v>
          </cell>
          <cell r="AM70">
            <v>0</v>
          </cell>
          <cell r="AN70">
            <v>0</v>
          </cell>
          <cell r="AO70">
            <v>0</v>
          </cell>
          <cell r="AP70">
            <v>0</v>
          </cell>
          <cell r="AQ70">
            <v>0</v>
          </cell>
          <cell r="AR70">
            <v>0</v>
          </cell>
          <cell r="AS70">
            <v>0</v>
          </cell>
          <cell r="AT70">
            <v>0</v>
          </cell>
          <cell r="AU70">
            <v>0</v>
          </cell>
          <cell r="AV70">
            <v>6836200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80000</v>
          </cell>
          <cell r="W71">
            <v>0</v>
          </cell>
          <cell r="X71">
            <v>160000</v>
          </cell>
          <cell r="Y71">
            <v>7323475</v>
          </cell>
          <cell r="Z71">
            <v>0</v>
          </cell>
          <cell r="AA71">
            <v>0</v>
          </cell>
          <cell r="AB71">
            <v>0</v>
          </cell>
          <cell r="AC71">
            <v>7516000</v>
          </cell>
          <cell r="AD71">
            <v>200000</v>
          </cell>
          <cell r="AE71">
            <v>1588000</v>
          </cell>
          <cell r="AF71">
            <v>0</v>
          </cell>
          <cell r="AG71">
            <v>0</v>
          </cell>
          <cell r="AH71">
            <v>16867475</v>
          </cell>
          <cell r="AI71">
            <v>16867475</v>
          </cell>
          <cell r="AJ71">
            <v>0</v>
          </cell>
          <cell r="AK71">
            <v>18216000</v>
          </cell>
          <cell r="AL71">
            <v>0</v>
          </cell>
          <cell r="AM71">
            <v>0</v>
          </cell>
          <cell r="AN71">
            <v>0</v>
          </cell>
          <cell r="AO71">
            <v>0</v>
          </cell>
          <cell r="AP71">
            <v>0</v>
          </cell>
          <cell r="AQ71">
            <v>2580000</v>
          </cell>
          <cell r="AR71">
            <v>910000</v>
          </cell>
          <cell r="AS71">
            <v>0</v>
          </cell>
          <cell r="AT71">
            <v>784000</v>
          </cell>
          <cell r="AU71">
            <v>0</v>
          </cell>
          <cell r="AV71">
            <v>22490000</v>
          </cell>
        </row>
        <row r="72">
          <cell r="A72">
            <v>7374009</v>
          </cell>
          <cell r="B72" t="str">
            <v>هزينه تلفن -تلکس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58161371</v>
          </cell>
          <cell r="AF72">
            <v>0</v>
          </cell>
          <cell r="AG72">
            <v>0</v>
          </cell>
          <cell r="AH72">
            <v>58161371</v>
          </cell>
          <cell r="AI72">
            <v>58161371</v>
          </cell>
          <cell r="AJ72">
            <v>5661000</v>
          </cell>
          <cell r="AK72">
            <v>1243000</v>
          </cell>
          <cell r="AL72">
            <v>0</v>
          </cell>
          <cell r="AM72">
            <v>0</v>
          </cell>
          <cell r="AN72">
            <v>0</v>
          </cell>
          <cell r="AO72">
            <v>0</v>
          </cell>
          <cell r="AP72">
            <v>0</v>
          </cell>
          <cell r="AQ72">
            <v>0</v>
          </cell>
          <cell r="AR72">
            <v>0</v>
          </cell>
          <cell r="AS72">
            <v>0</v>
          </cell>
          <cell r="AT72">
            <v>0</v>
          </cell>
          <cell r="AU72">
            <v>0</v>
          </cell>
          <cell r="AV72">
            <v>6904000</v>
          </cell>
        </row>
        <row r="73">
          <cell r="A73">
            <v>7375000</v>
          </cell>
          <cell r="B73" t="str">
            <v xml:space="preserve"> هزينه كارشناسان رسمي</v>
          </cell>
        </row>
        <row r="74">
          <cell r="A74">
            <v>7366000</v>
          </cell>
          <cell r="B74" t="str">
            <v>سايرهزينه هاي بانكي</v>
          </cell>
        </row>
        <row r="75">
          <cell r="A75">
            <v>7377000</v>
          </cell>
          <cell r="B75" t="str">
            <v>هزينه مميزى    ISO</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22398947</v>
          </cell>
          <cell r="AV75">
            <v>22398947</v>
          </cell>
        </row>
        <row r="76">
          <cell r="A76">
            <v>7378000</v>
          </cell>
          <cell r="B76" t="str">
            <v>هزينه آگهى</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26300000</v>
          </cell>
          <cell r="AK76">
            <v>0</v>
          </cell>
          <cell r="AL76">
            <v>0</v>
          </cell>
          <cell r="AM76">
            <v>0</v>
          </cell>
          <cell r="AN76">
            <v>0</v>
          </cell>
          <cell r="AO76">
            <v>76200000</v>
          </cell>
          <cell r="AP76">
            <v>0</v>
          </cell>
          <cell r="AQ76">
            <v>0</v>
          </cell>
          <cell r="AR76">
            <v>0</v>
          </cell>
          <cell r="AS76">
            <v>0</v>
          </cell>
          <cell r="AT76">
            <v>0</v>
          </cell>
          <cell r="AU76">
            <v>0</v>
          </cell>
          <cell r="AV76">
            <v>102500000</v>
          </cell>
        </row>
        <row r="77">
          <cell r="A77">
            <v>7379000</v>
          </cell>
          <cell r="B77" t="str">
            <v>هزينه انتشارات</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23700768</v>
          </cell>
          <cell r="AV77">
            <v>23700768</v>
          </cell>
        </row>
        <row r="78">
          <cell r="A78">
            <v>7380006</v>
          </cell>
          <cell r="B78" t="str">
            <v>هزينه بيمه وسائطنقليه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925534</v>
          </cell>
          <cell r="Y78">
            <v>0</v>
          </cell>
          <cell r="Z78">
            <v>0</v>
          </cell>
          <cell r="AA78">
            <v>0</v>
          </cell>
          <cell r="AB78">
            <v>0</v>
          </cell>
          <cell r="AC78">
            <v>7971382</v>
          </cell>
          <cell r="AD78">
            <v>0</v>
          </cell>
          <cell r="AE78">
            <v>214316</v>
          </cell>
          <cell r="AF78">
            <v>0</v>
          </cell>
          <cell r="AG78">
            <v>3335103</v>
          </cell>
          <cell r="AH78">
            <v>12446335</v>
          </cell>
          <cell r="AI78">
            <v>12446335</v>
          </cell>
          <cell r="AJ78">
            <v>0</v>
          </cell>
          <cell r="AK78">
            <v>36590467</v>
          </cell>
          <cell r="AL78">
            <v>0</v>
          </cell>
          <cell r="AM78">
            <v>0</v>
          </cell>
          <cell r="AN78">
            <v>0</v>
          </cell>
          <cell r="AO78">
            <v>0</v>
          </cell>
          <cell r="AP78">
            <v>0</v>
          </cell>
          <cell r="AQ78">
            <v>885764</v>
          </cell>
          <cell r="AR78">
            <v>0</v>
          </cell>
          <cell r="AS78">
            <v>0</v>
          </cell>
          <cell r="AT78">
            <v>2903943</v>
          </cell>
          <cell r="AU78">
            <v>0</v>
          </cell>
          <cell r="AV78">
            <v>40380174</v>
          </cell>
        </row>
        <row r="79">
          <cell r="A79">
            <v>7380010</v>
          </cell>
          <cell r="B79" t="str">
            <v>هزينه بيمه مسئولیت مدنی کارفرما</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115923641</v>
          </cell>
          <cell r="AF79">
            <v>0</v>
          </cell>
          <cell r="AG79">
            <v>0</v>
          </cell>
          <cell r="AH79">
            <v>115923641</v>
          </cell>
          <cell r="AI79">
            <v>115923641</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7380002</v>
          </cell>
          <cell r="B80" t="str">
            <v>هزينه بيمه موجوديها</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96447939</v>
          </cell>
          <cell r="Z80">
            <v>0</v>
          </cell>
          <cell r="AA80">
            <v>0</v>
          </cell>
          <cell r="AB80">
            <v>0</v>
          </cell>
          <cell r="AC80">
            <v>0</v>
          </cell>
          <cell r="AD80">
            <v>0</v>
          </cell>
          <cell r="AE80">
            <v>113637525</v>
          </cell>
          <cell r="AF80">
            <v>0</v>
          </cell>
          <cell r="AG80">
            <v>0</v>
          </cell>
          <cell r="AH80">
            <v>210085464</v>
          </cell>
          <cell r="AI80">
            <v>210085464</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7380003</v>
          </cell>
          <cell r="B81" t="str">
            <v>هزينه بيمه ساختمانها</v>
          </cell>
          <cell r="C81">
            <v>2373469</v>
          </cell>
          <cell r="D81">
            <v>914841</v>
          </cell>
          <cell r="E81">
            <v>1055586</v>
          </cell>
          <cell r="F81">
            <v>716519</v>
          </cell>
          <cell r="G81">
            <v>2827691</v>
          </cell>
          <cell r="H81">
            <v>748506</v>
          </cell>
          <cell r="I81">
            <v>1912850</v>
          </cell>
          <cell r="J81">
            <v>2117569</v>
          </cell>
          <cell r="K81">
            <v>1560988</v>
          </cell>
          <cell r="L81">
            <v>371054</v>
          </cell>
          <cell r="M81">
            <v>818879</v>
          </cell>
          <cell r="N81">
            <v>4932465</v>
          </cell>
          <cell r="O81">
            <v>3064398</v>
          </cell>
          <cell r="P81">
            <v>2136766</v>
          </cell>
          <cell r="Q81">
            <v>0</v>
          </cell>
          <cell r="R81">
            <v>0</v>
          </cell>
          <cell r="S81">
            <v>25551581</v>
          </cell>
          <cell r="T81">
            <v>614159</v>
          </cell>
          <cell r="U81">
            <v>1279498</v>
          </cell>
          <cell r="V81">
            <v>0</v>
          </cell>
          <cell r="W81">
            <v>0</v>
          </cell>
          <cell r="X81">
            <v>4388679</v>
          </cell>
          <cell r="Y81">
            <v>55447246</v>
          </cell>
          <cell r="Z81">
            <v>8796550</v>
          </cell>
          <cell r="AA81">
            <v>447825</v>
          </cell>
          <cell r="AB81">
            <v>108757</v>
          </cell>
          <cell r="AC81">
            <v>671737</v>
          </cell>
          <cell r="AD81">
            <v>0</v>
          </cell>
          <cell r="AE81">
            <v>0</v>
          </cell>
          <cell r="AF81">
            <v>0</v>
          </cell>
          <cell r="AG81">
            <v>0</v>
          </cell>
          <cell r="AH81">
            <v>71754451</v>
          </cell>
          <cell r="AI81">
            <v>71754451</v>
          </cell>
          <cell r="AJ81">
            <v>0</v>
          </cell>
          <cell r="AK81">
            <v>646147</v>
          </cell>
          <cell r="AL81">
            <v>486209</v>
          </cell>
          <cell r="AM81">
            <v>703724</v>
          </cell>
          <cell r="AN81">
            <v>0</v>
          </cell>
          <cell r="AO81">
            <v>0</v>
          </cell>
          <cell r="AP81">
            <v>121552</v>
          </cell>
          <cell r="AQ81">
            <v>1701733</v>
          </cell>
          <cell r="AR81">
            <v>601364</v>
          </cell>
          <cell r="AS81">
            <v>127950</v>
          </cell>
          <cell r="AT81">
            <v>0</v>
          </cell>
          <cell r="AU81">
            <v>0</v>
          </cell>
          <cell r="AV81">
            <v>4388679</v>
          </cell>
        </row>
        <row r="82">
          <cell r="A82">
            <v>7380005</v>
          </cell>
          <cell r="B82" t="str">
            <v>هزينه بيمه ماشين آلات وتجهيزات</v>
          </cell>
          <cell r="C82">
            <v>707608</v>
          </cell>
          <cell r="D82">
            <v>24622</v>
          </cell>
          <cell r="E82">
            <v>1958</v>
          </cell>
          <cell r="F82">
            <v>11232</v>
          </cell>
          <cell r="G82">
            <v>57110</v>
          </cell>
          <cell r="H82">
            <v>1563289</v>
          </cell>
          <cell r="I82">
            <v>0</v>
          </cell>
          <cell r="J82">
            <v>208233</v>
          </cell>
          <cell r="K82">
            <v>348189</v>
          </cell>
          <cell r="L82">
            <v>26070</v>
          </cell>
          <cell r="M82">
            <v>0</v>
          </cell>
          <cell r="N82">
            <v>2906336</v>
          </cell>
          <cell r="O82">
            <v>5762574</v>
          </cell>
          <cell r="P82">
            <v>3401422</v>
          </cell>
          <cell r="Q82">
            <v>3062126</v>
          </cell>
          <cell r="R82">
            <v>2741150</v>
          </cell>
          <cell r="S82">
            <v>20821919</v>
          </cell>
          <cell r="T82">
            <v>33503</v>
          </cell>
          <cell r="U82">
            <v>0</v>
          </cell>
          <cell r="V82">
            <v>28170</v>
          </cell>
          <cell r="W82">
            <v>781660</v>
          </cell>
          <cell r="X82">
            <v>1038469</v>
          </cell>
          <cell r="Y82">
            <v>34195</v>
          </cell>
          <cell r="Z82">
            <v>217626</v>
          </cell>
          <cell r="AA82">
            <v>0</v>
          </cell>
          <cell r="AB82">
            <v>0</v>
          </cell>
          <cell r="AC82">
            <v>0</v>
          </cell>
          <cell r="AD82">
            <v>0</v>
          </cell>
          <cell r="AE82">
            <v>5993</v>
          </cell>
          <cell r="AF82">
            <v>0</v>
          </cell>
          <cell r="AG82">
            <v>0</v>
          </cell>
          <cell r="AH82">
            <v>2139616</v>
          </cell>
          <cell r="AI82">
            <v>2139616</v>
          </cell>
          <cell r="AJ82">
            <v>0</v>
          </cell>
          <cell r="AK82">
            <v>0</v>
          </cell>
          <cell r="AL82">
            <v>185541</v>
          </cell>
          <cell r="AM82">
            <v>0</v>
          </cell>
          <cell r="AN82">
            <v>0</v>
          </cell>
          <cell r="AO82">
            <v>0</v>
          </cell>
          <cell r="AP82">
            <v>0</v>
          </cell>
          <cell r="AQ82">
            <v>428</v>
          </cell>
          <cell r="AR82">
            <v>0</v>
          </cell>
          <cell r="AS82">
            <v>0</v>
          </cell>
          <cell r="AT82">
            <v>0</v>
          </cell>
          <cell r="AU82">
            <v>0</v>
          </cell>
          <cell r="AV82">
            <v>185969</v>
          </cell>
        </row>
        <row r="83">
          <cell r="A83">
            <v>7380007</v>
          </cell>
          <cell r="B83" t="str">
            <v>هزينه بيمه اثاثيه ومنصوبات</v>
          </cell>
          <cell r="C83">
            <v>27001</v>
          </cell>
          <cell r="D83">
            <v>20231</v>
          </cell>
          <cell r="E83">
            <v>8320</v>
          </cell>
          <cell r="F83">
            <v>2385</v>
          </cell>
          <cell r="G83">
            <v>30097</v>
          </cell>
          <cell r="H83">
            <v>8311</v>
          </cell>
          <cell r="I83">
            <v>11771</v>
          </cell>
          <cell r="J83">
            <v>79680</v>
          </cell>
          <cell r="K83">
            <v>75442</v>
          </cell>
          <cell r="L83">
            <v>1218</v>
          </cell>
          <cell r="M83">
            <v>537993</v>
          </cell>
          <cell r="N83">
            <v>1001005</v>
          </cell>
          <cell r="O83">
            <v>6482</v>
          </cell>
          <cell r="P83">
            <v>3771</v>
          </cell>
          <cell r="Q83">
            <v>87209</v>
          </cell>
          <cell r="R83">
            <v>1304676</v>
          </cell>
          <cell r="S83">
            <v>3205592</v>
          </cell>
          <cell r="T83">
            <v>17639</v>
          </cell>
          <cell r="U83">
            <v>319123</v>
          </cell>
          <cell r="V83">
            <v>399771</v>
          </cell>
          <cell r="W83">
            <v>48241</v>
          </cell>
          <cell r="X83">
            <v>1352480</v>
          </cell>
          <cell r="Y83">
            <v>762722</v>
          </cell>
          <cell r="Z83">
            <v>157211</v>
          </cell>
          <cell r="AA83">
            <v>62790</v>
          </cell>
          <cell r="AB83">
            <v>0</v>
          </cell>
          <cell r="AC83">
            <v>71319</v>
          </cell>
          <cell r="AD83">
            <v>160260</v>
          </cell>
          <cell r="AE83">
            <v>302339</v>
          </cell>
          <cell r="AF83">
            <v>177383</v>
          </cell>
          <cell r="AG83">
            <v>6586</v>
          </cell>
          <cell r="AH83">
            <v>3837864</v>
          </cell>
          <cell r="AI83">
            <v>3837864</v>
          </cell>
          <cell r="AJ83">
            <v>212561</v>
          </cell>
          <cell r="AK83">
            <v>182659</v>
          </cell>
          <cell r="AL83">
            <v>75127</v>
          </cell>
          <cell r="AM83">
            <v>63092</v>
          </cell>
          <cell r="AN83">
            <v>0</v>
          </cell>
          <cell r="AO83">
            <v>0</v>
          </cell>
          <cell r="AP83">
            <v>122053</v>
          </cell>
          <cell r="AQ83">
            <v>83018</v>
          </cell>
          <cell r="AR83">
            <v>125741</v>
          </cell>
          <cell r="AS83">
            <v>4756</v>
          </cell>
          <cell r="AT83">
            <v>42397</v>
          </cell>
          <cell r="AU83">
            <v>146765</v>
          </cell>
          <cell r="AV83">
            <v>1058169</v>
          </cell>
        </row>
        <row r="84">
          <cell r="A84">
            <v>7395000</v>
          </cell>
          <cell r="B84" t="str">
            <v>هزينه ماليات بر ارزش افزوده</v>
          </cell>
        </row>
        <row r="85">
          <cell r="A85">
            <v>7380008</v>
          </cell>
          <cell r="B85" t="str">
            <v>هزينه بيمه ابزارولوازم فنى</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308633</v>
          </cell>
          <cell r="Z85">
            <v>0</v>
          </cell>
          <cell r="AA85">
            <v>0</v>
          </cell>
          <cell r="AB85">
            <v>0</v>
          </cell>
          <cell r="AC85">
            <v>0</v>
          </cell>
          <cell r="AD85">
            <v>0</v>
          </cell>
          <cell r="AE85">
            <v>0</v>
          </cell>
          <cell r="AF85">
            <v>0</v>
          </cell>
          <cell r="AG85">
            <v>0</v>
          </cell>
          <cell r="AH85">
            <v>308633</v>
          </cell>
          <cell r="AI85">
            <v>308633</v>
          </cell>
          <cell r="AJ85">
            <v>0</v>
          </cell>
          <cell r="AK85">
            <v>0</v>
          </cell>
          <cell r="AL85">
            <v>0</v>
          </cell>
          <cell r="AM85">
            <v>0</v>
          </cell>
          <cell r="AN85">
            <v>0</v>
          </cell>
          <cell r="AO85">
            <v>0</v>
          </cell>
          <cell r="AP85">
            <v>0</v>
          </cell>
          <cell r="AQ85">
            <v>0</v>
          </cell>
          <cell r="AR85">
            <v>0</v>
          </cell>
          <cell r="AS85">
            <v>0</v>
          </cell>
          <cell r="AT85">
            <v>0</v>
          </cell>
          <cell r="AU85">
            <v>0</v>
          </cell>
          <cell r="AV85">
            <v>0</v>
          </cell>
        </row>
        <row r="86">
          <cell r="A86">
            <v>7380009</v>
          </cell>
          <cell r="B86" t="str">
            <v>هزينه بيمه لوازم آزمايشگاهى</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8873210</v>
          </cell>
          <cell r="Y86">
            <v>0</v>
          </cell>
          <cell r="Z86">
            <v>0</v>
          </cell>
          <cell r="AA86">
            <v>0</v>
          </cell>
          <cell r="AB86">
            <v>0</v>
          </cell>
          <cell r="AC86">
            <v>0</v>
          </cell>
          <cell r="AD86">
            <v>0</v>
          </cell>
          <cell r="AE86">
            <v>0</v>
          </cell>
          <cell r="AF86">
            <v>0</v>
          </cell>
          <cell r="AG86">
            <v>0</v>
          </cell>
          <cell r="AH86">
            <v>8873210</v>
          </cell>
          <cell r="AI86">
            <v>8873210</v>
          </cell>
          <cell r="AJ86">
            <v>0</v>
          </cell>
          <cell r="AK86">
            <v>0</v>
          </cell>
          <cell r="AL86">
            <v>0</v>
          </cell>
          <cell r="AM86">
            <v>0</v>
          </cell>
          <cell r="AN86">
            <v>0</v>
          </cell>
          <cell r="AO86">
            <v>0</v>
          </cell>
          <cell r="AP86">
            <v>0</v>
          </cell>
          <cell r="AQ86">
            <v>0</v>
          </cell>
          <cell r="AR86">
            <v>0</v>
          </cell>
          <cell r="AS86">
            <v>0</v>
          </cell>
          <cell r="AT86">
            <v>0</v>
          </cell>
          <cell r="AU86">
            <v>0</v>
          </cell>
          <cell r="AV86">
            <v>0</v>
          </cell>
        </row>
        <row r="87">
          <cell r="A87">
            <v>7400000</v>
          </cell>
          <cell r="B87" t="str">
            <v>هزينه استهلاک دارائيهاى ثابت</v>
          </cell>
          <cell r="C87">
            <v>178163526</v>
          </cell>
          <cell r="D87">
            <v>14058547</v>
          </cell>
          <cell r="E87">
            <v>1581859</v>
          </cell>
          <cell r="F87">
            <v>3315392</v>
          </cell>
          <cell r="G87">
            <v>876784497</v>
          </cell>
          <cell r="H87">
            <v>178461825</v>
          </cell>
          <cell r="I87">
            <v>1582496</v>
          </cell>
          <cell r="J87">
            <v>78610886</v>
          </cell>
          <cell r="K87">
            <v>85654917</v>
          </cell>
          <cell r="L87">
            <v>2333323</v>
          </cell>
          <cell r="M87">
            <v>739637788</v>
          </cell>
          <cell r="N87">
            <v>392474237</v>
          </cell>
          <cell r="O87">
            <v>540389400</v>
          </cell>
          <cell r="P87">
            <v>323399663</v>
          </cell>
          <cell r="Q87">
            <v>299598372</v>
          </cell>
          <cell r="R87">
            <v>1129308946</v>
          </cell>
          <cell r="S87">
            <v>4845355674</v>
          </cell>
          <cell r="T87">
            <v>9200321</v>
          </cell>
          <cell r="U87">
            <v>711747318</v>
          </cell>
          <cell r="V87">
            <v>2188339574</v>
          </cell>
          <cell r="W87">
            <v>2136678674</v>
          </cell>
          <cell r="X87">
            <v>1345840127</v>
          </cell>
          <cell r="Y87">
            <v>222547348</v>
          </cell>
          <cell r="Z87">
            <v>63686028</v>
          </cell>
          <cell r="AA87">
            <v>10027278</v>
          </cell>
          <cell r="AB87">
            <v>0</v>
          </cell>
          <cell r="AC87">
            <v>18140245</v>
          </cell>
          <cell r="AD87">
            <v>46937461</v>
          </cell>
          <cell r="AE87">
            <v>54437960</v>
          </cell>
          <cell r="AF87">
            <v>29123661</v>
          </cell>
          <cell r="AG87">
            <v>2413999</v>
          </cell>
          <cell r="AH87">
            <v>6839119994</v>
          </cell>
          <cell r="AI87">
            <v>6839119994</v>
          </cell>
          <cell r="AJ87">
            <v>325066821</v>
          </cell>
          <cell r="AK87">
            <v>179077170</v>
          </cell>
          <cell r="AL87">
            <v>219674308</v>
          </cell>
          <cell r="AM87">
            <v>14619409</v>
          </cell>
          <cell r="AN87">
            <v>0</v>
          </cell>
          <cell r="AO87">
            <v>0</v>
          </cell>
          <cell r="AP87">
            <v>30829643</v>
          </cell>
          <cell r="AQ87">
            <v>28882484</v>
          </cell>
          <cell r="AR87">
            <v>21222787</v>
          </cell>
          <cell r="AS87">
            <v>1009409</v>
          </cell>
          <cell r="AT87">
            <v>8113952</v>
          </cell>
          <cell r="AU87">
            <v>64045931</v>
          </cell>
          <cell r="AV87">
            <v>892541914</v>
          </cell>
        </row>
        <row r="88">
          <cell r="A88">
            <v>9999</v>
          </cell>
          <cell r="B88" t="str">
            <v xml:space="preserve">جمع </v>
          </cell>
          <cell r="C88">
            <v>194238872</v>
          </cell>
          <cell r="D88">
            <v>18231281336</v>
          </cell>
          <cell r="E88">
            <v>18281130040</v>
          </cell>
          <cell r="F88">
            <v>9844340300</v>
          </cell>
          <cell r="G88">
            <v>47619212428</v>
          </cell>
          <cell r="H88">
            <v>2148717349</v>
          </cell>
          <cell r="I88">
            <v>13893704874</v>
          </cell>
          <cell r="J88">
            <v>12762476068</v>
          </cell>
          <cell r="K88">
            <v>2340868358</v>
          </cell>
          <cell r="L88">
            <v>357592150</v>
          </cell>
          <cell r="M88">
            <v>1194198749</v>
          </cell>
          <cell r="N88">
            <v>3032990121</v>
          </cell>
          <cell r="O88">
            <v>11009459214</v>
          </cell>
          <cell r="P88">
            <v>2535805730</v>
          </cell>
          <cell r="Q88">
            <v>1145967921</v>
          </cell>
          <cell r="R88">
            <v>12491456859</v>
          </cell>
          <cell r="S88">
            <v>157083440369</v>
          </cell>
          <cell r="T88">
            <v>547401927</v>
          </cell>
          <cell r="U88">
            <v>3304325497</v>
          </cell>
          <cell r="V88">
            <v>11788147046</v>
          </cell>
          <cell r="W88">
            <v>2969617142</v>
          </cell>
          <cell r="X88">
            <v>8171267364</v>
          </cell>
          <cell r="Y88">
            <v>2806951025</v>
          </cell>
          <cell r="Z88">
            <v>500473340</v>
          </cell>
          <cell r="AA88">
            <v>1067812712</v>
          </cell>
          <cell r="AB88">
            <v>58488277</v>
          </cell>
          <cell r="AC88">
            <v>1769383811</v>
          </cell>
          <cell r="AD88">
            <v>1212940421</v>
          </cell>
          <cell r="AE88">
            <v>5221654621</v>
          </cell>
          <cell r="AF88">
            <v>4221698195</v>
          </cell>
          <cell r="AG88">
            <v>2610009799</v>
          </cell>
          <cell r="AH88">
            <v>45996027177</v>
          </cell>
          <cell r="AI88">
            <v>45996027177</v>
          </cell>
          <cell r="AJ88">
            <v>9354834389</v>
          </cell>
          <cell r="AK88">
            <v>4252706196</v>
          </cell>
          <cell r="AL88">
            <v>2099944726</v>
          </cell>
          <cell r="AM88">
            <v>83871670</v>
          </cell>
          <cell r="AN88">
            <v>131725326</v>
          </cell>
          <cell r="AO88">
            <v>1906703086</v>
          </cell>
          <cell r="AP88">
            <v>948876507</v>
          </cell>
          <cell r="AQ88">
            <v>2826005343</v>
          </cell>
          <cell r="AR88">
            <v>1177943018</v>
          </cell>
          <cell r="AS88">
            <v>67911391</v>
          </cell>
          <cell r="AT88">
            <v>521717921</v>
          </cell>
          <cell r="AU88">
            <v>2957531483</v>
          </cell>
          <cell r="AV88">
            <v>26329771056</v>
          </cell>
        </row>
        <row r="90">
          <cell r="C90">
            <v>0</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254144000</v>
          </cell>
          <cell r="AH90">
            <v>0</v>
          </cell>
          <cell r="AI90">
            <v>0</v>
          </cell>
          <cell r="AJ90">
            <v>0</v>
          </cell>
          <cell r="AK90">
            <v>0</v>
          </cell>
          <cell r="AL90">
            <v>0</v>
          </cell>
          <cell r="AM90">
            <v>0</v>
          </cell>
          <cell r="AN90">
            <v>0</v>
          </cell>
          <cell r="AO90">
            <v>0</v>
          </cell>
          <cell r="AP90">
            <v>0</v>
          </cell>
          <cell r="AQ90">
            <v>0</v>
          </cell>
          <cell r="AR90">
            <v>0</v>
          </cell>
          <cell r="AS90">
            <v>0</v>
          </cell>
          <cell r="AU90">
            <v>0</v>
          </cell>
          <cell r="AV90">
            <v>0</v>
          </cell>
        </row>
      </sheetData>
      <sheetData sheetId="4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هزینه تولید تائید نشده(خنثی)"/>
      <sheetName val="تمام شده تولید 89"/>
      <sheetName val="آمار تولید و ساعات تولید 89"/>
      <sheetName val="توقفات تولید سال90"/>
      <sheetName val="کار در جریان 89 "/>
      <sheetName val="تسهیم توقفات"/>
      <sheetName val="فروش اردیبهشت"/>
      <sheetName val="کار در جریان اردیبهشت 90"/>
      <sheetName val="فروش خرداد (2)"/>
      <sheetName val="تولید صنایع خرداد"/>
      <sheetName val="کارکرد صنایع خردادماه 90"/>
      <sheetName val="گردش کالا خرداد ماه"/>
      <sheetName val="برگشتی-نمونه-ضایعات"/>
      <sheetName val="گزارش تعداد نفرات"/>
      <sheetName val="مصرف مواد"/>
      <sheetName val="آمار تولید و ساعات تولید"/>
      <sheetName val="تولید همگن و تسهیم مزد و سربار "/>
      <sheetName val="عوامل در مراکز  "/>
      <sheetName val="تسهیم هزینه"/>
      <sheetName val="نرخ د.س کار در جریان اول دوره"/>
      <sheetName val="کار در جریان خرداد 90"/>
      <sheetName val="گردش کالای ساخته شده  (2)"/>
      <sheetName val="سود وزیان - بودجه ریال (2)"/>
      <sheetName val="سود وزیان - بودجه ریال"/>
      <sheetName val="گردش کالای ساخته شده "/>
      <sheetName val="تمام شده تولید"/>
      <sheetName val="گزارش1 -( کل) ارقام میلیون ریال"/>
      <sheetName val="گزارش1 -(واحد)"/>
      <sheetName val="کنترل حاشیه سود - کل"/>
      <sheetName val="کنترل حاشیه سود - واحد کالا (2)"/>
      <sheetName val="خرید بازرگانی"/>
      <sheetName val="برگشت کلا (2)"/>
      <sheetName val="فروش خرداد"/>
      <sheetName val="حاشیه سود"/>
      <sheetName val="سند تولید"/>
      <sheetName val="سند بهای تمام شده"/>
      <sheetName val="تربتی "/>
      <sheetName val="تربتی  (2)"/>
      <sheetName val="100022"/>
      <sheetName val="کاربرگ محاسبه مالیات"/>
      <sheetName val="خ  د ه عملیاتی "/>
      <sheetName val="خ س د  ه غیرعملیاتی"/>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گزارش عوامل در مراکز</v>
          </cell>
        </row>
        <row r="2">
          <cell r="A2" t="str">
            <v>کد حساب</v>
          </cell>
          <cell r="B2" t="str">
            <v>شرح  حساب</v>
          </cell>
          <cell r="C2" t="str">
            <v>مشترك استريل ها</v>
          </cell>
          <cell r="D2" t="str">
            <v>استريل فرزياني</v>
          </cell>
          <cell r="E2" t="str">
            <v>استريل قدس</v>
          </cell>
          <cell r="F2" t="str">
            <v>استريل بعثت</v>
          </cell>
          <cell r="G2" t="str">
            <v>استريل غفارزاده</v>
          </cell>
          <cell r="H2" t="str">
            <v>پمادوكرم</v>
          </cell>
          <cell r="I2" t="str">
            <v>سفالوسپورين</v>
          </cell>
          <cell r="J2" t="str">
            <v>پني سيلين وي</v>
          </cell>
          <cell r="K2" t="str">
            <v>نيستاتين</v>
          </cell>
          <cell r="L2" t="str">
            <v>دراژه (نيستا،سفالوس،پني سيلسن وي)</v>
          </cell>
          <cell r="M2" t="str">
            <v>قرص و كپسول و شربت</v>
          </cell>
          <cell r="N2" t="str">
            <v>مشترک اسپري ها</v>
          </cell>
          <cell r="O2" t="str">
            <v>اسپري دهاني</v>
          </cell>
          <cell r="P2" t="str">
            <v>اسپري بيني</v>
          </cell>
          <cell r="Q2" t="str">
            <v>سافت ژل</v>
          </cell>
          <cell r="R2" t="str">
            <v>جمع تولید</v>
          </cell>
          <cell r="S2" t="str">
            <v>بسته بندي</v>
          </cell>
          <cell r="T2" t="str">
            <v>عمومي توليد</v>
          </cell>
          <cell r="U2" t="str">
            <v>فني و مهندسي قديم</v>
          </cell>
          <cell r="V2" t="str">
            <v>فني مهندسي افشانه</v>
          </cell>
          <cell r="W2" t="str">
            <v>آزمايشگاه و چکينگ</v>
          </cell>
          <cell r="X2" t="str">
            <v>انبارها قديم</v>
          </cell>
          <cell r="Y2" t="str">
            <v>انبار افشانه ها</v>
          </cell>
          <cell r="Z2" t="str">
            <v>مهندسي صنايع قديم</v>
          </cell>
          <cell r="AA2" t="str">
            <v>مهندسي صنايع اسپري</v>
          </cell>
          <cell r="AB2" t="str">
            <v>امور بازرگاني</v>
          </cell>
          <cell r="AC2" t="str">
            <v>انتظامات و نگهباني</v>
          </cell>
          <cell r="AD2" t="str">
            <v>خدمات عمومي</v>
          </cell>
          <cell r="AE2" t="str">
            <v>رستوران</v>
          </cell>
          <cell r="AF2" t="str">
            <v>حمل ونقل</v>
          </cell>
          <cell r="AG2" t="str">
            <v>جمع خدماتي</v>
          </cell>
          <cell r="AH2" t="str">
            <v>سربار</v>
          </cell>
          <cell r="AI2" t="str">
            <v>فروش و بازاريابي</v>
          </cell>
          <cell r="AJ2" t="str">
            <v>مديريت</v>
          </cell>
          <cell r="AK2" t="str">
            <v>تحقيقات</v>
          </cell>
          <cell r="AL2" t="str">
            <v>آموزش</v>
          </cell>
          <cell r="AM2" t="str">
            <v>مامورين</v>
          </cell>
          <cell r="AN2" t="str">
            <v>عمومي اداري</v>
          </cell>
          <cell r="AO2" t="str">
            <v>فن آوري اطلاعات</v>
          </cell>
          <cell r="AP2" t="str">
            <v>امورمالي</v>
          </cell>
          <cell r="AQ2" t="str">
            <v>دبيرخانه و كارگزيني</v>
          </cell>
          <cell r="AR2" t="str">
            <v>شورا ،انجمن و بسيج</v>
          </cell>
          <cell r="AS2" t="str">
            <v>HSE</v>
          </cell>
          <cell r="AT2" t="str">
            <v>تضمين كيفيت</v>
          </cell>
          <cell r="AU2" t="str">
            <v>جمع اداري</v>
          </cell>
          <cell r="AV2" t="str">
            <v>جمع کل</v>
          </cell>
        </row>
        <row r="3">
          <cell r="A3">
            <v>7101000</v>
          </cell>
          <cell r="B3" t="str">
            <v>هزينه مواداوليه توليدي</v>
          </cell>
          <cell r="C3">
            <v>0</v>
          </cell>
          <cell r="D3">
            <v>4604851218</v>
          </cell>
          <cell r="E3">
            <v>7018795990</v>
          </cell>
          <cell r="F3">
            <v>3951034403</v>
          </cell>
          <cell r="G3">
            <v>45896927938</v>
          </cell>
          <cell r="H3">
            <v>685456209</v>
          </cell>
          <cell r="I3">
            <v>6458122436</v>
          </cell>
          <cell r="J3">
            <v>7115410124</v>
          </cell>
          <cell r="K3">
            <v>531878634</v>
          </cell>
          <cell r="L3">
            <v>0</v>
          </cell>
          <cell r="M3">
            <v>0</v>
          </cell>
          <cell r="N3">
            <v>0</v>
          </cell>
          <cell r="O3">
            <v>0</v>
          </cell>
          <cell r="P3">
            <v>0</v>
          </cell>
          <cell r="Q3">
            <v>3079064878</v>
          </cell>
          <cell r="R3">
            <v>79341541830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79341541830</v>
          </cell>
        </row>
        <row r="4">
          <cell r="A4">
            <v>7102000</v>
          </cell>
          <cell r="B4" t="str">
            <v>هزينه موادبسته بندي</v>
          </cell>
          <cell r="C4">
            <v>0</v>
          </cell>
          <cell r="D4">
            <v>753076685</v>
          </cell>
          <cell r="E4">
            <v>7167423446</v>
          </cell>
          <cell r="F4">
            <v>2034314272</v>
          </cell>
          <cell r="G4">
            <v>10003064606</v>
          </cell>
          <cell r="H4">
            <v>370527788</v>
          </cell>
          <cell r="I4">
            <v>527584658</v>
          </cell>
          <cell r="J4">
            <v>207613441</v>
          </cell>
          <cell r="K4">
            <v>1005589918</v>
          </cell>
          <cell r="L4">
            <v>0</v>
          </cell>
          <cell r="M4">
            <v>0</v>
          </cell>
          <cell r="N4">
            <v>0</v>
          </cell>
          <cell r="O4">
            <v>0</v>
          </cell>
          <cell r="P4">
            <v>0</v>
          </cell>
          <cell r="Q4">
            <v>662780029</v>
          </cell>
          <cell r="R4">
            <v>22731974843</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22731974843</v>
          </cell>
        </row>
        <row r="5">
          <cell r="A5">
            <v>7106000</v>
          </cell>
          <cell r="B5" t="str">
            <v>هزينه مواداوليه توليدي افشانه ها</v>
          </cell>
          <cell r="C5">
            <v>0</v>
          </cell>
          <cell r="D5">
            <v>0</v>
          </cell>
          <cell r="E5">
            <v>0</v>
          </cell>
          <cell r="F5">
            <v>0</v>
          </cell>
          <cell r="G5">
            <v>0</v>
          </cell>
          <cell r="H5">
            <v>0</v>
          </cell>
          <cell r="I5">
            <v>0</v>
          </cell>
          <cell r="J5">
            <v>0</v>
          </cell>
          <cell r="K5">
            <v>0</v>
          </cell>
          <cell r="L5">
            <v>0</v>
          </cell>
          <cell r="M5">
            <v>0</v>
          </cell>
          <cell r="N5">
            <v>0</v>
          </cell>
          <cell r="O5">
            <v>4116794309</v>
          </cell>
          <cell r="P5">
            <v>125659084</v>
          </cell>
          <cell r="Q5">
            <v>0</v>
          </cell>
          <cell r="R5">
            <v>4242453393</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4242453393</v>
          </cell>
        </row>
        <row r="6">
          <cell r="A6">
            <v>7107000</v>
          </cell>
          <cell r="B6" t="str">
            <v>هزينه موادبسته بندي افشانه ها</v>
          </cell>
          <cell r="C6">
            <v>0</v>
          </cell>
          <cell r="D6">
            <v>0</v>
          </cell>
          <cell r="E6">
            <v>0</v>
          </cell>
          <cell r="F6">
            <v>0</v>
          </cell>
          <cell r="G6">
            <v>0</v>
          </cell>
          <cell r="H6">
            <v>0</v>
          </cell>
          <cell r="I6">
            <v>0</v>
          </cell>
          <cell r="J6">
            <v>0</v>
          </cell>
          <cell r="K6">
            <v>0</v>
          </cell>
          <cell r="L6">
            <v>0</v>
          </cell>
          <cell r="M6">
            <v>0</v>
          </cell>
          <cell r="N6">
            <v>0</v>
          </cell>
          <cell r="O6">
            <v>9147467000</v>
          </cell>
          <cell r="P6">
            <v>904833681</v>
          </cell>
          <cell r="Q6">
            <v>0</v>
          </cell>
          <cell r="R6">
            <v>10052300681</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10052300681</v>
          </cell>
        </row>
        <row r="7">
          <cell r="A7" t="str">
            <v>جمع مواد</v>
          </cell>
          <cell r="C7">
            <v>0</v>
          </cell>
          <cell r="D7">
            <v>5357927903</v>
          </cell>
          <cell r="E7">
            <v>14186219436</v>
          </cell>
          <cell r="F7">
            <v>5985348675</v>
          </cell>
          <cell r="G7">
            <v>55899992544</v>
          </cell>
          <cell r="H7">
            <v>1055983997</v>
          </cell>
          <cell r="I7">
            <v>6985707094</v>
          </cell>
          <cell r="J7">
            <v>7323023565</v>
          </cell>
          <cell r="K7">
            <v>1537468552</v>
          </cell>
          <cell r="L7">
            <v>0</v>
          </cell>
          <cell r="M7">
            <v>0</v>
          </cell>
          <cell r="N7">
            <v>0</v>
          </cell>
          <cell r="O7">
            <v>13264261309</v>
          </cell>
          <cell r="P7">
            <v>1030492765</v>
          </cell>
          <cell r="Q7">
            <v>3741844907</v>
          </cell>
          <cell r="R7">
            <v>116368270747</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116368270747</v>
          </cell>
        </row>
        <row r="8">
          <cell r="A8">
            <v>7201000</v>
          </cell>
          <cell r="B8" t="str">
            <v>هزينه حقوق ودستمزد</v>
          </cell>
          <cell r="C8">
            <v>22660612</v>
          </cell>
          <cell r="D8">
            <v>118873411</v>
          </cell>
          <cell r="E8">
            <v>133374455</v>
          </cell>
          <cell r="F8">
            <v>60086996</v>
          </cell>
          <cell r="G8">
            <v>105002141</v>
          </cell>
          <cell r="H8">
            <v>76666222</v>
          </cell>
          <cell r="I8">
            <v>186070310</v>
          </cell>
          <cell r="J8">
            <v>105194392</v>
          </cell>
          <cell r="K8">
            <v>45120051</v>
          </cell>
          <cell r="L8">
            <v>0</v>
          </cell>
          <cell r="M8">
            <v>55002090</v>
          </cell>
          <cell r="N8">
            <v>94709098</v>
          </cell>
          <cell r="O8">
            <v>0</v>
          </cell>
          <cell r="P8">
            <v>0</v>
          </cell>
          <cell r="Q8">
            <v>27727948</v>
          </cell>
          <cell r="R8">
            <v>1030487726</v>
          </cell>
          <cell r="S8">
            <v>71025528</v>
          </cell>
          <cell r="T8">
            <v>185098866</v>
          </cell>
          <cell r="U8">
            <v>494164878</v>
          </cell>
          <cell r="V8">
            <v>103496838</v>
          </cell>
          <cell r="W8">
            <v>853904697</v>
          </cell>
          <cell r="X8">
            <v>180846819</v>
          </cell>
          <cell r="Y8">
            <v>19306575</v>
          </cell>
          <cell r="Z8">
            <v>153186416</v>
          </cell>
          <cell r="AA8">
            <v>14430986</v>
          </cell>
          <cell r="AB8">
            <v>232860217</v>
          </cell>
          <cell r="AC8">
            <v>44887104</v>
          </cell>
          <cell r="AD8">
            <v>16655022</v>
          </cell>
          <cell r="AE8">
            <v>0</v>
          </cell>
          <cell r="AF8">
            <v>13950036</v>
          </cell>
          <cell r="AG8">
            <v>2383813982</v>
          </cell>
          <cell r="AH8">
            <v>2383813982</v>
          </cell>
          <cell r="AI8">
            <v>933914794</v>
          </cell>
          <cell r="AJ8">
            <v>234643247</v>
          </cell>
          <cell r="AK8">
            <v>279514720</v>
          </cell>
          <cell r="AL8">
            <v>0</v>
          </cell>
          <cell r="AM8">
            <v>50723481</v>
          </cell>
          <cell r="AN8">
            <v>0</v>
          </cell>
          <cell r="AO8">
            <v>99153316</v>
          </cell>
          <cell r="AP8">
            <v>313639298</v>
          </cell>
          <cell r="AQ8">
            <v>120373168</v>
          </cell>
          <cell r="AR8">
            <v>0</v>
          </cell>
          <cell r="AS8">
            <v>34473526</v>
          </cell>
          <cell r="AT8">
            <v>370213557</v>
          </cell>
          <cell r="AU8">
            <v>2436649107</v>
          </cell>
          <cell r="AV8">
            <v>5850950815</v>
          </cell>
        </row>
        <row r="9">
          <cell r="A9">
            <v>7201001</v>
          </cell>
          <cell r="B9" t="str">
            <v>هزينه حقوق ودستمزد ( پارس پاکان)</v>
          </cell>
          <cell r="C9">
            <v>0</v>
          </cell>
          <cell r="D9">
            <v>60634751</v>
          </cell>
          <cell r="E9">
            <v>56651915</v>
          </cell>
          <cell r="F9">
            <v>77047075</v>
          </cell>
          <cell r="G9">
            <v>83670382</v>
          </cell>
          <cell r="H9">
            <v>20935149</v>
          </cell>
          <cell r="I9">
            <v>83515692</v>
          </cell>
          <cell r="J9">
            <v>102754166</v>
          </cell>
          <cell r="K9">
            <v>60545637</v>
          </cell>
          <cell r="L9">
            <v>0</v>
          </cell>
          <cell r="M9">
            <v>0</v>
          </cell>
          <cell r="N9">
            <v>216970499</v>
          </cell>
          <cell r="O9">
            <v>46351317</v>
          </cell>
          <cell r="P9">
            <v>42114752</v>
          </cell>
          <cell r="Q9">
            <v>0</v>
          </cell>
          <cell r="R9">
            <v>851191335</v>
          </cell>
          <cell r="S9">
            <v>32492689</v>
          </cell>
          <cell r="T9">
            <v>160904805</v>
          </cell>
          <cell r="U9">
            <v>110038568</v>
          </cell>
          <cell r="V9">
            <v>15522554</v>
          </cell>
          <cell r="W9">
            <v>22068512</v>
          </cell>
          <cell r="X9">
            <v>81737864</v>
          </cell>
          <cell r="Y9">
            <v>36367024</v>
          </cell>
          <cell r="Z9">
            <v>0</v>
          </cell>
          <cell r="AA9">
            <v>0</v>
          </cell>
          <cell r="AB9">
            <v>13621093</v>
          </cell>
          <cell r="AC9">
            <v>80710101</v>
          </cell>
          <cell r="AD9">
            <v>398912414</v>
          </cell>
          <cell r="AE9">
            <v>0</v>
          </cell>
          <cell r="AF9">
            <v>0</v>
          </cell>
          <cell r="AG9">
            <v>952375624</v>
          </cell>
          <cell r="AH9">
            <v>952375624</v>
          </cell>
          <cell r="AI9">
            <v>15449455</v>
          </cell>
          <cell r="AJ9">
            <v>0</v>
          </cell>
          <cell r="AK9">
            <v>0</v>
          </cell>
          <cell r="AL9">
            <v>0</v>
          </cell>
          <cell r="AM9">
            <v>0</v>
          </cell>
          <cell r="AN9">
            <v>0</v>
          </cell>
          <cell r="AO9">
            <v>0</v>
          </cell>
          <cell r="AP9">
            <v>0</v>
          </cell>
          <cell r="AQ9">
            <v>15535854</v>
          </cell>
          <cell r="AR9">
            <v>0</v>
          </cell>
          <cell r="AS9">
            <v>0</v>
          </cell>
          <cell r="AT9">
            <v>14315731</v>
          </cell>
          <cell r="AU9">
            <v>45301040</v>
          </cell>
          <cell r="AV9">
            <v>1848867999</v>
          </cell>
        </row>
        <row r="10">
          <cell r="A10">
            <v>7202000</v>
          </cell>
          <cell r="B10" t="str">
            <v>هزينه مسكن</v>
          </cell>
          <cell r="C10">
            <v>226666</v>
          </cell>
          <cell r="D10">
            <v>2479992</v>
          </cell>
          <cell r="E10">
            <v>2789991</v>
          </cell>
          <cell r="F10">
            <v>1239996</v>
          </cell>
          <cell r="G10">
            <v>2169993</v>
          </cell>
          <cell r="H10">
            <v>1549995</v>
          </cell>
          <cell r="I10">
            <v>3939534</v>
          </cell>
          <cell r="J10">
            <v>2169993</v>
          </cell>
          <cell r="K10">
            <v>929997</v>
          </cell>
          <cell r="L10">
            <v>0</v>
          </cell>
          <cell r="M10">
            <v>929997</v>
          </cell>
          <cell r="N10">
            <v>1603837</v>
          </cell>
          <cell r="O10">
            <v>0</v>
          </cell>
          <cell r="P10">
            <v>0</v>
          </cell>
          <cell r="Q10">
            <v>269811</v>
          </cell>
          <cell r="R10">
            <v>20299802</v>
          </cell>
          <cell r="S10">
            <v>1520906</v>
          </cell>
          <cell r="T10">
            <v>3288475</v>
          </cell>
          <cell r="U10">
            <v>9481183</v>
          </cell>
          <cell r="V10">
            <v>2041207</v>
          </cell>
          <cell r="W10">
            <v>14152012</v>
          </cell>
          <cell r="X10">
            <v>3668636</v>
          </cell>
          <cell r="Y10">
            <v>294122</v>
          </cell>
          <cell r="Z10">
            <v>2718931</v>
          </cell>
          <cell r="AA10">
            <v>274250</v>
          </cell>
          <cell r="AB10">
            <v>3712027</v>
          </cell>
          <cell r="AC10">
            <v>929997</v>
          </cell>
          <cell r="AD10">
            <v>309999</v>
          </cell>
          <cell r="AE10">
            <v>0</v>
          </cell>
          <cell r="AF10">
            <v>309999</v>
          </cell>
          <cell r="AG10">
            <v>42701744</v>
          </cell>
          <cell r="AH10">
            <v>42701744</v>
          </cell>
          <cell r="AI10">
            <v>14914499</v>
          </cell>
          <cell r="AJ10">
            <v>1859994</v>
          </cell>
          <cell r="AK10">
            <v>4008170</v>
          </cell>
          <cell r="AL10">
            <v>0</v>
          </cell>
          <cell r="AM10">
            <v>929997</v>
          </cell>
          <cell r="AN10">
            <v>0</v>
          </cell>
          <cell r="AO10">
            <v>1343329</v>
          </cell>
          <cell r="AP10">
            <v>5637212</v>
          </cell>
          <cell r="AQ10">
            <v>1859994</v>
          </cell>
          <cell r="AR10">
            <v>0</v>
          </cell>
          <cell r="AS10">
            <v>619998</v>
          </cell>
          <cell r="AT10">
            <v>4583319</v>
          </cell>
          <cell r="AU10">
            <v>35756512</v>
          </cell>
          <cell r="AV10">
            <v>98758058</v>
          </cell>
        </row>
        <row r="11">
          <cell r="A11">
            <v>7203000</v>
          </cell>
          <cell r="B11" t="str">
            <v>هزينه خواروبار</v>
          </cell>
          <cell r="C11">
            <v>1134</v>
          </cell>
          <cell r="D11">
            <v>54252</v>
          </cell>
          <cell r="E11">
            <v>52704</v>
          </cell>
          <cell r="F11">
            <v>27900</v>
          </cell>
          <cell r="G11">
            <v>38754</v>
          </cell>
          <cell r="H11">
            <v>27903</v>
          </cell>
          <cell r="I11">
            <v>70256</v>
          </cell>
          <cell r="J11">
            <v>46503</v>
          </cell>
          <cell r="K11">
            <v>13950</v>
          </cell>
          <cell r="L11">
            <v>0</v>
          </cell>
          <cell r="M11">
            <v>4653</v>
          </cell>
          <cell r="N11">
            <v>12320</v>
          </cell>
          <cell r="O11">
            <v>0</v>
          </cell>
          <cell r="P11">
            <v>0</v>
          </cell>
          <cell r="Q11">
            <v>2698</v>
          </cell>
          <cell r="R11">
            <v>353027</v>
          </cell>
          <cell r="S11">
            <v>19604</v>
          </cell>
          <cell r="T11">
            <v>53976</v>
          </cell>
          <cell r="U11">
            <v>150526</v>
          </cell>
          <cell r="V11">
            <v>22015</v>
          </cell>
          <cell r="W11">
            <v>177736</v>
          </cell>
          <cell r="X11">
            <v>76310</v>
          </cell>
          <cell r="Y11">
            <v>5883</v>
          </cell>
          <cell r="Z11">
            <v>30414</v>
          </cell>
          <cell r="AA11">
            <v>2742</v>
          </cell>
          <cell r="AB11">
            <v>49568</v>
          </cell>
          <cell r="AC11">
            <v>15501</v>
          </cell>
          <cell r="AD11">
            <v>6201</v>
          </cell>
          <cell r="AE11">
            <v>0</v>
          </cell>
          <cell r="AF11">
            <v>3099</v>
          </cell>
          <cell r="AG11">
            <v>613575</v>
          </cell>
          <cell r="AH11">
            <v>613575</v>
          </cell>
          <cell r="AI11">
            <v>138687</v>
          </cell>
          <cell r="AJ11">
            <v>23253</v>
          </cell>
          <cell r="AK11">
            <v>44195</v>
          </cell>
          <cell r="AL11">
            <v>0</v>
          </cell>
          <cell r="AM11">
            <v>10851</v>
          </cell>
          <cell r="AN11">
            <v>0</v>
          </cell>
          <cell r="AO11">
            <v>19120</v>
          </cell>
          <cell r="AP11">
            <v>83716</v>
          </cell>
          <cell r="AQ11">
            <v>27903</v>
          </cell>
          <cell r="AR11">
            <v>0</v>
          </cell>
          <cell r="AS11">
            <v>10851</v>
          </cell>
          <cell r="AT11">
            <v>53915</v>
          </cell>
          <cell r="AU11">
            <v>412491</v>
          </cell>
          <cell r="AV11">
            <v>1379093</v>
          </cell>
        </row>
        <row r="12">
          <cell r="A12">
            <v>7204000</v>
          </cell>
          <cell r="B12" t="str">
            <v>هزينه حق اولاد</v>
          </cell>
          <cell r="C12">
            <v>0</v>
          </cell>
          <cell r="D12">
            <v>16382880</v>
          </cell>
          <cell r="E12">
            <v>15358950</v>
          </cell>
          <cell r="F12">
            <v>8191440</v>
          </cell>
          <cell r="G12">
            <v>11263230</v>
          </cell>
          <cell r="H12">
            <v>8191440</v>
          </cell>
          <cell r="I12">
            <v>21238291</v>
          </cell>
          <cell r="J12">
            <v>14335020</v>
          </cell>
          <cell r="K12">
            <v>3071790</v>
          </cell>
          <cell r="L12">
            <v>0</v>
          </cell>
          <cell r="M12">
            <v>0</v>
          </cell>
          <cell r="N12">
            <v>1023930</v>
          </cell>
          <cell r="O12">
            <v>0</v>
          </cell>
          <cell r="P12">
            <v>0</v>
          </cell>
          <cell r="Q12">
            <v>0</v>
          </cell>
          <cell r="R12">
            <v>99056971</v>
          </cell>
          <cell r="S12">
            <v>3927567</v>
          </cell>
          <cell r="T12">
            <v>12909725</v>
          </cell>
          <cell r="U12">
            <v>36789415</v>
          </cell>
          <cell r="V12">
            <v>2047860</v>
          </cell>
          <cell r="W12">
            <v>36112325</v>
          </cell>
          <cell r="X12">
            <v>22187200</v>
          </cell>
          <cell r="Y12">
            <v>1942965</v>
          </cell>
          <cell r="Z12">
            <v>7029385</v>
          </cell>
          <cell r="AA12">
            <v>0</v>
          </cell>
          <cell r="AB12">
            <v>12287160</v>
          </cell>
          <cell r="AC12">
            <v>4095720</v>
          </cell>
          <cell r="AD12">
            <v>2047860</v>
          </cell>
          <cell r="AE12">
            <v>0</v>
          </cell>
          <cell r="AF12">
            <v>0</v>
          </cell>
          <cell r="AG12">
            <v>141377182</v>
          </cell>
          <cell r="AH12">
            <v>141377182</v>
          </cell>
          <cell r="AI12">
            <v>12472328</v>
          </cell>
          <cell r="AJ12">
            <v>5119650</v>
          </cell>
          <cell r="AK12">
            <v>5448949</v>
          </cell>
          <cell r="AL12">
            <v>0</v>
          </cell>
          <cell r="AM12">
            <v>2047860</v>
          </cell>
          <cell r="AN12">
            <v>0</v>
          </cell>
          <cell r="AO12">
            <v>5119650</v>
          </cell>
          <cell r="AP12">
            <v>20378208</v>
          </cell>
          <cell r="AQ12">
            <v>7167510</v>
          </cell>
          <cell r="AR12">
            <v>0</v>
          </cell>
          <cell r="AS12">
            <v>3071790</v>
          </cell>
          <cell r="AT12">
            <v>8191440</v>
          </cell>
          <cell r="AU12">
            <v>69017385</v>
          </cell>
          <cell r="AV12">
            <v>309451538</v>
          </cell>
        </row>
        <row r="13">
          <cell r="A13">
            <v>7205000</v>
          </cell>
          <cell r="B13" t="str">
            <v>هزينه حق جذب</v>
          </cell>
          <cell r="C13">
            <v>5482406</v>
          </cell>
          <cell r="D13">
            <v>30809067</v>
          </cell>
          <cell r="E13">
            <v>33121728</v>
          </cell>
          <cell r="F13">
            <v>16773564</v>
          </cell>
          <cell r="G13">
            <v>27410970</v>
          </cell>
          <cell r="H13">
            <v>20526153</v>
          </cell>
          <cell r="I13">
            <v>46985249</v>
          </cell>
          <cell r="J13">
            <v>27410970</v>
          </cell>
          <cell r="K13">
            <v>13286844</v>
          </cell>
          <cell r="L13">
            <v>0</v>
          </cell>
          <cell r="M13">
            <v>11683023</v>
          </cell>
          <cell r="N13">
            <v>14345902</v>
          </cell>
          <cell r="O13">
            <v>0</v>
          </cell>
          <cell r="P13">
            <v>0</v>
          </cell>
          <cell r="Q13">
            <v>6708375</v>
          </cell>
          <cell r="R13">
            <v>254544251</v>
          </cell>
          <cell r="S13">
            <v>17110558</v>
          </cell>
          <cell r="T13">
            <v>26466589</v>
          </cell>
          <cell r="U13">
            <v>99053283</v>
          </cell>
          <cell r="V13">
            <v>11918744</v>
          </cell>
          <cell r="W13">
            <v>195777478</v>
          </cell>
          <cell r="X13">
            <v>46872261</v>
          </cell>
          <cell r="Y13">
            <v>3713755</v>
          </cell>
          <cell r="Z13">
            <v>32985721</v>
          </cell>
          <cell r="AA13">
            <v>2793092</v>
          </cell>
          <cell r="AB13">
            <v>45884084</v>
          </cell>
          <cell r="AC13">
            <v>10832379</v>
          </cell>
          <cell r="AD13">
            <v>6490650</v>
          </cell>
          <cell r="AE13">
            <v>0</v>
          </cell>
          <cell r="AF13">
            <v>0</v>
          </cell>
          <cell r="AG13">
            <v>499898594</v>
          </cell>
          <cell r="AH13">
            <v>499898594</v>
          </cell>
          <cell r="AI13">
            <v>162282715</v>
          </cell>
          <cell r="AJ13">
            <v>20635477</v>
          </cell>
          <cell r="AK13">
            <v>59338938</v>
          </cell>
          <cell r="AL13">
            <v>0</v>
          </cell>
          <cell r="AM13">
            <v>2383563</v>
          </cell>
          <cell r="AN13">
            <v>0</v>
          </cell>
          <cell r="AO13">
            <v>19142965</v>
          </cell>
          <cell r="AP13">
            <v>71465709</v>
          </cell>
          <cell r="AQ13">
            <v>20301717</v>
          </cell>
          <cell r="AR13">
            <v>0</v>
          </cell>
          <cell r="AS13">
            <v>7430976</v>
          </cell>
          <cell r="AT13">
            <v>83932197</v>
          </cell>
          <cell r="AU13">
            <v>446914257</v>
          </cell>
          <cell r="AV13">
            <v>1201357102</v>
          </cell>
        </row>
        <row r="14">
          <cell r="A14">
            <v>7206000</v>
          </cell>
          <cell r="B14" t="str">
            <v>هزينه اضافه كاري</v>
          </cell>
          <cell r="C14">
            <v>12723872</v>
          </cell>
          <cell r="D14">
            <v>82626607</v>
          </cell>
          <cell r="E14">
            <v>80668206</v>
          </cell>
          <cell r="F14">
            <v>37488893</v>
          </cell>
          <cell r="G14">
            <v>81380137</v>
          </cell>
          <cell r="H14">
            <v>54318314</v>
          </cell>
          <cell r="I14">
            <v>104083161</v>
          </cell>
          <cell r="J14">
            <v>73426294</v>
          </cell>
          <cell r="K14">
            <v>39230103</v>
          </cell>
          <cell r="L14">
            <v>0</v>
          </cell>
          <cell r="M14">
            <v>30152804</v>
          </cell>
          <cell r="N14">
            <v>34767552</v>
          </cell>
          <cell r="O14">
            <v>0</v>
          </cell>
          <cell r="P14">
            <v>0</v>
          </cell>
          <cell r="Q14">
            <v>3224936</v>
          </cell>
          <cell r="R14">
            <v>634090879</v>
          </cell>
          <cell r="S14">
            <v>35167933</v>
          </cell>
          <cell r="T14">
            <v>109332076</v>
          </cell>
          <cell r="U14">
            <v>475261123</v>
          </cell>
          <cell r="V14">
            <v>32309949</v>
          </cell>
          <cell r="W14">
            <v>283886536</v>
          </cell>
          <cell r="X14">
            <v>135322484</v>
          </cell>
          <cell r="Y14">
            <v>2685676</v>
          </cell>
          <cell r="Z14">
            <v>43015888</v>
          </cell>
          <cell r="AA14">
            <v>1305928</v>
          </cell>
          <cell r="AB14">
            <v>67996960</v>
          </cell>
          <cell r="AC14">
            <v>30145746</v>
          </cell>
          <cell r="AD14">
            <v>21097927</v>
          </cell>
          <cell r="AE14">
            <v>0</v>
          </cell>
          <cell r="AF14">
            <v>8934569</v>
          </cell>
          <cell r="AG14">
            <v>1246462795</v>
          </cell>
          <cell r="AH14">
            <v>1246462795</v>
          </cell>
          <cell r="AI14">
            <v>18498266</v>
          </cell>
          <cell r="AJ14">
            <v>128964856</v>
          </cell>
          <cell r="AK14">
            <v>34186862</v>
          </cell>
          <cell r="AL14">
            <v>0</v>
          </cell>
          <cell r="AM14">
            <v>48343532</v>
          </cell>
          <cell r="AN14">
            <v>0</v>
          </cell>
          <cell r="AO14">
            <v>33164299</v>
          </cell>
          <cell r="AP14">
            <v>160877604</v>
          </cell>
          <cell r="AQ14">
            <v>32880061</v>
          </cell>
          <cell r="AR14">
            <v>0</v>
          </cell>
          <cell r="AS14">
            <v>22857394</v>
          </cell>
          <cell r="AT14">
            <v>48230932</v>
          </cell>
          <cell r="AU14">
            <v>528003806</v>
          </cell>
          <cell r="AV14">
            <v>2408557480</v>
          </cell>
        </row>
        <row r="15">
          <cell r="A15">
            <v>7206001</v>
          </cell>
          <cell r="B15" t="str">
            <v>هزينه اضافه كاري ( پارس پاکان)</v>
          </cell>
          <cell r="C15">
            <v>0</v>
          </cell>
          <cell r="D15">
            <v>13464182</v>
          </cell>
          <cell r="E15">
            <v>11996554</v>
          </cell>
          <cell r="F15">
            <v>15971431</v>
          </cell>
          <cell r="G15">
            <v>18875852</v>
          </cell>
          <cell r="H15">
            <v>6705620</v>
          </cell>
          <cell r="I15">
            <v>12977057</v>
          </cell>
          <cell r="J15">
            <v>21540257</v>
          </cell>
          <cell r="K15">
            <v>15537241</v>
          </cell>
          <cell r="L15">
            <v>0</v>
          </cell>
          <cell r="M15">
            <v>0</v>
          </cell>
          <cell r="N15">
            <v>51156848</v>
          </cell>
          <cell r="O15">
            <v>9547226</v>
          </cell>
          <cell r="P15">
            <v>8839360</v>
          </cell>
          <cell r="Q15">
            <v>0</v>
          </cell>
          <cell r="R15">
            <v>186611628</v>
          </cell>
          <cell r="S15">
            <v>5093627</v>
          </cell>
          <cell r="T15">
            <v>29168392</v>
          </cell>
          <cell r="U15">
            <v>60115382</v>
          </cell>
          <cell r="V15">
            <v>219792</v>
          </cell>
          <cell r="W15">
            <v>3284141</v>
          </cell>
          <cell r="X15">
            <v>15113729</v>
          </cell>
          <cell r="Y15">
            <v>11837594</v>
          </cell>
          <cell r="Z15">
            <v>0</v>
          </cell>
          <cell r="AA15">
            <v>0</v>
          </cell>
          <cell r="AB15">
            <v>2230401</v>
          </cell>
          <cell r="AC15">
            <v>125145651</v>
          </cell>
          <cell r="AD15">
            <v>29787347</v>
          </cell>
          <cell r="AE15">
            <v>0</v>
          </cell>
          <cell r="AF15">
            <v>0</v>
          </cell>
          <cell r="AG15">
            <v>281996056</v>
          </cell>
          <cell r="AH15">
            <v>281996056</v>
          </cell>
          <cell r="AI15">
            <v>3032438</v>
          </cell>
          <cell r="AJ15">
            <v>0</v>
          </cell>
          <cell r="AK15">
            <v>0</v>
          </cell>
          <cell r="AL15">
            <v>0</v>
          </cell>
          <cell r="AM15">
            <v>0</v>
          </cell>
          <cell r="AN15">
            <v>0</v>
          </cell>
          <cell r="AO15">
            <v>0</v>
          </cell>
          <cell r="AP15">
            <v>0</v>
          </cell>
          <cell r="AQ15">
            <v>1897989</v>
          </cell>
          <cell r="AR15">
            <v>0</v>
          </cell>
          <cell r="AS15">
            <v>0</v>
          </cell>
          <cell r="AT15">
            <v>1568792</v>
          </cell>
          <cell r="AU15">
            <v>6499219</v>
          </cell>
          <cell r="AV15">
            <v>475106903</v>
          </cell>
        </row>
        <row r="16">
          <cell r="A16">
            <v>7207000</v>
          </cell>
          <cell r="B16" t="str">
            <v>هزينه نوبتكاري</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12536880</v>
          </cell>
          <cell r="AD16">
            <v>0</v>
          </cell>
          <cell r="AE16">
            <v>0</v>
          </cell>
          <cell r="AF16">
            <v>0</v>
          </cell>
          <cell r="AG16">
            <v>12536880</v>
          </cell>
          <cell r="AH16">
            <v>12536880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12536880</v>
          </cell>
        </row>
        <row r="17">
          <cell r="A17">
            <v>7208000</v>
          </cell>
          <cell r="B17" t="str">
            <v>هزينه شبكاري</v>
          </cell>
          <cell r="C17">
            <v>159048</v>
          </cell>
          <cell r="D17">
            <v>709489</v>
          </cell>
          <cell r="E17">
            <v>643808</v>
          </cell>
          <cell r="F17">
            <v>0</v>
          </cell>
          <cell r="G17">
            <v>1158841</v>
          </cell>
          <cell r="H17">
            <v>0</v>
          </cell>
          <cell r="I17">
            <v>18534</v>
          </cell>
          <cell r="J17">
            <v>0</v>
          </cell>
          <cell r="K17">
            <v>0</v>
          </cell>
          <cell r="L17">
            <v>0</v>
          </cell>
          <cell r="M17">
            <v>63007</v>
          </cell>
          <cell r="N17">
            <v>15960</v>
          </cell>
          <cell r="O17">
            <v>0</v>
          </cell>
          <cell r="P17">
            <v>0</v>
          </cell>
          <cell r="Q17">
            <v>0</v>
          </cell>
          <cell r="R17">
            <v>2768687</v>
          </cell>
          <cell r="S17">
            <v>0</v>
          </cell>
          <cell r="T17">
            <v>95492</v>
          </cell>
          <cell r="U17">
            <v>16641273</v>
          </cell>
          <cell r="V17">
            <v>43151</v>
          </cell>
          <cell r="W17">
            <v>1624232</v>
          </cell>
          <cell r="X17">
            <v>0</v>
          </cell>
          <cell r="Y17">
            <v>0</v>
          </cell>
          <cell r="Z17">
            <v>0</v>
          </cell>
          <cell r="AA17">
            <v>0</v>
          </cell>
          <cell r="AB17">
            <v>0</v>
          </cell>
          <cell r="AC17">
            <v>0</v>
          </cell>
          <cell r="AD17">
            <v>52257</v>
          </cell>
          <cell r="AE17">
            <v>0</v>
          </cell>
          <cell r="AF17">
            <v>0</v>
          </cell>
          <cell r="AG17">
            <v>18456405</v>
          </cell>
          <cell r="AH17">
            <v>18456405</v>
          </cell>
          <cell r="AI17">
            <v>0</v>
          </cell>
          <cell r="AJ17">
            <v>57282</v>
          </cell>
          <cell r="AK17">
            <v>34000</v>
          </cell>
          <cell r="AL17">
            <v>0</v>
          </cell>
          <cell r="AM17">
            <v>0</v>
          </cell>
          <cell r="AN17">
            <v>0</v>
          </cell>
          <cell r="AO17">
            <v>0</v>
          </cell>
          <cell r="AP17">
            <v>329253</v>
          </cell>
          <cell r="AQ17">
            <v>11316</v>
          </cell>
          <cell r="AR17">
            <v>0</v>
          </cell>
          <cell r="AS17">
            <v>11367</v>
          </cell>
          <cell r="AT17">
            <v>0</v>
          </cell>
          <cell r="AU17">
            <v>443218</v>
          </cell>
          <cell r="AV17">
            <v>21668310</v>
          </cell>
        </row>
        <row r="18">
          <cell r="A18">
            <v>7211000</v>
          </cell>
          <cell r="B18" t="str">
            <v>هزينه عيدي وپاداش ساليانه</v>
          </cell>
          <cell r="C18">
            <v>1693479</v>
          </cell>
          <cell r="D18">
            <v>18510498</v>
          </cell>
          <cell r="E18">
            <v>20832225</v>
          </cell>
          <cell r="F18">
            <v>9252145</v>
          </cell>
          <cell r="G18">
            <v>16212574</v>
          </cell>
          <cell r="H18">
            <v>11580410</v>
          </cell>
          <cell r="I18">
            <v>29769919</v>
          </cell>
          <cell r="J18">
            <v>16211831</v>
          </cell>
          <cell r="K18">
            <v>6948246</v>
          </cell>
          <cell r="L18">
            <v>0</v>
          </cell>
          <cell r="M18">
            <v>6948246</v>
          </cell>
          <cell r="N18">
            <v>11787444</v>
          </cell>
          <cell r="O18">
            <v>0</v>
          </cell>
          <cell r="P18">
            <v>0</v>
          </cell>
          <cell r="Q18">
            <v>2015818</v>
          </cell>
          <cell r="R18">
            <v>151762835</v>
          </cell>
          <cell r="S18">
            <v>11362137</v>
          </cell>
          <cell r="T18">
            <v>24180132</v>
          </cell>
          <cell r="U18">
            <v>70819695</v>
          </cell>
          <cell r="V18">
            <v>16022398</v>
          </cell>
          <cell r="W18">
            <v>105733276</v>
          </cell>
          <cell r="X18">
            <v>27409292</v>
          </cell>
          <cell r="Y18">
            <v>2197448</v>
          </cell>
          <cell r="Z18">
            <v>20364768</v>
          </cell>
          <cell r="AA18">
            <v>2048986</v>
          </cell>
          <cell r="AB18">
            <v>29924418</v>
          </cell>
          <cell r="AC18">
            <v>6948246</v>
          </cell>
          <cell r="AD18">
            <v>2316082</v>
          </cell>
          <cell r="AE18">
            <v>0</v>
          </cell>
          <cell r="AF18">
            <v>2293157</v>
          </cell>
          <cell r="AG18">
            <v>321620035</v>
          </cell>
          <cell r="AH18">
            <v>321620035</v>
          </cell>
          <cell r="AI18">
            <v>111367531</v>
          </cell>
          <cell r="AJ18">
            <v>13896492</v>
          </cell>
          <cell r="AK18">
            <v>29946058</v>
          </cell>
          <cell r="AL18">
            <v>0</v>
          </cell>
          <cell r="AM18">
            <v>6663515</v>
          </cell>
          <cell r="AN18">
            <v>0</v>
          </cell>
          <cell r="AO18">
            <v>10036355</v>
          </cell>
          <cell r="AP18">
            <v>42117034</v>
          </cell>
          <cell r="AQ18">
            <v>13896492</v>
          </cell>
          <cell r="AR18">
            <v>6500000</v>
          </cell>
          <cell r="AS18">
            <v>4632164</v>
          </cell>
          <cell r="AT18">
            <v>34243148</v>
          </cell>
          <cell r="AU18">
            <v>273298789</v>
          </cell>
          <cell r="AV18">
            <v>746681659</v>
          </cell>
        </row>
        <row r="19">
          <cell r="A19">
            <v>7213000</v>
          </cell>
          <cell r="B19" t="str">
            <v>هزينه بن كالاي اساسي</v>
          </cell>
          <cell r="C19">
            <v>840000</v>
          </cell>
          <cell r="D19">
            <v>6720000</v>
          </cell>
          <cell r="E19">
            <v>7560000</v>
          </cell>
          <cell r="F19">
            <v>3360000</v>
          </cell>
          <cell r="G19">
            <v>5880000</v>
          </cell>
          <cell r="H19">
            <v>4200000</v>
          </cell>
          <cell r="I19">
            <v>10360000</v>
          </cell>
          <cell r="J19">
            <v>5880000</v>
          </cell>
          <cell r="K19">
            <v>2520000</v>
          </cell>
          <cell r="L19">
            <v>0</v>
          </cell>
          <cell r="M19">
            <v>2520000</v>
          </cell>
          <cell r="N19">
            <v>5040000</v>
          </cell>
          <cell r="O19">
            <v>0</v>
          </cell>
          <cell r="P19">
            <v>0</v>
          </cell>
          <cell r="Q19">
            <v>840000</v>
          </cell>
          <cell r="R19">
            <v>55720000</v>
          </cell>
          <cell r="S19">
            <v>4200000</v>
          </cell>
          <cell r="T19">
            <v>8960000</v>
          </cell>
          <cell r="U19">
            <v>25760000</v>
          </cell>
          <cell r="V19">
            <v>5600000</v>
          </cell>
          <cell r="W19">
            <v>38920000</v>
          </cell>
          <cell r="X19">
            <v>10080000</v>
          </cell>
          <cell r="Y19">
            <v>840000</v>
          </cell>
          <cell r="Z19">
            <v>7560000</v>
          </cell>
          <cell r="AA19">
            <v>840000</v>
          </cell>
          <cell r="AB19">
            <v>10920000</v>
          </cell>
          <cell r="AC19">
            <v>2520000</v>
          </cell>
          <cell r="AD19">
            <v>840000</v>
          </cell>
          <cell r="AE19">
            <v>0</v>
          </cell>
          <cell r="AF19">
            <v>840000</v>
          </cell>
          <cell r="AG19">
            <v>117880000</v>
          </cell>
          <cell r="AH19">
            <v>117880000</v>
          </cell>
          <cell r="AI19">
            <v>41160000</v>
          </cell>
          <cell r="AJ19">
            <v>5040000</v>
          </cell>
          <cell r="AK19">
            <v>10920000</v>
          </cell>
          <cell r="AL19">
            <v>0</v>
          </cell>
          <cell r="AM19">
            <v>2520000</v>
          </cell>
          <cell r="AN19">
            <v>0</v>
          </cell>
          <cell r="AO19">
            <v>3640000</v>
          </cell>
          <cell r="AP19">
            <v>15120000</v>
          </cell>
          <cell r="AQ19">
            <v>5040000</v>
          </cell>
          <cell r="AR19">
            <v>0</v>
          </cell>
          <cell r="AS19">
            <v>1680000</v>
          </cell>
          <cell r="AT19">
            <v>12600000</v>
          </cell>
          <cell r="AU19">
            <v>97720000</v>
          </cell>
          <cell r="AV19">
            <v>271320000</v>
          </cell>
        </row>
        <row r="20">
          <cell r="A20">
            <v>7215000</v>
          </cell>
          <cell r="B20" t="str">
            <v>هزينه حق بيمه سهم كارفرما</v>
          </cell>
          <cell r="C20">
            <v>10853638</v>
          </cell>
          <cell r="D20">
            <v>56099801</v>
          </cell>
          <cell r="E20">
            <v>59453203</v>
          </cell>
          <cell r="F20">
            <v>27223626</v>
          </cell>
          <cell r="G20">
            <v>51845062</v>
          </cell>
          <cell r="H20">
            <v>35737646</v>
          </cell>
          <cell r="I20">
            <v>80353542</v>
          </cell>
          <cell r="J20">
            <v>48585974</v>
          </cell>
          <cell r="K20">
            <v>23100578</v>
          </cell>
          <cell r="L20">
            <v>0</v>
          </cell>
          <cell r="M20">
            <v>23019684</v>
          </cell>
          <cell r="N20">
            <v>35861004</v>
          </cell>
          <cell r="O20">
            <v>0</v>
          </cell>
          <cell r="P20">
            <v>0</v>
          </cell>
          <cell r="Q20">
            <v>11851205</v>
          </cell>
          <cell r="R20">
            <v>463984963</v>
          </cell>
          <cell r="S20">
            <v>30282733</v>
          </cell>
          <cell r="T20">
            <v>79685164</v>
          </cell>
          <cell r="U20">
            <v>265354478</v>
          </cell>
          <cell r="V20">
            <v>36765062</v>
          </cell>
          <cell r="W20">
            <v>326144651</v>
          </cell>
          <cell r="X20">
            <v>87300633</v>
          </cell>
          <cell r="Y20">
            <v>6793157</v>
          </cell>
          <cell r="Z20">
            <v>56884010</v>
          </cell>
          <cell r="AA20">
            <v>4325610</v>
          </cell>
          <cell r="AB20">
            <v>70862729</v>
          </cell>
          <cell r="AC20">
            <v>23418099</v>
          </cell>
          <cell r="AD20">
            <v>10086287</v>
          </cell>
          <cell r="AE20">
            <v>0</v>
          </cell>
          <cell r="AF20">
            <v>5368324</v>
          </cell>
          <cell r="AG20">
            <v>1003270937</v>
          </cell>
          <cell r="AH20">
            <v>1003270937</v>
          </cell>
          <cell r="AI20">
            <v>363455954</v>
          </cell>
          <cell r="AJ20">
            <v>76028987</v>
          </cell>
          <cell r="AK20">
            <v>91835248</v>
          </cell>
          <cell r="AL20">
            <v>0</v>
          </cell>
          <cell r="AM20">
            <v>24976026</v>
          </cell>
          <cell r="AN20">
            <v>0</v>
          </cell>
          <cell r="AO20">
            <v>37491462</v>
          </cell>
          <cell r="AP20">
            <v>141141133</v>
          </cell>
          <cell r="AQ20">
            <v>45131537</v>
          </cell>
          <cell r="AR20">
            <v>0</v>
          </cell>
          <cell r="AS20">
            <v>15597998</v>
          </cell>
          <cell r="AT20">
            <v>129038849</v>
          </cell>
          <cell r="AU20">
            <v>924697194</v>
          </cell>
          <cell r="AV20">
            <v>2391953094</v>
          </cell>
        </row>
        <row r="21">
          <cell r="A21">
            <v>7216000</v>
          </cell>
          <cell r="B21" t="str">
            <v>هزينه بازخريدسنوات</v>
          </cell>
          <cell r="C21">
            <v>4488049</v>
          </cell>
          <cell r="D21">
            <v>87394935</v>
          </cell>
          <cell r="E21">
            <v>96719019</v>
          </cell>
          <cell r="F21">
            <v>46742347</v>
          </cell>
          <cell r="G21">
            <v>79395371</v>
          </cell>
          <cell r="H21">
            <v>54872577</v>
          </cell>
          <cell r="I21">
            <v>140515544</v>
          </cell>
          <cell r="J21">
            <v>81097892</v>
          </cell>
          <cell r="K21">
            <v>31543543</v>
          </cell>
          <cell r="L21">
            <v>0</v>
          </cell>
          <cell r="M21">
            <v>10197951</v>
          </cell>
          <cell r="N21">
            <v>12338432</v>
          </cell>
          <cell r="O21">
            <v>0</v>
          </cell>
          <cell r="P21">
            <v>0</v>
          </cell>
          <cell r="Q21">
            <v>4174735</v>
          </cell>
          <cell r="R21">
            <v>649480395</v>
          </cell>
          <cell r="S21">
            <v>50323695</v>
          </cell>
          <cell r="T21">
            <v>152882533</v>
          </cell>
          <cell r="U21">
            <v>307058697</v>
          </cell>
          <cell r="V21">
            <v>19800165</v>
          </cell>
          <cell r="W21">
            <v>308004613</v>
          </cell>
          <cell r="X21">
            <v>142047396</v>
          </cell>
          <cell r="Y21">
            <v>4934112</v>
          </cell>
          <cell r="Z21">
            <v>52187069</v>
          </cell>
          <cell r="AA21">
            <v>2802244</v>
          </cell>
          <cell r="AB21">
            <v>105675156</v>
          </cell>
          <cell r="AC21">
            <v>31903752</v>
          </cell>
          <cell r="AD21">
            <v>18696298</v>
          </cell>
          <cell r="AE21">
            <v>0</v>
          </cell>
          <cell r="AF21">
            <v>2737103</v>
          </cell>
          <cell r="AG21">
            <v>1199052833</v>
          </cell>
          <cell r="AH21">
            <v>1199052833</v>
          </cell>
          <cell r="AI21">
            <v>212313914</v>
          </cell>
          <cell r="AJ21">
            <v>71521795</v>
          </cell>
          <cell r="AK21">
            <v>55045444</v>
          </cell>
          <cell r="AL21">
            <v>0</v>
          </cell>
          <cell r="AM21">
            <v>23607554</v>
          </cell>
          <cell r="AN21">
            <v>0</v>
          </cell>
          <cell r="AO21">
            <v>28992548</v>
          </cell>
          <cell r="AP21">
            <v>165261992</v>
          </cell>
          <cell r="AQ21">
            <v>26960694</v>
          </cell>
          <cell r="AR21">
            <v>0</v>
          </cell>
          <cell r="AS21">
            <v>16125186</v>
          </cell>
          <cell r="AT21">
            <v>77513909</v>
          </cell>
          <cell r="AU21">
            <v>677343036</v>
          </cell>
          <cell r="AV21">
            <v>2525876264</v>
          </cell>
        </row>
        <row r="22">
          <cell r="A22" t="str">
            <v xml:space="preserve">دستمزد </v>
          </cell>
          <cell r="B22" t="str">
            <v>دستمزد مستقیم</v>
          </cell>
          <cell r="C22">
            <v>59128904</v>
          </cell>
          <cell r="D22">
            <v>494759865</v>
          </cell>
          <cell r="E22">
            <v>519222758</v>
          </cell>
          <cell r="F22">
            <v>303405413</v>
          </cell>
          <cell r="G22">
            <v>484303307</v>
          </cell>
          <cell r="H22">
            <v>295311429</v>
          </cell>
          <cell r="I22">
            <v>719897089</v>
          </cell>
          <cell r="J22">
            <v>498653292</v>
          </cell>
          <cell r="K22">
            <v>241847980</v>
          </cell>
          <cell r="L22">
            <v>0</v>
          </cell>
          <cell r="M22">
            <v>140521455</v>
          </cell>
          <cell r="N22">
            <v>479632826</v>
          </cell>
          <cell r="O22">
            <v>55898543</v>
          </cell>
          <cell r="P22">
            <v>50954112</v>
          </cell>
          <cell r="Q22">
            <v>56815526</v>
          </cell>
          <cell r="R22">
            <v>4400352499</v>
          </cell>
          <cell r="S22">
            <v>262526977</v>
          </cell>
          <cell r="T22">
            <v>793026225</v>
          </cell>
          <cell r="U22">
            <v>1970688501</v>
          </cell>
          <cell r="V22">
            <v>245809735</v>
          </cell>
          <cell r="W22">
            <v>2189790209</v>
          </cell>
          <cell r="X22">
            <v>752662624</v>
          </cell>
          <cell r="Y22">
            <v>90918311</v>
          </cell>
          <cell r="Z22">
            <v>375962602</v>
          </cell>
          <cell r="AA22">
            <v>28823838</v>
          </cell>
          <cell r="AB22">
            <v>596023813</v>
          </cell>
          <cell r="AC22">
            <v>374089176</v>
          </cell>
          <cell r="AD22">
            <v>507298344</v>
          </cell>
          <cell r="AE22">
            <v>0</v>
          </cell>
          <cell r="AF22">
            <v>34436287</v>
          </cell>
          <cell r="AG22">
            <v>8222056642</v>
          </cell>
          <cell r="AH22">
            <v>8222056642</v>
          </cell>
          <cell r="AI22">
            <v>1889000581</v>
          </cell>
          <cell r="AJ22">
            <v>557791033</v>
          </cell>
          <cell r="AK22">
            <v>570322584</v>
          </cell>
          <cell r="AL22">
            <v>0</v>
          </cell>
          <cell r="AM22">
            <v>162206379</v>
          </cell>
          <cell r="AN22">
            <v>0</v>
          </cell>
          <cell r="AO22">
            <v>238103044</v>
          </cell>
          <cell r="AP22">
            <v>936051159</v>
          </cell>
          <cell r="AQ22">
            <v>291084235</v>
          </cell>
          <cell r="AR22">
            <v>6500000</v>
          </cell>
          <cell r="AS22">
            <v>106511250</v>
          </cell>
          <cell r="AT22">
            <v>784485789</v>
          </cell>
          <cell r="AU22">
            <v>5542056054</v>
          </cell>
          <cell r="AV22">
            <v>18164465195</v>
          </cell>
        </row>
        <row r="23">
          <cell r="A23">
            <v>7217000</v>
          </cell>
          <cell r="B23" t="str">
            <v>هزينه اياب وذهاب</v>
          </cell>
          <cell r="C23">
            <v>146000</v>
          </cell>
          <cell r="D23">
            <v>2408314</v>
          </cell>
          <cell r="E23">
            <v>3468025</v>
          </cell>
          <cell r="F23">
            <v>1743240</v>
          </cell>
          <cell r="G23">
            <v>3226351</v>
          </cell>
          <cell r="H23">
            <v>1292485</v>
          </cell>
          <cell r="I23">
            <v>4598698</v>
          </cell>
          <cell r="J23">
            <v>2685216</v>
          </cell>
          <cell r="K23">
            <v>1546352</v>
          </cell>
          <cell r="L23">
            <v>0</v>
          </cell>
          <cell r="M23">
            <v>390000</v>
          </cell>
          <cell r="N23">
            <v>0</v>
          </cell>
          <cell r="O23">
            <v>0</v>
          </cell>
          <cell r="P23">
            <v>0</v>
          </cell>
          <cell r="Q23">
            <v>2950000</v>
          </cell>
          <cell r="R23">
            <v>24454681</v>
          </cell>
          <cell r="S23">
            <v>967137</v>
          </cell>
          <cell r="T23">
            <v>5473708</v>
          </cell>
          <cell r="U23">
            <v>10975396</v>
          </cell>
          <cell r="V23">
            <v>2950000</v>
          </cell>
          <cell r="W23">
            <v>7204863</v>
          </cell>
          <cell r="X23">
            <v>5467414</v>
          </cell>
          <cell r="Y23">
            <v>0</v>
          </cell>
          <cell r="Z23">
            <v>3757996</v>
          </cell>
          <cell r="AA23">
            <v>0</v>
          </cell>
          <cell r="AB23">
            <v>5019488</v>
          </cell>
          <cell r="AC23">
            <v>1870205</v>
          </cell>
          <cell r="AD23">
            <v>789040</v>
          </cell>
          <cell r="AE23">
            <v>40000</v>
          </cell>
          <cell r="AF23">
            <v>1212637487</v>
          </cell>
          <cell r="AG23">
            <v>1257152734</v>
          </cell>
          <cell r="AH23">
            <v>1281607415</v>
          </cell>
          <cell r="AI23">
            <v>93636000</v>
          </cell>
          <cell r="AJ23">
            <v>16275500</v>
          </cell>
          <cell r="AK23">
            <v>0</v>
          </cell>
          <cell r="AL23">
            <v>160000</v>
          </cell>
          <cell r="AM23">
            <v>0</v>
          </cell>
          <cell r="AN23">
            <v>0</v>
          </cell>
          <cell r="AO23">
            <v>2950000</v>
          </cell>
          <cell r="AP23">
            <v>23793354</v>
          </cell>
          <cell r="AQ23">
            <v>3341792</v>
          </cell>
          <cell r="AR23">
            <v>7346000</v>
          </cell>
          <cell r="AS23">
            <v>1898271</v>
          </cell>
          <cell r="AT23">
            <v>11216307</v>
          </cell>
          <cell r="AU23">
            <v>160617224</v>
          </cell>
          <cell r="AV23">
            <v>1442224639</v>
          </cell>
        </row>
        <row r="24">
          <cell r="A24">
            <v>7218000</v>
          </cell>
          <cell r="B24" t="str">
            <v>هزينه پاداش بهره وري</v>
          </cell>
          <cell r="C24">
            <v>1625000</v>
          </cell>
          <cell r="D24">
            <v>13000000</v>
          </cell>
          <cell r="E24">
            <v>14625000</v>
          </cell>
          <cell r="F24">
            <v>6500000</v>
          </cell>
          <cell r="G24">
            <v>11375000</v>
          </cell>
          <cell r="H24">
            <v>8125000</v>
          </cell>
          <cell r="I24">
            <v>30474999</v>
          </cell>
          <cell r="J24">
            <v>11375000</v>
          </cell>
          <cell r="K24">
            <v>4875000</v>
          </cell>
          <cell r="L24">
            <v>0</v>
          </cell>
          <cell r="M24">
            <v>4875000</v>
          </cell>
          <cell r="N24">
            <v>9750000</v>
          </cell>
          <cell r="O24">
            <v>0</v>
          </cell>
          <cell r="P24">
            <v>0</v>
          </cell>
          <cell r="Q24">
            <v>3250000</v>
          </cell>
          <cell r="R24">
            <v>119849999</v>
          </cell>
          <cell r="S24">
            <v>8125000</v>
          </cell>
          <cell r="T24">
            <v>17875000</v>
          </cell>
          <cell r="U24">
            <v>50375000</v>
          </cell>
          <cell r="V24">
            <v>11375000</v>
          </cell>
          <cell r="W24">
            <v>76925000</v>
          </cell>
          <cell r="X24">
            <v>19500000</v>
          </cell>
          <cell r="Y24">
            <v>1625000</v>
          </cell>
          <cell r="Z24">
            <v>14625000</v>
          </cell>
          <cell r="AA24">
            <v>1625000</v>
          </cell>
          <cell r="AB24">
            <v>22750000</v>
          </cell>
          <cell r="AC24">
            <v>6500000</v>
          </cell>
          <cell r="AD24">
            <v>4875000</v>
          </cell>
          <cell r="AE24">
            <v>0</v>
          </cell>
          <cell r="AF24">
            <v>1625000</v>
          </cell>
          <cell r="AG24">
            <v>237800000</v>
          </cell>
          <cell r="AH24">
            <v>357649999</v>
          </cell>
          <cell r="AI24">
            <v>84500000</v>
          </cell>
          <cell r="AJ24">
            <v>14625000</v>
          </cell>
          <cell r="AK24">
            <v>22750000</v>
          </cell>
          <cell r="AL24">
            <v>0</v>
          </cell>
          <cell r="AM24">
            <v>4875000</v>
          </cell>
          <cell r="AN24">
            <v>0</v>
          </cell>
          <cell r="AO24">
            <v>6500000</v>
          </cell>
          <cell r="AP24">
            <v>30875000</v>
          </cell>
          <cell r="AQ24">
            <v>11375000</v>
          </cell>
          <cell r="AR24">
            <v>0</v>
          </cell>
          <cell r="AS24">
            <v>4875000</v>
          </cell>
          <cell r="AT24">
            <v>24375000</v>
          </cell>
          <cell r="AU24">
            <v>204750000</v>
          </cell>
          <cell r="AV24">
            <v>562399999</v>
          </cell>
        </row>
        <row r="25">
          <cell r="A25">
            <v>7218001</v>
          </cell>
          <cell r="B25" t="str">
            <v>هزينه پاداش بهره وري( پارس پاکان)</v>
          </cell>
          <cell r="C25">
            <v>0</v>
          </cell>
          <cell r="D25">
            <v>4949999</v>
          </cell>
          <cell r="E25">
            <v>2750000</v>
          </cell>
          <cell r="F25">
            <v>7699999</v>
          </cell>
          <cell r="G25">
            <v>6599999</v>
          </cell>
          <cell r="H25">
            <v>1650000</v>
          </cell>
          <cell r="I25">
            <v>6599999</v>
          </cell>
          <cell r="J25">
            <v>7149999</v>
          </cell>
          <cell r="K25">
            <v>4399999</v>
          </cell>
          <cell r="L25">
            <v>0</v>
          </cell>
          <cell r="M25">
            <v>0</v>
          </cell>
          <cell r="N25">
            <v>18699997</v>
          </cell>
          <cell r="O25">
            <v>3300000</v>
          </cell>
          <cell r="P25">
            <v>3300000</v>
          </cell>
          <cell r="Q25">
            <v>0</v>
          </cell>
          <cell r="R25">
            <v>67099991</v>
          </cell>
          <cell r="S25">
            <v>2750000</v>
          </cell>
          <cell r="T25">
            <v>17599997</v>
          </cell>
          <cell r="U25">
            <v>8799999</v>
          </cell>
          <cell r="V25">
            <v>1100000</v>
          </cell>
          <cell r="W25">
            <v>1100000</v>
          </cell>
          <cell r="X25">
            <v>6599999</v>
          </cell>
          <cell r="Y25">
            <v>2750000</v>
          </cell>
          <cell r="Z25">
            <v>0</v>
          </cell>
          <cell r="AA25">
            <v>0</v>
          </cell>
          <cell r="AB25">
            <v>1100000</v>
          </cell>
          <cell r="AC25">
            <v>5499999</v>
          </cell>
          <cell r="AD25">
            <v>32999995</v>
          </cell>
          <cell r="AE25">
            <v>0</v>
          </cell>
          <cell r="AF25">
            <v>0</v>
          </cell>
          <cell r="AG25">
            <v>80299989</v>
          </cell>
          <cell r="AH25">
            <v>147399980</v>
          </cell>
          <cell r="AI25">
            <v>1100000</v>
          </cell>
          <cell r="AJ25">
            <v>0</v>
          </cell>
          <cell r="AK25">
            <v>0</v>
          </cell>
          <cell r="AL25">
            <v>0</v>
          </cell>
          <cell r="AM25">
            <v>0</v>
          </cell>
          <cell r="AN25">
            <v>0</v>
          </cell>
          <cell r="AO25">
            <v>0</v>
          </cell>
          <cell r="AP25">
            <v>0</v>
          </cell>
          <cell r="AQ25">
            <v>1100000</v>
          </cell>
          <cell r="AR25">
            <v>0</v>
          </cell>
          <cell r="AS25">
            <v>0</v>
          </cell>
          <cell r="AT25">
            <v>1100000</v>
          </cell>
          <cell r="AU25">
            <v>3300000</v>
          </cell>
          <cell r="AV25">
            <v>150699980</v>
          </cell>
        </row>
        <row r="26">
          <cell r="A26">
            <v>7219000</v>
          </cell>
          <cell r="B26" t="str">
            <v>هزينه سايرمزاياي نقدي</v>
          </cell>
          <cell r="C26">
            <v>6480000</v>
          </cell>
          <cell r="D26">
            <v>5951068</v>
          </cell>
          <cell r="E26">
            <v>4373262</v>
          </cell>
          <cell r="F26">
            <v>1002999</v>
          </cell>
          <cell r="G26">
            <v>21303901</v>
          </cell>
          <cell r="H26">
            <v>999999</v>
          </cell>
          <cell r="I26">
            <v>3597483</v>
          </cell>
          <cell r="J26">
            <v>309999</v>
          </cell>
          <cell r="K26">
            <v>309999</v>
          </cell>
          <cell r="L26">
            <v>0</v>
          </cell>
          <cell r="M26">
            <v>1860003</v>
          </cell>
          <cell r="N26">
            <v>19605123</v>
          </cell>
          <cell r="O26">
            <v>0</v>
          </cell>
          <cell r="P26">
            <v>0</v>
          </cell>
          <cell r="Q26">
            <v>10792424</v>
          </cell>
          <cell r="R26">
            <v>76586260</v>
          </cell>
          <cell r="S26">
            <v>5852393</v>
          </cell>
          <cell r="T26">
            <v>24763642</v>
          </cell>
          <cell r="U26">
            <v>50209134</v>
          </cell>
          <cell r="V26">
            <v>6200001</v>
          </cell>
          <cell r="W26">
            <v>63952364</v>
          </cell>
          <cell r="X26">
            <v>48618206</v>
          </cell>
          <cell r="Y26">
            <v>3529455</v>
          </cell>
          <cell r="Z26">
            <v>29884198</v>
          </cell>
          <cell r="AA26">
            <v>0</v>
          </cell>
          <cell r="AB26">
            <v>8609001</v>
          </cell>
          <cell r="AC26">
            <v>600000</v>
          </cell>
          <cell r="AD26">
            <v>791277</v>
          </cell>
          <cell r="AE26">
            <v>0</v>
          </cell>
          <cell r="AF26">
            <v>0</v>
          </cell>
          <cell r="AG26">
            <v>243009671</v>
          </cell>
          <cell r="AH26">
            <v>319595931</v>
          </cell>
          <cell r="AI26">
            <v>454862160</v>
          </cell>
          <cell r="AJ26">
            <v>58577781</v>
          </cell>
          <cell r="AK26">
            <v>21286668</v>
          </cell>
          <cell r="AL26">
            <v>0</v>
          </cell>
          <cell r="AM26">
            <v>6200001</v>
          </cell>
          <cell r="AN26">
            <v>0</v>
          </cell>
          <cell r="AO26">
            <v>23122224</v>
          </cell>
          <cell r="AP26">
            <v>125790581</v>
          </cell>
          <cell r="AQ26">
            <v>17428120</v>
          </cell>
          <cell r="AR26">
            <v>0</v>
          </cell>
          <cell r="AS26">
            <v>1840002</v>
          </cell>
          <cell r="AT26">
            <v>84215014</v>
          </cell>
          <cell r="AU26">
            <v>793322551</v>
          </cell>
          <cell r="AV26">
            <v>1112918482</v>
          </cell>
        </row>
        <row r="27">
          <cell r="A27">
            <v>7219001</v>
          </cell>
          <cell r="B27" t="str">
            <v>هزينه سايرمزاياي نقدي ( پارس پاکان)</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row>
        <row r="28">
          <cell r="A28">
            <v>7223000</v>
          </cell>
          <cell r="B28" t="str">
            <v>هزينه بيمه حوادث كاركنان</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row>
        <row r="29">
          <cell r="A29">
            <v>7224000</v>
          </cell>
          <cell r="B29" t="str">
            <v>هزينه بهداشت ودرمان</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79000</v>
          </cell>
          <cell r="U29">
            <v>313400</v>
          </cell>
          <cell r="V29">
            <v>0</v>
          </cell>
          <cell r="W29">
            <v>0</v>
          </cell>
          <cell r="X29">
            <v>0</v>
          </cell>
          <cell r="Y29">
            <v>0</v>
          </cell>
          <cell r="Z29">
            <v>0</v>
          </cell>
          <cell r="AA29">
            <v>0</v>
          </cell>
          <cell r="AB29">
            <v>0</v>
          </cell>
          <cell r="AC29">
            <v>0</v>
          </cell>
          <cell r="AD29">
            <v>864000</v>
          </cell>
          <cell r="AE29">
            <v>213000</v>
          </cell>
          <cell r="AF29">
            <v>140000</v>
          </cell>
          <cell r="AG29">
            <v>1609400</v>
          </cell>
          <cell r="AH29">
            <v>1609400</v>
          </cell>
          <cell r="AI29">
            <v>0</v>
          </cell>
          <cell r="AJ29">
            <v>0</v>
          </cell>
          <cell r="AK29">
            <v>0</v>
          </cell>
          <cell r="AL29">
            <v>0</v>
          </cell>
          <cell r="AM29">
            <v>0</v>
          </cell>
          <cell r="AN29">
            <v>0</v>
          </cell>
          <cell r="AO29">
            <v>0</v>
          </cell>
          <cell r="AP29">
            <v>0</v>
          </cell>
          <cell r="AQ29">
            <v>0</v>
          </cell>
          <cell r="AR29">
            <v>0</v>
          </cell>
          <cell r="AS29">
            <v>3132270</v>
          </cell>
          <cell r="AT29">
            <v>0</v>
          </cell>
          <cell r="AU29">
            <v>3132270</v>
          </cell>
          <cell r="AV29">
            <v>4741670</v>
          </cell>
        </row>
        <row r="30">
          <cell r="A30">
            <v>7225000</v>
          </cell>
          <cell r="B30" t="str">
            <v>هزينه تغذيه پرسنل</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184000</v>
          </cell>
          <cell r="V30">
            <v>0</v>
          </cell>
          <cell r="W30">
            <v>0</v>
          </cell>
          <cell r="X30">
            <v>0</v>
          </cell>
          <cell r="Y30">
            <v>0</v>
          </cell>
          <cell r="Z30">
            <v>0</v>
          </cell>
          <cell r="AA30">
            <v>0</v>
          </cell>
          <cell r="AB30">
            <v>8850000</v>
          </cell>
          <cell r="AC30">
            <v>0</v>
          </cell>
          <cell r="AD30">
            <v>2872000</v>
          </cell>
          <cell r="AE30">
            <v>1628386545</v>
          </cell>
          <cell r="AF30">
            <v>702000</v>
          </cell>
          <cell r="AG30">
            <v>1640994545</v>
          </cell>
          <cell r="AH30">
            <v>1640994545</v>
          </cell>
          <cell r="AI30">
            <v>366500</v>
          </cell>
          <cell r="AJ30">
            <v>86000</v>
          </cell>
          <cell r="AK30">
            <v>0</v>
          </cell>
          <cell r="AL30">
            <v>50000</v>
          </cell>
          <cell r="AM30">
            <v>0</v>
          </cell>
          <cell r="AN30">
            <v>0</v>
          </cell>
          <cell r="AO30">
            <v>291000</v>
          </cell>
          <cell r="AP30">
            <v>1325500</v>
          </cell>
          <cell r="AQ30">
            <v>0</v>
          </cell>
          <cell r="AR30">
            <v>0</v>
          </cell>
          <cell r="AS30">
            <v>0</v>
          </cell>
          <cell r="AT30">
            <v>0</v>
          </cell>
          <cell r="AU30">
            <v>2119000</v>
          </cell>
          <cell r="AV30">
            <v>1643113545</v>
          </cell>
        </row>
        <row r="31">
          <cell r="A31">
            <v>7226000</v>
          </cell>
          <cell r="B31" t="str">
            <v>هزينه 3%صندوق پس انداز آتيه سهم کارفرما</v>
          </cell>
          <cell r="C31">
            <v>919125</v>
          </cell>
          <cell r="D31">
            <v>5057991</v>
          </cell>
          <cell r="E31">
            <v>5540928</v>
          </cell>
          <cell r="F31">
            <v>2589594</v>
          </cell>
          <cell r="G31">
            <v>4376553</v>
          </cell>
          <cell r="H31">
            <v>3211548</v>
          </cell>
          <cell r="I31">
            <v>7749112</v>
          </cell>
          <cell r="J31">
            <v>4474707</v>
          </cell>
          <cell r="K31">
            <v>1872678</v>
          </cell>
          <cell r="L31">
            <v>0</v>
          </cell>
          <cell r="M31">
            <v>2028591</v>
          </cell>
          <cell r="N31">
            <v>3470554</v>
          </cell>
          <cell r="O31">
            <v>0</v>
          </cell>
          <cell r="P31">
            <v>0</v>
          </cell>
          <cell r="Q31">
            <v>1203151</v>
          </cell>
          <cell r="R31">
            <v>42494532</v>
          </cell>
          <cell r="S31">
            <v>2808126</v>
          </cell>
          <cell r="T31">
            <v>7113528</v>
          </cell>
          <cell r="U31">
            <v>19600735</v>
          </cell>
          <cell r="V31">
            <v>3771801</v>
          </cell>
          <cell r="W31">
            <v>33389614</v>
          </cell>
          <cell r="X31">
            <v>7612860</v>
          </cell>
          <cell r="Y31">
            <v>846135</v>
          </cell>
          <cell r="Z31">
            <v>6216980</v>
          </cell>
          <cell r="AA31">
            <v>525032</v>
          </cell>
          <cell r="AB31">
            <v>9030303</v>
          </cell>
          <cell r="AC31">
            <v>1822821</v>
          </cell>
          <cell r="AD31">
            <v>765291</v>
          </cell>
          <cell r="AE31">
            <v>0</v>
          </cell>
          <cell r="AF31">
            <v>427893</v>
          </cell>
          <cell r="AG31">
            <v>93931119</v>
          </cell>
          <cell r="AH31">
            <v>136425651</v>
          </cell>
          <cell r="AI31">
            <v>34176682</v>
          </cell>
          <cell r="AJ31">
            <v>11854336</v>
          </cell>
          <cell r="AK31">
            <v>10569752</v>
          </cell>
          <cell r="AL31">
            <v>0</v>
          </cell>
          <cell r="AM31">
            <v>1682871</v>
          </cell>
          <cell r="AN31">
            <v>0</v>
          </cell>
          <cell r="AO31">
            <v>3960351</v>
          </cell>
          <cell r="AP31">
            <v>13026645</v>
          </cell>
          <cell r="AQ31">
            <v>4770909</v>
          </cell>
          <cell r="AR31">
            <v>0</v>
          </cell>
          <cell r="AS31">
            <v>1368216</v>
          </cell>
          <cell r="AT31">
            <v>14753230</v>
          </cell>
          <cell r="AU31">
            <v>96162992</v>
          </cell>
          <cell r="AV31">
            <v>232588643</v>
          </cell>
        </row>
        <row r="32">
          <cell r="A32">
            <v>7231000</v>
          </cell>
          <cell r="B32" t="str">
            <v>هزينه بازخريدمرخصي</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row>
        <row r="33">
          <cell r="A33">
            <v>7233000</v>
          </cell>
          <cell r="B33" t="str">
            <v>هزينه مزاياي غيرنقدي</v>
          </cell>
          <cell r="C33">
            <v>600000</v>
          </cell>
          <cell r="D33">
            <v>4800000</v>
          </cell>
          <cell r="E33">
            <v>4800000</v>
          </cell>
          <cell r="F33">
            <v>1800000</v>
          </cell>
          <cell r="G33">
            <v>3600000</v>
          </cell>
          <cell r="H33">
            <v>3000000</v>
          </cell>
          <cell r="I33">
            <v>6000000</v>
          </cell>
          <cell r="J33">
            <v>4200000</v>
          </cell>
          <cell r="K33">
            <v>1800000</v>
          </cell>
          <cell r="L33">
            <v>0</v>
          </cell>
          <cell r="M33">
            <v>1800000</v>
          </cell>
          <cell r="N33">
            <v>2400000</v>
          </cell>
          <cell r="O33">
            <v>1800000</v>
          </cell>
          <cell r="P33">
            <v>0</v>
          </cell>
          <cell r="Q33">
            <v>600000</v>
          </cell>
          <cell r="R33">
            <v>37200000</v>
          </cell>
          <cell r="S33">
            <v>2400000</v>
          </cell>
          <cell r="T33">
            <v>7200000</v>
          </cell>
          <cell r="U33">
            <v>18600000</v>
          </cell>
          <cell r="V33">
            <v>4800000</v>
          </cell>
          <cell r="W33">
            <v>25200000</v>
          </cell>
          <cell r="X33">
            <v>5400000</v>
          </cell>
          <cell r="Y33">
            <v>600000</v>
          </cell>
          <cell r="Z33">
            <v>4800000</v>
          </cell>
          <cell r="AA33">
            <v>600000</v>
          </cell>
          <cell r="AB33">
            <v>6600000</v>
          </cell>
          <cell r="AC33">
            <v>1800000</v>
          </cell>
          <cell r="AD33">
            <v>3600000</v>
          </cell>
          <cell r="AE33">
            <v>0</v>
          </cell>
          <cell r="AF33">
            <v>600000</v>
          </cell>
          <cell r="AG33">
            <v>82200000</v>
          </cell>
          <cell r="AH33">
            <v>119400000</v>
          </cell>
          <cell r="AI33">
            <v>29400000</v>
          </cell>
          <cell r="AJ33">
            <v>4200000</v>
          </cell>
          <cell r="AK33">
            <v>8400000</v>
          </cell>
          <cell r="AL33">
            <v>0</v>
          </cell>
          <cell r="AM33">
            <v>1800000</v>
          </cell>
          <cell r="AN33">
            <v>0</v>
          </cell>
          <cell r="AO33">
            <v>2400000</v>
          </cell>
          <cell r="AP33">
            <v>9000000</v>
          </cell>
          <cell r="AQ33">
            <v>3600000</v>
          </cell>
          <cell r="AR33">
            <v>1200000</v>
          </cell>
          <cell r="AS33">
            <v>1200000</v>
          </cell>
          <cell r="AT33">
            <v>9000000</v>
          </cell>
          <cell r="AU33">
            <v>70200000</v>
          </cell>
          <cell r="AV33">
            <v>189600000</v>
          </cell>
        </row>
        <row r="34">
          <cell r="A34">
            <v>7233001</v>
          </cell>
          <cell r="B34" t="str">
            <v>هزينه مزاياي غيرنقدي ( پارس پاکان)</v>
          </cell>
          <cell r="C34">
            <v>0</v>
          </cell>
          <cell r="D34">
            <v>5400000</v>
          </cell>
          <cell r="E34">
            <v>4800000</v>
          </cell>
          <cell r="F34">
            <v>6600000</v>
          </cell>
          <cell r="G34">
            <v>7200000</v>
          </cell>
          <cell r="H34">
            <v>1800000</v>
          </cell>
          <cell r="I34">
            <v>16200000</v>
          </cell>
          <cell r="J34">
            <v>8400000</v>
          </cell>
          <cell r="K34">
            <v>4800000</v>
          </cell>
          <cell r="L34">
            <v>0</v>
          </cell>
          <cell r="M34">
            <v>0</v>
          </cell>
          <cell r="N34">
            <v>16800000</v>
          </cell>
          <cell r="O34">
            <v>4200000</v>
          </cell>
          <cell r="P34">
            <v>3600000</v>
          </cell>
          <cell r="Q34">
            <v>0</v>
          </cell>
          <cell r="R34">
            <v>79800000</v>
          </cell>
          <cell r="S34">
            <v>3000000</v>
          </cell>
          <cell r="T34">
            <v>13200000</v>
          </cell>
          <cell r="U34">
            <v>8400000</v>
          </cell>
          <cell r="V34">
            <v>1200000</v>
          </cell>
          <cell r="W34">
            <v>1800000</v>
          </cell>
          <cell r="X34">
            <v>6600000</v>
          </cell>
          <cell r="Y34">
            <v>2400000</v>
          </cell>
          <cell r="Z34">
            <v>0</v>
          </cell>
          <cell r="AA34">
            <v>0</v>
          </cell>
          <cell r="AB34">
            <v>1200000</v>
          </cell>
          <cell r="AC34">
            <v>6000000</v>
          </cell>
          <cell r="AD34">
            <v>31200000</v>
          </cell>
          <cell r="AE34">
            <v>0</v>
          </cell>
          <cell r="AF34">
            <v>0</v>
          </cell>
          <cell r="AG34">
            <v>75000000</v>
          </cell>
          <cell r="AH34">
            <v>154800000</v>
          </cell>
          <cell r="AI34">
            <v>1200000</v>
          </cell>
          <cell r="AJ34">
            <v>0</v>
          </cell>
          <cell r="AK34">
            <v>0</v>
          </cell>
          <cell r="AL34">
            <v>0</v>
          </cell>
          <cell r="AM34">
            <v>0</v>
          </cell>
          <cell r="AN34">
            <v>0</v>
          </cell>
          <cell r="AO34">
            <v>0</v>
          </cell>
          <cell r="AP34">
            <v>0</v>
          </cell>
          <cell r="AQ34">
            <v>10800000</v>
          </cell>
          <cell r="AR34">
            <v>0</v>
          </cell>
          <cell r="AS34">
            <v>0</v>
          </cell>
          <cell r="AT34">
            <v>1200000</v>
          </cell>
          <cell r="AU34">
            <v>13200000</v>
          </cell>
          <cell r="AV34">
            <v>168000000</v>
          </cell>
        </row>
        <row r="35">
          <cell r="A35">
            <v>7234000</v>
          </cell>
          <cell r="B35" t="str">
            <v>هزينه سفروماموريت</v>
          </cell>
          <cell r="C35">
            <v>0</v>
          </cell>
          <cell r="D35">
            <v>0</v>
          </cell>
          <cell r="E35">
            <v>0</v>
          </cell>
          <cell r="F35">
            <v>0</v>
          </cell>
          <cell r="G35">
            <v>0</v>
          </cell>
          <cell r="H35">
            <v>0</v>
          </cell>
          <cell r="I35">
            <v>0</v>
          </cell>
          <cell r="J35">
            <v>365915</v>
          </cell>
          <cell r="K35">
            <v>0</v>
          </cell>
          <cell r="L35">
            <v>0</v>
          </cell>
          <cell r="M35">
            <v>0</v>
          </cell>
          <cell r="N35">
            <v>0</v>
          </cell>
          <cell r="O35">
            <v>0</v>
          </cell>
          <cell r="P35">
            <v>0</v>
          </cell>
          <cell r="Q35">
            <v>0</v>
          </cell>
          <cell r="R35">
            <v>365915</v>
          </cell>
          <cell r="S35">
            <v>0</v>
          </cell>
          <cell r="T35">
            <v>495915</v>
          </cell>
          <cell r="U35">
            <v>1471878</v>
          </cell>
          <cell r="V35">
            <v>0</v>
          </cell>
          <cell r="W35">
            <v>0</v>
          </cell>
          <cell r="X35">
            <v>0</v>
          </cell>
          <cell r="Y35">
            <v>0</v>
          </cell>
          <cell r="Z35">
            <v>0</v>
          </cell>
          <cell r="AA35">
            <v>0</v>
          </cell>
          <cell r="AB35">
            <v>0</v>
          </cell>
          <cell r="AC35">
            <v>711266</v>
          </cell>
          <cell r="AD35">
            <v>753613</v>
          </cell>
          <cell r="AE35">
            <v>0</v>
          </cell>
          <cell r="AF35">
            <v>0</v>
          </cell>
          <cell r="AG35">
            <v>3432672</v>
          </cell>
          <cell r="AH35">
            <v>3798587</v>
          </cell>
          <cell r="AI35">
            <v>87991877</v>
          </cell>
          <cell r="AJ35">
            <v>131753000</v>
          </cell>
          <cell r="AK35">
            <v>0</v>
          </cell>
          <cell r="AL35">
            <v>0</v>
          </cell>
          <cell r="AM35">
            <v>0</v>
          </cell>
          <cell r="AN35">
            <v>0</v>
          </cell>
          <cell r="AO35">
            <v>0</v>
          </cell>
          <cell r="AP35">
            <v>0</v>
          </cell>
          <cell r="AQ35">
            <v>0</v>
          </cell>
          <cell r="AR35">
            <v>0</v>
          </cell>
          <cell r="AS35">
            <v>0</v>
          </cell>
          <cell r="AT35">
            <v>41650000</v>
          </cell>
          <cell r="AU35">
            <v>261394877</v>
          </cell>
          <cell r="AV35">
            <v>265193464</v>
          </cell>
        </row>
        <row r="36">
          <cell r="A36">
            <v>7235000</v>
          </cell>
          <cell r="B36" t="str">
            <v>هزينه پوشاك</v>
          </cell>
          <cell r="C36">
            <v>0</v>
          </cell>
          <cell r="D36">
            <v>0</v>
          </cell>
          <cell r="E36">
            <v>316067</v>
          </cell>
          <cell r="F36">
            <v>0</v>
          </cell>
          <cell r="G36">
            <v>0</v>
          </cell>
          <cell r="H36">
            <v>0</v>
          </cell>
          <cell r="I36">
            <v>3402000</v>
          </cell>
          <cell r="J36">
            <v>52000</v>
          </cell>
          <cell r="K36">
            <v>305509</v>
          </cell>
          <cell r="L36">
            <v>0</v>
          </cell>
          <cell r="M36">
            <v>0</v>
          </cell>
          <cell r="N36">
            <v>2145775</v>
          </cell>
          <cell r="O36">
            <v>0</v>
          </cell>
          <cell r="P36">
            <v>0</v>
          </cell>
          <cell r="Q36">
            <v>5714500</v>
          </cell>
          <cell r="R36">
            <v>11935851</v>
          </cell>
          <cell r="S36">
            <v>0</v>
          </cell>
          <cell r="T36">
            <v>51086000</v>
          </cell>
          <cell r="U36">
            <v>2012000</v>
          </cell>
          <cell r="V36">
            <v>0</v>
          </cell>
          <cell r="W36">
            <v>1065444</v>
          </cell>
          <cell r="X36">
            <v>1116875</v>
          </cell>
          <cell r="Y36">
            <v>151375</v>
          </cell>
          <cell r="Z36">
            <v>2250000</v>
          </cell>
          <cell r="AA36">
            <v>0</v>
          </cell>
          <cell r="AB36">
            <v>2250000</v>
          </cell>
          <cell r="AC36">
            <v>5540000</v>
          </cell>
          <cell r="AD36">
            <v>126975446</v>
          </cell>
          <cell r="AE36">
            <v>0</v>
          </cell>
          <cell r="AF36">
            <v>280000</v>
          </cell>
          <cell r="AG36">
            <v>192727140</v>
          </cell>
          <cell r="AH36">
            <v>204662991</v>
          </cell>
          <cell r="AI36">
            <v>0</v>
          </cell>
          <cell r="AJ36">
            <v>750000</v>
          </cell>
          <cell r="AK36">
            <v>313375</v>
          </cell>
          <cell r="AL36">
            <v>1500000</v>
          </cell>
          <cell r="AM36">
            <v>0</v>
          </cell>
          <cell r="AN36">
            <v>0</v>
          </cell>
          <cell r="AO36">
            <v>750000</v>
          </cell>
          <cell r="AP36">
            <v>2510000</v>
          </cell>
          <cell r="AQ36">
            <v>2250000</v>
          </cell>
          <cell r="AR36">
            <v>14750000</v>
          </cell>
          <cell r="AS36">
            <v>1270000</v>
          </cell>
          <cell r="AT36">
            <v>6095000</v>
          </cell>
          <cell r="AU36">
            <v>30188375</v>
          </cell>
          <cell r="AV36">
            <v>234851366</v>
          </cell>
        </row>
        <row r="37">
          <cell r="A37">
            <v>7236000</v>
          </cell>
          <cell r="B37" t="str">
            <v>هزينه هاي ورزشي</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26574800</v>
          </cell>
          <cell r="AE37">
            <v>0</v>
          </cell>
          <cell r="AF37">
            <v>0</v>
          </cell>
          <cell r="AG37">
            <v>26574800</v>
          </cell>
          <cell r="AH37">
            <v>26574800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26574800</v>
          </cell>
        </row>
        <row r="38">
          <cell r="A38">
            <v>7237000</v>
          </cell>
          <cell r="B38" t="str">
            <v>هزينه هاي آموزشي</v>
          </cell>
          <cell r="C38">
            <v>0</v>
          </cell>
          <cell r="D38">
            <v>0</v>
          </cell>
          <cell r="E38">
            <v>0</v>
          </cell>
          <cell r="F38">
            <v>0</v>
          </cell>
          <cell r="G38">
            <v>0</v>
          </cell>
          <cell r="H38">
            <v>0</v>
          </cell>
          <cell r="I38">
            <v>0</v>
          </cell>
          <cell r="J38">
            <v>0</v>
          </cell>
          <cell r="K38">
            <v>0</v>
          </cell>
          <cell r="L38">
            <v>0</v>
          </cell>
          <cell r="M38">
            <v>0</v>
          </cell>
          <cell r="N38">
            <v>2200000</v>
          </cell>
          <cell r="O38">
            <v>0</v>
          </cell>
          <cell r="P38">
            <v>0</v>
          </cell>
          <cell r="Q38">
            <v>550000</v>
          </cell>
          <cell r="R38">
            <v>2750000</v>
          </cell>
          <cell r="S38">
            <v>0</v>
          </cell>
          <cell r="T38">
            <v>4512000</v>
          </cell>
          <cell r="U38">
            <v>0</v>
          </cell>
          <cell r="V38">
            <v>2625000</v>
          </cell>
          <cell r="W38">
            <v>11000000</v>
          </cell>
          <cell r="X38">
            <v>72500</v>
          </cell>
          <cell r="Y38">
            <v>0</v>
          </cell>
          <cell r="Z38">
            <v>0</v>
          </cell>
          <cell r="AA38">
            <v>0</v>
          </cell>
          <cell r="AB38">
            <v>0</v>
          </cell>
          <cell r="AC38">
            <v>0</v>
          </cell>
          <cell r="AD38">
            <v>0</v>
          </cell>
          <cell r="AE38">
            <v>0</v>
          </cell>
          <cell r="AF38">
            <v>0</v>
          </cell>
          <cell r="AG38">
            <v>18209500</v>
          </cell>
          <cell r="AH38">
            <v>20959500</v>
          </cell>
          <cell r="AI38">
            <v>550000</v>
          </cell>
          <cell r="AJ38">
            <v>2750000</v>
          </cell>
          <cell r="AK38">
            <v>3300000</v>
          </cell>
          <cell r="AL38">
            <v>3035000</v>
          </cell>
          <cell r="AM38">
            <v>0</v>
          </cell>
          <cell r="AN38">
            <v>0</v>
          </cell>
          <cell r="AO38">
            <v>0</v>
          </cell>
          <cell r="AP38">
            <v>0</v>
          </cell>
          <cell r="AQ38">
            <v>0</v>
          </cell>
          <cell r="AR38">
            <v>0</v>
          </cell>
          <cell r="AS38">
            <v>315789</v>
          </cell>
          <cell r="AT38">
            <v>2124232</v>
          </cell>
          <cell r="AU38">
            <v>12075021</v>
          </cell>
          <cell r="AV38">
            <v>33034521</v>
          </cell>
        </row>
        <row r="39">
          <cell r="A39" t="str">
            <v>جمع سایر هزینه های کارکنان</v>
          </cell>
          <cell r="C39">
            <v>9770125</v>
          </cell>
          <cell r="D39">
            <v>41567372</v>
          </cell>
          <cell r="E39">
            <v>40673282</v>
          </cell>
          <cell r="F39">
            <v>27935832</v>
          </cell>
          <cell r="G39">
            <v>57681804</v>
          </cell>
          <cell r="H39">
            <v>20079032</v>
          </cell>
          <cell r="I39">
            <v>78622291</v>
          </cell>
          <cell r="J39">
            <v>39012836</v>
          </cell>
          <cell r="K39">
            <v>19909537</v>
          </cell>
          <cell r="L39">
            <v>0</v>
          </cell>
          <cell r="M39">
            <v>10953594</v>
          </cell>
          <cell r="N39">
            <v>75071449</v>
          </cell>
          <cell r="O39">
            <v>9300000</v>
          </cell>
          <cell r="P39">
            <v>6900000</v>
          </cell>
          <cell r="Q39">
            <v>25060075</v>
          </cell>
          <cell r="R39">
            <v>462537229</v>
          </cell>
          <cell r="S39">
            <v>25902656</v>
          </cell>
          <cell r="T39">
            <v>149398790</v>
          </cell>
          <cell r="U39">
            <v>170941542</v>
          </cell>
          <cell r="V39">
            <v>34021802</v>
          </cell>
          <cell r="W39">
            <v>221637285</v>
          </cell>
          <cell r="X39">
            <v>100987854</v>
          </cell>
          <cell r="Y39">
            <v>11901965</v>
          </cell>
          <cell r="Z39">
            <v>61534174</v>
          </cell>
          <cell r="AA39">
            <v>2750032</v>
          </cell>
          <cell r="AB39">
            <v>65408792</v>
          </cell>
          <cell r="AC39">
            <v>30344291</v>
          </cell>
          <cell r="AD39">
            <v>233060462</v>
          </cell>
          <cell r="AE39">
            <v>1628639545</v>
          </cell>
          <cell r="AF39">
            <v>1216412380</v>
          </cell>
          <cell r="AG39">
            <v>3952941570</v>
          </cell>
          <cell r="AH39">
            <v>4415478799</v>
          </cell>
          <cell r="AI39">
            <v>787783219</v>
          </cell>
          <cell r="AJ39">
            <v>240871617</v>
          </cell>
          <cell r="AK39">
            <v>66619795</v>
          </cell>
          <cell r="AL39">
            <v>4745000</v>
          </cell>
          <cell r="AM39">
            <v>14557872</v>
          </cell>
          <cell r="AN39">
            <v>0</v>
          </cell>
          <cell r="AO39">
            <v>39973575</v>
          </cell>
          <cell r="AP39">
            <v>206321080</v>
          </cell>
          <cell r="AQ39">
            <v>54665821</v>
          </cell>
          <cell r="AR39">
            <v>23296000</v>
          </cell>
          <cell r="AS39">
            <v>15899548</v>
          </cell>
          <cell r="AT39">
            <v>195728783</v>
          </cell>
          <cell r="AU39">
            <v>1650462310</v>
          </cell>
          <cell r="AV39">
            <v>6065941109</v>
          </cell>
        </row>
        <row r="40">
          <cell r="A40" t="str">
            <v>جمع هزینه های کارکنان</v>
          </cell>
          <cell r="C40">
            <v>68899029</v>
          </cell>
          <cell r="D40">
            <v>536327237</v>
          </cell>
          <cell r="E40">
            <v>559896040</v>
          </cell>
          <cell r="F40">
            <v>331341245</v>
          </cell>
          <cell r="G40">
            <v>541985111</v>
          </cell>
          <cell r="H40">
            <v>315390461</v>
          </cell>
          <cell r="I40">
            <v>798519380</v>
          </cell>
          <cell r="J40">
            <v>537666128</v>
          </cell>
          <cell r="K40">
            <v>261757517</v>
          </cell>
          <cell r="L40">
            <v>0</v>
          </cell>
          <cell r="M40">
            <v>151475049</v>
          </cell>
          <cell r="N40">
            <v>554704275</v>
          </cell>
          <cell r="O40">
            <v>65198543</v>
          </cell>
          <cell r="P40">
            <v>57854112</v>
          </cell>
          <cell r="Q40">
            <v>81875601</v>
          </cell>
          <cell r="R40">
            <v>4862889728</v>
          </cell>
          <cell r="S40">
            <v>288429633</v>
          </cell>
          <cell r="T40">
            <v>942425015</v>
          </cell>
          <cell r="U40">
            <v>2141630043</v>
          </cell>
          <cell r="V40">
            <v>279831537</v>
          </cell>
          <cell r="W40">
            <v>2411427494</v>
          </cell>
          <cell r="X40">
            <v>853650478</v>
          </cell>
          <cell r="Y40">
            <v>102820276</v>
          </cell>
          <cell r="Z40">
            <v>437496776</v>
          </cell>
          <cell r="AA40">
            <v>31573870</v>
          </cell>
          <cell r="AB40">
            <v>661432605</v>
          </cell>
          <cell r="AC40">
            <v>404433467</v>
          </cell>
          <cell r="AD40">
            <v>740358806</v>
          </cell>
          <cell r="AE40">
            <v>1628639545</v>
          </cell>
          <cell r="AF40">
            <v>1250848667</v>
          </cell>
          <cell r="AG40">
            <v>12174998212</v>
          </cell>
          <cell r="AH40">
            <v>12637535441</v>
          </cell>
          <cell r="AI40">
            <v>2676783800</v>
          </cell>
          <cell r="AJ40">
            <v>798662650</v>
          </cell>
          <cell r="AK40">
            <v>636942379</v>
          </cell>
          <cell r="AL40">
            <v>4745000</v>
          </cell>
          <cell r="AM40">
            <v>176764251</v>
          </cell>
          <cell r="AN40">
            <v>0</v>
          </cell>
          <cell r="AO40">
            <v>278076619</v>
          </cell>
          <cell r="AP40">
            <v>1142372239</v>
          </cell>
          <cell r="AQ40">
            <v>345750056</v>
          </cell>
          <cell r="AR40">
            <v>29796000</v>
          </cell>
          <cell r="AS40">
            <v>122410798</v>
          </cell>
          <cell r="AT40">
            <v>980214572</v>
          </cell>
          <cell r="AU40">
            <v>7192518364</v>
          </cell>
          <cell r="AV40">
            <v>24230406304</v>
          </cell>
        </row>
        <row r="41">
          <cell r="A41">
            <v>7313000</v>
          </cell>
          <cell r="B41" t="str">
            <v>هزينه سربار مواد اوليه</v>
          </cell>
          <cell r="C41">
            <v>0</v>
          </cell>
          <cell r="D41">
            <v>24649971</v>
          </cell>
          <cell r="E41">
            <v>105881933</v>
          </cell>
          <cell r="F41">
            <v>46742865</v>
          </cell>
          <cell r="G41">
            <v>33577631</v>
          </cell>
          <cell r="H41">
            <v>272500</v>
          </cell>
          <cell r="I41">
            <v>9056107</v>
          </cell>
          <cell r="J41">
            <v>744756</v>
          </cell>
          <cell r="K41">
            <v>5405683</v>
          </cell>
          <cell r="L41">
            <v>0</v>
          </cell>
          <cell r="M41">
            <v>0</v>
          </cell>
          <cell r="N41">
            <v>0</v>
          </cell>
          <cell r="O41">
            <v>0</v>
          </cell>
          <cell r="P41">
            <v>0</v>
          </cell>
          <cell r="Q41">
            <v>3854277</v>
          </cell>
          <cell r="R41">
            <v>230185723</v>
          </cell>
          <cell r="S41">
            <v>0</v>
          </cell>
          <cell r="T41">
            <v>0</v>
          </cell>
          <cell r="U41">
            <v>0</v>
          </cell>
          <cell r="V41">
            <v>0</v>
          </cell>
          <cell r="W41">
            <v>79261722</v>
          </cell>
          <cell r="X41">
            <v>0</v>
          </cell>
          <cell r="Y41">
            <v>4286093</v>
          </cell>
          <cell r="Z41">
            <v>0</v>
          </cell>
          <cell r="AA41">
            <v>0</v>
          </cell>
          <cell r="AB41">
            <v>0</v>
          </cell>
          <cell r="AC41">
            <v>0</v>
          </cell>
          <cell r="AD41">
            <v>0</v>
          </cell>
          <cell r="AE41">
            <v>0</v>
          </cell>
          <cell r="AF41">
            <v>0</v>
          </cell>
          <cell r="AG41">
            <v>83547815</v>
          </cell>
          <cell r="AH41">
            <v>313733538</v>
          </cell>
          <cell r="AI41">
            <v>0</v>
          </cell>
          <cell r="AJ41">
            <v>0</v>
          </cell>
          <cell r="AK41">
            <v>0</v>
          </cell>
          <cell r="AL41">
            <v>0</v>
          </cell>
          <cell r="AM41">
            <v>0</v>
          </cell>
          <cell r="AN41">
            <v>0</v>
          </cell>
          <cell r="AO41">
            <v>0</v>
          </cell>
          <cell r="AP41">
            <v>0</v>
          </cell>
          <cell r="AQ41">
            <v>0</v>
          </cell>
          <cell r="AR41">
            <v>0</v>
          </cell>
          <cell r="AS41">
            <v>0</v>
          </cell>
          <cell r="AT41">
            <v>0</v>
          </cell>
          <cell r="AU41">
            <v>0</v>
          </cell>
          <cell r="AV41">
            <v>313733538</v>
          </cell>
        </row>
        <row r="42">
          <cell r="A42">
            <v>7314000</v>
          </cell>
          <cell r="B42" t="str">
            <v>هزينه  سربار مواد بسته بندي</v>
          </cell>
          <cell r="C42">
            <v>0</v>
          </cell>
          <cell r="D42">
            <v>0</v>
          </cell>
          <cell r="E42">
            <v>5634121</v>
          </cell>
          <cell r="F42">
            <v>2015215</v>
          </cell>
          <cell r="G42">
            <v>4660647</v>
          </cell>
          <cell r="H42">
            <v>0</v>
          </cell>
          <cell r="I42">
            <v>1690210</v>
          </cell>
          <cell r="J42">
            <v>632021</v>
          </cell>
          <cell r="K42">
            <v>1648468</v>
          </cell>
          <cell r="L42">
            <v>0</v>
          </cell>
          <cell r="M42">
            <v>0</v>
          </cell>
          <cell r="N42">
            <v>0</v>
          </cell>
          <cell r="O42">
            <v>0</v>
          </cell>
          <cell r="P42">
            <v>0</v>
          </cell>
          <cell r="Q42">
            <v>2047827</v>
          </cell>
          <cell r="R42">
            <v>18328509</v>
          </cell>
          <cell r="S42">
            <v>0</v>
          </cell>
          <cell r="T42">
            <v>0</v>
          </cell>
          <cell r="U42">
            <v>0</v>
          </cell>
          <cell r="V42">
            <v>0</v>
          </cell>
          <cell r="W42">
            <v>12530197</v>
          </cell>
          <cell r="X42">
            <v>0</v>
          </cell>
          <cell r="Y42">
            <v>0</v>
          </cell>
          <cell r="Z42">
            <v>0</v>
          </cell>
          <cell r="AA42">
            <v>0</v>
          </cell>
          <cell r="AB42">
            <v>0</v>
          </cell>
          <cell r="AC42">
            <v>0</v>
          </cell>
          <cell r="AD42">
            <v>0</v>
          </cell>
          <cell r="AE42">
            <v>0</v>
          </cell>
          <cell r="AF42">
            <v>0</v>
          </cell>
          <cell r="AG42">
            <v>12530197</v>
          </cell>
          <cell r="AH42">
            <v>30858706</v>
          </cell>
          <cell r="AI42">
            <v>0</v>
          </cell>
          <cell r="AJ42">
            <v>0</v>
          </cell>
          <cell r="AK42">
            <v>0</v>
          </cell>
          <cell r="AL42">
            <v>0</v>
          </cell>
          <cell r="AM42">
            <v>0</v>
          </cell>
          <cell r="AN42">
            <v>0</v>
          </cell>
          <cell r="AO42">
            <v>0</v>
          </cell>
          <cell r="AP42">
            <v>0</v>
          </cell>
          <cell r="AQ42">
            <v>0</v>
          </cell>
          <cell r="AR42">
            <v>0</v>
          </cell>
          <cell r="AS42">
            <v>0</v>
          </cell>
          <cell r="AT42">
            <v>0</v>
          </cell>
          <cell r="AU42">
            <v>0</v>
          </cell>
          <cell r="AV42">
            <v>30858706</v>
          </cell>
        </row>
        <row r="43">
          <cell r="A43">
            <v>7316000</v>
          </cell>
          <cell r="B43" t="str">
            <v>هزينه سربار مواد اوليه (افشانه ها )</v>
          </cell>
          <cell r="C43">
            <v>0</v>
          </cell>
          <cell r="D43">
            <v>0</v>
          </cell>
          <cell r="E43">
            <v>0</v>
          </cell>
          <cell r="F43">
            <v>0</v>
          </cell>
          <cell r="G43">
            <v>0</v>
          </cell>
          <cell r="H43">
            <v>0</v>
          </cell>
          <cell r="I43">
            <v>0</v>
          </cell>
          <cell r="J43">
            <v>0</v>
          </cell>
          <cell r="K43">
            <v>0</v>
          </cell>
          <cell r="L43">
            <v>0</v>
          </cell>
          <cell r="M43">
            <v>0</v>
          </cell>
          <cell r="N43">
            <v>0</v>
          </cell>
          <cell r="O43">
            <v>1487404</v>
          </cell>
          <cell r="P43">
            <v>0</v>
          </cell>
          <cell r="Q43">
            <v>0</v>
          </cell>
          <cell r="R43">
            <v>1487404</v>
          </cell>
          <cell r="S43">
            <v>0</v>
          </cell>
          <cell r="T43">
            <v>0</v>
          </cell>
          <cell r="U43">
            <v>0</v>
          </cell>
          <cell r="V43">
            <v>0</v>
          </cell>
          <cell r="W43">
            <v>42672949</v>
          </cell>
          <cell r="X43">
            <v>0</v>
          </cell>
          <cell r="Y43">
            <v>0</v>
          </cell>
          <cell r="Z43">
            <v>0</v>
          </cell>
          <cell r="AA43">
            <v>0</v>
          </cell>
          <cell r="AB43">
            <v>1387961</v>
          </cell>
          <cell r="AC43">
            <v>0</v>
          </cell>
          <cell r="AD43">
            <v>0</v>
          </cell>
          <cell r="AE43">
            <v>0</v>
          </cell>
          <cell r="AF43">
            <v>0</v>
          </cell>
          <cell r="AG43">
            <v>44060910</v>
          </cell>
          <cell r="AH43">
            <v>45548314</v>
          </cell>
          <cell r="AI43">
            <v>0</v>
          </cell>
          <cell r="AJ43">
            <v>0</v>
          </cell>
          <cell r="AK43">
            <v>91667111</v>
          </cell>
          <cell r="AL43">
            <v>0</v>
          </cell>
          <cell r="AM43">
            <v>0</v>
          </cell>
          <cell r="AN43">
            <v>0</v>
          </cell>
          <cell r="AO43">
            <v>0</v>
          </cell>
          <cell r="AP43">
            <v>0</v>
          </cell>
          <cell r="AQ43">
            <v>0</v>
          </cell>
          <cell r="AR43">
            <v>0</v>
          </cell>
          <cell r="AS43">
            <v>0</v>
          </cell>
          <cell r="AT43">
            <v>0</v>
          </cell>
          <cell r="AU43">
            <v>91667111</v>
          </cell>
          <cell r="AV43">
            <v>137215425</v>
          </cell>
        </row>
        <row r="44">
          <cell r="A44">
            <v>7317000</v>
          </cell>
          <cell r="B44" t="str">
            <v>هزينه  سربار  بسته بندي (افشا نه ها )</v>
          </cell>
          <cell r="C44">
            <v>0</v>
          </cell>
          <cell r="D44">
            <v>0</v>
          </cell>
          <cell r="E44">
            <v>0</v>
          </cell>
          <cell r="F44">
            <v>0</v>
          </cell>
          <cell r="G44">
            <v>0</v>
          </cell>
          <cell r="H44">
            <v>0</v>
          </cell>
          <cell r="I44">
            <v>0</v>
          </cell>
          <cell r="J44">
            <v>0</v>
          </cell>
          <cell r="K44">
            <v>0</v>
          </cell>
          <cell r="L44">
            <v>0</v>
          </cell>
          <cell r="M44">
            <v>0</v>
          </cell>
          <cell r="N44">
            <v>0</v>
          </cell>
          <cell r="O44">
            <v>1701000</v>
          </cell>
          <cell r="P44">
            <v>7710540</v>
          </cell>
          <cell r="Q44">
            <v>0</v>
          </cell>
          <cell r="R44">
            <v>9411540</v>
          </cell>
          <cell r="S44">
            <v>0</v>
          </cell>
          <cell r="T44">
            <v>0</v>
          </cell>
          <cell r="U44">
            <v>0</v>
          </cell>
          <cell r="V44">
            <v>0</v>
          </cell>
          <cell r="W44">
            <v>291357</v>
          </cell>
          <cell r="X44">
            <v>0</v>
          </cell>
          <cell r="Y44">
            <v>0</v>
          </cell>
          <cell r="Z44">
            <v>0</v>
          </cell>
          <cell r="AA44">
            <v>0</v>
          </cell>
          <cell r="AB44">
            <v>0</v>
          </cell>
          <cell r="AC44">
            <v>0</v>
          </cell>
          <cell r="AD44">
            <v>0</v>
          </cell>
          <cell r="AE44">
            <v>0</v>
          </cell>
          <cell r="AF44">
            <v>0</v>
          </cell>
          <cell r="AG44">
            <v>291357</v>
          </cell>
          <cell r="AH44">
            <v>9702897</v>
          </cell>
          <cell r="AI44">
            <v>0</v>
          </cell>
          <cell r="AJ44">
            <v>0</v>
          </cell>
          <cell r="AK44">
            <v>0</v>
          </cell>
          <cell r="AL44">
            <v>0</v>
          </cell>
          <cell r="AM44">
            <v>0</v>
          </cell>
          <cell r="AN44">
            <v>0</v>
          </cell>
          <cell r="AO44">
            <v>0</v>
          </cell>
          <cell r="AP44">
            <v>0</v>
          </cell>
          <cell r="AQ44">
            <v>0</v>
          </cell>
          <cell r="AR44">
            <v>0</v>
          </cell>
          <cell r="AS44">
            <v>0</v>
          </cell>
          <cell r="AT44">
            <v>0</v>
          </cell>
          <cell r="AU44">
            <v>0</v>
          </cell>
          <cell r="AV44">
            <v>9702897</v>
          </cell>
        </row>
        <row r="45">
          <cell r="A45">
            <v>7319000</v>
          </cell>
          <cell r="B45" t="str">
            <v>تعميرونگهداري ساختمان وتاسيسات</v>
          </cell>
          <cell r="C45">
            <v>0</v>
          </cell>
          <cell r="D45">
            <v>1090000</v>
          </cell>
          <cell r="E45">
            <v>12502500</v>
          </cell>
          <cell r="F45">
            <v>0</v>
          </cell>
          <cell r="G45">
            <v>0</v>
          </cell>
          <cell r="H45">
            <v>0</v>
          </cell>
          <cell r="I45">
            <v>930000</v>
          </cell>
          <cell r="J45">
            <v>584000</v>
          </cell>
          <cell r="K45">
            <v>0</v>
          </cell>
          <cell r="L45">
            <v>0</v>
          </cell>
          <cell r="M45">
            <v>0</v>
          </cell>
          <cell r="N45">
            <v>18150000</v>
          </cell>
          <cell r="O45">
            <v>0</v>
          </cell>
          <cell r="P45">
            <v>0</v>
          </cell>
          <cell r="Q45">
            <v>7130000</v>
          </cell>
          <cell r="R45">
            <v>40386500</v>
          </cell>
          <cell r="S45">
            <v>0</v>
          </cell>
          <cell r="T45">
            <v>0</v>
          </cell>
          <cell r="U45">
            <v>698195122</v>
          </cell>
          <cell r="V45">
            <v>7048000</v>
          </cell>
          <cell r="W45">
            <v>13500000</v>
          </cell>
          <cell r="X45">
            <v>24115000</v>
          </cell>
          <cell r="Y45">
            <v>0</v>
          </cell>
          <cell r="Z45">
            <v>0</v>
          </cell>
          <cell r="AA45">
            <v>0</v>
          </cell>
          <cell r="AB45">
            <v>0</v>
          </cell>
          <cell r="AC45">
            <v>4377000</v>
          </cell>
          <cell r="AD45">
            <v>0</v>
          </cell>
          <cell r="AE45">
            <v>0</v>
          </cell>
          <cell r="AF45">
            <v>0</v>
          </cell>
          <cell r="AG45">
            <v>747235122</v>
          </cell>
          <cell r="AH45">
            <v>787621622</v>
          </cell>
          <cell r="AI45">
            <v>14273333</v>
          </cell>
          <cell r="AJ45">
            <v>0</v>
          </cell>
          <cell r="AK45">
            <v>0</v>
          </cell>
          <cell r="AL45">
            <v>0</v>
          </cell>
          <cell r="AM45">
            <v>0</v>
          </cell>
          <cell r="AN45">
            <v>0</v>
          </cell>
          <cell r="AO45">
            <v>6000000</v>
          </cell>
          <cell r="AP45">
            <v>0</v>
          </cell>
          <cell r="AQ45">
            <v>0</v>
          </cell>
          <cell r="AR45">
            <v>0</v>
          </cell>
          <cell r="AS45">
            <v>0</v>
          </cell>
          <cell r="AT45">
            <v>5000000</v>
          </cell>
          <cell r="AU45">
            <v>25273333</v>
          </cell>
          <cell r="AV45">
            <v>812894955</v>
          </cell>
        </row>
        <row r="46">
          <cell r="A46">
            <v>7320000</v>
          </cell>
          <cell r="B46" t="str">
            <v>تعميرونگهداري ماشين آلات</v>
          </cell>
          <cell r="C46">
            <v>0</v>
          </cell>
          <cell r="D46">
            <v>38443737</v>
          </cell>
          <cell r="E46">
            <v>17198950</v>
          </cell>
          <cell r="F46">
            <v>17116150</v>
          </cell>
          <cell r="G46">
            <v>68005594</v>
          </cell>
          <cell r="H46">
            <v>595040</v>
          </cell>
          <cell r="I46">
            <v>28099791</v>
          </cell>
          <cell r="J46">
            <v>497420</v>
          </cell>
          <cell r="K46">
            <v>370000</v>
          </cell>
          <cell r="L46">
            <v>0</v>
          </cell>
          <cell r="M46">
            <v>0</v>
          </cell>
          <cell r="N46">
            <v>0</v>
          </cell>
          <cell r="O46">
            <v>0</v>
          </cell>
          <cell r="P46">
            <v>0</v>
          </cell>
          <cell r="Q46">
            <v>3189636</v>
          </cell>
          <cell r="R46">
            <v>173516318</v>
          </cell>
          <cell r="S46">
            <v>0</v>
          </cell>
          <cell r="T46">
            <v>0</v>
          </cell>
          <cell r="U46">
            <v>81186078</v>
          </cell>
          <cell r="V46">
            <v>43634472</v>
          </cell>
          <cell r="W46">
            <v>485527</v>
          </cell>
          <cell r="X46">
            <v>545354</v>
          </cell>
          <cell r="Y46">
            <v>1424500</v>
          </cell>
          <cell r="Z46">
            <v>0</v>
          </cell>
          <cell r="AA46">
            <v>0</v>
          </cell>
          <cell r="AB46">
            <v>0</v>
          </cell>
          <cell r="AC46">
            <v>0</v>
          </cell>
          <cell r="AD46">
            <v>0</v>
          </cell>
          <cell r="AE46">
            <v>60000</v>
          </cell>
          <cell r="AF46">
            <v>0</v>
          </cell>
          <cell r="AG46">
            <v>127335931</v>
          </cell>
          <cell r="AH46">
            <v>300852249</v>
          </cell>
          <cell r="AI46">
            <v>0</v>
          </cell>
          <cell r="AJ46">
            <v>0</v>
          </cell>
          <cell r="AK46">
            <v>0</v>
          </cell>
          <cell r="AL46">
            <v>0</v>
          </cell>
          <cell r="AM46">
            <v>0</v>
          </cell>
          <cell r="AN46">
            <v>0</v>
          </cell>
          <cell r="AO46">
            <v>0</v>
          </cell>
          <cell r="AP46">
            <v>0</v>
          </cell>
          <cell r="AQ46">
            <v>11625</v>
          </cell>
          <cell r="AR46">
            <v>0</v>
          </cell>
          <cell r="AS46">
            <v>0</v>
          </cell>
          <cell r="AT46">
            <v>0</v>
          </cell>
          <cell r="AU46">
            <v>11625</v>
          </cell>
          <cell r="AV46">
            <v>300863874</v>
          </cell>
        </row>
        <row r="47">
          <cell r="A47">
            <v>7321000</v>
          </cell>
          <cell r="B47" t="str">
            <v>تعميرونگهداري وسائطنقليه</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12433685</v>
          </cell>
          <cell r="V47">
            <v>0</v>
          </cell>
          <cell r="W47">
            <v>50000</v>
          </cell>
          <cell r="X47">
            <v>14132288</v>
          </cell>
          <cell r="Y47">
            <v>0</v>
          </cell>
          <cell r="Z47">
            <v>0</v>
          </cell>
          <cell r="AA47">
            <v>0</v>
          </cell>
          <cell r="AB47">
            <v>7992000</v>
          </cell>
          <cell r="AC47">
            <v>0</v>
          </cell>
          <cell r="AD47">
            <v>885000</v>
          </cell>
          <cell r="AE47">
            <v>0</v>
          </cell>
          <cell r="AF47">
            <v>0</v>
          </cell>
          <cell r="AG47">
            <v>35492973</v>
          </cell>
          <cell r="AH47">
            <v>35492973</v>
          </cell>
          <cell r="AI47">
            <v>0</v>
          </cell>
          <cell r="AJ47">
            <v>7084180</v>
          </cell>
          <cell r="AK47">
            <v>0</v>
          </cell>
          <cell r="AL47">
            <v>0</v>
          </cell>
          <cell r="AM47">
            <v>0</v>
          </cell>
          <cell r="AN47">
            <v>0</v>
          </cell>
          <cell r="AO47">
            <v>0</v>
          </cell>
          <cell r="AP47">
            <v>530000</v>
          </cell>
          <cell r="AQ47">
            <v>0</v>
          </cell>
          <cell r="AR47">
            <v>0</v>
          </cell>
          <cell r="AS47">
            <v>0</v>
          </cell>
          <cell r="AT47">
            <v>0</v>
          </cell>
          <cell r="AU47">
            <v>7614180</v>
          </cell>
          <cell r="AV47">
            <v>43107153</v>
          </cell>
        </row>
        <row r="48">
          <cell r="A48">
            <v>7322000</v>
          </cell>
          <cell r="B48" t="str">
            <v>تعميرونگهداري اثاثيه ومنصوبات</v>
          </cell>
          <cell r="C48">
            <v>0</v>
          </cell>
          <cell r="D48">
            <v>0</v>
          </cell>
          <cell r="E48">
            <v>0</v>
          </cell>
          <cell r="F48">
            <v>0</v>
          </cell>
          <cell r="G48">
            <v>0</v>
          </cell>
          <cell r="H48">
            <v>0</v>
          </cell>
          <cell r="I48">
            <v>0</v>
          </cell>
          <cell r="J48">
            <v>0</v>
          </cell>
          <cell r="K48">
            <v>0</v>
          </cell>
          <cell r="L48">
            <v>0</v>
          </cell>
          <cell r="M48">
            <v>0</v>
          </cell>
          <cell r="N48">
            <v>1186790</v>
          </cell>
          <cell r="O48">
            <v>0</v>
          </cell>
          <cell r="P48">
            <v>0</v>
          </cell>
          <cell r="Q48">
            <v>0</v>
          </cell>
          <cell r="R48">
            <v>1186790</v>
          </cell>
          <cell r="S48">
            <v>0</v>
          </cell>
          <cell r="T48">
            <v>300000</v>
          </cell>
          <cell r="U48">
            <v>25695500</v>
          </cell>
          <cell r="V48">
            <v>0</v>
          </cell>
          <cell r="W48">
            <v>3000000</v>
          </cell>
          <cell r="X48">
            <v>0</v>
          </cell>
          <cell r="Y48">
            <v>0</v>
          </cell>
          <cell r="Z48">
            <v>0</v>
          </cell>
          <cell r="AA48">
            <v>0</v>
          </cell>
          <cell r="AB48">
            <v>200000</v>
          </cell>
          <cell r="AC48">
            <v>0</v>
          </cell>
          <cell r="AD48">
            <v>4562862</v>
          </cell>
          <cell r="AE48">
            <v>0</v>
          </cell>
          <cell r="AF48">
            <v>0</v>
          </cell>
          <cell r="AG48">
            <v>33758362</v>
          </cell>
          <cell r="AH48">
            <v>34945152</v>
          </cell>
          <cell r="AI48">
            <v>16578496</v>
          </cell>
          <cell r="AJ48">
            <v>465000</v>
          </cell>
          <cell r="AK48">
            <v>0</v>
          </cell>
          <cell r="AL48">
            <v>0</v>
          </cell>
          <cell r="AM48">
            <v>0</v>
          </cell>
          <cell r="AN48">
            <v>0</v>
          </cell>
          <cell r="AO48">
            <v>2990000</v>
          </cell>
          <cell r="AP48">
            <v>1617000</v>
          </cell>
          <cell r="AQ48">
            <v>2686000</v>
          </cell>
          <cell r="AR48">
            <v>0</v>
          </cell>
          <cell r="AS48">
            <v>0</v>
          </cell>
          <cell r="AT48">
            <v>8390000</v>
          </cell>
          <cell r="AU48">
            <v>32726496</v>
          </cell>
          <cell r="AV48">
            <v>67671648</v>
          </cell>
        </row>
        <row r="49">
          <cell r="A49">
            <v>7323000</v>
          </cell>
          <cell r="B49" t="str">
            <v>تعميرونگهداري سايردارائيها</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2910000</v>
          </cell>
          <cell r="V49">
            <v>0</v>
          </cell>
          <cell r="W49">
            <v>152750000</v>
          </cell>
          <cell r="X49">
            <v>0</v>
          </cell>
          <cell r="Y49">
            <v>0</v>
          </cell>
          <cell r="Z49">
            <v>0</v>
          </cell>
          <cell r="AA49">
            <v>0</v>
          </cell>
          <cell r="AB49">
            <v>0</v>
          </cell>
          <cell r="AC49">
            <v>0</v>
          </cell>
          <cell r="AD49">
            <v>0</v>
          </cell>
          <cell r="AE49">
            <v>0</v>
          </cell>
          <cell r="AF49">
            <v>0</v>
          </cell>
          <cell r="AG49">
            <v>155660000</v>
          </cell>
          <cell r="AH49">
            <v>155660000</v>
          </cell>
          <cell r="AI49">
            <v>0</v>
          </cell>
          <cell r="AJ49">
            <v>0</v>
          </cell>
          <cell r="AK49">
            <v>30900000</v>
          </cell>
          <cell r="AL49">
            <v>0</v>
          </cell>
          <cell r="AM49">
            <v>0</v>
          </cell>
          <cell r="AN49">
            <v>0</v>
          </cell>
          <cell r="AO49">
            <v>0</v>
          </cell>
          <cell r="AP49">
            <v>0</v>
          </cell>
          <cell r="AQ49">
            <v>0</v>
          </cell>
          <cell r="AR49">
            <v>0</v>
          </cell>
          <cell r="AS49">
            <v>0</v>
          </cell>
          <cell r="AT49">
            <v>9050000</v>
          </cell>
          <cell r="AU49">
            <v>39950000</v>
          </cell>
          <cell r="AV49">
            <v>195610000</v>
          </cell>
        </row>
        <row r="50">
          <cell r="A50">
            <v>7324000</v>
          </cell>
          <cell r="B50" t="str">
            <v>هزينه موادوملزومات مصرفي</v>
          </cell>
          <cell r="C50">
            <v>0</v>
          </cell>
          <cell r="D50">
            <v>15233050</v>
          </cell>
          <cell r="E50">
            <v>9975555</v>
          </cell>
          <cell r="F50">
            <v>8919944</v>
          </cell>
          <cell r="G50">
            <v>9369887</v>
          </cell>
          <cell r="H50">
            <v>11917360</v>
          </cell>
          <cell r="I50">
            <v>45670000</v>
          </cell>
          <cell r="J50">
            <v>6556505</v>
          </cell>
          <cell r="K50">
            <v>5254671</v>
          </cell>
          <cell r="L50">
            <v>0</v>
          </cell>
          <cell r="M50">
            <v>0</v>
          </cell>
          <cell r="N50">
            <v>80291065</v>
          </cell>
          <cell r="O50">
            <v>0</v>
          </cell>
          <cell r="P50">
            <v>0</v>
          </cell>
          <cell r="Q50">
            <v>56548412</v>
          </cell>
          <cell r="R50">
            <v>249736449</v>
          </cell>
          <cell r="S50">
            <v>2278005</v>
          </cell>
          <cell r="T50">
            <v>90078375</v>
          </cell>
          <cell r="U50">
            <v>242585094</v>
          </cell>
          <cell r="V50">
            <v>31210944</v>
          </cell>
          <cell r="W50">
            <v>295503389</v>
          </cell>
          <cell r="X50">
            <v>30328537</v>
          </cell>
          <cell r="Y50">
            <v>21623161</v>
          </cell>
          <cell r="Z50">
            <v>5212950</v>
          </cell>
          <cell r="AA50">
            <v>2910884</v>
          </cell>
          <cell r="AB50">
            <v>12569942</v>
          </cell>
          <cell r="AC50">
            <v>5838177</v>
          </cell>
          <cell r="AD50">
            <v>177521411</v>
          </cell>
          <cell r="AE50">
            <v>8630200</v>
          </cell>
          <cell r="AF50">
            <v>1990000</v>
          </cell>
          <cell r="AG50">
            <v>928281069</v>
          </cell>
          <cell r="AH50">
            <v>1178017518</v>
          </cell>
          <cell r="AI50">
            <v>47951149</v>
          </cell>
          <cell r="AJ50">
            <v>6103400</v>
          </cell>
          <cell r="AK50">
            <v>407400194</v>
          </cell>
          <cell r="AL50">
            <v>4923994</v>
          </cell>
          <cell r="AM50">
            <v>0</v>
          </cell>
          <cell r="AN50">
            <v>0</v>
          </cell>
          <cell r="AO50">
            <v>66515801</v>
          </cell>
          <cell r="AP50">
            <v>8323759</v>
          </cell>
          <cell r="AQ50">
            <v>37409166</v>
          </cell>
          <cell r="AR50">
            <v>0</v>
          </cell>
          <cell r="AS50">
            <v>11070014</v>
          </cell>
          <cell r="AT50">
            <v>94357077</v>
          </cell>
          <cell r="AU50">
            <v>684054554</v>
          </cell>
          <cell r="AV50">
            <v>1862072072</v>
          </cell>
        </row>
        <row r="51">
          <cell r="A51">
            <v>7350000</v>
          </cell>
          <cell r="B51" t="str">
            <v xml:space="preserve">هزينه حق المشاوره حقوقي </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27526800</v>
          </cell>
          <cell r="AC51">
            <v>23020200</v>
          </cell>
          <cell r="AD51">
            <v>24901239</v>
          </cell>
          <cell r="AE51">
            <v>0</v>
          </cell>
          <cell r="AF51">
            <v>0</v>
          </cell>
          <cell r="AG51">
            <v>75448239</v>
          </cell>
          <cell r="AH51">
            <v>75448239</v>
          </cell>
          <cell r="AI51">
            <v>45521329</v>
          </cell>
          <cell r="AJ51">
            <v>434430000</v>
          </cell>
          <cell r="AK51">
            <v>112653750</v>
          </cell>
          <cell r="AL51">
            <v>0</v>
          </cell>
          <cell r="AM51">
            <v>0</v>
          </cell>
          <cell r="AN51">
            <v>76028068</v>
          </cell>
          <cell r="AO51">
            <v>0</v>
          </cell>
          <cell r="AP51">
            <v>17490000</v>
          </cell>
          <cell r="AQ51">
            <v>19845000</v>
          </cell>
          <cell r="AR51">
            <v>0</v>
          </cell>
          <cell r="AS51">
            <v>18659775</v>
          </cell>
          <cell r="AT51">
            <v>21713430</v>
          </cell>
          <cell r="AU51">
            <v>746341352</v>
          </cell>
          <cell r="AV51">
            <v>821789591</v>
          </cell>
        </row>
        <row r="52">
          <cell r="A52">
            <v>7376000</v>
          </cell>
          <cell r="B52" t="str">
            <v>هزينه اجاره</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22050000</v>
          </cell>
          <cell r="AJ52">
            <v>0</v>
          </cell>
          <cell r="AK52">
            <v>0</v>
          </cell>
          <cell r="AL52">
            <v>0</v>
          </cell>
          <cell r="AM52">
            <v>0</v>
          </cell>
          <cell r="AN52">
            <v>0</v>
          </cell>
          <cell r="AO52">
            <v>0</v>
          </cell>
          <cell r="AP52">
            <v>0</v>
          </cell>
          <cell r="AQ52">
            <v>0</v>
          </cell>
          <cell r="AR52">
            <v>0</v>
          </cell>
          <cell r="AS52">
            <v>0</v>
          </cell>
          <cell r="AT52">
            <v>0</v>
          </cell>
          <cell r="AU52">
            <v>22050000</v>
          </cell>
          <cell r="AV52">
            <v>22050000</v>
          </cell>
        </row>
        <row r="53">
          <cell r="A53">
            <v>7325000</v>
          </cell>
          <cell r="B53" t="str">
            <v>هزينه ضايعات مواد اوليه وبسته بندي</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249222092</v>
          </cell>
          <cell r="AE53">
            <v>0</v>
          </cell>
          <cell r="AF53">
            <v>0</v>
          </cell>
          <cell r="AG53">
            <v>249222092</v>
          </cell>
          <cell r="AH53">
            <v>249222092</v>
          </cell>
          <cell r="AI53">
            <v>0</v>
          </cell>
          <cell r="AJ53">
            <v>0</v>
          </cell>
          <cell r="AK53">
            <v>0</v>
          </cell>
          <cell r="AL53">
            <v>0</v>
          </cell>
          <cell r="AM53">
            <v>0</v>
          </cell>
          <cell r="AN53">
            <v>0</v>
          </cell>
          <cell r="AO53">
            <v>0</v>
          </cell>
          <cell r="AP53">
            <v>0</v>
          </cell>
          <cell r="AQ53">
            <v>0</v>
          </cell>
          <cell r="AR53">
            <v>0</v>
          </cell>
          <cell r="AS53">
            <v>0</v>
          </cell>
          <cell r="AT53">
            <v>0</v>
          </cell>
          <cell r="AU53">
            <v>0</v>
          </cell>
          <cell r="AV53">
            <v>249222092</v>
          </cell>
        </row>
        <row r="54">
          <cell r="A54">
            <v>7353000</v>
          </cell>
          <cell r="B54" t="str">
            <v>تعديل انبارگرداني ومصرف</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row>
        <row r="55">
          <cell r="A55">
            <v>7355000</v>
          </cell>
          <cell r="B55" t="str">
            <v>هزينه حق الزحمه هيات مديره</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40500000</v>
          </cell>
          <cell r="AK55">
            <v>0</v>
          </cell>
          <cell r="AL55">
            <v>0</v>
          </cell>
          <cell r="AM55">
            <v>0</v>
          </cell>
          <cell r="AN55">
            <v>0</v>
          </cell>
          <cell r="AO55">
            <v>0</v>
          </cell>
          <cell r="AP55">
            <v>0</v>
          </cell>
          <cell r="AQ55">
            <v>0</v>
          </cell>
          <cell r="AR55">
            <v>0</v>
          </cell>
          <cell r="AS55">
            <v>0</v>
          </cell>
          <cell r="AT55">
            <v>0</v>
          </cell>
          <cell r="AU55">
            <v>40500000</v>
          </cell>
          <cell r="AV55">
            <v>40500000</v>
          </cell>
        </row>
        <row r="56">
          <cell r="A56">
            <v>7356000</v>
          </cell>
          <cell r="B56" t="str">
            <v>هزينه هاي ثبتي ومحضري</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800000</v>
          </cell>
          <cell r="AC56">
            <v>0</v>
          </cell>
          <cell r="AD56">
            <v>0</v>
          </cell>
          <cell r="AE56">
            <v>0</v>
          </cell>
          <cell r="AF56">
            <v>0</v>
          </cell>
          <cell r="AG56">
            <v>800000</v>
          </cell>
          <cell r="AH56">
            <v>800000</v>
          </cell>
          <cell r="AI56">
            <v>2605263</v>
          </cell>
          <cell r="AJ56">
            <v>0</v>
          </cell>
          <cell r="AK56">
            <v>0</v>
          </cell>
          <cell r="AL56">
            <v>0</v>
          </cell>
          <cell r="AM56">
            <v>0</v>
          </cell>
          <cell r="AN56">
            <v>31860000</v>
          </cell>
          <cell r="AO56">
            <v>0</v>
          </cell>
          <cell r="AP56">
            <v>0</v>
          </cell>
          <cell r="AQ56">
            <v>0</v>
          </cell>
          <cell r="AR56">
            <v>0</v>
          </cell>
          <cell r="AS56">
            <v>0</v>
          </cell>
          <cell r="AT56">
            <v>800000</v>
          </cell>
          <cell r="AU56">
            <v>35265263</v>
          </cell>
          <cell r="AV56">
            <v>36065263</v>
          </cell>
        </row>
        <row r="57">
          <cell r="A57">
            <v>7357000</v>
          </cell>
          <cell r="B57" t="str">
            <v>هزينه هاي عوارض</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359000</v>
          </cell>
          <cell r="AC57">
            <v>0</v>
          </cell>
          <cell r="AD57">
            <v>378208000</v>
          </cell>
          <cell r="AE57">
            <v>0</v>
          </cell>
          <cell r="AF57">
            <v>0</v>
          </cell>
          <cell r="AG57">
            <v>378567000</v>
          </cell>
          <cell r="AH57">
            <v>378567000</v>
          </cell>
          <cell r="AI57">
            <v>192000</v>
          </cell>
          <cell r="AJ57">
            <v>3219000</v>
          </cell>
          <cell r="AK57">
            <v>0</v>
          </cell>
          <cell r="AL57">
            <v>0</v>
          </cell>
          <cell r="AM57">
            <v>0</v>
          </cell>
          <cell r="AN57">
            <v>0</v>
          </cell>
          <cell r="AO57">
            <v>0</v>
          </cell>
          <cell r="AP57">
            <v>0</v>
          </cell>
          <cell r="AQ57">
            <v>0</v>
          </cell>
          <cell r="AR57">
            <v>0</v>
          </cell>
          <cell r="AS57">
            <v>125000</v>
          </cell>
          <cell r="AT57">
            <v>0</v>
          </cell>
          <cell r="AU57">
            <v>3536000</v>
          </cell>
          <cell r="AV57">
            <v>382103000</v>
          </cell>
        </row>
        <row r="58">
          <cell r="A58">
            <v>7359000</v>
          </cell>
          <cell r="B58" t="str">
            <v>يك درصدبازآموزي ونوآموزي</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88888888</v>
          </cell>
          <cell r="AL58">
            <v>0</v>
          </cell>
          <cell r="AM58">
            <v>0</v>
          </cell>
          <cell r="AN58">
            <v>844520561</v>
          </cell>
          <cell r="AO58">
            <v>0</v>
          </cell>
          <cell r="AP58">
            <v>0</v>
          </cell>
          <cell r="AQ58">
            <v>0</v>
          </cell>
          <cell r="AR58">
            <v>0</v>
          </cell>
          <cell r="AS58">
            <v>0</v>
          </cell>
          <cell r="AT58">
            <v>0</v>
          </cell>
          <cell r="AU58">
            <v>933409449</v>
          </cell>
          <cell r="AV58">
            <v>933409449</v>
          </cell>
        </row>
        <row r="59">
          <cell r="A59">
            <v>7361000</v>
          </cell>
          <cell r="B59" t="str">
            <v>هزينه هاي آزمايشگاهي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2200000</v>
          </cell>
          <cell r="AL59">
            <v>0</v>
          </cell>
          <cell r="AM59">
            <v>0</v>
          </cell>
          <cell r="AN59">
            <v>0</v>
          </cell>
          <cell r="AO59">
            <v>0</v>
          </cell>
          <cell r="AP59">
            <v>0</v>
          </cell>
          <cell r="AQ59">
            <v>0</v>
          </cell>
          <cell r="AR59">
            <v>0</v>
          </cell>
          <cell r="AS59">
            <v>0</v>
          </cell>
          <cell r="AT59">
            <v>3300000</v>
          </cell>
          <cell r="AU59">
            <v>5500000</v>
          </cell>
          <cell r="AV59">
            <v>5500000</v>
          </cell>
        </row>
        <row r="60">
          <cell r="A60">
            <v>7364000</v>
          </cell>
          <cell r="B60" t="str">
            <v>هزينه حمل ونگهداري</v>
          </cell>
          <cell r="C60">
            <v>0</v>
          </cell>
          <cell r="D60">
            <v>0</v>
          </cell>
          <cell r="E60">
            <v>0</v>
          </cell>
          <cell r="F60">
            <v>0</v>
          </cell>
          <cell r="G60">
            <v>0</v>
          </cell>
          <cell r="H60">
            <v>0</v>
          </cell>
          <cell r="I60">
            <v>0</v>
          </cell>
          <cell r="J60">
            <v>0</v>
          </cell>
          <cell r="K60">
            <v>0</v>
          </cell>
          <cell r="L60">
            <v>0</v>
          </cell>
          <cell r="M60">
            <v>0</v>
          </cell>
          <cell r="N60">
            <v>150000</v>
          </cell>
          <cell r="O60">
            <v>0</v>
          </cell>
          <cell r="P60">
            <v>0</v>
          </cell>
          <cell r="Q60">
            <v>60000</v>
          </cell>
          <cell r="R60">
            <v>210000</v>
          </cell>
          <cell r="S60">
            <v>0</v>
          </cell>
          <cell r="T60">
            <v>0</v>
          </cell>
          <cell r="U60">
            <v>21461820</v>
          </cell>
          <cell r="V60">
            <v>0</v>
          </cell>
          <cell r="W60">
            <v>1500000</v>
          </cell>
          <cell r="X60">
            <v>173313368</v>
          </cell>
          <cell r="Y60">
            <v>410000</v>
          </cell>
          <cell r="Z60">
            <v>0</v>
          </cell>
          <cell r="AA60">
            <v>0</v>
          </cell>
          <cell r="AB60">
            <v>115000</v>
          </cell>
          <cell r="AC60">
            <v>0</v>
          </cell>
          <cell r="AD60">
            <v>18987000</v>
          </cell>
          <cell r="AE60">
            <v>0</v>
          </cell>
          <cell r="AF60">
            <v>10730000</v>
          </cell>
          <cell r="AG60">
            <v>226517188</v>
          </cell>
          <cell r="AH60">
            <v>226727188</v>
          </cell>
          <cell r="AI60">
            <v>20149000</v>
          </cell>
          <cell r="AJ60">
            <v>0</v>
          </cell>
          <cell r="AK60">
            <v>0</v>
          </cell>
          <cell r="AL60">
            <v>0</v>
          </cell>
          <cell r="AM60">
            <v>0</v>
          </cell>
          <cell r="AN60">
            <v>0</v>
          </cell>
          <cell r="AO60">
            <v>765000</v>
          </cell>
          <cell r="AP60">
            <v>575000</v>
          </cell>
          <cell r="AQ60">
            <v>5360000</v>
          </cell>
          <cell r="AR60">
            <v>0</v>
          </cell>
          <cell r="AS60">
            <v>9058394</v>
          </cell>
          <cell r="AT60">
            <v>890000</v>
          </cell>
          <cell r="AU60">
            <v>36797394</v>
          </cell>
          <cell r="AV60">
            <v>263524582</v>
          </cell>
        </row>
        <row r="61">
          <cell r="A61">
            <v>7365000</v>
          </cell>
          <cell r="B61" t="str">
            <v>هزينه كارآموزان</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row>
        <row r="62">
          <cell r="A62">
            <v>7367000</v>
          </cell>
          <cell r="B62" t="str">
            <v>هزينه حق عضويت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1339550</v>
          </cell>
          <cell r="AC62">
            <v>0</v>
          </cell>
          <cell r="AD62">
            <v>20000000</v>
          </cell>
          <cell r="AE62">
            <v>0</v>
          </cell>
          <cell r="AF62">
            <v>0</v>
          </cell>
          <cell r="AG62">
            <v>21339550</v>
          </cell>
          <cell r="AH62">
            <v>21339550</v>
          </cell>
          <cell r="AI62">
            <v>0</v>
          </cell>
          <cell r="AJ62">
            <v>0</v>
          </cell>
          <cell r="AK62">
            <v>9108000</v>
          </cell>
          <cell r="AL62">
            <v>0</v>
          </cell>
          <cell r="AM62">
            <v>0</v>
          </cell>
          <cell r="AN62">
            <v>0</v>
          </cell>
          <cell r="AO62">
            <v>0</v>
          </cell>
          <cell r="AP62">
            <v>0</v>
          </cell>
          <cell r="AQ62">
            <v>0</v>
          </cell>
          <cell r="AR62">
            <v>0</v>
          </cell>
          <cell r="AS62">
            <v>0</v>
          </cell>
          <cell r="AT62">
            <v>0</v>
          </cell>
          <cell r="AU62">
            <v>9108000</v>
          </cell>
          <cell r="AV62">
            <v>30447550</v>
          </cell>
        </row>
        <row r="63">
          <cell r="A63">
            <v>7368000</v>
          </cell>
          <cell r="B63" t="str">
            <v>هزينه تبليغات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5000000</v>
          </cell>
          <cell r="AE63">
            <v>0</v>
          </cell>
          <cell r="AF63">
            <v>0</v>
          </cell>
          <cell r="AG63">
            <v>5000000</v>
          </cell>
          <cell r="AH63">
            <v>5000000</v>
          </cell>
          <cell r="AI63">
            <v>1722909525</v>
          </cell>
          <cell r="AJ63">
            <v>0</v>
          </cell>
          <cell r="AK63">
            <v>0</v>
          </cell>
          <cell r="AL63">
            <v>0</v>
          </cell>
          <cell r="AM63">
            <v>0</v>
          </cell>
          <cell r="AN63">
            <v>0</v>
          </cell>
          <cell r="AO63">
            <v>0</v>
          </cell>
          <cell r="AP63">
            <v>0</v>
          </cell>
          <cell r="AQ63">
            <v>0</v>
          </cell>
          <cell r="AR63">
            <v>0</v>
          </cell>
          <cell r="AS63">
            <v>0</v>
          </cell>
          <cell r="AT63">
            <v>0</v>
          </cell>
          <cell r="AU63">
            <v>1722909525</v>
          </cell>
          <cell r="AV63">
            <v>1727909525</v>
          </cell>
        </row>
        <row r="64">
          <cell r="A64">
            <v>7368100</v>
          </cell>
          <cell r="B64" t="str">
            <v>هزينه پورسانت</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1232000000</v>
          </cell>
          <cell r="AJ64">
            <v>0</v>
          </cell>
          <cell r="AK64">
            <v>0</v>
          </cell>
          <cell r="AL64">
            <v>0</v>
          </cell>
          <cell r="AM64">
            <v>0</v>
          </cell>
          <cell r="AN64">
            <v>0</v>
          </cell>
          <cell r="AO64">
            <v>0</v>
          </cell>
          <cell r="AP64">
            <v>0</v>
          </cell>
          <cell r="AQ64">
            <v>0</v>
          </cell>
          <cell r="AR64">
            <v>0</v>
          </cell>
          <cell r="AS64">
            <v>0</v>
          </cell>
          <cell r="AT64">
            <v>0</v>
          </cell>
          <cell r="AU64">
            <v>1232000000</v>
          </cell>
          <cell r="AV64">
            <v>1232000000</v>
          </cell>
        </row>
        <row r="65">
          <cell r="A65">
            <v>7369000</v>
          </cell>
          <cell r="B65" t="str">
            <v>هزينه کارمزد بانکي</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192000</v>
          </cell>
          <cell r="AC65">
            <v>0</v>
          </cell>
          <cell r="AD65">
            <v>11443861</v>
          </cell>
          <cell r="AE65">
            <v>0</v>
          </cell>
          <cell r="AF65">
            <v>0</v>
          </cell>
          <cell r="AG65">
            <v>11635861</v>
          </cell>
          <cell r="AH65">
            <v>11635861</v>
          </cell>
          <cell r="AI65">
            <v>0</v>
          </cell>
          <cell r="AJ65">
            <v>0</v>
          </cell>
          <cell r="AK65">
            <v>0</v>
          </cell>
          <cell r="AL65">
            <v>0</v>
          </cell>
          <cell r="AM65">
            <v>0</v>
          </cell>
          <cell r="AN65">
            <v>3027133</v>
          </cell>
          <cell r="AO65">
            <v>0</v>
          </cell>
          <cell r="AP65">
            <v>150000</v>
          </cell>
          <cell r="AQ65">
            <v>0</v>
          </cell>
          <cell r="AR65">
            <v>0</v>
          </cell>
          <cell r="AS65">
            <v>0</v>
          </cell>
          <cell r="AT65">
            <v>0</v>
          </cell>
          <cell r="AU65">
            <v>3177133</v>
          </cell>
          <cell r="AV65">
            <v>14812994</v>
          </cell>
        </row>
        <row r="66">
          <cell r="A66">
            <v>7372000</v>
          </cell>
          <cell r="B66" t="str">
            <v>هزينه مراسم وپذيرائي</v>
          </cell>
          <cell r="C66">
            <v>0</v>
          </cell>
          <cell r="D66">
            <v>0</v>
          </cell>
          <cell r="E66">
            <v>0</v>
          </cell>
          <cell r="F66">
            <v>0</v>
          </cell>
          <cell r="G66">
            <v>0</v>
          </cell>
          <cell r="H66">
            <v>0</v>
          </cell>
          <cell r="I66">
            <v>0</v>
          </cell>
          <cell r="J66">
            <v>0</v>
          </cell>
          <cell r="K66">
            <v>0</v>
          </cell>
          <cell r="L66">
            <v>0</v>
          </cell>
          <cell r="M66">
            <v>0</v>
          </cell>
          <cell r="N66">
            <v>4728000</v>
          </cell>
          <cell r="O66">
            <v>0</v>
          </cell>
          <cell r="P66">
            <v>0</v>
          </cell>
          <cell r="Q66">
            <v>0</v>
          </cell>
          <cell r="R66">
            <v>4728000</v>
          </cell>
          <cell r="S66">
            <v>0</v>
          </cell>
          <cell r="T66">
            <v>1802640</v>
          </cell>
          <cell r="U66">
            <v>787250</v>
          </cell>
          <cell r="V66">
            <v>0</v>
          </cell>
          <cell r="W66">
            <v>5040450</v>
          </cell>
          <cell r="X66">
            <v>2135000</v>
          </cell>
          <cell r="Y66">
            <v>0</v>
          </cell>
          <cell r="Z66">
            <v>0</v>
          </cell>
          <cell r="AA66">
            <v>0</v>
          </cell>
          <cell r="AB66">
            <v>655500</v>
          </cell>
          <cell r="AC66">
            <v>636000</v>
          </cell>
          <cell r="AD66">
            <v>72668127</v>
          </cell>
          <cell r="AE66">
            <v>4949200</v>
          </cell>
          <cell r="AF66">
            <v>1000000</v>
          </cell>
          <cell r="AG66">
            <v>89674167</v>
          </cell>
          <cell r="AH66">
            <v>94402167</v>
          </cell>
          <cell r="AI66">
            <v>51174738</v>
          </cell>
          <cell r="AJ66">
            <v>64843995</v>
          </cell>
          <cell r="AK66">
            <v>0</v>
          </cell>
          <cell r="AL66">
            <v>2967830</v>
          </cell>
          <cell r="AM66">
            <v>0</v>
          </cell>
          <cell r="AN66">
            <v>0</v>
          </cell>
          <cell r="AO66">
            <v>137000</v>
          </cell>
          <cell r="AP66">
            <v>7167490</v>
          </cell>
          <cell r="AQ66">
            <v>44790500</v>
          </cell>
          <cell r="AR66">
            <v>15695808</v>
          </cell>
          <cell r="AS66">
            <v>0</v>
          </cell>
          <cell r="AT66">
            <v>1687480</v>
          </cell>
          <cell r="AU66">
            <v>188464841</v>
          </cell>
          <cell r="AV66">
            <v>282867008</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1025295</v>
          </cell>
          <cell r="AE67">
            <v>0</v>
          </cell>
          <cell r="AF67">
            <v>0</v>
          </cell>
          <cell r="AG67">
            <v>1025295</v>
          </cell>
          <cell r="AH67">
            <v>1025295</v>
          </cell>
          <cell r="AI67">
            <v>11847589</v>
          </cell>
          <cell r="AJ67">
            <v>500000</v>
          </cell>
          <cell r="AK67">
            <v>0</v>
          </cell>
          <cell r="AL67">
            <v>0</v>
          </cell>
          <cell r="AM67">
            <v>0</v>
          </cell>
          <cell r="AN67">
            <v>0</v>
          </cell>
          <cell r="AO67">
            <v>56970000</v>
          </cell>
          <cell r="AP67">
            <v>5000000</v>
          </cell>
          <cell r="AQ67">
            <v>0</v>
          </cell>
          <cell r="AR67">
            <v>0</v>
          </cell>
          <cell r="AS67">
            <v>0</v>
          </cell>
          <cell r="AT67">
            <v>0</v>
          </cell>
          <cell r="AU67">
            <v>74317589</v>
          </cell>
          <cell r="AV67">
            <v>75342884</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5184000</v>
          </cell>
          <cell r="V68">
            <v>0</v>
          </cell>
          <cell r="W68">
            <v>0</v>
          </cell>
          <cell r="X68">
            <v>0</v>
          </cell>
          <cell r="Y68">
            <v>0</v>
          </cell>
          <cell r="Z68">
            <v>0</v>
          </cell>
          <cell r="AA68">
            <v>0</v>
          </cell>
          <cell r="AB68">
            <v>0</v>
          </cell>
          <cell r="AC68">
            <v>0</v>
          </cell>
          <cell r="AD68">
            <v>0</v>
          </cell>
          <cell r="AE68">
            <v>0</v>
          </cell>
          <cell r="AF68">
            <v>0</v>
          </cell>
          <cell r="AG68">
            <v>5184000</v>
          </cell>
          <cell r="AH68">
            <v>5184000</v>
          </cell>
          <cell r="AI68">
            <v>967855</v>
          </cell>
          <cell r="AJ68">
            <v>0</v>
          </cell>
          <cell r="AK68">
            <v>0</v>
          </cell>
          <cell r="AL68">
            <v>0</v>
          </cell>
          <cell r="AM68">
            <v>0</v>
          </cell>
          <cell r="AN68">
            <v>0</v>
          </cell>
          <cell r="AO68">
            <v>0</v>
          </cell>
          <cell r="AP68">
            <v>0</v>
          </cell>
          <cell r="AQ68">
            <v>0</v>
          </cell>
          <cell r="AR68">
            <v>0</v>
          </cell>
          <cell r="AS68">
            <v>0</v>
          </cell>
          <cell r="AT68">
            <v>0</v>
          </cell>
          <cell r="AU68">
            <v>967855</v>
          </cell>
          <cell r="AV68">
            <v>6151855</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329649599</v>
          </cell>
          <cell r="V69">
            <v>0</v>
          </cell>
          <cell r="W69">
            <v>0</v>
          </cell>
          <cell r="X69">
            <v>0</v>
          </cell>
          <cell r="Y69">
            <v>0</v>
          </cell>
          <cell r="Z69">
            <v>0</v>
          </cell>
          <cell r="AA69">
            <v>0</v>
          </cell>
          <cell r="AB69">
            <v>0</v>
          </cell>
          <cell r="AC69">
            <v>0</v>
          </cell>
          <cell r="AD69">
            <v>0</v>
          </cell>
          <cell r="AE69">
            <v>0</v>
          </cell>
          <cell r="AF69">
            <v>0</v>
          </cell>
          <cell r="AG69">
            <v>329649599</v>
          </cell>
          <cell r="AH69">
            <v>329649599</v>
          </cell>
          <cell r="AI69">
            <v>6489761</v>
          </cell>
          <cell r="AJ69">
            <v>0</v>
          </cell>
          <cell r="AK69">
            <v>0</v>
          </cell>
          <cell r="AL69">
            <v>0</v>
          </cell>
          <cell r="AM69">
            <v>0</v>
          </cell>
          <cell r="AN69">
            <v>0</v>
          </cell>
          <cell r="AO69">
            <v>0</v>
          </cell>
          <cell r="AP69">
            <v>0</v>
          </cell>
          <cell r="AQ69">
            <v>0</v>
          </cell>
          <cell r="AR69">
            <v>0</v>
          </cell>
          <cell r="AS69">
            <v>0</v>
          </cell>
          <cell r="AT69">
            <v>0</v>
          </cell>
          <cell r="AU69">
            <v>6489761</v>
          </cell>
          <cell r="AV69">
            <v>336139360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117982156</v>
          </cell>
          <cell r="V70">
            <v>0</v>
          </cell>
          <cell r="W70">
            <v>0</v>
          </cell>
          <cell r="X70">
            <v>0</v>
          </cell>
          <cell r="Y70">
            <v>0</v>
          </cell>
          <cell r="Z70">
            <v>0</v>
          </cell>
          <cell r="AA70">
            <v>0</v>
          </cell>
          <cell r="AB70">
            <v>0</v>
          </cell>
          <cell r="AC70">
            <v>0</v>
          </cell>
          <cell r="AD70">
            <v>0</v>
          </cell>
          <cell r="AE70">
            <v>0</v>
          </cell>
          <cell r="AF70">
            <v>0</v>
          </cell>
          <cell r="AG70">
            <v>117982156</v>
          </cell>
          <cell r="AH70">
            <v>117982156</v>
          </cell>
          <cell r="AI70">
            <v>4541664</v>
          </cell>
          <cell r="AJ70">
            <v>0</v>
          </cell>
          <cell r="AK70">
            <v>0</v>
          </cell>
          <cell r="AL70">
            <v>0</v>
          </cell>
          <cell r="AM70">
            <v>0</v>
          </cell>
          <cell r="AN70">
            <v>0</v>
          </cell>
          <cell r="AO70">
            <v>0</v>
          </cell>
          <cell r="AP70">
            <v>0</v>
          </cell>
          <cell r="AQ70">
            <v>0</v>
          </cell>
          <cell r="AR70">
            <v>0</v>
          </cell>
          <cell r="AS70">
            <v>0</v>
          </cell>
          <cell r="AT70">
            <v>0</v>
          </cell>
          <cell r="AU70">
            <v>4541664</v>
          </cell>
          <cell r="AV70">
            <v>122523820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80000</v>
          </cell>
          <cell r="X71">
            <v>2530000</v>
          </cell>
          <cell r="Y71">
            <v>0</v>
          </cell>
          <cell r="Z71">
            <v>0</v>
          </cell>
          <cell r="AA71">
            <v>0</v>
          </cell>
          <cell r="AB71">
            <v>2888000</v>
          </cell>
          <cell r="AC71">
            <v>80000</v>
          </cell>
          <cell r="AD71">
            <v>570000</v>
          </cell>
          <cell r="AE71">
            <v>0</v>
          </cell>
          <cell r="AF71">
            <v>0</v>
          </cell>
          <cell r="AG71">
            <v>6148000</v>
          </cell>
          <cell r="AH71">
            <v>6148000</v>
          </cell>
          <cell r="AI71">
            <v>0</v>
          </cell>
          <cell r="AJ71">
            <v>10704000</v>
          </cell>
          <cell r="AK71">
            <v>0</v>
          </cell>
          <cell r="AL71">
            <v>0</v>
          </cell>
          <cell r="AM71">
            <v>0</v>
          </cell>
          <cell r="AN71">
            <v>0</v>
          </cell>
          <cell r="AO71">
            <v>0</v>
          </cell>
          <cell r="AP71">
            <v>1290000</v>
          </cell>
          <cell r="AQ71">
            <v>70000</v>
          </cell>
          <cell r="AR71">
            <v>0</v>
          </cell>
          <cell r="AS71">
            <v>340000</v>
          </cell>
          <cell r="AT71">
            <v>0</v>
          </cell>
          <cell r="AU71">
            <v>12404000</v>
          </cell>
          <cell r="AV71">
            <v>18552000</v>
          </cell>
        </row>
        <row r="72">
          <cell r="A72">
            <v>7374009</v>
          </cell>
          <cell r="B72" t="str">
            <v>هزينه تلفن -تلكس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14774045</v>
          </cell>
          <cell r="AE72">
            <v>0</v>
          </cell>
          <cell r="AF72">
            <v>0</v>
          </cell>
          <cell r="AG72">
            <v>14774045</v>
          </cell>
          <cell r="AH72">
            <v>14774045</v>
          </cell>
          <cell r="AI72">
            <v>3356718</v>
          </cell>
          <cell r="AJ72">
            <v>2087624</v>
          </cell>
          <cell r="AK72">
            <v>0</v>
          </cell>
          <cell r="AL72">
            <v>0</v>
          </cell>
          <cell r="AM72">
            <v>0</v>
          </cell>
          <cell r="AN72">
            <v>0</v>
          </cell>
          <cell r="AO72">
            <v>0</v>
          </cell>
          <cell r="AP72">
            <v>0</v>
          </cell>
          <cell r="AQ72">
            <v>0</v>
          </cell>
          <cell r="AR72">
            <v>0</v>
          </cell>
          <cell r="AS72">
            <v>0</v>
          </cell>
          <cell r="AT72">
            <v>0</v>
          </cell>
          <cell r="AU72">
            <v>5444342</v>
          </cell>
          <cell r="AV72">
            <v>20218387</v>
          </cell>
        </row>
        <row r="73">
          <cell r="A73">
            <v>7377000</v>
          </cell>
          <cell r="B73" t="str">
            <v>هزينه مميزي    ISO</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row>
        <row r="74">
          <cell r="A74">
            <v>7375000</v>
          </cell>
          <cell r="B74" t="str">
            <v xml:space="preserve"> هزينه كارشناسان رسمي</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10800000</v>
          </cell>
          <cell r="AE74">
            <v>0</v>
          </cell>
          <cell r="AF74">
            <v>0</v>
          </cell>
          <cell r="AG74">
            <v>10800000</v>
          </cell>
          <cell r="AH74">
            <v>10800000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10800000</v>
          </cell>
        </row>
        <row r="75">
          <cell r="A75">
            <v>7378000</v>
          </cell>
          <cell r="B75" t="str">
            <v>هزينه آگهي</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32040000</v>
          </cell>
          <cell r="AE75">
            <v>0</v>
          </cell>
          <cell r="AF75">
            <v>0</v>
          </cell>
          <cell r="AG75">
            <v>32040000</v>
          </cell>
          <cell r="AH75">
            <v>32040000</v>
          </cell>
          <cell r="AI75">
            <v>0</v>
          </cell>
          <cell r="AJ75">
            <v>0</v>
          </cell>
          <cell r="AK75">
            <v>0</v>
          </cell>
          <cell r="AL75">
            <v>0</v>
          </cell>
          <cell r="AM75">
            <v>0</v>
          </cell>
          <cell r="AN75">
            <v>41220000</v>
          </cell>
          <cell r="AO75">
            <v>0</v>
          </cell>
          <cell r="AP75">
            <v>0</v>
          </cell>
          <cell r="AQ75">
            <v>0</v>
          </cell>
          <cell r="AR75">
            <v>0</v>
          </cell>
          <cell r="AS75">
            <v>0</v>
          </cell>
          <cell r="AT75">
            <v>0</v>
          </cell>
          <cell r="AU75">
            <v>41220000</v>
          </cell>
          <cell r="AV75">
            <v>73260000</v>
          </cell>
        </row>
        <row r="76">
          <cell r="A76">
            <v>7379000</v>
          </cell>
          <cell r="B76" t="str">
            <v>هزينه انتشارات</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20000000</v>
          </cell>
          <cell r="AJ76">
            <v>4311200</v>
          </cell>
          <cell r="AK76">
            <v>0</v>
          </cell>
          <cell r="AL76">
            <v>0</v>
          </cell>
          <cell r="AM76">
            <v>0</v>
          </cell>
          <cell r="AN76">
            <v>0</v>
          </cell>
          <cell r="AO76">
            <v>0</v>
          </cell>
          <cell r="AP76">
            <v>0</v>
          </cell>
          <cell r="AQ76">
            <v>0</v>
          </cell>
          <cell r="AR76">
            <v>0</v>
          </cell>
          <cell r="AS76">
            <v>0</v>
          </cell>
          <cell r="AT76">
            <v>33500000</v>
          </cell>
          <cell r="AU76">
            <v>57811200</v>
          </cell>
          <cell r="AV76">
            <v>57811200</v>
          </cell>
        </row>
        <row r="77">
          <cell r="A77">
            <v>7601001</v>
          </cell>
          <cell r="B77" t="str">
            <v xml:space="preserve"> سودوكارمزدتسهيلات مالي وسايرخدمات بانكي</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row>
        <row r="78">
          <cell r="A78">
            <v>7602000</v>
          </cell>
          <cell r="B78" t="str">
            <v xml:space="preserve"> هزينه تمبرسفته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row>
        <row r="79">
          <cell r="A79">
            <v>7602001</v>
          </cell>
          <cell r="B79" t="str">
            <v xml:space="preserve"> هزينه تمبرسفته</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7698001</v>
          </cell>
          <cell r="B80" t="str">
            <v xml:space="preserve"> سايرهزينه هاي تامين مالي</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7704000</v>
          </cell>
          <cell r="B81" t="str">
            <v xml:space="preserve"> هزينه جرائم دولتي</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row>
        <row r="82">
          <cell r="A82">
            <v>7380010</v>
          </cell>
          <cell r="B82" t="str">
            <v>هزينه بيمه مسئوليت مدني کارفرما</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row>
        <row r="83">
          <cell r="A83" t="str">
            <v>جمع هزینه های عملیاتی</v>
          </cell>
          <cell r="C83">
            <v>0</v>
          </cell>
          <cell r="D83">
            <v>79416758</v>
          </cell>
          <cell r="E83">
            <v>151193059</v>
          </cell>
          <cell r="F83">
            <v>74794174</v>
          </cell>
          <cell r="G83">
            <v>115613759</v>
          </cell>
          <cell r="H83">
            <v>12784900</v>
          </cell>
          <cell r="I83">
            <v>85446108</v>
          </cell>
          <cell r="J83">
            <v>9014702</v>
          </cell>
          <cell r="K83">
            <v>12678822</v>
          </cell>
          <cell r="L83">
            <v>0</v>
          </cell>
          <cell r="M83">
            <v>0</v>
          </cell>
          <cell r="N83">
            <v>104505855</v>
          </cell>
          <cell r="O83">
            <v>3188404</v>
          </cell>
          <cell r="P83">
            <v>7710540</v>
          </cell>
          <cell r="Q83">
            <v>72830152</v>
          </cell>
          <cell r="R83">
            <v>729177233</v>
          </cell>
          <cell r="S83">
            <v>2278005</v>
          </cell>
          <cell r="T83">
            <v>92181015</v>
          </cell>
          <cell r="U83">
            <v>1538070304</v>
          </cell>
          <cell r="V83">
            <v>81893416</v>
          </cell>
          <cell r="W83">
            <v>606665591</v>
          </cell>
          <cell r="X83">
            <v>247099547</v>
          </cell>
          <cell r="Y83">
            <v>27743754</v>
          </cell>
          <cell r="Z83">
            <v>5212950</v>
          </cell>
          <cell r="AA83">
            <v>2910884</v>
          </cell>
          <cell r="AB83">
            <v>56025753</v>
          </cell>
          <cell r="AC83">
            <v>33951377</v>
          </cell>
          <cell r="AD83">
            <v>1022608932</v>
          </cell>
          <cell r="AE83">
            <v>13639400</v>
          </cell>
          <cell r="AF83">
            <v>13720000</v>
          </cell>
          <cell r="AG83">
            <v>3744000928</v>
          </cell>
          <cell r="AH83">
            <v>4473178161</v>
          </cell>
          <cell r="AI83">
            <v>3222608420</v>
          </cell>
          <cell r="AJ83">
            <v>574248399</v>
          </cell>
          <cell r="AK83">
            <v>742817943</v>
          </cell>
          <cell r="AL83">
            <v>7891824</v>
          </cell>
          <cell r="AM83">
            <v>0</v>
          </cell>
          <cell r="AN83">
            <v>996655762</v>
          </cell>
          <cell r="AO83">
            <v>133377801</v>
          </cell>
          <cell r="AP83">
            <v>42143249</v>
          </cell>
          <cell r="AQ83">
            <v>110172291</v>
          </cell>
          <cell r="AR83">
            <v>15695808</v>
          </cell>
          <cell r="AS83">
            <v>39253183</v>
          </cell>
          <cell r="AT83">
            <v>178687987</v>
          </cell>
          <cell r="AU83">
            <v>6063552667</v>
          </cell>
          <cell r="AV83">
            <v>10536730828</v>
          </cell>
        </row>
        <row r="84">
          <cell r="A84">
            <v>7400000</v>
          </cell>
          <cell r="B84" t="str">
            <v>هزينه استهلاك دارائيهاي ثابت</v>
          </cell>
          <cell r="C84">
            <v>90088329</v>
          </cell>
          <cell r="D84">
            <v>12503387</v>
          </cell>
          <cell r="E84">
            <v>7928526</v>
          </cell>
          <cell r="F84">
            <v>1683202</v>
          </cell>
          <cell r="G84">
            <v>4550834</v>
          </cell>
          <cell r="H84">
            <v>89681455</v>
          </cell>
          <cell r="I84">
            <v>123764044</v>
          </cell>
          <cell r="J84">
            <v>38224485</v>
          </cell>
          <cell r="K84">
            <v>39912285</v>
          </cell>
          <cell r="L84">
            <v>0</v>
          </cell>
          <cell r="M84">
            <v>204748</v>
          </cell>
          <cell r="N84">
            <v>203607014</v>
          </cell>
          <cell r="O84">
            <v>285614022</v>
          </cell>
          <cell r="P84">
            <v>164034083</v>
          </cell>
          <cell r="Q84">
            <v>519587427</v>
          </cell>
          <cell r="R84">
            <v>1581383841</v>
          </cell>
          <cell r="S84">
            <v>4566023</v>
          </cell>
          <cell r="T84">
            <v>78024870</v>
          </cell>
          <cell r="U84">
            <v>934462861</v>
          </cell>
          <cell r="V84">
            <v>1182942491</v>
          </cell>
          <cell r="W84">
            <v>640359422</v>
          </cell>
          <cell r="X84">
            <v>116124377</v>
          </cell>
          <cell r="Y84">
            <v>33012663</v>
          </cell>
          <cell r="Z84">
            <v>5220561</v>
          </cell>
          <cell r="AA84">
            <v>0</v>
          </cell>
          <cell r="AB84">
            <v>10397284</v>
          </cell>
          <cell r="AC84">
            <v>10789174</v>
          </cell>
          <cell r="AD84">
            <v>27931874</v>
          </cell>
          <cell r="AE84">
            <v>14635036</v>
          </cell>
          <cell r="AF84">
            <v>1410931</v>
          </cell>
          <cell r="AG84">
            <v>3059877567</v>
          </cell>
          <cell r="AH84">
            <v>4641261408</v>
          </cell>
          <cell r="AI84">
            <v>306650502</v>
          </cell>
          <cell r="AJ84">
            <v>78436360</v>
          </cell>
          <cell r="AK84">
            <v>117154371</v>
          </cell>
          <cell r="AL84">
            <v>7630432</v>
          </cell>
          <cell r="AM84">
            <v>0</v>
          </cell>
          <cell r="AN84">
            <v>0</v>
          </cell>
          <cell r="AO84">
            <v>16567401</v>
          </cell>
          <cell r="AP84">
            <v>12473013</v>
          </cell>
          <cell r="AQ84">
            <v>9884953</v>
          </cell>
          <cell r="AR84">
            <v>549495</v>
          </cell>
          <cell r="AS84">
            <v>3589072</v>
          </cell>
          <cell r="AT84">
            <v>32578746</v>
          </cell>
          <cell r="AU84">
            <v>585514345</v>
          </cell>
          <cell r="AV84">
            <v>5226775753</v>
          </cell>
        </row>
        <row r="85">
          <cell r="A85" t="str">
            <v xml:space="preserve">جمع استهلاک </v>
          </cell>
          <cell r="C85">
            <v>90088329</v>
          </cell>
          <cell r="D85">
            <v>12503387</v>
          </cell>
          <cell r="E85">
            <v>7928526</v>
          </cell>
          <cell r="F85">
            <v>1683202</v>
          </cell>
          <cell r="G85">
            <v>4550834</v>
          </cell>
          <cell r="H85">
            <v>89681455</v>
          </cell>
          <cell r="I85">
            <v>123764044</v>
          </cell>
          <cell r="J85">
            <v>38224485</v>
          </cell>
          <cell r="K85">
            <v>39912285</v>
          </cell>
          <cell r="L85">
            <v>0</v>
          </cell>
          <cell r="M85">
            <v>204748</v>
          </cell>
          <cell r="N85">
            <v>203607014</v>
          </cell>
          <cell r="O85">
            <v>285614022</v>
          </cell>
          <cell r="P85">
            <v>164034083</v>
          </cell>
          <cell r="Q85">
            <v>519587427</v>
          </cell>
          <cell r="R85">
            <v>1581383841</v>
          </cell>
          <cell r="S85">
            <v>4566023</v>
          </cell>
          <cell r="T85">
            <v>78024870</v>
          </cell>
          <cell r="U85">
            <v>934462861</v>
          </cell>
          <cell r="V85">
            <v>1182942491</v>
          </cell>
          <cell r="W85">
            <v>640359422</v>
          </cell>
          <cell r="X85">
            <v>116124377</v>
          </cell>
          <cell r="Y85">
            <v>33012663</v>
          </cell>
          <cell r="Z85">
            <v>5220561</v>
          </cell>
          <cell r="AA85">
            <v>0</v>
          </cell>
          <cell r="AB85">
            <v>10397284</v>
          </cell>
          <cell r="AC85">
            <v>10789174</v>
          </cell>
          <cell r="AD85">
            <v>27931874</v>
          </cell>
          <cell r="AE85">
            <v>14635036</v>
          </cell>
          <cell r="AF85">
            <v>1410931</v>
          </cell>
          <cell r="AG85">
            <v>3059877567</v>
          </cell>
          <cell r="AH85">
            <v>4641261408</v>
          </cell>
          <cell r="AI85">
            <v>306650502</v>
          </cell>
          <cell r="AJ85">
            <v>78436360</v>
          </cell>
          <cell r="AK85">
            <v>117154371</v>
          </cell>
          <cell r="AL85">
            <v>7630432</v>
          </cell>
          <cell r="AM85">
            <v>0</v>
          </cell>
          <cell r="AN85">
            <v>0</v>
          </cell>
          <cell r="AO85">
            <v>16567401</v>
          </cell>
          <cell r="AP85">
            <v>12473013</v>
          </cell>
          <cell r="AQ85">
            <v>9884953</v>
          </cell>
          <cell r="AR85">
            <v>549495</v>
          </cell>
          <cell r="AS85">
            <v>3589072</v>
          </cell>
          <cell r="AT85">
            <v>32578746</v>
          </cell>
          <cell r="AU85">
            <v>585514345</v>
          </cell>
          <cell r="AV85">
            <v>5226775753</v>
          </cell>
        </row>
        <row r="86">
          <cell r="A86" t="str">
            <v>جمع سربار</v>
          </cell>
          <cell r="C86">
            <v>99858454</v>
          </cell>
          <cell r="D86">
            <v>133487517</v>
          </cell>
          <cell r="E86">
            <v>199794867</v>
          </cell>
          <cell r="F86">
            <v>104413208</v>
          </cell>
          <cell r="G86">
            <v>177846397</v>
          </cell>
          <cell r="H86">
            <v>122545387</v>
          </cell>
          <cell r="I86">
            <v>287832443</v>
          </cell>
          <cell r="J86">
            <v>86252023</v>
          </cell>
          <cell r="K86">
            <v>72500644</v>
          </cell>
          <cell r="L86">
            <v>0</v>
          </cell>
          <cell r="M86">
            <v>11158342</v>
          </cell>
          <cell r="N86">
            <v>383184318</v>
          </cell>
          <cell r="O86">
            <v>298102426</v>
          </cell>
          <cell r="P86">
            <v>178644623</v>
          </cell>
          <cell r="Q86">
            <v>617477654</v>
          </cell>
          <cell r="R86">
            <v>2773098303</v>
          </cell>
          <cell r="S86">
            <v>32746684</v>
          </cell>
          <cell r="T86">
            <v>319604675</v>
          </cell>
          <cell r="U86">
            <v>2643474707</v>
          </cell>
          <cell r="V86">
            <v>1298857709</v>
          </cell>
          <cell r="W86">
            <v>1468662298</v>
          </cell>
          <cell r="X86">
            <v>464211778</v>
          </cell>
          <cell r="Y86">
            <v>72658382</v>
          </cell>
          <cell r="Z86">
            <v>71967685</v>
          </cell>
          <cell r="AA86">
            <v>5660916</v>
          </cell>
          <cell r="AB86">
            <v>131831829</v>
          </cell>
          <cell r="AC86">
            <v>75084842</v>
          </cell>
          <cell r="AD86">
            <v>1283601268</v>
          </cell>
          <cell r="AE86">
            <v>1656913981</v>
          </cell>
          <cell r="AF86">
            <v>1231543311</v>
          </cell>
          <cell r="AG86">
            <v>10756820065</v>
          </cell>
          <cell r="AH86">
            <v>13529918368</v>
          </cell>
          <cell r="AI86">
            <v>4317042141</v>
          </cell>
          <cell r="AJ86">
            <v>893556376</v>
          </cell>
          <cell r="AK86">
            <v>926592109</v>
          </cell>
          <cell r="AL86">
            <v>20267256</v>
          </cell>
          <cell r="AM86">
            <v>14557872</v>
          </cell>
          <cell r="AN86">
            <v>996655762</v>
          </cell>
          <cell r="AO86">
            <v>189918777</v>
          </cell>
          <cell r="AP86">
            <v>260937342</v>
          </cell>
          <cell r="AQ86">
            <v>174723065</v>
          </cell>
          <cell r="AR86">
            <v>39541303</v>
          </cell>
          <cell r="AS86">
            <v>58741803</v>
          </cell>
          <cell r="AT86">
            <v>406995516</v>
          </cell>
          <cell r="AU86">
            <v>8299529322</v>
          </cell>
          <cell r="AV86">
            <v>21829447690</v>
          </cell>
        </row>
        <row r="87">
          <cell r="A87" t="str">
            <v xml:space="preserve">جمع کل </v>
          </cell>
          <cell r="C87">
            <v>158987358</v>
          </cell>
          <cell r="D87">
            <v>5986175285</v>
          </cell>
          <cell r="E87">
            <v>14905237061</v>
          </cell>
          <cell r="F87">
            <v>6393167296</v>
          </cell>
          <cell r="G87">
            <v>56562142248</v>
          </cell>
          <cell r="H87">
            <v>1473840813</v>
          </cell>
          <cell r="I87">
            <v>7993436626</v>
          </cell>
          <cell r="J87">
            <v>7907928880</v>
          </cell>
          <cell r="K87">
            <v>1851817176</v>
          </cell>
          <cell r="L87">
            <v>0</v>
          </cell>
          <cell r="M87">
            <v>151679797</v>
          </cell>
          <cell r="N87">
            <v>862817144</v>
          </cell>
          <cell r="O87">
            <v>13618262278</v>
          </cell>
          <cell r="P87">
            <v>1260091500</v>
          </cell>
          <cell r="Q87">
            <v>4416138087</v>
          </cell>
          <cell r="R87">
            <v>123541721549</v>
          </cell>
          <cell r="S87">
            <v>295273661</v>
          </cell>
          <cell r="T87">
            <v>1112630900</v>
          </cell>
          <cell r="U87">
            <v>4614163208</v>
          </cell>
          <cell r="V87">
            <v>1544667444</v>
          </cell>
          <cell r="W87">
            <v>3658452507</v>
          </cell>
          <cell r="X87">
            <v>1216874402</v>
          </cell>
          <cell r="Y87">
            <v>163576693</v>
          </cell>
          <cell r="Z87">
            <v>447930287</v>
          </cell>
          <cell r="AA87">
            <v>34484754</v>
          </cell>
          <cell r="AB87">
            <v>727855642</v>
          </cell>
          <cell r="AC87">
            <v>449174018</v>
          </cell>
          <cell r="AD87">
            <v>1790899612</v>
          </cell>
          <cell r="AE87">
            <v>1656913981</v>
          </cell>
          <cell r="AF87">
            <v>1265979598</v>
          </cell>
          <cell r="AG87">
            <v>18978876707</v>
          </cell>
          <cell r="AH87">
            <v>21751975010</v>
          </cell>
          <cell r="AI87">
            <v>6206042722</v>
          </cell>
          <cell r="AJ87">
            <v>1451347409</v>
          </cell>
          <cell r="AK87">
            <v>1496914693</v>
          </cell>
          <cell r="AL87">
            <v>20267256</v>
          </cell>
          <cell r="AM87">
            <v>176764251</v>
          </cell>
          <cell r="AN87">
            <v>996655762</v>
          </cell>
          <cell r="AO87">
            <v>428021821</v>
          </cell>
          <cell r="AP87">
            <v>1196988501</v>
          </cell>
          <cell r="AQ87">
            <v>465807300</v>
          </cell>
          <cell r="AR87">
            <v>46041303</v>
          </cell>
          <cell r="AS87">
            <v>165253053</v>
          </cell>
          <cell r="AT87">
            <v>1191481305</v>
          </cell>
          <cell r="AU87">
            <v>13841585376</v>
          </cell>
          <cell r="AV87">
            <v>156362183632</v>
          </cell>
        </row>
      </sheetData>
      <sheetData sheetId="18"/>
      <sheetData sheetId="19"/>
      <sheetData sheetId="20"/>
      <sheetData sheetId="21"/>
      <sheetData sheetId="22"/>
      <sheetData sheetId="23"/>
      <sheetData sheetId="24"/>
      <sheetData sheetId="25"/>
      <sheetData sheetId="26">
        <row r="92">
          <cell r="D92">
            <v>19001798</v>
          </cell>
        </row>
      </sheetData>
      <sheetData sheetId="27">
        <row r="92">
          <cell r="I92">
            <v>548078.92384783155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هزینه تولید تائید نشده(خنثی)"/>
      <sheetName val="تمام شده تولید 89"/>
      <sheetName val="آمار تولید و ساعات تولید 89"/>
      <sheetName val="توقفات تولید سال90"/>
      <sheetName val="کار در جریان 89 "/>
      <sheetName val="تسهیم توقفات"/>
      <sheetName val="فروش اردیبهشت"/>
      <sheetName val="کار در جریان اردیبهشت 90"/>
      <sheetName val="فروش خرداد (2)"/>
      <sheetName val="تولید صنایع خرداد"/>
      <sheetName val="کارکرد صنایع خردادماه 90"/>
      <sheetName val="گردش کالا خرداد ماه"/>
      <sheetName val="برگشتی-نمونه-ضایعات"/>
      <sheetName val="گزارش تعداد نفرات"/>
      <sheetName val="مصرف مواد"/>
      <sheetName val="آمار تولید و ساعات تولید"/>
      <sheetName val="تولید همگن و تسهیم مزد و سربار "/>
      <sheetName val="عوامل در مراکز  "/>
      <sheetName val="تسهیم هزینه"/>
      <sheetName val="نرخ د.س کار در جریان اول دوره"/>
      <sheetName val="کار در جریان خرداد 90"/>
      <sheetName val="گردش کالای ساخته شده  (2)"/>
      <sheetName val="سود وزیان - بودجه ریال (2)"/>
      <sheetName val="سود وزیان - بودجه ریال"/>
      <sheetName val="گردش کالای ساخته شده "/>
      <sheetName val="تمام شده تولید"/>
      <sheetName val="گزارش1 -( کل) ارقام میلیون ریال"/>
      <sheetName val="گزارش1 -(واحد)"/>
      <sheetName val="کنترل حاشیه سود - کل"/>
      <sheetName val="کنترل حاشیه سود - واحد کالا (2)"/>
      <sheetName val="خرید بازرگانی"/>
      <sheetName val="برگشت کلا (2)"/>
      <sheetName val="فروش خرداد"/>
      <sheetName val="حاشیه سود"/>
      <sheetName val="سند تولید"/>
      <sheetName val="سند بهای تمام شده"/>
      <sheetName val="تربتی "/>
      <sheetName val="تربتی  (2)"/>
      <sheetName val="100022"/>
      <sheetName val="کاربرگ محاسبه مالیات"/>
      <sheetName val="خ  د ه عملیاتی "/>
      <sheetName val="خ س د  ه غیرعملیاتی"/>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گزارش عوامل در مراکز</v>
          </cell>
        </row>
        <row r="2">
          <cell r="A2" t="str">
            <v>کد حساب</v>
          </cell>
          <cell r="B2" t="str">
            <v>شرح  حساب</v>
          </cell>
          <cell r="C2" t="str">
            <v>مشترك استريل ها</v>
          </cell>
          <cell r="D2" t="str">
            <v>استريل فرزياني</v>
          </cell>
          <cell r="E2" t="str">
            <v>استريل قدس</v>
          </cell>
          <cell r="F2" t="str">
            <v>استريل بعثت</v>
          </cell>
          <cell r="G2" t="str">
            <v>استريل غفارزاده</v>
          </cell>
          <cell r="H2" t="str">
            <v>پمادوكرم</v>
          </cell>
          <cell r="I2" t="str">
            <v>سفالوسپورين</v>
          </cell>
          <cell r="J2" t="str">
            <v>پني سيلين وي</v>
          </cell>
          <cell r="K2" t="str">
            <v>نيستاتين</v>
          </cell>
          <cell r="L2" t="str">
            <v>دراژه (نيستا،سفالوس،پني سيلسن وي)</v>
          </cell>
          <cell r="M2" t="str">
            <v>قرص و كپسول و شربت</v>
          </cell>
          <cell r="N2" t="str">
            <v>مشترک اسپري ها</v>
          </cell>
          <cell r="O2" t="str">
            <v>اسپري دهاني</v>
          </cell>
          <cell r="P2" t="str">
            <v>اسپري بيني</v>
          </cell>
          <cell r="Q2" t="str">
            <v>سافت ژل</v>
          </cell>
          <cell r="R2" t="str">
            <v>جمع تولید</v>
          </cell>
          <cell r="S2" t="str">
            <v>بسته بندي</v>
          </cell>
          <cell r="T2" t="str">
            <v>عمومي توليد</v>
          </cell>
          <cell r="U2" t="str">
            <v>فني و مهندسي قديم</v>
          </cell>
          <cell r="V2" t="str">
            <v>فني مهندسي افشانه</v>
          </cell>
          <cell r="W2" t="str">
            <v>آزمايشگاه و چکينگ</v>
          </cell>
          <cell r="X2" t="str">
            <v>انبارها قديم</v>
          </cell>
          <cell r="Y2" t="str">
            <v>انبار افشانه ها</v>
          </cell>
          <cell r="Z2" t="str">
            <v>مهندسي صنايع قديم</v>
          </cell>
          <cell r="AA2" t="str">
            <v>مهندسي صنايع اسپري</v>
          </cell>
          <cell r="AB2" t="str">
            <v>امور بازرگاني</v>
          </cell>
          <cell r="AC2" t="str">
            <v>انتظامات و نگهباني</v>
          </cell>
          <cell r="AD2" t="str">
            <v>خدمات عمومي</v>
          </cell>
          <cell r="AE2" t="str">
            <v>رستوران</v>
          </cell>
          <cell r="AF2" t="str">
            <v>حمل ونقل</v>
          </cell>
          <cell r="AG2" t="str">
            <v>جمع خدماتي</v>
          </cell>
          <cell r="AH2" t="str">
            <v>سربار</v>
          </cell>
          <cell r="AI2" t="str">
            <v>فروش و بازاريابي</v>
          </cell>
          <cell r="AJ2" t="str">
            <v>مديريت</v>
          </cell>
          <cell r="AK2" t="str">
            <v>تحقيقات</v>
          </cell>
          <cell r="AL2" t="str">
            <v>آموزش</v>
          </cell>
          <cell r="AM2" t="str">
            <v>مامورين</v>
          </cell>
          <cell r="AN2" t="str">
            <v>عمومي اداري</v>
          </cell>
          <cell r="AO2" t="str">
            <v>فن آوري اطلاعات</v>
          </cell>
          <cell r="AP2" t="str">
            <v>امورمالي</v>
          </cell>
          <cell r="AQ2" t="str">
            <v>دبيرخانه و كارگزيني</v>
          </cell>
          <cell r="AR2" t="str">
            <v>شورا ،انجمن و بسيج</v>
          </cell>
          <cell r="AS2" t="str">
            <v>HSE</v>
          </cell>
          <cell r="AT2" t="str">
            <v>تضمين كيفيت</v>
          </cell>
          <cell r="AU2" t="str">
            <v>جمع اداري</v>
          </cell>
          <cell r="AV2" t="str">
            <v>جمع کل</v>
          </cell>
        </row>
        <row r="3">
          <cell r="A3">
            <v>7101000</v>
          </cell>
          <cell r="B3" t="str">
            <v>هزينه مواداوليه توليدي</v>
          </cell>
          <cell r="C3">
            <v>0</v>
          </cell>
          <cell r="D3">
            <v>4604851218</v>
          </cell>
          <cell r="E3">
            <v>7018795990</v>
          </cell>
          <cell r="F3">
            <v>3951034403</v>
          </cell>
          <cell r="G3">
            <v>45896927938</v>
          </cell>
          <cell r="H3">
            <v>685456209</v>
          </cell>
          <cell r="I3">
            <v>6458122436</v>
          </cell>
          <cell r="J3">
            <v>7115410124</v>
          </cell>
          <cell r="K3">
            <v>531878634</v>
          </cell>
          <cell r="L3">
            <v>0</v>
          </cell>
          <cell r="M3">
            <v>0</v>
          </cell>
          <cell r="N3">
            <v>0</v>
          </cell>
          <cell r="O3">
            <v>0</v>
          </cell>
          <cell r="P3">
            <v>0</v>
          </cell>
          <cell r="Q3">
            <v>3079064878</v>
          </cell>
          <cell r="R3">
            <v>79341541830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79341541830</v>
          </cell>
        </row>
        <row r="4">
          <cell r="A4">
            <v>7102000</v>
          </cell>
          <cell r="B4" t="str">
            <v>هزينه موادبسته بندي</v>
          </cell>
          <cell r="C4">
            <v>0</v>
          </cell>
          <cell r="D4">
            <v>753076685</v>
          </cell>
          <cell r="E4">
            <v>7167423446</v>
          </cell>
          <cell r="F4">
            <v>2034314272</v>
          </cell>
          <cell r="G4">
            <v>10003064606</v>
          </cell>
          <cell r="H4">
            <v>370527788</v>
          </cell>
          <cell r="I4">
            <v>527584658</v>
          </cell>
          <cell r="J4">
            <v>207613441</v>
          </cell>
          <cell r="K4">
            <v>1005589918</v>
          </cell>
          <cell r="L4">
            <v>0</v>
          </cell>
          <cell r="M4">
            <v>0</v>
          </cell>
          <cell r="N4">
            <v>0</v>
          </cell>
          <cell r="O4">
            <v>0</v>
          </cell>
          <cell r="P4">
            <v>0</v>
          </cell>
          <cell r="Q4">
            <v>662780029</v>
          </cell>
          <cell r="R4">
            <v>22731974843</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22731974843</v>
          </cell>
        </row>
        <row r="5">
          <cell r="A5">
            <v>7106000</v>
          </cell>
          <cell r="B5" t="str">
            <v>هزينه مواداوليه توليدي افشانه ها</v>
          </cell>
          <cell r="C5">
            <v>0</v>
          </cell>
          <cell r="D5">
            <v>0</v>
          </cell>
          <cell r="E5">
            <v>0</v>
          </cell>
          <cell r="F5">
            <v>0</v>
          </cell>
          <cell r="G5">
            <v>0</v>
          </cell>
          <cell r="H5">
            <v>0</v>
          </cell>
          <cell r="I5">
            <v>0</v>
          </cell>
          <cell r="J5">
            <v>0</v>
          </cell>
          <cell r="K5">
            <v>0</v>
          </cell>
          <cell r="L5">
            <v>0</v>
          </cell>
          <cell r="M5">
            <v>0</v>
          </cell>
          <cell r="N5">
            <v>0</v>
          </cell>
          <cell r="O5">
            <v>4116794309</v>
          </cell>
          <cell r="P5">
            <v>125659084</v>
          </cell>
          <cell r="Q5">
            <v>0</v>
          </cell>
          <cell r="R5">
            <v>4242453393</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4242453393</v>
          </cell>
        </row>
        <row r="6">
          <cell r="A6">
            <v>7107000</v>
          </cell>
          <cell r="B6" t="str">
            <v>هزينه موادبسته بندي افشانه ها</v>
          </cell>
          <cell r="C6">
            <v>0</v>
          </cell>
          <cell r="D6">
            <v>0</v>
          </cell>
          <cell r="E6">
            <v>0</v>
          </cell>
          <cell r="F6">
            <v>0</v>
          </cell>
          <cell r="G6">
            <v>0</v>
          </cell>
          <cell r="H6">
            <v>0</v>
          </cell>
          <cell r="I6">
            <v>0</v>
          </cell>
          <cell r="J6">
            <v>0</v>
          </cell>
          <cell r="K6">
            <v>0</v>
          </cell>
          <cell r="L6">
            <v>0</v>
          </cell>
          <cell r="M6">
            <v>0</v>
          </cell>
          <cell r="N6">
            <v>0</v>
          </cell>
          <cell r="O6">
            <v>9147467000</v>
          </cell>
          <cell r="P6">
            <v>904833681</v>
          </cell>
          <cell r="Q6">
            <v>0</v>
          </cell>
          <cell r="R6">
            <v>10052300681</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10052300681</v>
          </cell>
        </row>
        <row r="7">
          <cell r="A7" t="str">
            <v>جمع مواد</v>
          </cell>
          <cell r="C7">
            <v>0</v>
          </cell>
          <cell r="D7">
            <v>5357927903</v>
          </cell>
          <cell r="E7">
            <v>14186219436</v>
          </cell>
          <cell r="F7">
            <v>5985348675</v>
          </cell>
          <cell r="G7">
            <v>55899992544</v>
          </cell>
          <cell r="H7">
            <v>1055983997</v>
          </cell>
          <cell r="I7">
            <v>6985707094</v>
          </cell>
          <cell r="J7">
            <v>7323023565</v>
          </cell>
          <cell r="K7">
            <v>1537468552</v>
          </cell>
          <cell r="L7">
            <v>0</v>
          </cell>
          <cell r="M7">
            <v>0</v>
          </cell>
          <cell r="N7">
            <v>0</v>
          </cell>
          <cell r="O7">
            <v>13264261309</v>
          </cell>
          <cell r="P7">
            <v>1030492765</v>
          </cell>
          <cell r="Q7">
            <v>3741844907</v>
          </cell>
          <cell r="R7">
            <v>116368270747</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116368270747</v>
          </cell>
        </row>
        <row r="8">
          <cell r="A8">
            <v>7201000</v>
          </cell>
          <cell r="B8" t="str">
            <v>هزينه حقوق ودستمزد</v>
          </cell>
          <cell r="C8">
            <v>22660612</v>
          </cell>
          <cell r="D8">
            <v>118873411</v>
          </cell>
          <cell r="E8">
            <v>133374455</v>
          </cell>
          <cell r="F8">
            <v>60086996</v>
          </cell>
          <cell r="G8">
            <v>105002141</v>
          </cell>
          <cell r="H8">
            <v>76666222</v>
          </cell>
          <cell r="I8">
            <v>186070310</v>
          </cell>
          <cell r="J8">
            <v>105194392</v>
          </cell>
          <cell r="K8">
            <v>45120051</v>
          </cell>
          <cell r="L8">
            <v>0</v>
          </cell>
          <cell r="M8">
            <v>55002090</v>
          </cell>
          <cell r="N8">
            <v>94709098</v>
          </cell>
          <cell r="O8">
            <v>0</v>
          </cell>
          <cell r="P8">
            <v>0</v>
          </cell>
          <cell r="Q8">
            <v>27727948</v>
          </cell>
          <cell r="R8">
            <v>1030487726</v>
          </cell>
          <cell r="S8">
            <v>71025528</v>
          </cell>
          <cell r="T8">
            <v>185098866</v>
          </cell>
          <cell r="U8">
            <v>494164878</v>
          </cell>
          <cell r="V8">
            <v>103496838</v>
          </cell>
          <cell r="W8">
            <v>853904697</v>
          </cell>
          <cell r="X8">
            <v>180846819</v>
          </cell>
          <cell r="Y8">
            <v>19306575</v>
          </cell>
          <cell r="Z8">
            <v>153186416</v>
          </cell>
          <cell r="AA8">
            <v>14430986</v>
          </cell>
          <cell r="AB8">
            <v>232860217</v>
          </cell>
          <cell r="AC8">
            <v>44887104</v>
          </cell>
          <cell r="AD8">
            <v>16655022</v>
          </cell>
          <cell r="AE8">
            <v>0</v>
          </cell>
          <cell r="AF8">
            <v>13950036</v>
          </cell>
          <cell r="AG8">
            <v>2383813982</v>
          </cell>
          <cell r="AH8">
            <v>2383813982</v>
          </cell>
          <cell r="AI8">
            <v>933914794</v>
          </cell>
          <cell r="AJ8">
            <v>234643247</v>
          </cell>
          <cell r="AK8">
            <v>279514720</v>
          </cell>
          <cell r="AL8">
            <v>0</v>
          </cell>
          <cell r="AM8">
            <v>50723481</v>
          </cell>
          <cell r="AN8">
            <v>0</v>
          </cell>
          <cell r="AO8">
            <v>99153316</v>
          </cell>
          <cell r="AP8">
            <v>313639298</v>
          </cell>
          <cell r="AQ8">
            <v>120373168</v>
          </cell>
          <cell r="AR8">
            <v>0</v>
          </cell>
          <cell r="AS8">
            <v>34473526</v>
          </cell>
          <cell r="AT8">
            <v>370213557</v>
          </cell>
          <cell r="AU8">
            <v>2436649107</v>
          </cell>
          <cell r="AV8">
            <v>5850950815</v>
          </cell>
        </row>
        <row r="9">
          <cell r="A9">
            <v>7201001</v>
          </cell>
          <cell r="B9" t="str">
            <v>هزينه حقوق ودستمزد ( پارس پاکان)</v>
          </cell>
          <cell r="C9">
            <v>0</v>
          </cell>
          <cell r="D9">
            <v>60634751</v>
          </cell>
          <cell r="E9">
            <v>56651915</v>
          </cell>
          <cell r="F9">
            <v>77047075</v>
          </cell>
          <cell r="G9">
            <v>83670382</v>
          </cell>
          <cell r="H9">
            <v>20935149</v>
          </cell>
          <cell r="I9">
            <v>83515692</v>
          </cell>
          <cell r="J9">
            <v>102754166</v>
          </cell>
          <cell r="K9">
            <v>60545637</v>
          </cell>
          <cell r="L9">
            <v>0</v>
          </cell>
          <cell r="M9">
            <v>0</v>
          </cell>
          <cell r="N9">
            <v>216970499</v>
          </cell>
          <cell r="O9">
            <v>46351317</v>
          </cell>
          <cell r="P9">
            <v>42114752</v>
          </cell>
          <cell r="Q9">
            <v>0</v>
          </cell>
          <cell r="R9">
            <v>851191335</v>
          </cell>
          <cell r="S9">
            <v>32492689</v>
          </cell>
          <cell r="T9">
            <v>160904805</v>
          </cell>
          <cell r="U9">
            <v>110038568</v>
          </cell>
          <cell r="V9">
            <v>15522554</v>
          </cell>
          <cell r="W9">
            <v>22068512</v>
          </cell>
          <cell r="X9">
            <v>81737864</v>
          </cell>
          <cell r="Y9">
            <v>36367024</v>
          </cell>
          <cell r="Z9">
            <v>0</v>
          </cell>
          <cell r="AA9">
            <v>0</v>
          </cell>
          <cell r="AB9">
            <v>13621093</v>
          </cell>
          <cell r="AC9">
            <v>80710101</v>
          </cell>
          <cell r="AD9">
            <v>398912414</v>
          </cell>
          <cell r="AE9">
            <v>0</v>
          </cell>
          <cell r="AF9">
            <v>0</v>
          </cell>
          <cell r="AG9">
            <v>952375624</v>
          </cell>
          <cell r="AH9">
            <v>952375624</v>
          </cell>
          <cell r="AI9">
            <v>15449455</v>
          </cell>
          <cell r="AJ9">
            <v>0</v>
          </cell>
          <cell r="AK9">
            <v>0</v>
          </cell>
          <cell r="AL9">
            <v>0</v>
          </cell>
          <cell r="AM9">
            <v>0</v>
          </cell>
          <cell r="AN9">
            <v>0</v>
          </cell>
          <cell r="AO9">
            <v>0</v>
          </cell>
          <cell r="AP9">
            <v>0</v>
          </cell>
          <cell r="AQ9">
            <v>15535854</v>
          </cell>
          <cell r="AR9">
            <v>0</v>
          </cell>
          <cell r="AS9">
            <v>0</v>
          </cell>
          <cell r="AT9">
            <v>14315731</v>
          </cell>
          <cell r="AU9">
            <v>45301040</v>
          </cell>
          <cell r="AV9">
            <v>1848867999</v>
          </cell>
        </row>
        <row r="10">
          <cell r="A10">
            <v>7202000</v>
          </cell>
          <cell r="B10" t="str">
            <v>هزينه مسكن</v>
          </cell>
          <cell r="C10">
            <v>226666</v>
          </cell>
          <cell r="D10">
            <v>2479992</v>
          </cell>
          <cell r="E10">
            <v>2789991</v>
          </cell>
          <cell r="F10">
            <v>1239996</v>
          </cell>
          <cell r="G10">
            <v>2169993</v>
          </cell>
          <cell r="H10">
            <v>1549995</v>
          </cell>
          <cell r="I10">
            <v>3939534</v>
          </cell>
          <cell r="J10">
            <v>2169993</v>
          </cell>
          <cell r="K10">
            <v>929997</v>
          </cell>
          <cell r="L10">
            <v>0</v>
          </cell>
          <cell r="M10">
            <v>929997</v>
          </cell>
          <cell r="N10">
            <v>1603837</v>
          </cell>
          <cell r="O10">
            <v>0</v>
          </cell>
          <cell r="P10">
            <v>0</v>
          </cell>
          <cell r="Q10">
            <v>269811</v>
          </cell>
          <cell r="R10">
            <v>20299802</v>
          </cell>
          <cell r="S10">
            <v>1520906</v>
          </cell>
          <cell r="T10">
            <v>3288475</v>
          </cell>
          <cell r="U10">
            <v>9481183</v>
          </cell>
          <cell r="V10">
            <v>2041207</v>
          </cell>
          <cell r="W10">
            <v>14152012</v>
          </cell>
          <cell r="X10">
            <v>3668636</v>
          </cell>
          <cell r="Y10">
            <v>294122</v>
          </cell>
          <cell r="Z10">
            <v>2718931</v>
          </cell>
          <cell r="AA10">
            <v>274250</v>
          </cell>
          <cell r="AB10">
            <v>3712027</v>
          </cell>
          <cell r="AC10">
            <v>929997</v>
          </cell>
          <cell r="AD10">
            <v>309999</v>
          </cell>
          <cell r="AE10">
            <v>0</v>
          </cell>
          <cell r="AF10">
            <v>309999</v>
          </cell>
          <cell r="AG10">
            <v>42701744</v>
          </cell>
          <cell r="AH10">
            <v>42701744</v>
          </cell>
          <cell r="AI10">
            <v>14914499</v>
          </cell>
          <cell r="AJ10">
            <v>1859994</v>
          </cell>
          <cell r="AK10">
            <v>4008170</v>
          </cell>
          <cell r="AL10">
            <v>0</v>
          </cell>
          <cell r="AM10">
            <v>929997</v>
          </cell>
          <cell r="AN10">
            <v>0</v>
          </cell>
          <cell r="AO10">
            <v>1343329</v>
          </cell>
          <cell r="AP10">
            <v>5637212</v>
          </cell>
          <cell r="AQ10">
            <v>1859994</v>
          </cell>
          <cell r="AR10">
            <v>0</v>
          </cell>
          <cell r="AS10">
            <v>619998</v>
          </cell>
          <cell r="AT10">
            <v>4583319</v>
          </cell>
          <cell r="AU10">
            <v>35756512</v>
          </cell>
          <cell r="AV10">
            <v>98758058</v>
          </cell>
        </row>
        <row r="11">
          <cell r="A11">
            <v>7203000</v>
          </cell>
          <cell r="B11" t="str">
            <v>هزينه خواروبار</v>
          </cell>
          <cell r="C11">
            <v>1134</v>
          </cell>
          <cell r="D11">
            <v>54252</v>
          </cell>
          <cell r="E11">
            <v>52704</v>
          </cell>
          <cell r="F11">
            <v>27900</v>
          </cell>
          <cell r="G11">
            <v>38754</v>
          </cell>
          <cell r="H11">
            <v>27903</v>
          </cell>
          <cell r="I11">
            <v>70256</v>
          </cell>
          <cell r="J11">
            <v>46503</v>
          </cell>
          <cell r="K11">
            <v>13950</v>
          </cell>
          <cell r="L11">
            <v>0</v>
          </cell>
          <cell r="M11">
            <v>4653</v>
          </cell>
          <cell r="N11">
            <v>12320</v>
          </cell>
          <cell r="O11">
            <v>0</v>
          </cell>
          <cell r="P11">
            <v>0</v>
          </cell>
          <cell r="Q11">
            <v>2698</v>
          </cell>
          <cell r="R11">
            <v>353027</v>
          </cell>
          <cell r="S11">
            <v>19604</v>
          </cell>
          <cell r="T11">
            <v>53976</v>
          </cell>
          <cell r="U11">
            <v>150526</v>
          </cell>
          <cell r="V11">
            <v>22015</v>
          </cell>
          <cell r="W11">
            <v>177736</v>
          </cell>
          <cell r="X11">
            <v>76310</v>
          </cell>
          <cell r="Y11">
            <v>5883</v>
          </cell>
          <cell r="Z11">
            <v>30414</v>
          </cell>
          <cell r="AA11">
            <v>2742</v>
          </cell>
          <cell r="AB11">
            <v>49568</v>
          </cell>
          <cell r="AC11">
            <v>15501</v>
          </cell>
          <cell r="AD11">
            <v>6201</v>
          </cell>
          <cell r="AE11">
            <v>0</v>
          </cell>
          <cell r="AF11">
            <v>3099</v>
          </cell>
          <cell r="AG11">
            <v>613575</v>
          </cell>
          <cell r="AH11">
            <v>613575</v>
          </cell>
          <cell r="AI11">
            <v>138687</v>
          </cell>
          <cell r="AJ11">
            <v>23253</v>
          </cell>
          <cell r="AK11">
            <v>44195</v>
          </cell>
          <cell r="AL11">
            <v>0</v>
          </cell>
          <cell r="AM11">
            <v>10851</v>
          </cell>
          <cell r="AN11">
            <v>0</v>
          </cell>
          <cell r="AO11">
            <v>19120</v>
          </cell>
          <cell r="AP11">
            <v>83716</v>
          </cell>
          <cell r="AQ11">
            <v>27903</v>
          </cell>
          <cell r="AR11">
            <v>0</v>
          </cell>
          <cell r="AS11">
            <v>10851</v>
          </cell>
          <cell r="AT11">
            <v>53915</v>
          </cell>
          <cell r="AU11">
            <v>412491</v>
          </cell>
          <cell r="AV11">
            <v>1379093</v>
          </cell>
        </row>
        <row r="12">
          <cell r="A12">
            <v>7204000</v>
          </cell>
          <cell r="B12" t="str">
            <v>هزينه حق اولاد</v>
          </cell>
          <cell r="C12">
            <v>0</v>
          </cell>
          <cell r="D12">
            <v>16382880</v>
          </cell>
          <cell r="E12">
            <v>15358950</v>
          </cell>
          <cell r="F12">
            <v>8191440</v>
          </cell>
          <cell r="G12">
            <v>11263230</v>
          </cell>
          <cell r="H12">
            <v>8191440</v>
          </cell>
          <cell r="I12">
            <v>21238291</v>
          </cell>
          <cell r="J12">
            <v>14335020</v>
          </cell>
          <cell r="K12">
            <v>3071790</v>
          </cell>
          <cell r="L12">
            <v>0</v>
          </cell>
          <cell r="M12">
            <v>0</v>
          </cell>
          <cell r="N12">
            <v>1023930</v>
          </cell>
          <cell r="O12">
            <v>0</v>
          </cell>
          <cell r="P12">
            <v>0</v>
          </cell>
          <cell r="Q12">
            <v>0</v>
          </cell>
          <cell r="R12">
            <v>99056971</v>
          </cell>
          <cell r="S12">
            <v>3927567</v>
          </cell>
          <cell r="T12">
            <v>12909725</v>
          </cell>
          <cell r="U12">
            <v>36789415</v>
          </cell>
          <cell r="V12">
            <v>2047860</v>
          </cell>
          <cell r="W12">
            <v>36112325</v>
          </cell>
          <cell r="X12">
            <v>22187200</v>
          </cell>
          <cell r="Y12">
            <v>1942965</v>
          </cell>
          <cell r="Z12">
            <v>7029385</v>
          </cell>
          <cell r="AA12">
            <v>0</v>
          </cell>
          <cell r="AB12">
            <v>12287160</v>
          </cell>
          <cell r="AC12">
            <v>4095720</v>
          </cell>
          <cell r="AD12">
            <v>2047860</v>
          </cell>
          <cell r="AE12">
            <v>0</v>
          </cell>
          <cell r="AF12">
            <v>0</v>
          </cell>
          <cell r="AG12">
            <v>141377182</v>
          </cell>
          <cell r="AH12">
            <v>141377182</v>
          </cell>
          <cell r="AI12">
            <v>12472328</v>
          </cell>
          <cell r="AJ12">
            <v>5119650</v>
          </cell>
          <cell r="AK12">
            <v>5448949</v>
          </cell>
          <cell r="AL12">
            <v>0</v>
          </cell>
          <cell r="AM12">
            <v>2047860</v>
          </cell>
          <cell r="AN12">
            <v>0</v>
          </cell>
          <cell r="AO12">
            <v>5119650</v>
          </cell>
          <cell r="AP12">
            <v>20378208</v>
          </cell>
          <cell r="AQ12">
            <v>7167510</v>
          </cell>
          <cell r="AR12">
            <v>0</v>
          </cell>
          <cell r="AS12">
            <v>3071790</v>
          </cell>
          <cell r="AT12">
            <v>8191440</v>
          </cell>
          <cell r="AU12">
            <v>69017385</v>
          </cell>
          <cell r="AV12">
            <v>309451538</v>
          </cell>
        </row>
        <row r="13">
          <cell r="A13">
            <v>7205000</v>
          </cell>
          <cell r="B13" t="str">
            <v>هزينه حق جذب</v>
          </cell>
          <cell r="C13">
            <v>5482406</v>
          </cell>
          <cell r="D13">
            <v>30809067</v>
          </cell>
          <cell r="E13">
            <v>33121728</v>
          </cell>
          <cell r="F13">
            <v>16773564</v>
          </cell>
          <cell r="G13">
            <v>27410970</v>
          </cell>
          <cell r="H13">
            <v>20526153</v>
          </cell>
          <cell r="I13">
            <v>46985249</v>
          </cell>
          <cell r="J13">
            <v>27410970</v>
          </cell>
          <cell r="K13">
            <v>13286844</v>
          </cell>
          <cell r="L13">
            <v>0</v>
          </cell>
          <cell r="M13">
            <v>11683023</v>
          </cell>
          <cell r="N13">
            <v>14345902</v>
          </cell>
          <cell r="O13">
            <v>0</v>
          </cell>
          <cell r="P13">
            <v>0</v>
          </cell>
          <cell r="Q13">
            <v>6708375</v>
          </cell>
          <cell r="R13">
            <v>254544251</v>
          </cell>
          <cell r="S13">
            <v>17110558</v>
          </cell>
          <cell r="T13">
            <v>26466589</v>
          </cell>
          <cell r="U13">
            <v>99053283</v>
          </cell>
          <cell r="V13">
            <v>11918744</v>
          </cell>
          <cell r="W13">
            <v>195777478</v>
          </cell>
          <cell r="X13">
            <v>46872261</v>
          </cell>
          <cell r="Y13">
            <v>3713755</v>
          </cell>
          <cell r="Z13">
            <v>32985721</v>
          </cell>
          <cell r="AA13">
            <v>2793092</v>
          </cell>
          <cell r="AB13">
            <v>45884084</v>
          </cell>
          <cell r="AC13">
            <v>10832379</v>
          </cell>
          <cell r="AD13">
            <v>6490650</v>
          </cell>
          <cell r="AE13">
            <v>0</v>
          </cell>
          <cell r="AF13">
            <v>0</v>
          </cell>
          <cell r="AG13">
            <v>499898594</v>
          </cell>
          <cell r="AH13">
            <v>499898594</v>
          </cell>
          <cell r="AI13">
            <v>162282715</v>
          </cell>
          <cell r="AJ13">
            <v>20635477</v>
          </cell>
          <cell r="AK13">
            <v>59338938</v>
          </cell>
          <cell r="AL13">
            <v>0</v>
          </cell>
          <cell r="AM13">
            <v>2383563</v>
          </cell>
          <cell r="AN13">
            <v>0</v>
          </cell>
          <cell r="AO13">
            <v>19142965</v>
          </cell>
          <cell r="AP13">
            <v>71465709</v>
          </cell>
          <cell r="AQ13">
            <v>20301717</v>
          </cell>
          <cell r="AR13">
            <v>0</v>
          </cell>
          <cell r="AS13">
            <v>7430976</v>
          </cell>
          <cell r="AT13">
            <v>83932197</v>
          </cell>
          <cell r="AU13">
            <v>446914257</v>
          </cell>
          <cell r="AV13">
            <v>1201357102</v>
          </cell>
        </row>
        <row r="14">
          <cell r="A14">
            <v>7206000</v>
          </cell>
          <cell r="B14" t="str">
            <v>هزينه اضافه كاري</v>
          </cell>
          <cell r="C14">
            <v>12723872</v>
          </cell>
          <cell r="D14">
            <v>82626607</v>
          </cell>
          <cell r="E14">
            <v>80668206</v>
          </cell>
          <cell r="F14">
            <v>37488893</v>
          </cell>
          <cell r="G14">
            <v>81380137</v>
          </cell>
          <cell r="H14">
            <v>54318314</v>
          </cell>
          <cell r="I14">
            <v>104083161</v>
          </cell>
          <cell r="J14">
            <v>73426294</v>
          </cell>
          <cell r="K14">
            <v>39230103</v>
          </cell>
          <cell r="L14">
            <v>0</v>
          </cell>
          <cell r="M14">
            <v>30152804</v>
          </cell>
          <cell r="N14">
            <v>34767552</v>
          </cell>
          <cell r="O14">
            <v>0</v>
          </cell>
          <cell r="P14">
            <v>0</v>
          </cell>
          <cell r="Q14">
            <v>3224936</v>
          </cell>
          <cell r="R14">
            <v>634090879</v>
          </cell>
          <cell r="S14">
            <v>35167933</v>
          </cell>
          <cell r="T14">
            <v>109332076</v>
          </cell>
          <cell r="U14">
            <v>475261123</v>
          </cell>
          <cell r="V14">
            <v>32309949</v>
          </cell>
          <cell r="W14">
            <v>283886536</v>
          </cell>
          <cell r="X14">
            <v>135322484</v>
          </cell>
          <cell r="Y14">
            <v>2685676</v>
          </cell>
          <cell r="Z14">
            <v>43015888</v>
          </cell>
          <cell r="AA14">
            <v>1305928</v>
          </cell>
          <cell r="AB14">
            <v>67996960</v>
          </cell>
          <cell r="AC14">
            <v>30145746</v>
          </cell>
          <cell r="AD14">
            <v>21097927</v>
          </cell>
          <cell r="AE14">
            <v>0</v>
          </cell>
          <cell r="AF14">
            <v>8934569</v>
          </cell>
          <cell r="AG14">
            <v>1246462795</v>
          </cell>
          <cell r="AH14">
            <v>1246462795</v>
          </cell>
          <cell r="AI14">
            <v>18498266</v>
          </cell>
          <cell r="AJ14">
            <v>128964856</v>
          </cell>
          <cell r="AK14">
            <v>34186862</v>
          </cell>
          <cell r="AL14">
            <v>0</v>
          </cell>
          <cell r="AM14">
            <v>48343532</v>
          </cell>
          <cell r="AN14">
            <v>0</v>
          </cell>
          <cell r="AO14">
            <v>33164299</v>
          </cell>
          <cell r="AP14">
            <v>160877604</v>
          </cell>
          <cell r="AQ14">
            <v>32880061</v>
          </cell>
          <cell r="AR14">
            <v>0</v>
          </cell>
          <cell r="AS14">
            <v>22857394</v>
          </cell>
          <cell r="AT14">
            <v>48230932</v>
          </cell>
          <cell r="AU14">
            <v>528003806</v>
          </cell>
          <cell r="AV14">
            <v>2408557480</v>
          </cell>
        </row>
        <row r="15">
          <cell r="A15">
            <v>7206001</v>
          </cell>
          <cell r="B15" t="str">
            <v>هزينه اضافه كاري ( پارس پاکان)</v>
          </cell>
          <cell r="C15">
            <v>0</v>
          </cell>
          <cell r="D15">
            <v>13464182</v>
          </cell>
          <cell r="E15">
            <v>11996554</v>
          </cell>
          <cell r="F15">
            <v>15971431</v>
          </cell>
          <cell r="G15">
            <v>18875852</v>
          </cell>
          <cell r="H15">
            <v>6705620</v>
          </cell>
          <cell r="I15">
            <v>12977057</v>
          </cell>
          <cell r="J15">
            <v>21540257</v>
          </cell>
          <cell r="K15">
            <v>15537241</v>
          </cell>
          <cell r="L15">
            <v>0</v>
          </cell>
          <cell r="M15">
            <v>0</v>
          </cell>
          <cell r="N15">
            <v>51156848</v>
          </cell>
          <cell r="O15">
            <v>9547226</v>
          </cell>
          <cell r="P15">
            <v>8839360</v>
          </cell>
          <cell r="Q15">
            <v>0</v>
          </cell>
          <cell r="R15">
            <v>186611628</v>
          </cell>
          <cell r="S15">
            <v>5093627</v>
          </cell>
          <cell r="T15">
            <v>29168392</v>
          </cell>
          <cell r="U15">
            <v>60115382</v>
          </cell>
          <cell r="V15">
            <v>219792</v>
          </cell>
          <cell r="W15">
            <v>3284141</v>
          </cell>
          <cell r="X15">
            <v>15113729</v>
          </cell>
          <cell r="Y15">
            <v>11837594</v>
          </cell>
          <cell r="Z15">
            <v>0</v>
          </cell>
          <cell r="AA15">
            <v>0</v>
          </cell>
          <cell r="AB15">
            <v>2230401</v>
          </cell>
          <cell r="AC15">
            <v>125145651</v>
          </cell>
          <cell r="AD15">
            <v>29787347</v>
          </cell>
          <cell r="AE15">
            <v>0</v>
          </cell>
          <cell r="AF15">
            <v>0</v>
          </cell>
          <cell r="AG15">
            <v>281996056</v>
          </cell>
          <cell r="AH15">
            <v>281996056</v>
          </cell>
          <cell r="AI15">
            <v>3032438</v>
          </cell>
          <cell r="AJ15">
            <v>0</v>
          </cell>
          <cell r="AK15">
            <v>0</v>
          </cell>
          <cell r="AL15">
            <v>0</v>
          </cell>
          <cell r="AM15">
            <v>0</v>
          </cell>
          <cell r="AN15">
            <v>0</v>
          </cell>
          <cell r="AO15">
            <v>0</v>
          </cell>
          <cell r="AP15">
            <v>0</v>
          </cell>
          <cell r="AQ15">
            <v>1897989</v>
          </cell>
          <cell r="AR15">
            <v>0</v>
          </cell>
          <cell r="AS15">
            <v>0</v>
          </cell>
          <cell r="AT15">
            <v>1568792</v>
          </cell>
          <cell r="AU15">
            <v>6499219</v>
          </cell>
          <cell r="AV15">
            <v>475106903</v>
          </cell>
        </row>
        <row r="16">
          <cell r="A16">
            <v>7207000</v>
          </cell>
          <cell r="B16" t="str">
            <v>هزينه نوبتكاري</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12536880</v>
          </cell>
          <cell r="AD16">
            <v>0</v>
          </cell>
          <cell r="AE16">
            <v>0</v>
          </cell>
          <cell r="AF16">
            <v>0</v>
          </cell>
          <cell r="AG16">
            <v>12536880</v>
          </cell>
          <cell r="AH16">
            <v>12536880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12536880</v>
          </cell>
        </row>
        <row r="17">
          <cell r="A17">
            <v>7208000</v>
          </cell>
          <cell r="B17" t="str">
            <v>هزينه شبكاري</v>
          </cell>
          <cell r="C17">
            <v>159048</v>
          </cell>
          <cell r="D17">
            <v>709489</v>
          </cell>
          <cell r="E17">
            <v>643808</v>
          </cell>
          <cell r="F17">
            <v>0</v>
          </cell>
          <cell r="G17">
            <v>1158841</v>
          </cell>
          <cell r="H17">
            <v>0</v>
          </cell>
          <cell r="I17">
            <v>18534</v>
          </cell>
          <cell r="J17">
            <v>0</v>
          </cell>
          <cell r="K17">
            <v>0</v>
          </cell>
          <cell r="L17">
            <v>0</v>
          </cell>
          <cell r="M17">
            <v>63007</v>
          </cell>
          <cell r="N17">
            <v>15960</v>
          </cell>
          <cell r="O17">
            <v>0</v>
          </cell>
          <cell r="P17">
            <v>0</v>
          </cell>
          <cell r="Q17">
            <v>0</v>
          </cell>
          <cell r="R17">
            <v>2768687</v>
          </cell>
          <cell r="S17">
            <v>0</v>
          </cell>
          <cell r="T17">
            <v>95492</v>
          </cell>
          <cell r="U17">
            <v>16641273</v>
          </cell>
          <cell r="V17">
            <v>43151</v>
          </cell>
          <cell r="W17">
            <v>1624232</v>
          </cell>
          <cell r="X17">
            <v>0</v>
          </cell>
          <cell r="Y17">
            <v>0</v>
          </cell>
          <cell r="Z17">
            <v>0</v>
          </cell>
          <cell r="AA17">
            <v>0</v>
          </cell>
          <cell r="AB17">
            <v>0</v>
          </cell>
          <cell r="AC17">
            <v>0</v>
          </cell>
          <cell r="AD17">
            <v>52257</v>
          </cell>
          <cell r="AE17">
            <v>0</v>
          </cell>
          <cell r="AF17">
            <v>0</v>
          </cell>
          <cell r="AG17">
            <v>18456405</v>
          </cell>
          <cell r="AH17">
            <v>18456405</v>
          </cell>
          <cell r="AI17">
            <v>0</v>
          </cell>
          <cell r="AJ17">
            <v>57282</v>
          </cell>
          <cell r="AK17">
            <v>34000</v>
          </cell>
          <cell r="AL17">
            <v>0</v>
          </cell>
          <cell r="AM17">
            <v>0</v>
          </cell>
          <cell r="AN17">
            <v>0</v>
          </cell>
          <cell r="AO17">
            <v>0</v>
          </cell>
          <cell r="AP17">
            <v>329253</v>
          </cell>
          <cell r="AQ17">
            <v>11316</v>
          </cell>
          <cell r="AR17">
            <v>0</v>
          </cell>
          <cell r="AS17">
            <v>11367</v>
          </cell>
          <cell r="AT17">
            <v>0</v>
          </cell>
          <cell r="AU17">
            <v>443218</v>
          </cell>
          <cell r="AV17">
            <v>21668310</v>
          </cell>
        </row>
        <row r="18">
          <cell r="A18">
            <v>7211000</v>
          </cell>
          <cell r="B18" t="str">
            <v>هزينه عيدي وپاداش ساليانه</v>
          </cell>
          <cell r="C18">
            <v>1693479</v>
          </cell>
          <cell r="D18">
            <v>18510498</v>
          </cell>
          <cell r="E18">
            <v>20832225</v>
          </cell>
          <cell r="F18">
            <v>9252145</v>
          </cell>
          <cell r="G18">
            <v>16212574</v>
          </cell>
          <cell r="H18">
            <v>11580410</v>
          </cell>
          <cell r="I18">
            <v>29769919</v>
          </cell>
          <cell r="J18">
            <v>16211831</v>
          </cell>
          <cell r="K18">
            <v>6948246</v>
          </cell>
          <cell r="L18">
            <v>0</v>
          </cell>
          <cell r="M18">
            <v>6948246</v>
          </cell>
          <cell r="N18">
            <v>11787444</v>
          </cell>
          <cell r="O18">
            <v>0</v>
          </cell>
          <cell r="P18">
            <v>0</v>
          </cell>
          <cell r="Q18">
            <v>2015818</v>
          </cell>
          <cell r="R18">
            <v>151762835</v>
          </cell>
          <cell r="S18">
            <v>11362137</v>
          </cell>
          <cell r="T18">
            <v>24180132</v>
          </cell>
          <cell r="U18">
            <v>70819695</v>
          </cell>
          <cell r="V18">
            <v>16022398</v>
          </cell>
          <cell r="W18">
            <v>105733276</v>
          </cell>
          <cell r="X18">
            <v>27409292</v>
          </cell>
          <cell r="Y18">
            <v>2197448</v>
          </cell>
          <cell r="Z18">
            <v>20364768</v>
          </cell>
          <cell r="AA18">
            <v>2048986</v>
          </cell>
          <cell r="AB18">
            <v>29924418</v>
          </cell>
          <cell r="AC18">
            <v>6948246</v>
          </cell>
          <cell r="AD18">
            <v>2316082</v>
          </cell>
          <cell r="AE18">
            <v>0</v>
          </cell>
          <cell r="AF18">
            <v>2293157</v>
          </cell>
          <cell r="AG18">
            <v>321620035</v>
          </cell>
          <cell r="AH18">
            <v>321620035</v>
          </cell>
          <cell r="AI18">
            <v>111367531</v>
          </cell>
          <cell r="AJ18">
            <v>13896492</v>
          </cell>
          <cell r="AK18">
            <v>29946058</v>
          </cell>
          <cell r="AL18">
            <v>0</v>
          </cell>
          <cell r="AM18">
            <v>6663515</v>
          </cell>
          <cell r="AN18">
            <v>0</v>
          </cell>
          <cell r="AO18">
            <v>10036355</v>
          </cell>
          <cell r="AP18">
            <v>42117034</v>
          </cell>
          <cell r="AQ18">
            <v>13896492</v>
          </cell>
          <cell r="AR18">
            <v>6500000</v>
          </cell>
          <cell r="AS18">
            <v>4632164</v>
          </cell>
          <cell r="AT18">
            <v>34243148</v>
          </cell>
          <cell r="AU18">
            <v>273298789</v>
          </cell>
          <cell r="AV18">
            <v>746681659</v>
          </cell>
        </row>
        <row r="19">
          <cell r="A19">
            <v>7213000</v>
          </cell>
          <cell r="B19" t="str">
            <v>هزينه بن كالاي اساسي</v>
          </cell>
          <cell r="C19">
            <v>840000</v>
          </cell>
          <cell r="D19">
            <v>6720000</v>
          </cell>
          <cell r="E19">
            <v>7560000</v>
          </cell>
          <cell r="F19">
            <v>3360000</v>
          </cell>
          <cell r="G19">
            <v>5880000</v>
          </cell>
          <cell r="H19">
            <v>4200000</v>
          </cell>
          <cell r="I19">
            <v>10360000</v>
          </cell>
          <cell r="J19">
            <v>5880000</v>
          </cell>
          <cell r="K19">
            <v>2520000</v>
          </cell>
          <cell r="L19">
            <v>0</v>
          </cell>
          <cell r="M19">
            <v>2520000</v>
          </cell>
          <cell r="N19">
            <v>5040000</v>
          </cell>
          <cell r="O19">
            <v>0</v>
          </cell>
          <cell r="P19">
            <v>0</v>
          </cell>
          <cell r="Q19">
            <v>840000</v>
          </cell>
          <cell r="R19">
            <v>55720000</v>
          </cell>
          <cell r="S19">
            <v>4200000</v>
          </cell>
          <cell r="T19">
            <v>8960000</v>
          </cell>
          <cell r="U19">
            <v>25760000</v>
          </cell>
          <cell r="V19">
            <v>5600000</v>
          </cell>
          <cell r="W19">
            <v>38920000</v>
          </cell>
          <cell r="X19">
            <v>10080000</v>
          </cell>
          <cell r="Y19">
            <v>840000</v>
          </cell>
          <cell r="Z19">
            <v>7560000</v>
          </cell>
          <cell r="AA19">
            <v>840000</v>
          </cell>
          <cell r="AB19">
            <v>10920000</v>
          </cell>
          <cell r="AC19">
            <v>2520000</v>
          </cell>
          <cell r="AD19">
            <v>840000</v>
          </cell>
          <cell r="AE19">
            <v>0</v>
          </cell>
          <cell r="AF19">
            <v>840000</v>
          </cell>
          <cell r="AG19">
            <v>117880000</v>
          </cell>
          <cell r="AH19">
            <v>117880000</v>
          </cell>
          <cell r="AI19">
            <v>41160000</v>
          </cell>
          <cell r="AJ19">
            <v>5040000</v>
          </cell>
          <cell r="AK19">
            <v>10920000</v>
          </cell>
          <cell r="AL19">
            <v>0</v>
          </cell>
          <cell r="AM19">
            <v>2520000</v>
          </cell>
          <cell r="AN19">
            <v>0</v>
          </cell>
          <cell r="AO19">
            <v>3640000</v>
          </cell>
          <cell r="AP19">
            <v>15120000</v>
          </cell>
          <cell r="AQ19">
            <v>5040000</v>
          </cell>
          <cell r="AR19">
            <v>0</v>
          </cell>
          <cell r="AS19">
            <v>1680000</v>
          </cell>
          <cell r="AT19">
            <v>12600000</v>
          </cell>
          <cell r="AU19">
            <v>97720000</v>
          </cell>
          <cell r="AV19">
            <v>271320000</v>
          </cell>
        </row>
        <row r="20">
          <cell r="A20">
            <v>7215000</v>
          </cell>
          <cell r="B20" t="str">
            <v>هزينه حق بيمه سهم كارفرما</v>
          </cell>
          <cell r="C20">
            <v>10853638</v>
          </cell>
          <cell r="D20">
            <v>56099801</v>
          </cell>
          <cell r="E20">
            <v>59453203</v>
          </cell>
          <cell r="F20">
            <v>27223626</v>
          </cell>
          <cell r="G20">
            <v>51845062</v>
          </cell>
          <cell r="H20">
            <v>35737646</v>
          </cell>
          <cell r="I20">
            <v>80353542</v>
          </cell>
          <cell r="J20">
            <v>48585974</v>
          </cell>
          <cell r="K20">
            <v>23100578</v>
          </cell>
          <cell r="L20">
            <v>0</v>
          </cell>
          <cell r="M20">
            <v>23019684</v>
          </cell>
          <cell r="N20">
            <v>35861004</v>
          </cell>
          <cell r="O20">
            <v>0</v>
          </cell>
          <cell r="P20">
            <v>0</v>
          </cell>
          <cell r="Q20">
            <v>11851205</v>
          </cell>
          <cell r="R20">
            <v>463984963</v>
          </cell>
          <cell r="S20">
            <v>30282733</v>
          </cell>
          <cell r="T20">
            <v>79685164</v>
          </cell>
          <cell r="U20">
            <v>265354478</v>
          </cell>
          <cell r="V20">
            <v>36765062</v>
          </cell>
          <cell r="W20">
            <v>326144651</v>
          </cell>
          <cell r="X20">
            <v>87300633</v>
          </cell>
          <cell r="Y20">
            <v>6793157</v>
          </cell>
          <cell r="Z20">
            <v>56884010</v>
          </cell>
          <cell r="AA20">
            <v>4325610</v>
          </cell>
          <cell r="AB20">
            <v>70862729</v>
          </cell>
          <cell r="AC20">
            <v>23418099</v>
          </cell>
          <cell r="AD20">
            <v>10086287</v>
          </cell>
          <cell r="AE20">
            <v>0</v>
          </cell>
          <cell r="AF20">
            <v>5368324</v>
          </cell>
          <cell r="AG20">
            <v>1003270937</v>
          </cell>
          <cell r="AH20">
            <v>1003270937</v>
          </cell>
          <cell r="AI20">
            <v>363455954</v>
          </cell>
          <cell r="AJ20">
            <v>76028987</v>
          </cell>
          <cell r="AK20">
            <v>91835248</v>
          </cell>
          <cell r="AL20">
            <v>0</v>
          </cell>
          <cell r="AM20">
            <v>24976026</v>
          </cell>
          <cell r="AN20">
            <v>0</v>
          </cell>
          <cell r="AO20">
            <v>37491462</v>
          </cell>
          <cell r="AP20">
            <v>141141133</v>
          </cell>
          <cell r="AQ20">
            <v>45131537</v>
          </cell>
          <cell r="AR20">
            <v>0</v>
          </cell>
          <cell r="AS20">
            <v>15597998</v>
          </cell>
          <cell r="AT20">
            <v>129038849</v>
          </cell>
          <cell r="AU20">
            <v>924697194</v>
          </cell>
          <cell r="AV20">
            <v>2391953094</v>
          </cell>
        </row>
        <row r="21">
          <cell r="A21">
            <v>7216000</v>
          </cell>
          <cell r="B21" t="str">
            <v>هزينه بازخريدسنوات</v>
          </cell>
          <cell r="C21">
            <v>4488049</v>
          </cell>
          <cell r="D21">
            <v>87394935</v>
          </cell>
          <cell r="E21">
            <v>96719019</v>
          </cell>
          <cell r="F21">
            <v>46742347</v>
          </cell>
          <cell r="G21">
            <v>79395371</v>
          </cell>
          <cell r="H21">
            <v>54872577</v>
          </cell>
          <cell r="I21">
            <v>140515544</v>
          </cell>
          <cell r="J21">
            <v>81097892</v>
          </cell>
          <cell r="K21">
            <v>31543543</v>
          </cell>
          <cell r="L21">
            <v>0</v>
          </cell>
          <cell r="M21">
            <v>10197951</v>
          </cell>
          <cell r="N21">
            <v>12338432</v>
          </cell>
          <cell r="O21">
            <v>0</v>
          </cell>
          <cell r="P21">
            <v>0</v>
          </cell>
          <cell r="Q21">
            <v>4174735</v>
          </cell>
          <cell r="R21">
            <v>649480395</v>
          </cell>
          <cell r="S21">
            <v>50323695</v>
          </cell>
          <cell r="T21">
            <v>152882533</v>
          </cell>
          <cell r="U21">
            <v>307058697</v>
          </cell>
          <cell r="V21">
            <v>19800165</v>
          </cell>
          <cell r="W21">
            <v>308004613</v>
          </cell>
          <cell r="X21">
            <v>142047396</v>
          </cell>
          <cell r="Y21">
            <v>4934112</v>
          </cell>
          <cell r="Z21">
            <v>52187069</v>
          </cell>
          <cell r="AA21">
            <v>2802244</v>
          </cell>
          <cell r="AB21">
            <v>105675156</v>
          </cell>
          <cell r="AC21">
            <v>31903752</v>
          </cell>
          <cell r="AD21">
            <v>18696298</v>
          </cell>
          <cell r="AE21">
            <v>0</v>
          </cell>
          <cell r="AF21">
            <v>2737103</v>
          </cell>
          <cell r="AG21">
            <v>1199052833</v>
          </cell>
          <cell r="AH21">
            <v>1199052833</v>
          </cell>
          <cell r="AI21">
            <v>212313914</v>
          </cell>
          <cell r="AJ21">
            <v>71521795</v>
          </cell>
          <cell r="AK21">
            <v>55045444</v>
          </cell>
          <cell r="AL21">
            <v>0</v>
          </cell>
          <cell r="AM21">
            <v>23607554</v>
          </cell>
          <cell r="AN21">
            <v>0</v>
          </cell>
          <cell r="AO21">
            <v>28992548</v>
          </cell>
          <cell r="AP21">
            <v>165261992</v>
          </cell>
          <cell r="AQ21">
            <v>26960694</v>
          </cell>
          <cell r="AR21">
            <v>0</v>
          </cell>
          <cell r="AS21">
            <v>16125186</v>
          </cell>
          <cell r="AT21">
            <v>77513909</v>
          </cell>
          <cell r="AU21">
            <v>677343036</v>
          </cell>
          <cell r="AV21">
            <v>2525876264</v>
          </cell>
        </row>
        <row r="22">
          <cell r="A22" t="str">
            <v xml:space="preserve">دستمزد </v>
          </cell>
          <cell r="B22" t="str">
            <v>دستمزد مستقیم</v>
          </cell>
          <cell r="C22">
            <v>59128904</v>
          </cell>
          <cell r="D22">
            <v>494759865</v>
          </cell>
          <cell r="E22">
            <v>519222758</v>
          </cell>
          <cell r="F22">
            <v>303405413</v>
          </cell>
          <cell r="G22">
            <v>484303307</v>
          </cell>
          <cell r="H22">
            <v>295311429</v>
          </cell>
          <cell r="I22">
            <v>719897089</v>
          </cell>
          <cell r="J22">
            <v>498653292</v>
          </cell>
          <cell r="K22">
            <v>241847980</v>
          </cell>
          <cell r="L22">
            <v>0</v>
          </cell>
          <cell r="M22">
            <v>140521455</v>
          </cell>
          <cell r="N22">
            <v>479632826</v>
          </cell>
          <cell r="O22">
            <v>55898543</v>
          </cell>
          <cell r="P22">
            <v>50954112</v>
          </cell>
          <cell r="Q22">
            <v>56815526</v>
          </cell>
          <cell r="R22">
            <v>4400352499</v>
          </cell>
          <cell r="S22">
            <v>262526977</v>
          </cell>
          <cell r="T22">
            <v>793026225</v>
          </cell>
          <cell r="U22">
            <v>1970688501</v>
          </cell>
          <cell r="V22">
            <v>245809735</v>
          </cell>
          <cell r="W22">
            <v>2189790209</v>
          </cell>
          <cell r="X22">
            <v>752662624</v>
          </cell>
          <cell r="Y22">
            <v>90918311</v>
          </cell>
          <cell r="Z22">
            <v>375962602</v>
          </cell>
          <cell r="AA22">
            <v>28823838</v>
          </cell>
          <cell r="AB22">
            <v>596023813</v>
          </cell>
          <cell r="AC22">
            <v>374089176</v>
          </cell>
          <cell r="AD22">
            <v>507298344</v>
          </cell>
          <cell r="AE22">
            <v>0</v>
          </cell>
          <cell r="AF22">
            <v>34436287</v>
          </cell>
          <cell r="AG22">
            <v>8222056642</v>
          </cell>
          <cell r="AH22">
            <v>8222056642</v>
          </cell>
          <cell r="AI22">
            <v>1889000581</v>
          </cell>
          <cell r="AJ22">
            <v>557791033</v>
          </cell>
          <cell r="AK22">
            <v>570322584</v>
          </cell>
          <cell r="AL22">
            <v>0</v>
          </cell>
          <cell r="AM22">
            <v>162206379</v>
          </cell>
          <cell r="AN22">
            <v>0</v>
          </cell>
          <cell r="AO22">
            <v>238103044</v>
          </cell>
          <cell r="AP22">
            <v>936051159</v>
          </cell>
          <cell r="AQ22">
            <v>291084235</v>
          </cell>
          <cell r="AR22">
            <v>6500000</v>
          </cell>
          <cell r="AS22">
            <v>106511250</v>
          </cell>
          <cell r="AT22">
            <v>784485789</v>
          </cell>
          <cell r="AU22">
            <v>5542056054</v>
          </cell>
          <cell r="AV22">
            <v>18164465195</v>
          </cell>
        </row>
        <row r="23">
          <cell r="A23">
            <v>7217000</v>
          </cell>
          <cell r="B23" t="str">
            <v>هزينه اياب وذهاب</v>
          </cell>
          <cell r="C23">
            <v>146000</v>
          </cell>
          <cell r="D23">
            <v>2408314</v>
          </cell>
          <cell r="E23">
            <v>3468025</v>
          </cell>
          <cell r="F23">
            <v>1743240</v>
          </cell>
          <cell r="G23">
            <v>3226351</v>
          </cell>
          <cell r="H23">
            <v>1292485</v>
          </cell>
          <cell r="I23">
            <v>4598698</v>
          </cell>
          <cell r="J23">
            <v>2685216</v>
          </cell>
          <cell r="K23">
            <v>1546352</v>
          </cell>
          <cell r="L23">
            <v>0</v>
          </cell>
          <cell r="M23">
            <v>390000</v>
          </cell>
          <cell r="N23">
            <v>0</v>
          </cell>
          <cell r="O23">
            <v>0</v>
          </cell>
          <cell r="P23">
            <v>0</v>
          </cell>
          <cell r="Q23">
            <v>2950000</v>
          </cell>
          <cell r="R23">
            <v>24454681</v>
          </cell>
          <cell r="S23">
            <v>967137</v>
          </cell>
          <cell r="T23">
            <v>5473708</v>
          </cell>
          <cell r="U23">
            <v>10975396</v>
          </cell>
          <cell r="V23">
            <v>2950000</v>
          </cell>
          <cell r="W23">
            <v>7204863</v>
          </cell>
          <cell r="X23">
            <v>5467414</v>
          </cell>
          <cell r="Y23">
            <v>0</v>
          </cell>
          <cell r="Z23">
            <v>3757996</v>
          </cell>
          <cell r="AA23">
            <v>0</v>
          </cell>
          <cell r="AB23">
            <v>5019488</v>
          </cell>
          <cell r="AC23">
            <v>1870205</v>
          </cell>
          <cell r="AD23">
            <v>789040</v>
          </cell>
          <cell r="AE23">
            <v>40000</v>
          </cell>
          <cell r="AF23">
            <v>1212637487</v>
          </cell>
          <cell r="AG23">
            <v>1257152734</v>
          </cell>
          <cell r="AH23">
            <v>1281607415</v>
          </cell>
          <cell r="AI23">
            <v>93636000</v>
          </cell>
          <cell r="AJ23">
            <v>16275500</v>
          </cell>
          <cell r="AK23">
            <v>0</v>
          </cell>
          <cell r="AL23">
            <v>160000</v>
          </cell>
          <cell r="AM23">
            <v>0</v>
          </cell>
          <cell r="AN23">
            <v>0</v>
          </cell>
          <cell r="AO23">
            <v>2950000</v>
          </cell>
          <cell r="AP23">
            <v>23793354</v>
          </cell>
          <cell r="AQ23">
            <v>3341792</v>
          </cell>
          <cell r="AR23">
            <v>7346000</v>
          </cell>
          <cell r="AS23">
            <v>1898271</v>
          </cell>
          <cell r="AT23">
            <v>11216307</v>
          </cell>
          <cell r="AU23">
            <v>160617224</v>
          </cell>
          <cell r="AV23">
            <v>1442224639</v>
          </cell>
        </row>
        <row r="24">
          <cell r="A24">
            <v>7218000</v>
          </cell>
          <cell r="B24" t="str">
            <v>هزينه پاداش بهره وري</v>
          </cell>
          <cell r="C24">
            <v>1625000</v>
          </cell>
          <cell r="D24">
            <v>13000000</v>
          </cell>
          <cell r="E24">
            <v>14625000</v>
          </cell>
          <cell r="F24">
            <v>6500000</v>
          </cell>
          <cell r="G24">
            <v>11375000</v>
          </cell>
          <cell r="H24">
            <v>8125000</v>
          </cell>
          <cell r="I24">
            <v>30474999</v>
          </cell>
          <cell r="J24">
            <v>11375000</v>
          </cell>
          <cell r="K24">
            <v>4875000</v>
          </cell>
          <cell r="L24">
            <v>0</v>
          </cell>
          <cell r="M24">
            <v>4875000</v>
          </cell>
          <cell r="N24">
            <v>9750000</v>
          </cell>
          <cell r="O24">
            <v>0</v>
          </cell>
          <cell r="P24">
            <v>0</v>
          </cell>
          <cell r="Q24">
            <v>3250000</v>
          </cell>
          <cell r="R24">
            <v>119849999</v>
          </cell>
          <cell r="S24">
            <v>8125000</v>
          </cell>
          <cell r="T24">
            <v>17875000</v>
          </cell>
          <cell r="U24">
            <v>50375000</v>
          </cell>
          <cell r="V24">
            <v>11375000</v>
          </cell>
          <cell r="W24">
            <v>76925000</v>
          </cell>
          <cell r="X24">
            <v>19500000</v>
          </cell>
          <cell r="Y24">
            <v>1625000</v>
          </cell>
          <cell r="Z24">
            <v>14625000</v>
          </cell>
          <cell r="AA24">
            <v>1625000</v>
          </cell>
          <cell r="AB24">
            <v>22750000</v>
          </cell>
          <cell r="AC24">
            <v>6500000</v>
          </cell>
          <cell r="AD24">
            <v>4875000</v>
          </cell>
          <cell r="AE24">
            <v>0</v>
          </cell>
          <cell r="AF24">
            <v>1625000</v>
          </cell>
          <cell r="AG24">
            <v>237800000</v>
          </cell>
          <cell r="AH24">
            <v>357649999</v>
          </cell>
          <cell r="AI24">
            <v>84500000</v>
          </cell>
          <cell r="AJ24">
            <v>14625000</v>
          </cell>
          <cell r="AK24">
            <v>22750000</v>
          </cell>
          <cell r="AL24">
            <v>0</v>
          </cell>
          <cell r="AM24">
            <v>4875000</v>
          </cell>
          <cell r="AN24">
            <v>0</v>
          </cell>
          <cell r="AO24">
            <v>6500000</v>
          </cell>
          <cell r="AP24">
            <v>30875000</v>
          </cell>
          <cell r="AQ24">
            <v>11375000</v>
          </cell>
          <cell r="AR24">
            <v>0</v>
          </cell>
          <cell r="AS24">
            <v>4875000</v>
          </cell>
          <cell r="AT24">
            <v>24375000</v>
          </cell>
          <cell r="AU24">
            <v>204750000</v>
          </cell>
          <cell r="AV24">
            <v>562399999</v>
          </cell>
        </row>
        <row r="25">
          <cell r="A25">
            <v>7218001</v>
          </cell>
          <cell r="B25" t="str">
            <v>هزينه پاداش بهره وري( پارس پاکان)</v>
          </cell>
          <cell r="C25">
            <v>0</v>
          </cell>
          <cell r="D25">
            <v>4949999</v>
          </cell>
          <cell r="E25">
            <v>2750000</v>
          </cell>
          <cell r="F25">
            <v>7699999</v>
          </cell>
          <cell r="G25">
            <v>6599999</v>
          </cell>
          <cell r="H25">
            <v>1650000</v>
          </cell>
          <cell r="I25">
            <v>6599999</v>
          </cell>
          <cell r="J25">
            <v>7149999</v>
          </cell>
          <cell r="K25">
            <v>4399999</v>
          </cell>
          <cell r="L25">
            <v>0</v>
          </cell>
          <cell r="M25">
            <v>0</v>
          </cell>
          <cell r="N25">
            <v>18699997</v>
          </cell>
          <cell r="O25">
            <v>3300000</v>
          </cell>
          <cell r="P25">
            <v>3300000</v>
          </cell>
          <cell r="Q25">
            <v>0</v>
          </cell>
          <cell r="R25">
            <v>67099991</v>
          </cell>
          <cell r="S25">
            <v>2750000</v>
          </cell>
          <cell r="T25">
            <v>17599997</v>
          </cell>
          <cell r="U25">
            <v>8799999</v>
          </cell>
          <cell r="V25">
            <v>1100000</v>
          </cell>
          <cell r="W25">
            <v>1100000</v>
          </cell>
          <cell r="X25">
            <v>6599999</v>
          </cell>
          <cell r="Y25">
            <v>2750000</v>
          </cell>
          <cell r="Z25">
            <v>0</v>
          </cell>
          <cell r="AA25">
            <v>0</v>
          </cell>
          <cell r="AB25">
            <v>1100000</v>
          </cell>
          <cell r="AC25">
            <v>5499999</v>
          </cell>
          <cell r="AD25">
            <v>32999995</v>
          </cell>
          <cell r="AE25">
            <v>0</v>
          </cell>
          <cell r="AF25">
            <v>0</v>
          </cell>
          <cell r="AG25">
            <v>80299989</v>
          </cell>
          <cell r="AH25">
            <v>147399980</v>
          </cell>
          <cell r="AI25">
            <v>1100000</v>
          </cell>
          <cell r="AJ25">
            <v>0</v>
          </cell>
          <cell r="AK25">
            <v>0</v>
          </cell>
          <cell r="AL25">
            <v>0</v>
          </cell>
          <cell r="AM25">
            <v>0</v>
          </cell>
          <cell r="AN25">
            <v>0</v>
          </cell>
          <cell r="AO25">
            <v>0</v>
          </cell>
          <cell r="AP25">
            <v>0</v>
          </cell>
          <cell r="AQ25">
            <v>1100000</v>
          </cell>
          <cell r="AR25">
            <v>0</v>
          </cell>
          <cell r="AS25">
            <v>0</v>
          </cell>
          <cell r="AT25">
            <v>1100000</v>
          </cell>
          <cell r="AU25">
            <v>3300000</v>
          </cell>
          <cell r="AV25">
            <v>150699980</v>
          </cell>
        </row>
        <row r="26">
          <cell r="A26">
            <v>7219000</v>
          </cell>
          <cell r="B26" t="str">
            <v>هزينه سايرمزاياي نقدي</v>
          </cell>
          <cell r="C26">
            <v>6480000</v>
          </cell>
          <cell r="D26">
            <v>5951068</v>
          </cell>
          <cell r="E26">
            <v>4373262</v>
          </cell>
          <cell r="F26">
            <v>1002999</v>
          </cell>
          <cell r="G26">
            <v>21303901</v>
          </cell>
          <cell r="H26">
            <v>999999</v>
          </cell>
          <cell r="I26">
            <v>3597483</v>
          </cell>
          <cell r="J26">
            <v>309999</v>
          </cell>
          <cell r="K26">
            <v>309999</v>
          </cell>
          <cell r="L26">
            <v>0</v>
          </cell>
          <cell r="M26">
            <v>1860003</v>
          </cell>
          <cell r="N26">
            <v>19605123</v>
          </cell>
          <cell r="O26">
            <v>0</v>
          </cell>
          <cell r="P26">
            <v>0</v>
          </cell>
          <cell r="Q26">
            <v>10792424</v>
          </cell>
          <cell r="R26">
            <v>76586260</v>
          </cell>
          <cell r="S26">
            <v>5852393</v>
          </cell>
          <cell r="T26">
            <v>24763642</v>
          </cell>
          <cell r="U26">
            <v>50209134</v>
          </cell>
          <cell r="V26">
            <v>6200001</v>
          </cell>
          <cell r="W26">
            <v>63952364</v>
          </cell>
          <cell r="X26">
            <v>48618206</v>
          </cell>
          <cell r="Y26">
            <v>3529455</v>
          </cell>
          <cell r="Z26">
            <v>29884198</v>
          </cell>
          <cell r="AA26">
            <v>0</v>
          </cell>
          <cell r="AB26">
            <v>8609001</v>
          </cell>
          <cell r="AC26">
            <v>600000</v>
          </cell>
          <cell r="AD26">
            <v>791277</v>
          </cell>
          <cell r="AE26">
            <v>0</v>
          </cell>
          <cell r="AF26">
            <v>0</v>
          </cell>
          <cell r="AG26">
            <v>243009671</v>
          </cell>
          <cell r="AH26">
            <v>319595931</v>
          </cell>
          <cell r="AI26">
            <v>454862160</v>
          </cell>
          <cell r="AJ26">
            <v>58577781</v>
          </cell>
          <cell r="AK26">
            <v>21286668</v>
          </cell>
          <cell r="AL26">
            <v>0</v>
          </cell>
          <cell r="AM26">
            <v>6200001</v>
          </cell>
          <cell r="AN26">
            <v>0</v>
          </cell>
          <cell r="AO26">
            <v>23122224</v>
          </cell>
          <cell r="AP26">
            <v>125790581</v>
          </cell>
          <cell r="AQ26">
            <v>17428120</v>
          </cell>
          <cell r="AR26">
            <v>0</v>
          </cell>
          <cell r="AS26">
            <v>1840002</v>
          </cell>
          <cell r="AT26">
            <v>84215014</v>
          </cell>
          <cell r="AU26">
            <v>793322551</v>
          </cell>
          <cell r="AV26">
            <v>1112918482</v>
          </cell>
        </row>
        <row r="27">
          <cell r="A27">
            <v>7219001</v>
          </cell>
          <cell r="B27" t="str">
            <v>هزينه سايرمزاياي نقدي ( پارس پاکان)</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row>
        <row r="28">
          <cell r="A28">
            <v>7223000</v>
          </cell>
          <cell r="B28" t="str">
            <v>هزينه بيمه حوادث كاركنان</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row>
        <row r="29">
          <cell r="A29">
            <v>7224000</v>
          </cell>
          <cell r="B29" t="str">
            <v>هزينه بهداشت ودرمان</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79000</v>
          </cell>
          <cell r="U29">
            <v>313400</v>
          </cell>
          <cell r="V29">
            <v>0</v>
          </cell>
          <cell r="W29">
            <v>0</v>
          </cell>
          <cell r="X29">
            <v>0</v>
          </cell>
          <cell r="Y29">
            <v>0</v>
          </cell>
          <cell r="Z29">
            <v>0</v>
          </cell>
          <cell r="AA29">
            <v>0</v>
          </cell>
          <cell r="AB29">
            <v>0</v>
          </cell>
          <cell r="AC29">
            <v>0</v>
          </cell>
          <cell r="AD29">
            <v>864000</v>
          </cell>
          <cell r="AE29">
            <v>213000</v>
          </cell>
          <cell r="AF29">
            <v>140000</v>
          </cell>
          <cell r="AG29">
            <v>1609400</v>
          </cell>
          <cell r="AH29">
            <v>1609400</v>
          </cell>
          <cell r="AI29">
            <v>0</v>
          </cell>
          <cell r="AJ29">
            <v>0</v>
          </cell>
          <cell r="AK29">
            <v>0</v>
          </cell>
          <cell r="AL29">
            <v>0</v>
          </cell>
          <cell r="AM29">
            <v>0</v>
          </cell>
          <cell r="AN29">
            <v>0</v>
          </cell>
          <cell r="AO29">
            <v>0</v>
          </cell>
          <cell r="AP29">
            <v>0</v>
          </cell>
          <cell r="AQ29">
            <v>0</v>
          </cell>
          <cell r="AR29">
            <v>0</v>
          </cell>
          <cell r="AS29">
            <v>3132270</v>
          </cell>
          <cell r="AT29">
            <v>0</v>
          </cell>
          <cell r="AU29">
            <v>3132270</v>
          </cell>
          <cell r="AV29">
            <v>4741670</v>
          </cell>
        </row>
        <row r="30">
          <cell r="A30">
            <v>7225000</v>
          </cell>
          <cell r="B30" t="str">
            <v>هزينه تغذيه پرسنل</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184000</v>
          </cell>
          <cell r="V30">
            <v>0</v>
          </cell>
          <cell r="W30">
            <v>0</v>
          </cell>
          <cell r="X30">
            <v>0</v>
          </cell>
          <cell r="Y30">
            <v>0</v>
          </cell>
          <cell r="Z30">
            <v>0</v>
          </cell>
          <cell r="AA30">
            <v>0</v>
          </cell>
          <cell r="AB30">
            <v>8850000</v>
          </cell>
          <cell r="AC30">
            <v>0</v>
          </cell>
          <cell r="AD30">
            <v>2872000</v>
          </cell>
          <cell r="AE30">
            <v>1628386545</v>
          </cell>
          <cell r="AF30">
            <v>702000</v>
          </cell>
          <cell r="AG30">
            <v>1640994545</v>
          </cell>
          <cell r="AH30">
            <v>1640994545</v>
          </cell>
          <cell r="AI30">
            <v>366500</v>
          </cell>
          <cell r="AJ30">
            <v>86000</v>
          </cell>
          <cell r="AK30">
            <v>0</v>
          </cell>
          <cell r="AL30">
            <v>50000</v>
          </cell>
          <cell r="AM30">
            <v>0</v>
          </cell>
          <cell r="AN30">
            <v>0</v>
          </cell>
          <cell r="AO30">
            <v>291000</v>
          </cell>
          <cell r="AP30">
            <v>1325500</v>
          </cell>
          <cell r="AQ30">
            <v>0</v>
          </cell>
          <cell r="AR30">
            <v>0</v>
          </cell>
          <cell r="AS30">
            <v>0</v>
          </cell>
          <cell r="AT30">
            <v>0</v>
          </cell>
          <cell r="AU30">
            <v>2119000</v>
          </cell>
          <cell r="AV30">
            <v>1643113545</v>
          </cell>
        </row>
        <row r="31">
          <cell r="A31">
            <v>7226000</v>
          </cell>
          <cell r="B31" t="str">
            <v>هزينه 3%صندوق پس انداز آتيه سهم کارفرما</v>
          </cell>
          <cell r="C31">
            <v>919125</v>
          </cell>
          <cell r="D31">
            <v>5057991</v>
          </cell>
          <cell r="E31">
            <v>5540928</v>
          </cell>
          <cell r="F31">
            <v>2589594</v>
          </cell>
          <cell r="G31">
            <v>4376553</v>
          </cell>
          <cell r="H31">
            <v>3211548</v>
          </cell>
          <cell r="I31">
            <v>7749112</v>
          </cell>
          <cell r="J31">
            <v>4474707</v>
          </cell>
          <cell r="K31">
            <v>1872678</v>
          </cell>
          <cell r="L31">
            <v>0</v>
          </cell>
          <cell r="M31">
            <v>2028591</v>
          </cell>
          <cell r="N31">
            <v>3470554</v>
          </cell>
          <cell r="O31">
            <v>0</v>
          </cell>
          <cell r="P31">
            <v>0</v>
          </cell>
          <cell r="Q31">
            <v>1203151</v>
          </cell>
          <cell r="R31">
            <v>42494532</v>
          </cell>
          <cell r="S31">
            <v>2808126</v>
          </cell>
          <cell r="T31">
            <v>7113528</v>
          </cell>
          <cell r="U31">
            <v>19600735</v>
          </cell>
          <cell r="V31">
            <v>3771801</v>
          </cell>
          <cell r="W31">
            <v>33389614</v>
          </cell>
          <cell r="X31">
            <v>7612860</v>
          </cell>
          <cell r="Y31">
            <v>846135</v>
          </cell>
          <cell r="Z31">
            <v>6216980</v>
          </cell>
          <cell r="AA31">
            <v>525032</v>
          </cell>
          <cell r="AB31">
            <v>9030303</v>
          </cell>
          <cell r="AC31">
            <v>1822821</v>
          </cell>
          <cell r="AD31">
            <v>765291</v>
          </cell>
          <cell r="AE31">
            <v>0</v>
          </cell>
          <cell r="AF31">
            <v>427893</v>
          </cell>
          <cell r="AG31">
            <v>93931119</v>
          </cell>
          <cell r="AH31">
            <v>136425651</v>
          </cell>
          <cell r="AI31">
            <v>34176682</v>
          </cell>
          <cell r="AJ31">
            <v>11854336</v>
          </cell>
          <cell r="AK31">
            <v>10569752</v>
          </cell>
          <cell r="AL31">
            <v>0</v>
          </cell>
          <cell r="AM31">
            <v>1682871</v>
          </cell>
          <cell r="AN31">
            <v>0</v>
          </cell>
          <cell r="AO31">
            <v>3960351</v>
          </cell>
          <cell r="AP31">
            <v>13026645</v>
          </cell>
          <cell r="AQ31">
            <v>4770909</v>
          </cell>
          <cell r="AR31">
            <v>0</v>
          </cell>
          <cell r="AS31">
            <v>1368216</v>
          </cell>
          <cell r="AT31">
            <v>14753230</v>
          </cell>
          <cell r="AU31">
            <v>96162992</v>
          </cell>
          <cell r="AV31">
            <v>232588643</v>
          </cell>
        </row>
        <row r="32">
          <cell r="A32">
            <v>7231000</v>
          </cell>
          <cell r="B32" t="str">
            <v>هزينه بازخريدمرخصي</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row>
        <row r="33">
          <cell r="A33">
            <v>7233000</v>
          </cell>
          <cell r="B33" t="str">
            <v>هزينه مزاياي غيرنقدي</v>
          </cell>
          <cell r="C33">
            <v>600000</v>
          </cell>
          <cell r="D33">
            <v>4800000</v>
          </cell>
          <cell r="E33">
            <v>4800000</v>
          </cell>
          <cell r="F33">
            <v>1800000</v>
          </cell>
          <cell r="G33">
            <v>3600000</v>
          </cell>
          <cell r="H33">
            <v>3000000</v>
          </cell>
          <cell r="I33">
            <v>6000000</v>
          </cell>
          <cell r="J33">
            <v>4200000</v>
          </cell>
          <cell r="K33">
            <v>1800000</v>
          </cell>
          <cell r="L33">
            <v>0</v>
          </cell>
          <cell r="M33">
            <v>1800000</v>
          </cell>
          <cell r="N33">
            <v>2400000</v>
          </cell>
          <cell r="O33">
            <v>1800000</v>
          </cell>
          <cell r="P33">
            <v>0</v>
          </cell>
          <cell r="Q33">
            <v>600000</v>
          </cell>
          <cell r="R33">
            <v>37200000</v>
          </cell>
          <cell r="S33">
            <v>2400000</v>
          </cell>
          <cell r="T33">
            <v>7200000</v>
          </cell>
          <cell r="U33">
            <v>18600000</v>
          </cell>
          <cell r="V33">
            <v>4800000</v>
          </cell>
          <cell r="W33">
            <v>25200000</v>
          </cell>
          <cell r="X33">
            <v>5400000</v>
          </cell>
          <cell r="Y33">
            <v>600000</v>
          </cell>
          <cell r="Z33">
            <v>4800000</v>
          </cell>
          <cell r="AA33">
            <v>600000</v>
          </cell>
          <cell r="AB33">
            <v>6600000</v>
          </cell>
          <cell r="AC33">
            <v>1800000</v>
          </cell>
          <cell r="AD33">
            <v>3600000</v>
          </cell>
          <cell r="AE33">
            <v>0</v>
          </cell>
          <cell r="AF33">
            <v>600000</v>
          </cell>
          <cell r="AG33">
            <v>82200000</v>
          </cell>
          <cell r="AH33">
            <v>119400000</v>
          </cell>
          <cell r="AI33">
            <v>29400000</v>
          </cell>
          <cell r="AJ33">
            <v>4200000</v>
          </cell>
          <cell r="AK33">
            <v>8400000</v>
          </cell>
          <cell r="AL33">
            <v>0</v>
          </cell>
          <cell r="AM33">
            <v>1800000</v>
          </cell>
          <cell r="AN33">
            <v>0</v>
          </cell>
          <cell r="AO33">
            <v>2400000</v>
          </cell>
          <cell r="AP33">
            <v>9000000</v>
          </cell>
          <cell r="AQ33">
            <v>3600000</v>
          </cell>
          <cell r="AR33">
            <v>1200000</v>
          </cell>
          <cell r="AS33">
            <v>1200000</v>
          </cell>
          <cell r="AT33">
            <v>9000000</v>
          </cell>
          <cell r="AU33">
            <v>70200000</v>
          </cell>
          <cell r="AV33">
            <v>189600000</v>
          </cell>
        </row>
        <row r="34">
          <cell r="A34">
            <v>7233001</v>
          </cell>
          <cell r="B34" t="str">
            <v>هزينه مزاياي غيرنقدي ( پارس پاکان)</v>
          </cell>
          <cell r="C34">
            <v>0</v>
          </cell>
          <cell r="D34">
            <v>5400000</v>
          </cell>
          <cell r="E34">
            <v>4800000</v>
          </cell>
          <cell r="F34">
            <v>6600000</v>
          </cell>
          <cell r="G34">
            <v>7200000</v>
          </cell>
          <cell r="H34">
            <v>1800000</v>
          </cell>
          <cell r="I34">
            <v>16200000</v>
          </cell>
          <cell r="J34">
            <v>8400000</v>
          </cell>
          <cell r="K34">
            <v>4800000</v>
          </cell>
          <cell r="L34">
            <v>0</v>
          </cell>
          <cell r="M34">
            <v>0</v>
          </cell>
          <cell r="N34">
            <v>16800000</v>
          </cell>
          <cell r="O34">
            <v>4200000</v>
          </cell>
          <cell r="P34">
            <v>3600000</v>
          </cell>
          <cell r="Q34">
            <v>0</v>
          </cell>
          <cell r="R34">
            <v>79800000</v>
          </cell>
          <cell r="S34">
            <v>3000000</v>
          </cell>
          <cell r="T34">
            <v>13200000</v>
          </cell>
          <cell r="U34">
            <v>8400000</v>
          </cell>
          <cell r="V34">
            <v>1200000</v>
          </cell>
          <cell r="W34">
            <v>1800000</v>
          </cell>
          <cell r="X34">
            <v>6600000</v>
          </cell>
          <cell r="Y34">
            <v>2400000</v>
          </cell>
          <cell r="Z34">
            <v>0</v>
          </cell>
          <cell r="AA34">
            <v>0</v>
          </cell>
          <cell r="AB34">
            <v>1200000</v>
          </cell>
          <cell r="AC34">
            <v>6000000</v>
          </cell>
          <cell r="AD34">
            <v>31200000</v>
          </cell>
          <cell r="AE34">
            <v>0</v>
          </cell>
          <cell r="AF34">
            <v>0</v>
          </cell>
          <cell r="AG34">
            <v>75000000</v>
          </cell>
          <cell r="AH34">
            <v>154800000</v>
          </cell>
          <cell r="AI34">
            <v>1200000</v>
          </cell>
          <cell r="AJ34">
            <v>0</v>
          </cell>
          <cell r="AK34">
            <v>0</v>
          </cell>
          <cell r="AL34">
            <v>0</v>
          </cell>
          <cell r="AM34">
            <v>0</v>
          </cell>
          <cell r="AN34">
            <v>0</v>
          </cell>
          <cell r="AO34">
            <v>0</v>
          </cell>
          <cell r="AP34">
            <v>0</v>
          </cell>
          <cell r="AQ34">
            <v>10800000</v>
          </cell>
          <cell r="AR34">
            <v>0</v>
          </cell>
          <cell r="AS34">
            <v>0</v>
          </cell>
          <cell r="AT34">
            <v>1200000</v>
          </cell>
          <cell r="AU34">
            <v>13200000</v>
          </cell>
          <cell r="AV34">
            <v>168000000</v>
          </cell>
        </row>
        <row r="35">
          <cell r="A35">
            <v>7234000</v>
          </cell>
          <cell r="B35" t="str">
            <v>هزينه سفروماموريت</v>
          </cell>
          <cell r="C35">
            <v>0</v>
          </cell>
          <cell r="D35">
            <v>0</v>
          </cell>
          <cell r="E35">
            <v>0</v>
          </cell>
          <cell r="F35">
            <v>0</v>
          </cell>
          <cell r="G35">
            <v>0</v>
          </cell>
          <cell r="H35">
            <v>0</v>
          </cell>
          <cell r="I35">
            <v>0</v>
          </cell>
          <cell r="J35">
            <v>365915</v>
          </cell>
          <cell r="K35">
            <v>0</v>
          </cell>
          <cell r="L35">
            <v>0</v>
          </cell>
          <cell r="M35">
            <v>0</v>
          </cell>
          <cell r="N35">
            <v>0</v>
          </cell>
          <cell r="O35">
            <v>0</v>
          </cell>
          <cell r="P35">
            <v>0</v>
          </cell>
          <cell r="Q35">
            <v>0</v>
          </cell>
          <cell r="R35">
            <v>365915</v>
          </cell>
          <cell r="S35">
            <v>0</v>
          </cell>
          <cell r="T35">
            <v>495915</v>
          </cell>
          <cell r="U35">
            <v>1471878</v>
          </cell>
          <cell r="V35">
            <v>0</v>
          </cell>
          <cell r="W35">
            <v>0</v>
          </cell>
          <cell r="X35">
            <v>0</v>
          </cell>
          <cell r="Y35">
            <v>0</v>
          </cell>
          <cell r="Z35">
            <v>0</v>
          </cell>
          <cell r="AA35">
            <v>0</v>
          </cell>
          <cell r="AB35">
            <v>0</v>
          </cell>
          <cell r="AC35">
            <v>711266</v>
          </cell>
          <cell r="AD35">
            <v>753613</v>
          </cell>
          <cell r="AE35">
            <v>0</v>
          </cell>
          <cell r="AF35">
            <v>0</v>
          </cell>
          <cell r="AG35">
            <v>3432672</v>
          </cell>
          <cell r="AH35">
            <v>3798587</v>
          </cell>
          <cell r="AI35">
            <v>87991877</v>
          </cell>
          <cell r="AJ35">
            <v>131753000</v>
          </cell>
          <cell r="AK35">
            <v>0</v>
          </cell>
          <cell r="AL35">
            <v>0</v>
          </cell>
          <cell r="AM35">
            <v>0</v>
          </cell>
          <cell r="AN35">
            <v>0</v>
          </cell>
          <cell r="AO35">
            <v>0</v>
          </cell>
          <cell r="AP35">
            <v>0</v>
          </cell>
          <cell r="AQ35">
            <v>0</v>
          </cell>
          <cell r="AR35">
            <v>0</v>
          </cell>
          <cell r="AS35">
            <v>0</v>
          </cell>
          <cell r="AT35">
            <v>41650000</v>
          </cell>
          <cell r="AU35">
            <v>261394877</v>
          </cell>
          <cell r="AV35">
            <v>265193464</v>
          </cell>
        </row>
        <row r="36">
          <cell r="A36">
            <v>7235000</v>
          </cell>
          <cell r="B36" t="str">
            <v>هزينه پوشاك</v>
          </cell>
          <cell r="C36">
            <v>0</v>
          </cell>
          <cell r="D36">
            <v>0</v>
          </cell>
          <cell r="E36">
            <v>316067</v>
          </cell>
          <cell r="F36">
            <v>0</v>
          </cell>
          <cell r="G36">
            <v>0</v>
          </cell>
          <cell r="H36">
            <v>0</v>
          </cell>
          <cell r="I36">
            <v>3402000</v>
          </cell>
          <cell r="J36">
            <v>52000</v>
          </cell>
          <cell r="K36">
            <v>305509</v>
          </cell>
          <cell r="L36">
            <v>0</v>
          </cell>
          <cell r="M36">
            <v>0</v>
          </cell>
          <cell r="N36">
            <v>2145775</v>
          </cell>
          <cell r="O36">
            <v>0</v>
          </cell>
          <cell r="P36">
            <v>0</v>
          </cell>
          <cell r="Q36">
            <v>5714500</v>
          </cell>
          <cell r="R36">
            <v>11935851</v>
          </cell>
          <cell r="S36">
            <v>0</v>
          </cell>
          <cell r="T36">
            <v>51086000</v>
          </cell>
          <cell r="U36">
            <v>2012000</v>
          </cell>
          <cell r="V36">
            <v>0</v>
          </cell>
          <cell r="W36">
            <v>1065444</v>
          </cell>
          <cell r="X36">
            <v>1116875</v>
          </cell>
          <cell r="Y36">
            <v>151375</v>
          </cell>
          <cell r="Z36">
            <v>2250000</v>
          </cell>
          <cell r="AA36">
            <v>0</v>
          </cell>
          <cell r="AB36">
            <v>2250000</v>
          </cell>
          <cell r="AC36">
            <v>5540000</v>
          </cell>
          <cell r="AD36">
            <v>126975446</v>
          </cell>
          <cell r="AE36">
            <v>0</v>
          </cell>
          <cell r="AF36">
            <v>280000</v>
          </cell>
          <cell r="AG36">
            <v>192727140</v>
          </cell>
          <cell r="AH36">
            <v>204662991</v>
          </cell>
          <cell r="AI36">
            <v>0</v>
          </cell>
          <cell r="AJ36">
            <v>750000</v>
          </cell>
          <cell r="AK36">
            <v>313375</v>
          </cell>
          <cell r="AL36">
            <v>1500000</v>
          </cell>
          <cell r="AM36">
            <v>0</v>
          </cell>
          <cell r="AN36">
            <v>0</v>
          </cell>
          <cell r="AO36">
            <v>750000</v>
          </cell>
          <cell r="AP36">
            <v>2510000</v>
          </cell>
          <cell r="AQ36">
            <v>2250000</v>
          </cell>
          <cell r="AR36">
            <v>14750000</v>
          </cell>
          <cell r="AS36">
            <v>1270000</v>
          </cell>
          <cell r="AT36">
            <v>6095000</v>
          </cell>
          <cell r="AU36">
            <v>30188375</v>
          </cell>
          <cell r="AV36">
            <v>234851366</v>
          </cell>
        </row>
        <row r="37">
          <cell r="A37">
            <v>7236000</v>
          </cell>
          <cell r="B37" t="str">
            <v>هزينه هاي ورزشي</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26574800</v>
          </cell>
          <cell r="AE37">
            <v>0</v>
          </cell>
          <cell r="AF37">
            <v>0</v>
          </cell>
          <cell r="AG37">
            <v>26574800</v>
          </cell>
          <cell r="AH37">
            <v>26574800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26574800</v>
          </cell>
        </row>
        <row r="38">
          <cell r="A38">
            <v>7237000</v>
          </cell>
          <cell r="B38" t="str">
            <v>هزينه هاي آموزشي</v>
          </cell>
          <cell r="C38">
            <v>0</v>
          </cell>
          <cell r="D38">
            <v>0</v>
          </cell>
          <cell r="E38">
            <v>0</v>
          </cell>
          <cell r="F38">
            <v>0</v>
          </cell>
          <cell r="G38">
            <v>0</v>
          </cell>
          <cell r="H38">
            <v>0</v>
          </cell>
          <cell r="I38">
            <v>0</v>
          </cell>
          <cell r="J38">
            <v>0</v>
          </cell>
          <cell r="K38">
            <v>0</v>
          </cell>
          <cell r="L38">
            <v>0</v>
          </cell>
          <cell r="M38">
            <v>0</v>
          </cell>
          <cell r="N38">
            <v>2200000</v>
          </cell>
          <cell r="O38">
            <v>0</v>
          </cell>
          <cell r="P38">
            <v>0</v>
          </cell>
          <cell r="Q38">
            <v>550000</v>
          </cell>
          <cell r="R38">
            <v>2750000</v>
          </cell>
          <cell r="S38">
            <v>0</v>
          </cell>
          <cell r="T38">
            <v>4512000</v>
          </cell>
          <cell r="U38">
            <v>0</v>
          </cell>
          <cell r="V38">
            <v>2625000</v>
          </cell>
          <cell r="W38">
            <v>11000000</v>
          </cell>
          <cell r="X38">
            <v>72500</v>
          </cell>
          <cell r="Y38">
            <v>0</v>
          </cell>
          <cell r="Z38">
            <v>0</v>
          </cell>
          <cell r="AA38">
            <v>0</v>
          </cell>
          <cell r="AB38">
            <v>0</v>
          </cell>
          <cell r="AC38">
            <v>0</v>
          </cell>
          <cell r="AD38">
            <v>0</v>
          </cell>
          <cell r="AE38">
            <v>0</v>
          </cell>
          <cell r="AF38">
            <v>0</v>
          </cell>
          <cell r="AG38">
            <v>18209500</v>
          </cell>
          <cell r="AH38">
            <v>20959500</v>
          </cell>
          <cell r="AI38">
            <v>550000</v>
          </cell>
          <cell r="AJ38">
            <v>2750000</v>
          </cell>
          <cell r="AK38">
            <v>3300000</v>
          </cell>
          <cell r="AL38">
            <v>3035000</v>
          </cell>
          <cell r="AM38">
            <v>0</v>
          </cell>
          <cell r="AN38">
            <v>0</v>
          </cell>
          <cell r="AO38">
            <v>0</v>
          </cell>
          <cell r="AP38">
            <v>0</v>
          </cell>
          <cell r="AQ38">
            <v>0</v>
          </cell>
          <cell r="AR38">
            <v>0</v>
          </cell>
          <cell r="AS38">
            <v>315789</v>
          </cell>
          <cell r="AT38">
            <v>2124232</v>
          </cell>
          <cell r="AU38">
            <v>12075021</v>
          </cell>
          <cell r="AV38">
            <v>33034521</v>
          </cell>
        </row>
        <row r="39">
          <cell r="A39" t="str">
            <v>جمع سایر هزینه های کارکنان</v>
          </cell>
          <cell r="C39">
            <v>9770125</v>
          </cell>
          <cell r="D39">
            <v>41567372</v>
          </cell>
          <cell r="E39">
            <v>40673282</v>
          </cell>
          <cell r="F39">
            <v>27935832</v>
          </cell>
          <cell r="G39">
            <v>57681804</v>
          </cell>
          <cell r="H39">
            <v>20079032</v>
          </cell>
          <cell r="I39">
            <v>78622291</v>
          </cell>
          <cell r="J39">
            <v>39012836</v>
          </cell>
          <cell r="K39">
            <v>19909537</v>
          </cell>
          <cell r="L39">
            <v>0</v>
          </cell>
          <cell r="M39">
            <v>10953594</v>
          </cell>
          <cell r="N39">
            <v>75071449</v>
          </cell>
          <cell r="O39">
            <v>9300000</v>
          </cell>
          <cell r="P39">
            <v>6900000</v>
          </cell>
          <cell r="Q39">
            <v>25060075</v>
          </cell>
          <cell r="R39">
            <v>462537229</v>
          </cell>
          <cell r="S39">
            <v>25902656</v>
          </cell>
          <cell r="T39">
            <v>149398790</v>
          </cell>
          <cell r="U39">
            <v>170941542</v>
          </cell>
          <cell r="V39">
            <v>34021802</v>
          </cell>
          <cell r="W39">
            <v>221637285</v>
          </cell>
          <cell r="X39">
            <v>100987854</v>
          </cell>
          <cell r="Y39">
            <v>11901965</v>
          </cell>
          <cell r="Z39">
            <v>61534174</v>
          </cell>
          <cell r="AA39">
            <v>2750032</v>
          </cell>
          <cell r="AB39">
            <v>65408792</v>
          </cell>
          <cell r="AC39">
            <v>30344291</v>
          </cell>
          <cell r="AD39">
            <v>233060462</v>
          </cell>
          <cell r="AE39">
            <v>1628639545</v>
          </cell>
          <cell r="AF39">
            <v>1216412380</v>
          </cell>
          <cell r="AG39">
            <v>3952941570</v>
          </cell>
          <cell r="AH39">
            <v>4415478799</v>
          </cell>
          <cell r="AI39">
            <v>787783219</v>
          </cell>
          <cell r="AJ39">
            <v>240871617</v>
          </cell>
          <cell r="AK39">
            <v>66619795</v>
          </cell>
          <cell r="AL39">
            <v>4745000</v>
          </cell>
          <cell r="AM39">
            <v>14557872</v>
          </cell>
          <cell r="AN39">
            <v>0</v>
          </cell>
          <cell r="AO39">
            <v>39973575</v>
          </cell>
          <cell r="AP39">
            <v>206321080</v>
          </cell>
          <cell r="AQ39">
            <v>54665821</v>
          </cell>
          <cell r="AR39">
            <v>23296000</v>
          </cell>
          <cell r="AS39">
            <v>15899548</v>
          </cell>
          <cell r="AT39">
            <v>195728783</v>
          </cell>
          <cell r="AU39">
            <v>1650462310</v>
          </cell>
          <cell r="AV39">
            <v>6065941109</v>
          </cell>
        </row>
        <row r="40">
          <cell r="A40" t="str">
            <v>جمع هزینه های کارکنان</v>
          </cell>
          <cell r="C40">
            <v>68899029</v>
          </cell>
          <cell r="D40">
            <v>536327237</v>
          </cell>
          <cell r="E40">
            <v>559896040</v>
          </cell>
          <cell r="F40">
            <v>331341245</v>
          </cell>
          <cell r="G40">
            <v>541985111</v>
          </cell>
          <cell r="H40">
            <v>315390461</v>
          </cell>
          <cell r="I40">
            <v>798519380</v>
          </cell>
          <cell r="J40">
            <v>537666128</v>
          </cell>
          <cell r="K40">
            <v>261757517</v>
          </cell>
          <cell r="L40">
            <v>0</v>
          </cell>
          <cell r="M40">
            <v>151475049</v>
          </cell>
          <cell r="N40">
            <v>554704275</v>
          </cell>
          <cell r="O40">
            <v>65198543</v>
          </cell>
          <cell r="P40">
            <v>57854112</v>
          </cell>
          <cell r="Q40">
            <v>81875601</v>
          </cell>
          <cell r="R40">
            <v>4862889728</v>
          </cell>
          <cell r="S40">
            <v>288429633</v>
          </cell>
          <cell r="T40">
            <v>942425015</v>
          </cell>
          <cell r="U40">
            <v>2141630043</v>
          </cell>
          <cell r="V40">
            <v>279831537</v>
          </cell>
          <cell r="W40">
            <v>2411427494</v>
          </cell>
          <cell r="X40">
            <v>853650478</v>
          </cell>
          <cell r="Y40">
            <v>102820276</v>
          </cell>
          <cell r="Z40">
            <v>437496776</v>
          </cell>
          <cell r="AA40">
            <v>31573870</v>
          </cell>
          <cell r="AB40">
            <v>661432605</v>
          </cell>
          <cell r="AC40">
            <v>404433467</v>
          </cell>
          <cell r="AD40">
            <v>740358806</v>
          </cell>
          <cell r="AE40">
            <v>1628639545</v>
          </cell>
          <cell r="AF40">
            <v>1250848667</v>
          </cell>
          <cell r="AG40">
            <v>12174998212</v>
          </cell>
          <cell r="AH40">
            <v>12637535441</v>
          </cell>
          <cell r="AI40">
            <v>2676783800</v>
          </cell>
          <cell r="AJ40">
            <v>798662650</v>
          </cell>
          <cell r="AK40">
            <v>636942379</v>
          </cell>
          <cell r="AL40">
            <v>4745000</v>
          </cell>
          <cell r="AM40">
            <v>176764251</v>
          </cell>
          <cell r="AN40">
            <v>0</v>
          </cell>
          <cell r="AO40">
            <v>278076619</v>
          </cell>
          <cell r="AP40">
            <v>1142372239</v>
          </cell>
          <cell r="AQ40">
            <v>345750056</v>
          </cell>
          <cell r="AR40">
            <v>29796000</v>
          </cell>
          <cell r="AS40">
            <v>122410798</v>
          </cell>
          <cell r="AT40">
            <v>980214572</v>
          </cell>
          <cell r="AU40">
            <v>7192518364</v>
          </cell>
          <cell r="AV40">
            <v>24230406304</v>
          </cell>
        </row>
        <row r="41">
          <cell r="A41">
            <v>7313000</v>
          </cell>
          <cell r="B41" t="str">
            <v>هزينه سربار مواد اوليه</v>
          </cell>
          <cell r="C41">
            <v>0</v>
          </cell>
          <cell r="D41">
            <v>24649971</v>
          </cell>
          <cell r="E41">
            <v>105881933</v>
          </cell>
          <cell r="F41">
            <v>46742865</v>
          </cell>
          <cell r="G41">
            <v>33577631</v>
          </cell>
          <cell r="H41">
            <v>272500</v>
          </cell>
          <cell r="I41">
            <v>9056107</v>
          </cell>
          <cell r="J41">
            <v>744756</v>
          </cell>
          <cell r="K41">
            <v>5405683</v>
          </cell>
          <cell r="L41">
            <v>0</v>
          </cell>
          <cell r="M41">
            <v>0</v>
          </cell>
          <cell r="N41">
            <v>0</v>
          </cell>
          <cell r="O41">
            <v>0</v>
          </cell>
          <cell r="P41">
            <v>0</v>
          </cell>
          <cell r="Q41">
            <v>3854277</v>
          </cell>
          <cell r="R41">
            <v>230185723</v>
          </cell>
          <cell r="S41">
            <v>0</v>
          </cell>
          <cell r="T41">
            <v>0</v>
          </cell>
          <cell r="U41">
            <v>0</v>
          </cell>
          <cell r="V41">
            <v>0</v>
          </cell>
          <cell r="W41">
            <v>79261722</v>
          </cell>
          <cell r="X41">
            <v>0</v>
          </cell>
          <cell r="Y41">
            <v>4286093</v>
          </cell>
          <cell r="Z41">
            <v>0</v>
          </cell>
          <cell r="AA41">
            <v>0</v>
          </cell>
          <cell r="AB41">
            <v>0</v>
          </cell>
          <cell r="AC41">
            <v>0</v>
          </cell>
          <cell r="AD41">
            <v>0</v>
          </cell>
          <cell r="AE41">
            <v>0</v>
          </cell>
          <cell r="AF41">
            <v>0</v>
          </cell>
          <cell r="AG41">
            <v>83547815</v>
          </cell>
          <cell r="AH41">
            <v>313733538</v>
          </cell>
          <cell r="AI41">
            <v>0</v>
          </cell>
          <cell r="AJ41">
            <v>0</v>
          </cell>
          <cell r="AK41">
            <v>0</v>
          </cell>
          <cell r="AL41">
            <v>0</v>
          </cell>
          <cell r="AM41">
            <v>0</v>
          </cell>
          <cell r="AN41">
            <v>0</v>
          </cell>
          <cell r="AO41">
            <v>0</v>
          </cell>
          <cell r="AP41">
            <v>0</v>
          </cell>
          <cell r="AQ41">
            <v>0</v>
          </cell>
          <cell r="AR41">
            <v>0</v>
          </cell>
          <cell r="AS41">
            <v>0</v>
          </cell>
          <cell r="AT41">
            <v>0</v>
          </cell>
          <cell r="AU41">
            <v>0</v>
          </cell>
          <cell r="AV41">
            <v>313733538</v>
          </cell>
        </row>
        <row r="42">
          <cell r="A42">
            <v>7314000</v>
          </cell>
          <cell r="B42" t="str">
            <v>هزينه  سربار مواد بسته بندي</v>
          </cell>
          <cell r="C42">
            <v>0</v>
          </cell>
          <cell r="D42">
            <v>0</v>
          </cell>
          <cell r="E42">
            <v>5634121</v>
          </cell>
          <cell r="F42">
            <v>2015215</v>
          </cell>
          <cell r="G42">
            <v>4660647</v>
          </cell>
          <cell r="H42">
            <v>0</v>
          </cell>
          <cell r="I42">
            <v>1690210</v>
          </cell>
          <cell r="J42">
            <v>632021</v>
          </cell>
          <cell r="K42">
            <v>1648468</v>
          </cell>
          <cell r="L42">
            <v>0</v>
          </cell>
          <cell r="M42">
            <v>0</v>
          </cell>
          <cell r="N42">
            <v>0</v>
          </cell>
          <cell r="O42">
            <v>0</v>
          </cell>
          <cell r="P42">
            <v>0</v>
          </cell>
          <cell r="Q42">
            <v>2047827</v>
          </cell>
          <cell r="R42">
            <v>18328509</v>
          </cell>
          <cell r="S42">
            <v>0</v>
          </cell>
          <cell r="T42">
            <v>0</v>
          </cell>
          <cell r="U42">
            <v>0</v>
          </cell>
          <cell r="V42">
            <v>0</v>
          </cell>
          <cell r="W42">
            <v>12530197</v>
          </cell>
          <cell r="X42">
            <v>0</v>
          </cell>
          <cell r="Y42">
            <v>0</v>
          </cell>
          <cell r="Z42">
            <v>0</v>
          </cell>
          <cell r="AA42">
            <v>0</v>
          </cell>
          <cell r="AB42">
            <v>0</v>
          </cell>
          <cell r="AC42">
            <v>0</v>
          </cell>
          <cell r="AD42">
            <v>0</v>
          </cell>
          <cell r="AE42">
            <v>0</v>
          </cell>
          <cell r="AF42">
            <v>0</v>
          </cell>
          <cell r="AG42">
            <v>12530197</v>
          </cell>
          <cell r="AH42">
            <v>30858706</v>
          </cell>
          <cell r="AI42">
            <v>0</v>
          </cell>
          <cell r="AJ42">
            <v>0</v>
          </cell>
          <cell r="AK42">
            <v>0</v>
          </cell>
          <cell r="AL42">
            <v>0</v>
          </cell>
          <cell r="AM42">
            <v>0</v>
          </cell>
          <cell r="AN42">
            <v>0</v>
          </cell>
          <cell r="AO42">
            <v>0</v>
          </cell>
          <cell r="AP42">
            <v>0</v>
          </cell>
          <cell r="AQ42">
            <v>0</v>
          </cell>
          <cell r="AR42">
            <v>0</v>
          </cell>
          <cell r="AS42">
            <v>0</v>
          </cell>
          <cell r="AT42">
            <v>0</v>
          </cell>
          <cell r="AU42">
            <v>0</v>
          </cell>
          <cell r="AV42">
            <v>30858706</v>
          </cell>
        </row>
        <row r="43">
          <cell r="A43">
            <v>7316000</v>
          </cell>
          <cell r="B43" t="str">
            <v>هزينه سربار مواد اوليه (افشانه ها )</v>
          </cell>
          <cell r="C43">
            <v>0</v>
          </cell>
          <cell r="D43">
            <v>0</v>
          </cell>
          <cell r="E43">
            <v>0</v>
          </cell>
          <cell r="F43">
            <v>0</v>
          </cell>
          <cell r="G43">
            <v>0</v>
          </cell>
          <cell r="H43">
            <v>0</v>
          </cell>
          <cell r="I43">
            <v>0</v>
          </cell>
          <cell r="J43">
            <v>0</v>
          </cell>
          <cell r="K43">
            <v>0</v>
          </cell>
          <cell r="L43">
            <v>0</v>
          </cell>
          <cell r="M43">
            <v>0</v>
          </cell>
          <cell r="N43">
            <v>0</v>
          </cell>
          <cell r="O43">
            <v>1487404</v>
          </cell>
          <cell r="P43">
            <v>0</v>
          </cell>
          <cell r="Q43">
            <v>0</v>
          </cell>
          <cell r="R43">
            <v>1487404</v>
          </cell>
          <cell r="S43">
            <v>0</v>
          </cell>
          <cell r="T43">
            <v>0</v>
          </cell>
          <cell r="U43">
            <v>0</v>
          </cell>
          <cell r="V43">
            <v>0</v>
          </cell>
          <cell r="W43">
            <v>42672949</v>
          </cell>
          <cell r="X43">
            <v>0</v>
          </cell>
          <cell r="Y43">
            <v>0</v>
          </cell>
          <cell r="Z43">
            <v>0</v>
          </cell>
          <cell r="AA43">
            <v>0</v>
          </cell>
          <cell r="AB43">
            <v>1387961</v>
          </cell>
          <cell r="AC43">
            <v>0</v>
          </cell>
          <cell r="AD43">
            <v>0</v>
          </cell>
          <cell r="AE43">
            <v>0</v>
          </cell>
          <cell r="AF43">
            <v>0</v>
          </cell>
          <cell r="AG43">
            <v>44060910</v>
          </cell>
          <cell r="AH43">
            <v>45548314</v>
          </cell>
          <cell r="AI43">
            <v>0</v>
          </cell>
          <cell r="AJ43">
            <v>0</v>
          </cell>
          <cell r="AK43">
            <v>91667111</v>
          </cell>
          <cell r="AL43">
            <v>0</v>
          </cell>
          <cell r="AM43">
            <v>0</v>
          </cell>
          <cell r="AN43">
            <v>0</v>
          </cell>
          <cell r="AO43">
            <v>0</v>
          </cell>
          <cell r="AP43">
            <v>0</v>
          </cell>
          <cell r="AQ43">
            <v>0</v>
          </cell>
          <cell r="AR43">
            <v>0</v>
          </cell>
          <cell r="AS43">
            <v>0</v>
          </cell>
          <cell r="AT43">
            <v>0</v>
          </cell>
          <cell r="AU43">
            <v>91667111</v>
          </cell>
          <cell r="AV43">
            <v>137215425</v>
          </cell>
        </row>
        <row r="44">
          <cell r="A44">
            <v>7317000</v>
          </cell>
          <cell r="B44" t="str">
            <v>هزينه  سربار  بسته بندي (افشا نه ها )</v>
          </cell>
          <cell r="C44">
            <v>0</v>
          </cell>
          <cell r="D44">
            <v>0</v>
          </cell>
          <cell r="E44">
            <v>0</v>
          </cell>
          <cell r="F44">
            <v>0</v>
          </cell>
          <cell r="G44">
            <v>0</v>
          </cell>
          <cell r="H44">
            <v>0</v>
          </cell>
          <cell r="I44">
            <v>0</v>
          </cell>
          <cell r="J44">
            <v>0</v>
          </cell>
          <cell r="K44">
            <v>0</v>
          </cell>
          <cell r="L44">
            <v>0</v>
          </cell>
          <cell r="M44">
            <v>0</v>
          </cell>
          <cell r="N44">
            <v>0</v>
          </cell>
          <cell r="O44">
            <v>1701000</v>
          </cell>
          <cell r="P44">
            <v>7710540</v>
          </cell>
          <cell r="Q44">
            <v>0</v>
          </cell>
          <cell r="R44">
            <v>9411540</v>
          </cell>
          <cell r="S44">
            <v>0</v>
          </cell>
          <cell r="T44">
            <v>0</v>
          </cell>
          <cell r="U44">
            <v>0</v>
          </cell>
          <cell r="V44">
            <v>0</v>
          </cell>
          <cell r="W44">
            <v>291357</v>
          </cell>
          <cell r="X44">
            <v>0</v>
          </cell>
          <cell r="Y44">
            <v>0</v>
          </cell>
          <cell r="Z44">
            <v>0</v>
          </cell>
          <cell r="AA44">
            <v>0</v>
          </cell>
          <cell r="AB44">
            <v>0</v>
          </cell>
          <cell r="AC44">
            <v>0</v>
          </cell>
          <cell r="AD44">
            <v>0</v>
          </cell>
          <cell r="AE44">
            <v>0</v>
          </cell>
          <cell r="AF44">
            <v>0</v>
          </cell>
          <cell r="AG44">
            <v>291357</v>
          </cell>
          <cell r="AH44">
            <v>9702897</v>
          </cell>
          <cell r="AI44">
            <v>0</v>
          </cell>
          <cell r="AJ44">
            <v>0</v>
          </cell>
          <cell r="AK44">
            <v>0</v>
          </cell>
          <cell r="AL44">
            <v>0</v>
          </cell>
          <cell r="AM44">
            <v>0</v>
          </cell>
          <cell r="AN44">
            <v>0</v>
          </cell>
          <cell r="AO44">
            <v>0</v>
          </cell>
          <cell r="AP44">
            <v>0</v>
          </cell>
          <cell r="AQ44">
            <v>0</v>
          </cell>
          <cell r="AR44">
            <v>0</v>
          </cell>
          <cell r="AS44">
            <v>0</v>
          </cell>
          <cell r="AT44">
            <v>0</v>
          </cell>
          <cell r="AU44">
            <v>0</v>
          </cell>
          <cell r="AV44">
            <v>9702897</v>
          </cell>
        </row>
        <row r="45">
          <cell r="A45">
            <v>7319000</v>
          </cell>
          <cell r="B45" t="str">
            <v>تعميرونگهداري ساختمان وتاسيسات</v>
          </cell>
          <cell r="C45">
            <v>0</v>
          </cell>
          <cell r="D45">
            <v>1090000</v>
          </cell>
          <cell r="E45">
            <v>12502500</v>
          </cell>
          <cell r="F45">
            <v>0</v>
          </cell>
          <cell r="G45">
            <v>0</v>
          </cell>
          <cell r="H45">
            <v>0</v>
          </cell>
          <cell r="I45">
            <v>930000</v>
          </cell>
          <cell r="J45">
            <v>584000</v>
          </cell>
          <cell r="K45">
            <v>0</v>
          </cell>
          <cell r="L45">
            <v>0</v>
          </cell>
          <cell r="M45">
            <v>0</v>
          </cell>
          <cell r="N45">
            <v>18150000</v>
          </cell>
          <cell r="O45">
            <v>0</v>
          </cell>
          <cell r="P45">
            <v>0</v>
          </cell>
          <cell r="Q45">
            <v>7130000</v>
          </cell>
          <cell r="R45">
            <v>40386500</v>
          </cell>
          <cell r="S45">
            <v>0</v>
          </cell>
          <cell r="T45">
            <v>0</v>
          </cell>
          <cell r="U45">
            <v>698195122</v>
          </cell>
          <cell r="V45">
            <v>7048000</v>
          </cell>
          <cell r="W45">
            <v>13500000</v>
          </cell>
          <cell r="X45">
            <v>24115000</v>
          </cell>
          <cell r="Y45">
            <v>0</v>
          </cell>
          <cell r="Z45">
            <v>0</v>
          </cell>
          <cell r="AA45">
            <v>0</v>
          </cell>
          <cell r="AB45">
            <v>0</v>
          </cell>
          <cell r="AC45">
            <v>4377000</v>
          </cell>
          <cell r="AD45">
            <v>0</v>
          </cell>
          <cell r="AE45">
            <v>0</v>
          </cell>
          <cell r="AF45">
            <v>0</v>
          </cell>
          <cell r="AG45">
            <v>747235122</v>
          </cell>
          <cell r="AH45">
            <v>787621622</v>
          </cell>
          <cell r="AI45">
            <v>14273333</v>
          </cell>
          <cell r="AJ45">
            <v>0</v>
          </cell>
          <cell r="AK45">
            <v>0</v>
          </cell>
          <cell r="AL45">
            <v>0</v>
          </cell>
          <cell r="AM45">
            <v>0</v>
          </cell>
          <cell r="AN45">
            <v>0</v>
          </cell>
          <cell r="AO45">
            <v>6000000</v>
          </cell>
          <cell r="AP45">
            <v>0</v>
          </cell>
          <cell r="AQ45">
            <v>0</v>
          </cell>
          <cell r="AR45">
            <v>0</v>
          </cell>
          <cell r="AS45">
            <v>0</v>
          </cell>
          <cell r="AT45">
            <v>5000000</v>
          </cell>
          <cell r="AU45">
            <v>25273333</v>
          </cell>
          <cell r="AV45">
            <v>812894955</v>
          </cell>
        </row>
        <row r="46">
          <cell r="A46">
            <v>7320000</v>
          </cell>
          <cell r="B46" t="str">
            <v>تعميرونگهداري ماشين آلات</v>
          </cell>
          <cell r="C46">
            <v>0</v>
          </cell>
          <cell r="D46">
            <v>38443737</v>
          </cell>
          <cell r="E46">
            <v>17198950</v>
          </cell>
          <cell r="F46">
            <v>17116150</v>
          </cell>
          <cell r="G46">
            <v>68005594</v>
          </cell>
          <cell r="H46">
            <v>595040</v>
          </cell>
          <cell r="I46">
            <v>28099791</v>
          </cell>
          <cell r="J46">
            <v>497420</v>
          </cell>
          <cell r="K46">
            <v>370000</v>
          </cell>
          <cell r="L46">
            <v>0</v>
          </cell>
          <cell r="M46">
            <v>0</v>
          </cell>
          <cell r="N46">
            <v>0</v>
          </cell>
          <cell r="O46">
            <v>0</v>
          </cell>
          <cell r="P46">
            <v>0</v>
          </cell>
          <cell r="Q46">
            <v>3189636</v>
          </cell>
          <cell r="R46">
            <v>173516318</v>
          </cell>
          <cell r="S46">
            <v>0</v>
          </cell>
          <cell r="T46">
            <v>0</v>
          </cell>
          <cell r="U46">
            <v>81186078</v>
          </cell>
          <cell r="V46">
            <v>43634472</v>
          </cell>
          <cell r="W46">
            <v>485527</v>
          </cell>
          <cell r="X46">
            <v>545354</v>
          </cell>
          <cell r="Y46">
            <v>1424500</v>
          </cell>
          <cell r="Z46">
            <v>0</v>
          </cell>
          <cell r="AA46">
            <v>0</v>
          </cell>
          <cell r="AB46">
            <v>0</v>
          </cell>
          <cell r="AC46">
            <v>0</v>
          </cell>
          <cell r="AD46">
            <v>0</v>
          </cell>
          <cell r="AE46">
            <v>60000</v>
          </cell>
          <cell r="AF46">
            <v>0</v>
          </cell>
          <cell r="AG46">
            <v>127335931</v>
          </cell>
          <cell r="AH46">
            <v>300852249</v>
          </cell>
          <cell r="AI46">
            <v>0</v>
          </cell>
          <cell r="AJ46">
            <v>0</v>
          </cell>
          <cell r="AK46">
            <v>0</v>
          </cell>
          <cell r="AL46">
            <v>0</v>
          </cell>
          <cell r="AM46">
            <v>0</v>
          </cell>
          <cell r="AN46">
            <v>0</v>
          </cell>
          <cell r="AO46">
            <v>0</v>
          </cell>
          <cell r="AP46">
            <v>0</v>
          </cell>
          <cell r="AQ46">
            <v>11625</v>
          </cell>
          <cell r="AR46">
            <v>0</v>
          </cell>
          <cell r="AS46">
            <v>0</v>
          </cell>
          <cell r="AT46">
            <v>0</v>
          </cell>
          <cell r="AU46">
            <v>11625</v>
          </cell>
          <cell r="AV46">
            <v>300863874</v>
          </cell>
        </row>
        <row r="47">
          <cell r="A47">
            <v>7321000</v>
          </cell>
          <cell r="B47" t="str">
            <v>تعميرونگهداري وسائطنقليه</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12433685</v>
          </cell>
          <cell r="V47">
            <v>0</v>
          </cell>
          <cell r="W47">
            <v>50000</v>
          </cell>
          <cell r="X47">
            <v>14132288</v>
          </cell>
          <cell r="Y47">
            <v>0</v>
          </cell>
          <cell r="Z47">
            <v>0</v>
          </cell>
          <cell r="AA47">
            <v>0</v>
          </cell>
          <cell r="AB47">
            <v>7992000</v>
          </cell>
          <cell r="AC47">
            <v>0</v>
          </cell>
          <cell r="AD47">
            <v>885000</v>
          </cell>
          <cell r="AE47">
            <v>0</v>
          </cell>
          <cell r="AF47">
            <v>0</v>
          </cell>
          <cell r="AG47">
            <v>35492973</v>
          </cell>
          <cell r="AH47">
            <v>35492973</v>
          </cell>
          <cell r="AI47">
            <v>0</v>
          </cell>
          <cell r="AJ47">
            <v>7084180</v>
          </cell>
          <cell r="AK47">
            <v>0</v>
          </cell>
          <cell r="AL47">
            <v>0</v>
          </cell>
          <cell r="AM47">
            <v>0</v>
          </cell>
          <cell r="AN47">
            <v>0</v>
          </cell>
          <cell r="AO47">
            <v>0</v>
          </cell>
          <cell r="AP47">
            <v>530000</v>
          </cell>
          <cell r="AQ47">
            <v>0</v>
          </cell>
          <cell r="AR47">
            <v>0</v>
          </cell>
          <cell r="AS47">
            <v>0</v>
          </cell>
          <cell r="AT47">
            <v>0</v>
          </cell>
          <cell r="AU47">
            <v>7614180</v>
          </cell>
          <cell r="AV47">
            <v>43107153</v>
          </cell>
        </row>
        <row r="48">
          <cell r="A48">
            <v>7322000</v>
          </cell>
          <cell r="B48" t="str">
            <v>تعميرونگهداري اثاثيه ومنصوبات</v>
          </cell>
          <cell r="C48">
            <v>0</v>
          </cell>
          <cell r="D48">
            <v>0</v>
          </cell>
          <cell r="E48">
            <v>0</v>
          </cell>
          <cell r="F48">
            <v>0</v>
          </cell>
          <cell r="G48">
            <v>0</v>
          </cell>
          <cell r="H48">
            <v>0</v>
          </cell>
          <cell r="I48">
            <v>0</v>
          </cell>
          <cell r="J48">
            <v>0</v>
          </cell>
          <cell r="K48">
            <v>0</v>
          </cell>
          <cell r="L48">
            <v>0</v>
          </cell>
          <cell r="M48">
            <v>0</v>
          </cell>
          <cell r="N48">
            <v>1186790</v>
          </cell>
          <cell r="O48">
            <v>0</v>
          </cell>
          <cell r="P48">
            <v>0</v>
          </cell>
          <cell r="Q48">
            <v>0</v>
          </cell>
          <cell r="R48">
            <v>1186790</v>
          </cell>
          <cell r="S48">
            <v>0</v>
          </cell>
          <cell r="T48">
            <v>300000</v>
          </cell>
          <cell r="U48">
            <v>25695500</v>
          </cell>
          <cell r="V48">
            <v>0</v>
          </cell>
          <cell r="W48">
            <v>3000000</v>
          </cell>
          <cell r="X48">
            <v>0</v>
          </cell>
          <cell r="Y48">
            <v>0</v>
          </cell>
          <cell r="Z48">
            <v>0</v>
          </cell>
          <cell r="AA48">
            <v>0</v>
          </cell>
          <cell r="AB48">
            <v>200000</v>
          </cell>
          <cell r="AC48">
            <v>0</v>
          </cell>
          <cell r="AD48">
            <v>4562862</v>
          </cell>
          <cell r="AE48">
            <v>0</v>
          </cell>
          <cell r="AF48">
            <v>0</v>
          </cell>
          <cell r="AG48">
            <v>33758362</v>
          </cell>
          <cell r="AH48">
            <v>34945152</v>
          </cell>
          <cell r="AI48">
            <v>16578496</v>
          </cell>
          <cell r="AJ48">
            <v>465000</v>
          </cell>
          <cell r="AK48">
            <v>0</v>
          </cell>
          <cell r="AL48">
            <v>0</v>
          </cell>
          <cell r="AM48">
            <v>0</v>
          </cell>
          <cell r="AN48">
            <v>0</v>
          </cell>
          <cell r="AO48">
            <v>2990000</v>
          </cell>
          <cell r="AP48">
            <v>1617000</v>
          </cell>
          <cell r="AQ48">
            <v>2686000</v>
          </cell>
          <cell r="AR48">
            <v>0</v>
          </cell>
          <cell r="AS48">
            <v>0</v>
          </cell>
          <cell r="AT48">
            <v>8390000</v>
          </cell>
          <cell r="AU48">
            <v>32726496</v>
          </cell>
          <cell r="AV48">
            <v>67671648</v>
          </cell>
        </row>
        <row r="49">
          <cell r="A49">
            <v>7323000</v>
          </cell>
          <cell r="B49" t="str">
            <v>تعميرونگهداري سايردارائيها</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2910000</v>
          </cell>
          <cell r="V49">
            <v>0</v>
          </cell>
          <cell r="W49">
            <v>152750000</v>
          </cell>
          <cell r="X49">
            <v>0</v>
          </cell>
          <cell r="Y49">
            <v>0</v>
          </cell>
          <cell r="Z49">
            <v>0</v>
          </cell>
          <cell r="AA49">
            <v>0</v>
          </cell>
          <cell r="AB49">
            <v>0</v>
          </cell>
          <cell r="AC49">
            <v>0</v>
          </cell>
          <cell r="AD49">
            <v>0</v>
          </cell>
          <cell r="AE49">
            <v>0</v>
          </cell>
          <cell r="AF49">
            <v>0</v>
          </cell>
          <cell r="AG49">
            <v>155660000</v>
          </cell>
          <cell r="AH49">
            <v>155660000</v>
          </cell>
          <cell r="AI49">
            <v>0</v>
          </cell>
          <cell r="AJ49">
            <v>0</v>
          </cell>
          <cell r="AK49">
            <v>30900000</v>
          </cell>
          <cell r="AL49">
            <v>0</v>
          </cell>
          <cell r="AM49">
            <v>0</v>
          </cell>
          <cell r="AN49">
            <v>0</v>
          </cell>
          <cell r="AO49">
            <v>0</v>
          </cell>
          <cell r="AP49">
            <v>0</v>
          </cell>
          <cell r="AQ49">
            <v>0</v>
          </cell>
          <cell r="AR49">
            <v>0</v>
          </cell>
          <cell r="AS49">
            <v>0</v>
          </cell>
          <cell r="AT49">
            <v>9050000</v>
          </cell>
          <cell r="AU49">
            <v>39950000</v>
          </cell>
          <cell r="AV49">
            <v>195610000</v>
          </cell>
        </row>
        <row r="50">
          <cell r="A50">
            <v>7324000</v>
          </cell>
          <cell r="B50" t="str">
            <v>هزينه موادوملزومات مصرفي</v>
          </cell>
          <cell r="C50">
            <v>0</v>
          </cell>
          <cell r="D50">
            <v>15233050</v>
          </cell>
          <cell r="E50">
            <v>9975555</v>
          </cell>
          <cell r="F50">
            <v>8919944</v>
          </cell>
          <cell r="G50">
            <v>9369887</v>
          </cell>
          <cell r="H50">
            <v>11917360</v>
          </cell>
          <cell r="I50">
            <v>45670000</v>
          </cell>
          <cell r="J50">
            <v>6556505</v>
          </cell>
          <cell r="K50">
            <v>5254671</v>
          </cell>
          <cell r="L50">
            <v>0</v>
          </cell>
          <cell r="M50">
            <v>0</v>
          </cell>
          <cell r="N50">
            <v>80291065</v>
          </cell>
          <cell r="O50">
            <v>0</v>
          </cell>
          <cell r="P50">
            <v>0</v>
          </cell>
          <cell r="Q50">
            <v>56548412</v>
          </cell>
          <cell r="R50">
            <v>249736449</v>
          </cell>
          <cell r="S50">
            <v>2278005</v>
          </cell>
          <cell r="T50">
            <v>90078375</v>
          </cell>
          <cell r="U50">
            <v>242585094</v>
          </cell>
          <cell r="V50">
            <v>31210944</v>
          </cell>
          <cell r="W50">
            <v>295503389</v>
          </cell>
          <cell r="X50">
            <v>30328537</v>
          </cell>
          <cell r="Y50">
            <v>21623161</v>
          </cell>
          <cell r="Z50">
            <v>5212950</v>
          </cell>
          <cell r="AA50">
            <v>2910884</v>
          </cell>
          <cell r="AB50">
            <v>12569942</v>
          </cell>
          <cell r="AC50">
            <v>5838177</v>
          </cell>
          <cell r="AD50">
            <v>177521411</v>
          </cell>
          <cell r="AE50">
            <v>8630200</v>
          </cell>
          <cell r="AF50">
            <v>1990000</v>
          </cell>
          <cell r="AG50">
            <v>928281069</v>
          </cell>
          <cell r="AH50">
            <v>1178017518</v>
          </cell>
          <cell r="AI50">
            <v>47951149</v>
          </cell>
          <cell r="AJ50">
            <v>6103400</v>
          </cell>
          <cell r="AK50">
            <v>407400194</v>
          </cell>
          <cell r="AL50">
            <v>4923994</v>
          </cell>
          <cell r="AM50">
            <v>0</v>
          </cell>
          <cell r="AN50">
            <v>0</v>
          </cell>
          <cell r="AO50">
            <v>66515801</v>
          </cell>
          <cell r="AP50">
            <v>8323759</v>
          </cell>
          <cell r="AQ50">
            <v>37409166</v>
          </cell>
          <cell r="AR50">
            <v>0</v>
          </cell>
          <cell r="AS50">
            <v>11070014</v>
          </cell>
          <cell r="AT50">
            <v>94357077</v>
          </cell>
          <cell r="AU50">
            <v>684054554</v>
          </cell>
          <cell r="AV50">
            <v>1862072072</v>
          </cell>
        </row>
        <row r="51">
          <cell r="A51">
            <v>7350000</v>
          </cell>
          <cell r="B51" t="str">
            <v xml:space="preserve">هزينه حق المشاوره حقوقي </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27526800</v>
          </cell>
          <cell r="AC51">
            <v>23020200</v>
          </cell>
          <cell r="AD51">
            <v>24901239</v>
          </cell>
          <cell r="AE51">
            <v>0</v>
          </cell>
          <cell r="AF51">
            <v>0</v>
          </cell>
          <cell r="AG51">
            <v>75448239</v>
          </cell>
          <cell r="AH51">
            <v>75448239</v>
          </cell>
          <cell r="AI51">
            <v>45521329</v>
          </cell>
          <cell r="AJ51">
            <v>434430000</v>
          </cell>
          <cell r="AK51">
            <v>112653750</v>
          </cell>
          <cell r="AL51">
            <v>0</v>
          </cell>
          <cell r="AM51">
            <v>0</v>
          </cell>
          <cell r="AN51">
            <v>76028068</v>
          </cell>
          <cell r="AO51">
            <v>0</v>
          </cell>
          <cell r="AP51">
            <v>17490000</v>
          </cell>
          <cell r="AQ51">
            <v>19845000</v>
          </cell>
          <cell r="AR51">
            <v>0</v>
          </cell>
          <cell r="AS51">
            <v>18659775</v>
          </cell>
          <cell r="AT51">
            <v>21713430</v>
          </cell>
          <cell r="AU51">
            <v>746341352</v>
          </cell>
          <cell r="AV51">
            <v>821789591</v>
          </cell>
        </row>
        <row r="52">
          <cell r="A52">
            <v>7376000</v>
          </cell>
          <cell r="B52" t="str">
            <v>هزينه اجاره</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22050000</v>
          </cell>
          <cell r="AJ52">
            <v>0</v>
          </cell>
          <cell r="AK52">
            <v>0</v>
          </cell>
          <cell r="AL52">
            <v>0</v>
          </cell>
          <cell r="AM52">
            <v>0</v>
          </cell>
          <cell r="AN52">
            <v>0</v>
          </cell>
          <cell r="AO52">
            <v>0</v>
          </cell>
          <cell r="AP52">
            <v>0</v>
          </cell>
          <cell r="AQ52">
            <v>0</v>
          </cell>
          <cell r="AR52">
            <v>0</v>
          </cell>
          <cell r="AS52">
            <v>0</v>
          </cell>
          <cell r="AT52">
            <v>0</v>
          </cell>
          <cell r="AU52">
            <v>22050000</v>
          </cell>
          <cell r="AV52">
            <v>22050000</v>
          </cell>
        </row>
        <row r="53">
          <cell r="A53">
            <v>7325000</v>
          </cell>
          <cell r="B53" t="str">
            <v>هزينه ضايعات مواد اوليه وبسته بندي</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249222092</v>
          </cell>
          <cell r="AE53">
            <v>0</v>
          </cell>
          <cell r="AF53">
            <v>0</v>
          </cell>
          <cell r="AG53">
            <v>249222092</v>
          </cell>
          <cell r="AH53">
            <v>249222092</v>
          </cell>
          <cell r="AI53">
            <v>0</v>
          </cell>
          <cell r="AJ53">
            <v>0</v>
          </cell>
          <cell r="AK53">
            <v>0</v>
          </cell>
          <cell r="AL53">
            <v>0</v>
          </cell>
          <cell r="AM53">
            <v>0</v>
          </cell>
          <cell r="AN53">
            <v>0</v>
          </cell>
          <cell r="AO53">
            <v>0</v>
          </cell>
          <cell r="AP53">
            <v>0</v>
          </cell>
          <cell r="AQ53">
            <v>0</v>
          </cell>
          <cell r="AR53">
            <v>0</v>
          </cell>
          <cell r="AS53">
            <v>0</v>
          </cell>
          <cell r="AT53">
            <v>0</v>
          </cell>
          <cell r="AU53">
            <v>0</v>
          </cell>
          <cell r="AV53">
            <v>249222092</v>
          </cell>
        </row>
        <row r="54">
          <cell r="A54">
            <v>7353000</v>
          </cell>
          <cell r="B54" t="str">
            <v>تعديل انبارگرداني ومصرف</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row>
        <row r="55">
          <cell r="A55">
            <v>7355000</v>
          </cell>
          <cell r="B55" t="str">
            <v>هزينه حق الزحمه هيات مديره</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40500000</v>
          </cell>
          <cell r="AK55">
            <v>0</v>
          </cell>
          <cell r="AL55">
            <v>0</v>
          </cell>
          <cell r="AM55">
            <v>0</v>
          </cell>
          <cell r="AN55">
            <v>0</v>
          </cell>
          <cell r="AO55">
            <v>0</v>
          </cell>
          <cell r="AP55">
            <v>0</v>
          </cell>
          <cell r="AQ55">
            <v>0</v>
          </cell>
          <cell r="AR55">
            <v>0</v>
          </cell>
          <cell r="AS55">
            <v>0</v>
          </cell>
          <cell r="AT55">
            <v>0</v>
          </cell>
          <cell r="AU55">
            <v>40500000</v>
          </cell>
          <cell r="AV55">
            <v>40500000</v>
          </cell>
        </row>
        <row r="56">
          <cell r="A56">
            <v>7356000</v>
          </cell>
          <cell r="B56" t="str">
            <v>هزينه هاي ثبتي ومحضري</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800000</v>
          </cell>
          <cell r="AC56">
            <v>0</v>
          </cell>
          <cell r="AD56">
            <v>0</v>
          </cell>
          <cell r="AE56">
            <v>0</v>
          </cell>
          <cell r="AF56">
            <v>0</v>
          </cell>
          <cell r="AG56">
            <v>800000</v>
          </cell>
          <cell r="AH56">
            <v>800000</v>
          </cell>
          <cell r="AI56">
            <v>2605263</v>
          </cell>
          <cell r="AJ56">
            <v>0</v>
          </cell>
          <cell r="AK56">
            <v>0</v>
          </cell>
          <cell r="AL56">
            <v>0</v>
          </cell>
          <cell r="AM56">
            <v>0</v>
          </cell>
          <cell r="AN56">
            <v>31860000</v>
          </cell>
          <cell r="AO56">
            <v>0</v>
          </cell>
          <cell r="AP56">
            <v>0</v>
          </cell>
          <cell r="AQ56">
            <v>0</v>
          </cell>
          <cell r="AR56">
            <v>0</v>
          </cell>
          <cell r="AS56">
            <v>0</v>
          </cell>
          <cell r="AT56">
            <v>800000</v>
          </cell>
          <cell r="AU56">
            <v>35265263</v>
          </cell>
          <cell r="AV56">
            <v>36065263</v>
          </cell>
        </row>
        <row r="57">
          <cell r="A57">
            <v>7357000</v>
          </cell>
          <cell r="B57" t="str">
            <v>هزينه هاي عوارض</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359000</v>
          </cell>
          <cell r="AC57">
            <v>0</v>
          </cell>
          <cell r="AD57">
            <v>378208000</v>
          </cell>
          <cell r="AE57">
            <v>0</v>
          </cell>
          <cell r="AF57">
            <v>0</v>
          </cell>
          <cell r="AG57">
            <v>378567000</v>
          </cell>
          <cell r="AH57">
            <v>378567000</v>
          </cell>
          <cell r="AI57">
            <v>192000</v>
          </cell>
          <cell r="AJ57">
            <v>3219000</v>
          </cell>
          <cell r="AK57">
            <v>0</v>
          </cell>
          <cell r="AL57">
            <v>0</v>
          </cell>
          <cell r="AM57">
            <v>0</v>
          </cell>
          <cell r="AN57">
            <v>0</v>
          </cell>
          <cell r="AO57">
            <v>0</v>
          </cell>
          <cell r="AP57">
            <v>0</v>
          </cell>
          <cell r="AQ57">
            <v>0</v>
          </cell>
          <cell r="AR57">
            <v>0</v>
          </cell>
          <cell r="AS57">
            <v>125000</v>
          </cell>
          <cell r="AT57">
            <v>0</v>
          </cell>
          <cell r="AU57">
            <v>3536000</v>
          </cell>
          <cell r="AV57">
            <v>382103000</v>
          </cell>
        </row>
        <row r="58">
          <cell r="A58">
            <v>7359000</v>
          </cell>
          <cell r="B58" t="str">
            <v>يك درصدبازآموزي ونوآموزي</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88888888</v>
          </cell>
          <cell r="AL58">
            <v>0</v>
          </cell>
          <cell r="AM58">
            <v>0</v>
          </cell>
          <cell r="AN58">
            <v>844520561</v>
          </cell>
          <cell r="AO58">
            <v>0</v>
          </cell>
          <cell r="AP58">
            <v>0</v>
          </cell>
          <cell r="AQ58">
            <v>0</v>
          </cell>
          <cell r="AR58">
            <v>0</v>
          </cell>
          <cell r="AS58">
            <v>0</v>
          </cell>
          <cell r="AT58">
            <v>0</v>
          </cell>
          <cell r="AU58">
            <v>933409449</v>
          </cell>
          <cell r="AV58">
            <v>933409449</v>
          </cell>
        </row>
        <row r="59">
          <cell r="A59">
            <v>7361000</v>
          </cell>
          <cell r="B59" t="str">
            <v>هزينه هاي آزمايشگاهي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2200000</v>
          </cell>
          <cell r="AL59">
            <v>0</v>
          </cell>
          <cell r="AM59">
            <v>0</v>
          </cell>
          <cell r="AN59">
            <v>0</v>
          </cell>
          <cell r="AO59">
            <v>0</v>
          </cell>
          <cell r="AP59">
            <v>0</v>
          </cell>
          <cell r="AQ59">
            <v>0</v>
          </cell>
          <cell r="AR59">
            <v>0</v>
          </cell>
          <cell r="AS59">
            <v>0</v>
          </cell>
          <cell r="AT59">
            <v>3300000</v>
          </cell>
          <cell r="AU59">
            <v>5500000</v>
          </cell>
          <cell r="AV59">
            <v>5500000</v>
          </cell>
        </row>
        <row r="60">
          <cell r="A60">
            <v>7364000</v>
          </cell>
          <cell r="B60" t="str">
            <v>هزينه حمل ونگهداري</v>
          </cell>
          <cell r="C60">
            <v>0</v>
          </cell>
          <cell r="D60">
            <v>0</v>
          </cell>
          <cell r="E60">
            <v>0</v>
          </cell>
          <cell r="F60">
            <v>0</v>
          </cell>
          <cell r="G60">
            <v>0</v>
          </cell>
          <cell r="H60">
            <v>0</v>
          </cell>
          <cell r="I60">
            <v>0</v>
          </cell>
          <cell r="J60">
            <v>0</v>
          </cell>
          <cell r="K60">
            <v>0</v>
          </cell>
          <cell r="L60">
            <v>0</v>
          </cell>
          <cell r="M60">
            <v>0</v>
          </cell>
          <cell r="N60">
            <v>150000</v>
          </cell>
          <cell r="O60">
            <v>0</v>
          </cell>
          <cell r="P60">
            <v>0</v>
          </cell>
          <cell r="Q60">
            <v>60000</v>
          </cell>
          <cell r="R60">
            <v>210000</v>
          </cell>
          <cell r="S60">
            <v>0</v>
          </cell>
          <cell r="T60">
            <v>0</v>
          </cell>
          <cell r="U60">
            <v>21461820</v>
          </cell>
          <cell r="V60">
            <v>0</v>
          </cell>
          <cell r="W60">
            <v>1500000</v>
          </cell>
          <cell r="X60">
            <v>173313368</v>
          </cell>
          <cell r="Y60">
            <v>410000</v>
          </cell>
          <cell r="Z60">
            <v>0</v>
          </cell>
          <cell r="AA60">
            <v>0</v>
          </cell>
          <cell r="AB60">
            <v>115000</v>
          </cell>
          <cell r="AC60">
            <v>0</v>
          </cell>
          <cell r="AD60">
            <v>18987000</v>
          </cell>
          <cell r="AE60">
            <v>0</v>
          </cell>
          <cell r="AF60">
            <v>10730000</v>
          </cell>
          <cell r="AG60">
            <v>226517188</v>
          </cell>
          <cell r="AH60">
            <v>226727188</v>
          </cell>
          <cell r="AI60">
            <v>20149000</v>
          </cell>
          <cell r="AJ60">
            <v>0</v>
          </cell>
          <cell r="AK60">
            <v>0</v>
          </cell>
          <cell r="AL60">
            <v>0</v>
          </cell>
          <cell r="AM60">
            <v>0</v>
          </cell>
          <cell r="AN60">
            <v>0</v>
          </cell>
          <cell r="AO60">
            <v>765000</v>
          </cell>
          <cell r="AP60">
            <v>575000</v>
          </cell>
          <cell r="AQ60">
            <v>5360000</v>
          </cell>
          <cell r="AR60">
            <v>0</v>
          </cell>
          <cell r="AS60">
            <v>9058394</v>
          </cell>
          <cell r="AT60">
            <v>890000</v>
          </cell>
          <cell r="AU60">
            <v>36797394</v>
          </cell>
          <cell r="AV60">
            <v>263524582</v>
          </cell>
        </row>
        <row r="61">
          <cell r="A61">
            <v>7365000</v>
          </cell>
          <cell r="B61" t="str">
            <v>هزينه كارآموزان</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row>
        <row r="62">
          <cell r="A62">
            <v>7367000</v>
          </cell>
          <cell r="B62" t="str">
            <v>هزينه حق عضويت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1339550</v>
          </cell>
          <cell r="AC62">
            <v>0</v>
          </cell>
          <cell r="AD62">
            <v>20000000</v>
          </cell>
          <cell r="AE62">
            <v>0</v>
          </cell>
          <cell r="AF62">
            <v>0</v>
          </cell>
          <cell r="AG62">
            <v>21339550</v>
          </cell>
          <cell r="AH62">
            <v>21339550</v>
          </cell>
          <cell r="AI62">
            <v>0</v>
          </cell>
          <cell r="AJ62">
            <v>0</v>
          </cell>
          <cell r="AK62">
            <v>9108000</v>
          </cell>
          <cell r="AL62">
            <v>0</v>
          </cell>
          <cell r="AM62">
            <v>0</v>
          </cell>
          <cell r="AN62">
            <v>0</v>
          </cell>
          <cell r="AO62">
            <v>0</v>
          </cell>
          <cell r="AP62">
            <v>0</v>
          </cell>
          <cell r="AQ62">
            <v>0</v>
          </cell>
          <cell r="AR62">
            <v>0</v>
          </cell>
          <cell r="AS62">
            <v>0</v>
          </cell>
          <cell r="AT62">
            <v>0</v>
          </cell>
          <cell r="AU62">
            <v>9108000</v>
          </cell>
          <cell r="AV62">
            <v>30447550</v>
          </cell>
        </row>
        <row r="63">
          <cell r="A63">
            <v>7368000</v>
          </cell>
          <cell r="B63" t="str">
            <v>هزينه تبليغات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5000000</v>
          </cell>
          <cell r="AE63">
            <v>0</v>
          </cell>
          <cell r="AF63">
            <v>0</v>
          </cell>
          <cell r="AG63">
            <v>5000000</v>
          </cell>
          <cell r="AH63">
            <v>5000000</v>
          </cell>
          <cell r="AI63">
            <v>1722909525</v>
          </cell>
          <cell r="AJ63">
            <v>0</v>
          </cell>
          <cell r="AK63">
            <v>0</v>
          </cell>
          <cell r="AL63">
            <v>0</v>
          </cell>
          <cell r="AM63">
            <v>0</v>
          </cell>
          <cell r="AN63">
            <v>0</v>
          </cell>
          <cell r="AO63">
            <v>0</v>
          </cell>
          <cell r="AP63">
            <v>0</v>
          </cell>
          <cell r="AQ63">
            <v>0</v>
          </cell>
          <cell r="AR63">
            <v>0</v>
          </cell>
          <cell r="AS63">
            <v>0</v>
          </cell>
          <cell r="AT63">
            <v>0</v>
          </cell>
          <cell r="AU63">
            <v>1722909525</v>
          </cell>
          <cell r="AV63">
            <v>1727909525</v>
          </cell>
        </row>
        <row r="64">
          <cell r="A64">
            <v>7368100</v>
          </cell>
          <cell r="B64" t="str">
            <v>هزينه پورسانت</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1232000000</v>
          </cell>
          <cell r="AJ64">
            <v>0</v>
          </cell>
          <cell r="AK64">
            <v>0</v>
          </cell>
          <cell r="AL64">
            <v>0</v>
          </cell>
          <cell r="AM64">
            <v>0</v>
          </cell>
          <cell r="AN64">
            <v>0</v>
          </cell>
          <cell r="AO64">
            <v>0</v>
          </cell>
          <cell r="AP64">
            <v>0</v>
          </cell>
          <cell r="AQ64">
            <v>0</v>
          </cell>
          <cell r="AR64">
            <v>0</v>
          </cell>
          <cell r="AS64">
            <v>0</v>
          </cell>
          <cell r="AT64">
            <v>0</v>
          </cell>
          <cell r="AU64">
            <v>1232000000</v>
          </cell>
          <cell r="AV64">
            <v>1232000000</v>
          </cell>
        </row>
        <row r="65">
          <cell r="A65">
            <v>7369000</v>
          </cell>
          <cell r="B65" t="str">
            <v>هزينه کارمزد بانکي</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192000</v>
          </cell>
          <cell r="AC65">
            <v>0</v>
          </cell>
          <cell r="AD65">
            <v>11443861</v>
          </cell>
          <cell r="AE65">
            <v>0</v>
          </cell>
          <cell r="AF65">
            <v>0</v>
          </cell>
          <cell r="AG65">
            <v>11635861</v>
          </cell>
          <cell r="AH65">
            <v>11635861</v>
          </cell>
          <cell r="AI65">
            <v>0</v>
          </cell>
          <cell r="AJ65">
            <v>0</v>
          </cell>
          <cell r="AK65">
            <v>0</v>
          </cell>
          <cell r="AL65">
            <v>0</v>
          </cell>
          <cell r="AM65">
            <v>0</v>
          </cell>
          <cell r="AN65">
            <v>3027133</v>
          </cell>
          <cell r="AO65">
            <v>0</v>
          </cell>
          <cell r="AP65">
            <v>150000</v>
          </cell>
          <cell r="AQ65">
            <v>0</v>
          </cell>
          <cell r="AR65">
            <v>0</v>
          </cell>
          <cell r="AS65">
            <v>0</v>
          </cell>
          <cell r="AT65">
            <v>0</v>
          </cell>
          <cell r="AU65">
            <v>3177133</v>
          </cell>
          <cell r="AV65">
            <v>14812994</v>
          </cell>
        </row>
        <row r="66">
          <cell r="A66">
            <v>7372000</v>
          </cell>
          <cell r="B66" t="str">
            <v>هزينه مراسم وپذيرائي</v>
          </cell>
          <cell r="C66">
            <v>0</v>
          </cell>
          <cell r="D66">
            <v>0</v>
          </cell>
          <cell r="E66">
            <v>0</v>
          </cell>
          <cell r="F66">
            <v>0</v>
          </cell>
          <cell r="G66">
            <v>0</v>
          </cell>
          <cell r="H66">
            <v>0</v>
          </cell>
          <cell r="I66">
            <v>0</v>
          </cell>
          <cell r="J66">
            <v>0</v>
          </cell>
          <cell r="K66">
            <v>0</v>
          </cell>
          <cell r="L66">
            <v>0</v>
          </cell>
          <cell r="M66">
            <v>0</v>
          </cell>
          <cell r="N66">
            <v>4728000</v>
          </cell>
          <cell r="O66">
            <v>0</v>
          </cell>
          <cell r="P66">
            <v>0</v>
          </cell>
          <cell r="Q66">
            <v>0</v>
          </cell>
          <cell r="R66">
            <v>4728000</v>
          </cell>
          <cell r="S66">
            <v>0</v>
          </cell>
          <cell r="T66">
            <v>1802640</v>
          </cell>
          <cell r="U66">
            <v>787250</v>
          </cell>
          <cell r="V66">
            <v>0</v>
          </cell>
          <cell r="W66">
            <v>5040450</v>
          </cell>
          <cell r="X66">
            <v>2135000</v>
          </cell>
          <cell r="Y66">
            <v>0</v>
          </cell>
          <cell r="Z66">
            <v>0</v>
          </cell>
          <cell r="AA66">
            <v>0</v>
          </cell>
          <cell r="AB66">
            <v>655500</v>
          </cell>
          <cell r="AC66">
            <v>636000</v>
          </cell>
          <cell r="AD66">
            <v>72668127</v>
          </cell>
          <cell r="AE66">
            <v>4949200</v>
          </cell>
          <cell r="AF66">
            <v>1000000</v>
          </cell>
          <cell r="AG66">
            <v>89674167</v>
          </cell>
          <cell r="AH66">
            <v>94402167</v>
          </cell>
          <cell r="AI66">
            <v>51174738</v>
          </cell>
          <cell r="AJ66">
            <v>64843995</v>
          </cell>
          <cell r="AK66">
            <v>0</v>
          </cell>
          <cell r="AL66">
            <v>2967830</v>
          </cell>
          <cell r="AM66">
            <v>0</v>
          </cell>
          <cell r="AN66">
            <v>0</v>
          </cell>
          <cell r="AO66">
            <v>137000</v>
          </cell>
          <cell r="AP66">
            <v>7167490</v>
          </cell>
          <cell r="AQ66">
            <v>44790500</v>
          </cell>
          <cell r="AR66">
            <v>15695808</v>
          </cell>
          <cell r="AS66">
            <v>0</v>
          </cell>
          <cell r="AT66">
            <v>1687480</v>
          </cell>
          <cell r="AU66">
            <v>188464841</v>
          </cell>
          <cell r="AV66">
            <v>282867008</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1025295</v>
          </cell>
          <cell r="AE67">
            <v>0</v>
          </cell>
          <cell r="AF67">
            <v>0</v>
          </cell>
          <cell r="AG67">
            <v>1025295</v>
          </cell>
          <cell r="AH67">
            <v>1025295</v>
          </cell>
          <cell r="AI67">
            <v>11847589</v>
          </cell>
          <cell r="AJ67">
            <v>500000</v>
          </cell>
          <cell r="AK67">
            <v>0</v>
          </cell>
          <cell r="AL67">
            <v>0</v>
          </cell>
          <cell r="AM67">
            <v>0</v>
          </cell>
          <cell r="AN67">
            <v>0</v>
          </cell>
          <cell r="AO67">
            <v>56970000</v>
          </cell>
          <cell r="AP67">
            <v>5000000</v>
          </cell>
          <cell r="AQ67">
            <v>0</v>
          </cell>
          <cell r="AR67">
            <v>0</v>
          </cell>
          <cell r="AS67">
            <v>0</v>
          </cell>
          <cell r="AT67">
            <v>0</v>
          </cell>
          <cell r="AU67">
            <v>74317589</v>
          </cell>
          <cell r="AV67">
            <v>75342884</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5184000</v>
          </cell>
          <cell r="V68">
            <v>0</v>
          </cell>
          <cell r="W68">
            <v>0</v>
          </cell>
          <cell r="X68">
            <v>0</v>
          </cell>
          <cell r="Y68">
            <v>0</v>
          </cell>
          <cell r="Z68">
            <v>0</v>
          </cell>
          <cell r="AA68">
            <v>0</v>
          </cell>
          <cell r="AB68">
            <v>0</v>
          </cell>
          <cell r="AC68">
            <v>0</v>
          </cell>
          <cell r="AD68">
            <v>0</v>
          </cell>
          <cell r="AE68">
            <v>0</v>
          </cell>
          <cell r="AF68">
            <v>0</v>
          </cell>
          <cell r="AG68">
            <v>5184000</v>
          </cell>
          <cell r="AH68">
            <v>5184000</v>
          </cell>
          <cell r="AI68">
            <v>967855</v>
          </cell>
          <cell r="AJ68">
            <v>0</v>
          </cell>
          <cell r="AK68">
            <v>0</v>
          </cell>
          <cell r="AL68">
            <v>0</v>
          </cell>
          <cell r="AM68">
            <v>0</v>
          </cell>
          <cell r="AN68">
            <v>0</v>
          </cell>
          <cell r="AO68">
            <v>0</v>
          </cell>
          <cell r="AP68">
            <v>0</v>
          </cell>
          <cell r="AQ68">
            <v>0</v>
          </cell>
          <cell r="AR68">
            <v>0</v>
          </cell>
          <cell r="AS68">
            <v>0</v>
          </cell>
          <cell r="AT68">
            <v>0</v>
          </cell>
          <cell r="AU68">
            <v>967855</v>
          </cell>
          <cell r="AV68">
            <v>6151855</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329649599</v>
          </cell>
          <cell r="V69">
            <v>0</v>
          </cell>
          <cell r="W69">
            <v>0</v>
          </cell>
          <cell r="X69">
            <v>0</v>
          </cell>
          <cell r="Y69">
            <v>0</v>
          </cell>
          <cell r="Z69">
            <v>0</v>
          </cell>
          <cell r="AA69">
            <v>0</v>
          </cell>
          <cell r="AB69">
            <v>0</v>
          </cell>
          <cell r="AC69">
            <v>0</v>
          </cell>
          <cell r="AD69">
            <v>0</v>
          </cell>
          <cell r="AE69">
            <v>0</v>
          </cell>
          <cell r="AF69">
            <v>0</v>
          </cell>
          <cell r="AG69">
            <v>329649599</v>
          </cell>
          <cell r="AH69">
            <v>329649599</v>
          </cell>
          <cell r="AI69">
            <v>6489761</v>
          </cell>
          <cell r="AJ69">
            <v>0</v>
          </cell>
          <cell r="AK69">
            <v>0</v>
          </cell>
          <cell r="AL69">
            <v>0</v>
          </cell>
          <cell r="AM69">
            <v>0</v>
          </cell>
          <cell r="AN69">
            <v>0</v>
          </cell>
          <cell r="AO69">
            <v>0</v>
          </cell>
          <cell r="AP69">
            <v>0</v>
          </cell>
          <cell r="AQ69">
            <v>0</v>
          </cell>
          <cell r="AR69">
            <v>0</v>
          </cell>
          <cell r="AS69">
            <v>0</v>
          </cell>
          <cell r="AT69">
            <v>0</v>
          </cell>
          <cell r="AU69">
            <v>6489761</v>
          </cell>
          <cell r="AV69">
            <v>336139360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117982156</v>
          </cell>
          <cell r="V70">
            <v>0</v>
          </cell>
          <cell r="W70">
            <v>0</v>
          </cell>
          <cell r="X70">
            <v>0</v>
          </cell>
          <cell r="Y70">
            <v>0</v>
          </cell>
          <cell r="Z70">
            <v>0</v>
          </cell>
          <cell r="AA70">
            <v>0</v>
          </cell>
          <cell r="AB70">
            <v>0</v>
          </cell>
          <cell r="AC70">
            <v>0</v>
          </cell>
          <cell r="AD70">
            <v>0</v>
          </cell>
          <cell r="AE70">
            <v>0</v>
          </cell>
          <cell r="AF70">
            <v>0</v>
          </cell>
          <cell r="AG70">
            <v>117982156</v>
          </cell>
          <cell r="AH70">
            <v>117982156</v>
          </cell>
          <cell r="AI70">
            <v>4541664</v>
          </cell>
          <cell r="AJ70">
            <v>0</v>
          </cell>
          <cell r="AK70">
            <v>0</v>
          </cell>
          <cell r="AL70">
            <v>0</v>
          </cell>
          <cell r="AM70">
            <v>0</v>
          </cell>
          <cell r="AN70">
            <v>0</v>
          </cell>
          <cell r="AO70">
            <v>0</v>
          </cell>
          <cell r="AP70">
            <v>0</v>
          </cell>
          <cell r="AQ70">
            <v>0</v>
          </cell>
          <cell r="AR70">
            <v>0</v>
          </cell>
          <cell r="AS70">
            <v>0</v>
          </cell>
          <cell r="AT70">
            <v>0</v>
          </cell>
          <cell r="AU70">
            <v>4541664</v>
          </cell>
          <cell r="AV70">
            <v>122523820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80000</v>
          </cell>
          <cell r="X71">
            <v>2530000</v>
          </cell>
          <cell r="Y71">
            <v>0</v>
          </cell>
          <cell r="Z71">
            <v>0</v>
          </cell>
          <cell r="AA71">
            <v>0</v>
          </cell>
          <cell r="AB71">
            <v>2888000</v>
          </cell>
          <cell r="AC71">
            <v>80000</v>
          </cell>
          <cell r="AD71">
            <v>570000</v>
          </cell>
          <cell r="AE71">
            <v>0</v>
          </cell>
          <cell r="AF71">
            <v>0</v>
          </cell>
          <cell r="AG71">
            <v>6148000</v>
          </cell>
          <cell r="AH71">
            <v>6148000</v>
          </cell>
          <cell r="AI71">
            <v>0</v>
          </cell>
          <cell r="AJ71">
            <v>10704000</v>
          </cell>
          <cell r="AK71">
            <v>0</v>
          </cell>
          <cell r="AL71">
            <v>0</v>
          </cell>
          <cell r="AM71">
            <v>0</v>
          </cell>
          <cell r="AN71">
            <v>0</v>
          </cell>
          <cell r="AO71">
            <v>0</v>
          </cell>
          <cell r="AP71">
            <v>1290000</v>
          </cell>
          <cell r="AQ71">
            <v>70000</v>
          </cell>
          <cell r="AR71">
            <v>0</v>
          </cell>
          <cell r="AS71">
            <v>340000</v>
          </cell>
          <cell r="AT71">
            <v>0</v>
          </cell>
          <cell r="AU71">
            <v>12404000</v>
          </cell>
          <cell r="AV71">
            <v>18552000</v>
          </cell>
        </row>
        <row r="72">
          <cell r="A72">
            <v>7374009</v>
          </cell>
          <cell r="B72" t="str">
            <v>هزينه تلفن -تلكس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14774045</v>
          </cell>
          <cell r="AE72">
            <v>0</v>
          </cell>
          <cell r="AF72">
            <v>0</v>
          </cell>
          <cell r="AG72">
            <v>14774045</v>
          </cell>
          <cell r="AH72">
            <v>14774045</v>
          </cell>
          <cell r="AI72">
            <v>3356718</v>
          </cell>
          <cell r="AJ72">
            <v>2087624</v>
          </cell>
          <cell r="AK72">
            <v>0</v>
          </cell>
          <cell r="AL72">
            <v>0</v>
          </cell>
          <cell r="AM72">
            <v>0</v>
          </cell>
          <cell r="AN72">
            <v>0</v>
          </cell>
          <cell r="AO72">
            <v>0</v>
          </cell>
          <cell r="AP72">
            <v>0</v>
          </cell>
          <cell r="AQ72">
            <v>0</v>
          </cell>
          <cell r="AR72">
            <v>0</v>
          </cell>
          <cell r="AS72">
            <v>0</v>
          </cell>
          <cell r="AT72">
            <v>0</v>
          </cell>
          <cell r="AU72">
            <v>5444342</v>
          </cell>
          <cell r="AV72">
            <v>20218387</v>
          </cell>
        </row>
        <row r="73">
          <cell r="A73">
            <v>7377000</v>
          </cell>
          <cell r="B73" t="str">
            <v>هزينه مميزي    ISO</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row>
        <row r="74">
          <cell r="A74">
            <v>7375000</v>
          </cell>
          <cell r="B74" t="str">
            <v xml:space="preserve"> هزينه كارشناسان رسمي</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10800000</v>
          </cell>
          <cell r="AE74">
            <v>0</v>
          </cell>
          <cell r="AF74">
            <v>0</v>
          </cell>
          <cell r="AG74">
            <v>10800000</v>
          </cell>
          <cell r="AH74">
            <v>10800000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10800000</v>
          </cell>
        </row>
        <row r="75">
          <cell r="A75">
            <v>7378000</v>
          </cell>
          <cell r="B75" t="str">
            <v>هزينه آگهي</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32040000</v>
          </cell>
          <cell r="AE75">
            <v>0</v>
          </cell>
          <cell r="AF75">
            <v>0</v>
          </cell>
          <cell r="AG75">
            <v>32040000</v>
          </cell>
          <cell r="AH75">
            <v>32040000</v>
          </cell>
          <cell r="AI75">
            <v>0</v>
          </cell>
          <cell r="AJ75">
            <v>0</v>
          </cell>
          <cell r="AK75">
            <v>0</v>
          </cell>
          <cell r="AL75">
            <v>0</v>
          </cell>
          <cell r="AM75">
            <v>0</v>
          </cell>
          <cell r="AN75">
            <v>41220000</v>
          </cell>
          <cell r="AO75">
            <v>0</v>
          </cell>
          <cell r="AP75">
            <v>0</v>
          </cell>
          <cell r="AQ75">
            <v>0</v>
          </cell>
          <cell r="AR75">
            <v>0</v>
          </cell>
          <cell r="AS75">
            <v>0</v>
          </cell>
          <cell r="AT75">
            <v>0</v>
          </cell>
          <cell r="AU75">
            <v>41220000</v>
          </cell>
          <cell r="AV75">
            <v>73260000</v>
          </cell>
        </row>
        <row r="76">
          <cell r="A76">
            <v>7379000</v>
          </cell>
          <cell r="B76" t="str">
            <v>هزينه انتشارات</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20000000</v>
          </cell>
          <cell r="AJ76">
            <v>4311200</v>
          </cell>
          <cell r="AK76">
            <v>0</v>
          </cell>
          <cell r="AL76">
            <v>0</v>
          </cell>
          <cell r="AM76">
            <v>0</v>
          </cell>
          <cell r="AN76">
            <v>0</v>
          </cell>
          <cell r="AO76">
            <v>0</v>
          </cell>
          <cell r="AP76">
            <v>0</v>
          </cell>
          <cell r="AQ76">
            <v>0</v>
          </cell>
          <cell r="AR76">
            <v>0</v>
          </cell>
          <cell r="AS76">
            <v>0</v>
          </cell>
          <cell r="AT76">
            <v>33500000</v>
          </cell>
          <cell r="AU76">
            <v>57811200</v>
          </cell>
          <cell r="AV76">
            <v>57811200</v>
          </cell>
        </row>
        <row r="77">
          <cell r="A77">
            <v>7601001</v>
          </cell>
          <cell r="B77" t="str">
            <v xml:space="preserve"> سودوكارمزدتسهيلات مالي وسايرخدمات بانكي</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row>
        <row r="78">
          <cell r="A78">
            <v>7602000</v>
          </cell>
          <cell r="B78" t="str">
            <v xml:space="preserve"> هزينه تمبرسفته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row>
        <row r="79">
          <cell r="A79">
            <v>7602001</v>
          </cell>
          <cell r="B79" t="str">
            <v xml:space="preserve"> هزينه تمبرسفته</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7698001</v>
          </cell>
          <cell r="B80" t="str">
            <v xml:space="preserve"> سايرهزينه هاي تامين مالي</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7704000</v>
          </cell>
          <cell r="B81" t="str">
            <v xml:space="preserve"> هزينه جرائم دولتي</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row>
        <row r="82">
          <cell r="A82">
            <v>7380010</v>
          </cell>
          <cell r="B82" t="str">
            <v>هزينه بيمه مسئوليت مدني کارفرما</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row>
        <row r="83">
          <cell r="A83" t="str">
            <v>جمع هزینه های عملیاتی</v>
          </cell>
          <cell r="C83">
            <v>0</v>
          </cell>
          <cell r="D83">
            <v>79416758</v>
          </cell>
          <cell r="E83">
            <v>151193059</v>
          </cell>
          <cell r="F83">
            <v>74794174</v>
          </cell>
          <cell r="G83">
            <v>115613759</v>
          </cell>
          <cell r="H83">
            <v>12784900</v>
          </cell>
          <cell r="I83">
            <v>85446108</v>
          </cell>
          <cell r="J83">
            <v>9014702</v>
          </cell>
          <cell r="K83">
            <v>12678822</v>
          </cell>
          <cell r="L83">
            <v>0</v>
          </cell>
          <cell r="M83">
            <v>0</v>
          </cell>
          <cell r="N83">
            <v>104505855</v>
          </cell>
          <cell r="O83">
            <v>3188404</v>
          </cell>
          <cell r="P83">
            <v>7710540</v>
          </cell>
          <cell r="Q83">
            <v>72830152</v>
          </cell>
          <cell r="R83">
            <v>729177233</v>
          </cell>
          <cell r="S83">
            <v>2278005</v>
          </cell>
          <cell r="T83">
            <v>92181015</v>
          </cell>
          <cell r="U83">
            <v>1538070304</v>
          </cell>
          <cell r="V83">
            <v>81893416</v>
          </cell>
          <cell r="W83">
            <v>606665591</v>
          </cell>
          <cell r="X83">
            <v>247099547</v>
          </cell>
          <cell r="Y83">
            <v>27743754</v>
          </cell>
          <cell r="Z83">
            <v>5212950</v>
          </cell>
          <cell r="AA83">
            <v>2910884</v>
          </cell>
          <cell r="AB83">
            <v>56025753</v>
          </cell>
          <cell r="AC83">
            <v>33951377</v>
          </cell>
          <cell r="AD83">
            <v>1022608932</v>
          </cell>
          <cell r="AE83">
            <v>13639400</v>
          </cell>
          <cell r="AF83">
            <v>13720000</v>
          </cell>
          <cell r="AG83">
            <v>3744000928</v>
          </cell>
          <cell r="AH83">
            <v>4473178161</v>
          </cell>
          <cell r="AI83">
            <v>3222608420</v>
          </cell>
          <cell r="AJ83">
            <v>574248399</v>
          </cell>
          <cell r="AK83">
            <v>742817943</v>
          </cell>
          <cell r="AL83">
            <v>7891824</v>
          </cell>
          <cell r="AM83">
            <v>0</v>
          </cell>
          <cell r="AN83">
            <v>996655762</v>
          </cell>
          <cell r="AO83">
            <v>133377801</v>
          </cell>
          <cell r="AP83">
            <v>42143249</v>
          </cell>
          <cell r="AQ83">
            <v>110172291</v>
          </cell>
          <cell r="AR83">
            <v>15695808</v>
          </cell>
          <cell r="AS83">
            <v>39253183</v>
          </cell>
          <cell r="AT83">
            <v>178687987</v>
          </cell>
          <cell r="AU83">
            <v>6063552667</v>
          </cell>
          <cell r="AV83">
            <v>10536730828</v>
          </cell>
        </row>
        <row r="84">
          <cell r="A84">
            <v>7400000</v>
          </cell>
          <cell r="B84" t="str">
            <v>هزينه استهلاك دارائيهاي ثابت</v>
          </cell>
          <cell r="C84">
            <v>90088329</v>
          </cell>
          <cell r="D84">
            <v>12503387</v>
          </cell>
          <cell r="E84">
            <v>7928526</v>
          </cell>
          <cell r="F84">
            <v>1683202</v>
          </cell>
          <cell r="G84">
            <v>4550834</v>
          </cell>
          <cell r="H84">
            <v>89681455</v>
          </cell>
          <cell r="I84">
            <v>123764044</v>
          </cell>
          <cell r="J84">
            <v>38224485</v>
          </cell>
          <cell r="K84">
            <v>39912285</v>
          </cell>
          <cell r="L84">
            <v>0</v>
          </cell>
          <cell r="M84">
            <v>204748</v>
          </cell>
          <cell r="N84">
            <v>203607014</v>
          </cell>
          <cell r="O84">
            <v>285614022</v>
          </cell>
          <cell r="P84">
            <v>164034083</v>
          </cell>
          <cell r="Q84">
            <v>519587427</v>
          </cell>
          <cell r="R84">
            <v>1581383841</v>
          </cell>
          <cell r="S84">
            <v>4566023</v>
          </cell>
          <cell r="T84">
            <v>78024870</v>
          </cell>
          <cell r="U84">
            <v>934462861</v>
          </cell>
          <cell r="V84">
            <v>1182942491</v>
          </cell>
          <cell r="W84">
            <v>640359422</v>
          </cell>
          <cell r="X84">
            <v>116124377</v>
          </cell>
          <cell r="Y84">
            <v>33012663</v>
          </cell>
          <cell r="Z84">
            <v>5220561</v>
          </cell>
          <cell r="AA84">
            <v>0</v>
          </cell>
          <cell r="AB84">
            <v>10397284</v>
          </cell>
          <cell r="AC84">
            <v>10789174</v>
          </cell>
          <cell r="AD84">
            <v>27931874</v>
          </cell>
          <cell r="AE84">
            <v>14635036</v>
          </cell>
          <cell r="AF84">
            <v>1410931</v>
          </cell>
          <cell r="AG84">
            <v>3059877567</v>
          </cell>
          <cell r="AH84">
            <v>4641261408</v>
          </cell>
          <cell r="AI84">
            <v>306650502</v>
          </cell>
          <cell r="AJ84">
            <v>78436360</v>
          </cell>
          <cell r="AK84">
            <v>117154371</v>
          </cell>
          <cell r="AL84">
            <v>7630432</v>
          </cell>
          <cell r="AM84">
            <v>0</v>
          </cell>
          <cell r="AN84">
            <v>0</v>
          </cell>
          <cell r="AO84">
            <v>16567401</v>
          </cell>
          <cell r="AP84">
            <v>12473013</v>
          </cell>
          <cell r="AQ84">
            <v>9884953</v>
          </cell>
          <cell r="AR84">
            <v>549495</v>
          </cell>
          <cell r="AS84">
            <v>3589072</v>
          </cell>
          <cell r="AT84">
            <v>32578746</v>
          </cell>
          <cell r="AU84">
            <v>585514345</v>
          </cell>
          <cell r="AV84">
            <v>5226775753</v>
          </cell>
        </row>
        <row r="85">
          <cell r="A85" t="str">
            <v xml:space="preserve">جمع استهلاک </v>
          </cell>
          <cell r="C85">
            <v>90088329</v>
          </cell>
          <cell r="D85">
            <v>12503387</v>
          </cell>
          <cell r="E85">
            <v>7928526</v>
          </cell>
          <cell r="F85">
            <v>1683202</v>
          </cell>
          <cell r="G85">
            <v>4550834</v>
          </cell>
          <cell r="H85">
            <v>89681455</v>
          </cell>
          <cell r="I85">
            <v>123764044</v>
          </cell>
          <cell r="J85">
            <v>38224485</v>
          </cell>
          <cell r="K85">
            <v>39912285</v>
          </cell>
          <cell r="L85">
            <v>0</v>
          </cell>
          <cell r="M85">
            <v>204748</v>
          </cell>
          <cell r="N85">
            <v>203607014</v>
          </cell>
          <cell r="O85">
            <v>285614022</v>
          </cell>
          <cell r="P85">
            <v>164034083</v>
          </cell>
          <cell r="Q85">
            <v>519587427</v>
          </cell>
          <cell r="R85">
            <v>1581383841</v>
          </cell>
          <cell r="S85">
            <v>4566023</v>
          </cell>
          <cell r="T85">
            <v>78024870</v>
          </cell>
          <cell r="U85">
            <v>934462861</v>
          </cell>
          <cell r="V85">
            <v>1182942491</v>
          </cell>
          <cell r="W85">
            <v>640359422</v>
          </cell>
          <cell r="X85">
            <v>116124377</v>
          </cell>
          <cell r="Y85">
            <v>33012663</v>
          </cell>
          <cell r="Z85">
            <v>5220561</v>
          </cell>
          <cell r="AA85">
            <v>0</v>
          </cell>
          <cell r="AB85">
            <v>10397284</v>
          </cell>
          <cell r="AC85">
            <v>10789174</v>
          </cell>
          <cell r="AD85">
            <v>27931874</v>
          </cell>
          <cell r="AE85">
            <v>14635036</v>
          </cell>
          <cell r="AF85">
            <v>1410931</v>
          </cell>
          <cell r="AG85">
            <v>3059877567</v>
          </cell>
          <cell r="AH85">
            <v>4641261408</v>
          </cell>
          <cell r="AI85">
            <v>306650502</v>
          </cell>
          <cell r="AJ85">
            <v>78436360</v>
          </cell>
          <cell r="AK85">
            <v>117154371</v>
          </cell>
          <cell r="AL85">
            <v>7630432</v>
          </cell>
          <cell r="AM85">
            <v>0</v>
          </cell>
          <cell r="AN85">
            <v>0</v>
          </cell>
          <cell r="AO85">
            <v>16567401</v>
          </cell>
          <cell r="AP85">
            <v>12473013</v>
          </cell>
          <cell r="AQ85">
            <v>9884953</v>
          </cell>
          <cell r="AR85">
            <v>549495</v>
          </cell>
          <cell r="AS85">
            <v>3589072</v>
          </cell>
          <cell r="AT85">
            <v>32578746</v>
          </cell>
          <cell r="AU85">
            <v>585514345</v>
          </cell>
          <cell r="AV85">
            <v>5226775753</v>
          </cell>
        </row>
        <row r="86">
          <cell r="A86" t="str">
            <v>جمع سربار</v>
          </cell>
          <cell r="C86">
            <v>99858454</v>
          </cell>
          <cell r="D86">
            <v>133487517</v>
          </cell>
          <cell r="E86">
            <v>199794867</v>
          </cell>
          <cell r="F86">
            <v>104413208</v>
          </cell>
          <cell r="G86">
            <v>177846397</v>
          </cell>
          <cell r="H86">
            <v>122545387</v>
          </cell>
          <cell r="I86">
            <v>287832443</v>
          </cell>
          <cell r="J86">
            <v>86252023</v>
          </cell>
          <cell r="K86">
            <v>72500644</v>
          </cell>
          <cell r="L86">
            <v>0</v>
          </cell>
          <cell r="M86">
            <v>11158342</v>
          </cell>
          <cell r="N86">
            <v>383184318</v>
          </cell>
          <cell r="O86">
            <v>298102426</v>
          </cell>
          <cell r="P86">
            <v>178644623</v>
          </cell>
          <cell r="Q86">
            <v>617477654</v>
          </cell>
          <cell r="R86">
            <v>2773098303</v>
          </cell>
          <cell r="S86">
            <v>32746684</v>
          </cell>
          <cell r="T86">
            <v>319604675</v>
          </cell>
          <cell r="U86">
            <v>2643474707</v>
          </cell>
          <cell r="V86">
            <v>1298857709</v>
          </cell>
          <cell r="W86">
            <v>1468662298</v>
          </cell>
          <cell r="X86">
            <v>464211778</v>
          </cell>
          <cell r="Y86">
            <v>72658382</v>
          </cell>
          <cell r="Z86">
            <v>71967685</v>
          </cell>
          <cell r="AA86">
            <v>5660916</v>
          </cell>
          <cell r="AB86">
            <v>131831829</v>
          </cell>
          <cell r="AC86">
            <v>75084842</v>
          </cell>
          <cell r="AD86">
            <v>1283601268</v>
          </cell>
          <cell r="AE86">
            <v>1656913981</v>
          </cell>
          <cell r="AF86">
            <v>1231543311</v>
          </cell>
          <cell r="AG86">
            <v>10756820065</v>
          </cell>
          <cell r="AH86">
            <v>13529918368</v>
          </cell>
          <cell r="AI86">
            <v>4317042141</v>
          </cell>
          <cell r="AJ86">
            <v>893556376</v>
          </cell>
          <cell r="AK86">
            <v>926592109</v>
          </cell>
          <cell r="AL86">
            <v>20267256</v>
          </cell>
          <cell r="AM86">
            <v>14557872</v>
          </cell>
          <cell r="AN86">
            <v>996655762</v>
          </cell>
          <cell r="AO86">
            <v>189918777</v>
          </cell>
          <cell r="AP86">
            <v>260937342</v>
          </cell>
          <cell r="AQ86">
            <v>174723065</v>
          </cell>
          <cell r="AR86">
            <v>39541303</v>
          </cell>
          <cell r="AS86">
            <v>58741803</v>
          </cell>
          <cell r="AT86">
            <v>406995516</v>
          </cell>
          <cell r="AU86">
            <v>8299529322</v>
          </cell>
          <cell r="AV86">
            <v>21829447690</v>
          </cell>
        </row>
        <row r="87">
          <cell r="A87" t="str">
            <v xml:space="preserve">جمع کل </v>
          </cell>
          <cell r="C87">
            <v>158987358</v>
          </cell>
          <cell r="D87">
            <v>5986175285</v>
          </cell>
          <cell r="E87">
            <v>14905237061</v>
          </cell>
          <cell r="F87">
            <v>6393167296</v>
          </cell>
          <cell r="G87">
            <v>56562142248</v>
          </cell>
          <cell r="H87">
            <v>1473840813</v>
          </cell>
          <cell r="I87">
            <v>7993436626</v>
          </cell>
          <cell r="J87">
            <v>7907928880</v>
          </cell>
          <cell r="K87">
            <v>1851817176</v>
          </cell>
          <cell r="L87">
            <v>0</v>
          </cell>
          <cell r="M87">
            <v>151679797</v>
          </cell>
          <cell r="N87">
            <v>862817144</v>
          </cell>
          <cell r="O87">
            <v>13618262278</v>
          </cell>
          <cell r="P87">
            <v>1260091500</v>
          </cell>
          <cell r="Q87">
            <v>4416138087</v>
          </cell>
          <cell r="R87">
            <v>123541721549</v>
          </cell>
          <cell r="S87">
            <v>295273661</v>
          </cell>
          <cell r="T87">
            <v>1112630900</v>
          </cell>
          <cell r="U87">
            <v>4614163208</v>
          </cell>
          <cell r="V87">
            <v>1544667444</v>
          </cell>
          <cell r="W87">
            <v>3658452507</v>
          </cell>
          <cell r="X87">
            <v>1216874402</v>
          </cell>
          <cell r="Y87">
            <v>163576693</v>
          </cell>
          <cell r="Z87">
            <v>447930287</v>
          </cell>
          <cell r="AA87">
            <v>34484754</v>
          </cell>
          <cell r="AB87">
            <v>727855642</v>
          </cell>
          <cell r="AC87">
            <v>449174018</v>
          </cell>
          <cell r="AD87">
            <v>1790899612</v>
          </cell>
          <cell r="AE87">
            <v>1656913981</v>
          </cell>
          <cell r="AF87">
            <v>1265979598</v>
          </cell>
          <cell r="AG87">
            <v>18978876707</v>
          </cell>
          <cell r="AH87">
            <v>21751975010</v>
          </cell>
          <cell r="AI87">
            <v>6206042722</v>
          </cell>
          <cell r="AJ87">
            <v>1451347409</v>
          </cell>
          <cell r="AK87">
            <v>1496914693</v>
          </cell>
          <cell r="AL87">
            <v>20267256</v>
          </cell>
          <cell r="AM87">
            <v>176764251</v>
          </cell>
          <cell r="AN87">
            <v>996655762</v>
          </cell>
          <cell r="AO87">
            <v>428021821</v>
          </cell>
          <cell r="AP87">
            <v>1196988501</v>
          </cell>
          <cell r="AQ87">
            <v>465807300</v>
          </cell>
          <cell r="AR87">
            <v>46041303</v>
          </cell>
          <cell r="AS87">
            <v>165253053</v>
          </cell>
          <cell r="AT87">
            <v>1191481305</v>
          </cell>
          <cell r="AU87">
            <v>13841585376</v>
          </cell>
          <cell r="AV87">
            <v>156362183632</v>
          </cell>
        </row>
      </sheetData>
      <sheetData sheetId="18"/>
      <sheetData sheetId="19"/>
      <sheetData sheetId="20"/>
      <sheetData sheetId="21"/>
      <sheetData sheetId="22"/>
      <sheetData sheetId="23"/>
      <sheetData sheetId="24"/>
      <sheetData sheetId="25"/>
      <sheetData sheetId="26">
        <row r="92">
          <cell r="D92">
            <v>19001798</v>
          </cell>
        </row>
      </sheetData>
      <sheetData sheetId="27">
        <row r="92">
          <cell r="I92">
            <v>548078.92384783155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r"/>
      <sheetName val="Report"/>
      <sheetName val="Data_Wage"/>
      <sheetName val="Data_Navgan"/>
      <sheetName val="Data_Cost &amp; Revenue"/>
    </sheetNames>
    <sheetDataSet>
      <sheetData sheetId="0">
        <row r="3">
          <cell r="C3">
            <v>74</v>
          </cell>
        </row>
        <row r="7">
          <cell r="C7">
            <v>0.1</v>
          </cell>
        </row>
      </sheetData>
      <sheetData sheetId="1">
        <row r="2">
          <cell r="D2">
            <v>18115200000</v>
          </cell>
        </row>
      </sheetData>
      <sheetData sheetId="2"/>
      <sheetData sheetId="3"/>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r"/>
      <sheetName val="Report"/>
      <sheetName val="Data_Wage"/>
      <sheetName val="Data_Navgan"/>
      <sheetName val="Data_Cost &amp; Revenue"/>
    </sheetNames>
    <sheetDataSet>
      <sheetData sheetId="0">
        <row r="3">
          <cell r="C3">
            <v>74</v>
          </cell>
        </row>
        <row r="7">
          <cell r="C7">
            <v>0.1</v>
          </cell>
        </row>
      </sheetData>
      <sheetData sheetId="1">
        <row r="2">
          <cell r="D2">
            <v>18115200000</v>
          </cell>
        </row>
      </sheetData>
      <sheetData sheetId="2"/>
      <sheetData sheetId="3"/>
      <sheetData sheetId="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sheetName val="CENTERS-SALE"/>
    </sheetNames>
    <sheetDataSet>
      <sheetData sheetId="0"/>
      <sheetData sheetId="1"/>
      <sheetData sheetId="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هزینه تولید تائید نشده(خنثی)"/>
      <sheetName val="تمام شده تولید 89"/>
      <sheetName val="آمار تولید و ساعات تولید 89"/>
      <sheetName val="توقفات تولید سال90"/>
      <sheetName val="کار در جریان 89 "/>
      <sheetName val="تسهیم توقفات"/>
      <sheetName val="فروش اردیبهشت"/>
      <sheetName val="کار در جریان اردیبهشت 90"/>
      <sheetName val="فروش خرداد (2)"/>
      <sheetName val="تولید صنایع خرداد"/>
      <sheetName val="کارکرد صنایع خردادماه 90"/>
      <sheetName val="گردش کالا خرداد ماه"/>
      <sheetName val="برگشتی-نمونه-ضایعات"/>
      <sheetName val="گزارش تعداد نفرات"/>
      <sheetName val="مصرف مواد"/>
      <sheetName val="آمار تولید و ساعات تولید"/>
      <sheetName val="تولید همگن و تسهیم مزد و سربار "/>
      <sheetName val="عوامل در مراکز  "/>
      <sheetName val="تسهیم هزینه"/>
      <sheetName val="نرخ د.س کار در جریان اول دوره"/>
      <sheetName val="کار در جریان خرداد 90"/>
      <sheetName val="گردش کالای ساخته شده  (2)"/>
      <sheetName val="سود وزیان - بودجه ریال (2)"/>
      <sheetName val="سود وزیان - بودجه ریال"/>
      <sheetName val="گردش کالای ساخته شده "/>
      <sheetName val="تمام شده تولید"/>
      <sheetName val="گزارش1 -( کل) ارقام میلیون ریال"/>
      <sheetName val="گزارش1 -(واحد)"/>
      <sheetName val="کنترل حاشیه سود - کل"/>
      <sheetName val="کنترل حاشیه سود - واحد کالا (2)"/>
      <sheetName val="خرید بازرگانی"/>
      <sheetName val="برگشت کلا (2)"/>
      <sheetName val="فروش خرداد"/>
      <sheetName val="حاشیه سود"/>
      <sheetName val="سند تولید"/>
      <sheetName val="سند بهای تمام شده"/>
      <sheetName val="تربتی "/>
      <sheetName val="تربتی  (2)"/>
      <sheetName val="100022"/>
      <sheetName val="کاربرگ محاسبه مالیات"/>
      <sheetName val="خ  د ه عملیاتی "/>
      <sheetName val="خ س د  ه غیرعملیاتی"/>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گزارش عوامل در مراکز</v>
          </cell>
        </row>
        <row r="2">
          <cell r="A2" t="str">
            <v>کد حساب</v>
          </cell>
          <cell r="B2" t="str">
            <v>شرح  حساب</v>
          </cell>
          <cell r="C2" t="str">
            <v>مشترك استريل ها</v>
          </cell>
          <cell r="D2" t="str">
            <v>استريل فرزياني</v>
          </cell>
          <cell r="E2" t="str">
            <v>استريل قدس</v>
          </cell>
          <cell r="F2" t="str">
            <v>استريل بعثت</v>
          </cell>
          <cell r="G2" t="str">
            <v>استريل غفارزاده</v>
          </cell>
          <cell r="H2" t="str">
            <v>پمادوكرم</v>
          </cell>
          <cell r="I2" t="str">
            <v>سفالوسپورين</v>
          </cell>
          <cell r="J2" t="str">
            <v>پني سيلين وي</v>
          </cell>
          <cell r="K2" t="str">
            <v>نيستاتين</v>
          </cell>
          <cell r="L2" t="str">
            <v>دراژه (نيستا،سفالوس،پني سيلسن وي)</v>
          </cell>
          <cell r="M2" t="str">
            <v>قرص و كپسول و شربت</v>
          </cell>
          <cell r="N2" t="str">
            <v>مشترک اسپري ها</v>
          </cell>
          <cell r="O2" t="str">
            <v>اسپري دهاني</v>
          </cell>
          <cell r="P2" t="str">
            <v>اسپري بيني</v>
          </cell>
          <cell r="Q2" t="str">
            <v>سافت ژل</v>
          </cell>
          <cell r="R2" t="str">
            <v>جمع تولید</v>
          </cell>
          <cell r="S2" t="str">
            <v>بسته بندي</v>
          </cell>
          <cell r="T2" t="str">
            <v>عمومي توليد</v>
          </cell>
          <cell r="U2" t="str">
            <v>فني و مهندسي قديم</v>
          </cell>
          <cell r="V2" t="str">
            <v>فني مهندسي افشانه</v>
          </cell>
          <cell r="W2" t="str">
            <v>آزمايشگاه و چکينگ</v>
          </cell>
          <cell r="X2" t="str">
            <v>انبارها قديم</v>
          </cell>
          <cell r="Y2" t="str">
            <v>انبار افشانه ها</v>
          </cell>
          <cell r="Z2" t="str">
            <v>مهندسي صنايع قديم</v>
          </cell>
          <cell r="AA2" t="str">
            <v>مهندسي صنايع اسپري</v>
          </cell>
          <cell r="AB2" t="str">
            <v>امور بازرگاني</v>
          </cell>
          <cell r="AC2" t="str">
            <v>انتظامات و نگهباني</v>
          </cell>
          <cell r="AD2" t="str">
            <v>خدمات عمومي</v>
          </cell>
          <cell r="AE2" t="str">
            <v>رستوران</v>
          </cell>
          <cell r="AF2" t="str">
            <v>حمل ونقل</v>
          </cell>
          <cell r="AG2" t="str">
            <v>جمع خدماتي</v>
          </cell>
          <cell r="AH2" t="str">
            <v>سربار</v>
          </cell>
          <cell r="AI2" t="str">
            <v>فروش و بازاريابي</v>
          </cell>
          <cell r="AJ2" t="str">
            <v>مديريت</v>
          </cell>
          <cell r="AK2" t="str">
            <v>تحقيقات</v>
          </cell>
          <cell r="AL2" t="str">
            <v>آموزش</v>
          </cell>
          <cell r="AM2" t="str">
            <v>مامورين</v>
          </cell>
          <cell r="AN2" t="str">
            <v>عمومي اداري</v>
          </cell>
          <cell r="AO2" t="str">
            <v>فن آوري اطلاعات</v>
          </cell>
          <cell r="AP2" t="str">
            <v>امورمالي</v>
          </cell>
          <cell r="AQ2" t="str">
            <v>دبيرخانه و كارگزيني</v>
          </cell>
          <cell r="AR2" t="str">
            <v>شورا ،انجمن و بسيج</v>
          </cell>
          <cell r="AS2" t="str">
            <v>HSE</v>
          </cell>
          <cell r="AT2" t="str">
            <v>تضمين كيفيت</v>
          </cell>
          <cell r="AU2" t="str">
            <v>جمع اداري</v>
          </cell>
          <cell r="AV2" t="str">
            <v>جمع کل</v>
          </cell>
        </row>
        <row r="3">
          <cell r="A3">
            <v>7101000</v>
          </cell>
          <cell r="B3" t="str">
            <v>هزينه مواداوليه توليدي</v>
          </cell>
          <cell r="C3">
            <v>0</v>
          </cell>
          <cell r="D3">
            <v>4604851218</v>
          </cell>
          <cell r="E3">
            <v>7018795990</v>
          </cell>
          <cell r="F3">
            <v>3951034403</v>
          </cell>
          <cell r="G3">
            <v>45896927938</v>
          </cell>
          <cell r="H3">
            <v>685456209</v>
          </cell>
          <cell r="I3">
            <v>6458122436</v>
          </cell>
          <cell r="J3">
            <v>7115410124</v>
          </cell>
          <cell r="K3">
            <v>531878634</v>
          </cell>
          <cell r="L3">
            <v>0</v>
          </cell>
          <cell r="M3">
            <v>0</v>
          </cell>
          <cell r="N3">
            <v>0</v>
          </cell>
          <cell r="O3">
            <v>0</v>
          </cell>
          <cell r="P3">
            <v>0</v>
          </cell>
          <cell r="Q3">
            <v>3079064878</v>
          </cell>
          <cell r="R3">
            <v>79341541830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79341541830</v>
          </cell>
        </row>
        <row r="4">
          <cell r="A4">
            <v>7102000</v>
          </cell>
          <cell r="B4" t="str">
            <v>هزينه موادبسته بندي</v>
          </cell>
          <cell r="C4">
            <v>0</v>
          </cell>
          <cell r="D4">
            <v>753076685</v>
          </cell>
          <cell r="E4">
            <v>7167423446</v>
          </cell>
          <cell r="F4">
            <v>2034314272</v>
          </cell>
          <cell r="G4">
            <v>10003064606</v>
          </cell>
          <cell r="H4">
            <v>370527788</v>
          </cell>
          <cell r="I4">
            <v>527584658</v>
          </cell>
          <cell r="J4">
            <v>207613441</v>
          </cell>
          <cell r="K4">
            <v>1005589918</v>
          </cell>
          <cell r="L4">
            <v>0</v>
          </cell>
          <cell r="M4">
            <v>0</v>
          </cell>
          <cell r="N4">
            <v>0</v>
          </cell>
          <cell r="O4">
            <v>0</v>
          </cell>
          <cell r="P4">
            <v>0</v>
          </cell>
          <cell r="Q4">
            <v>662780029</v>
          </cell>
          <cell r="R4">
            <v>22731974843</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22731974843</v>
          </cell>
        </row>
        <row r="5">
          <cell r="A5">
            <v>7106000</v>
          </cell>
          <cell r="B5" t="str">
            <v>هزينه مواداوليه توليدي افشانه ها</v>
          </cell>
          <cell r="C5">
            <v>0</v>
          </cell>
          <cell r="D5">
            <v>0</v>
          </cell>
          <cell r="E5">
            <v>0</v>
          </cell>
          <cell r="F5">
            <v>0</v>
          </cell>
          <cell r="G5">
            <v>0</v>
          </cell>
          <cell r="H5">
            <v>0</v>
          </cell>
          <cell r="I5">
            <v>0</v>
          </cell>
          <cell r="J5">
            <v>0</v>
          </cell>
          <cell r="K5">
            <v>0</v>
          </cell>
          <cell r="L5">
            <v>0</v>
          </cell>
          <cell r="M5">
            <v>0</v>
          </cell>
          <cell r="N5">
            <v>0</v>
          </cell>
          <cell r="O5">
            <v>4116794309</v>
          </cell>
          <cell r="P5">
            <v>125659084</v>
          </cell>
          <cell r="Q5">
            <v>0</v>
          </cell>
          <cell r="R5">
            <v>4242453393</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4242453393</v>
          </cell>
        </row>
        <row r="6">
          <cell r="A6">
            <v>7107000</v>
          </cell>
          <cell r="B6" t="str">
            <v>هزينه موادبسته بندي افشانه ها</v>
          </cell>
          <cell r="C6">
            <v>0</v>
          </cell>
          <cell r="D6">
            <v>0</v>
          </cell>
          <cell r="E6">
            <v>0</v>
          </cell>
          <cell r="F6">
            <v>0</v>
          </cell>
          <cell r="G6">
            <v>0</v>
          </cell>
          <cell r="H6">
            <v>0</v>
          </cell>
          <cell r="I6">
            <v>0</v>
          </cell>
          <cell r="J6">
            <v>0</v>
          </cell>
          <cell r="K6">
            <v>0</v>
          </cell>
          <cell r="L6">
            <v>0</v>
          </cell>
          <cell r="M6">
            <v>0</v>
          </cell>
          <cell r="N6">
            <v>0</v>
          </cell>
          <cell r="O6">
            <v>9147467000</v>
          </cell>
          <cell r="P6">
            <v>904833681</v>
          </cell>
          <cell r="Q6">
            <v>0</v>
          </cell>
          <cell r="R6">
            <v>10052300681</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10052300681</v>
          </cell>
        </row>
        <row r="7">
          <cell r="A7" t="str">
            <v>جمع مواد</v>
          </cell>
          <cell r="C7">
            <v>0</v>
          </cell>
          <cell r="D7">
            <v>5357927903</v>
          </cell>
          <cell r="E7">
            <v>14186219436</v>
          </cell>
          <cell r="F7">
            <v>5985348675</v>
          </cell>
          <cell r="G7">
            <v>55899992544</v>
          </cell>
          <cell r="H7">
            <v>1055983997</v>
          </cell>
          <cell r="I7">
            <v>6985707094</v>
          </cell>
          <cell r="J7">
            <v>7323023565</v>
          </cell>
          <cell r="K7">
            <v>1537468552</v>
          </cell>
          <cell r="L7">
            <v>0</v>
          </cell>
          <cell r="M7">
            <v>0</v>
          </cell>
          <cell r="N7">
            <v>0</v>
          </cell>
          <cell r="O7">
            <v>13264261309</v>
          </cell>
          <cell r="P7">
            <v>1030492765</v>
          </cell>
          <cell r="Q7">
            <v>3741844907</v>
          </cell>
          <cell r="R7">
            <v>116368270747</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116368270747</v>
          </cell>
        </row>
        <row r="8">
          <cell r="A8">
            <v>7201000</v>
          </cell>
          <cell r="B8" t="str">
            <v>هزينه حقوق ودستمزد</v>
          </cell>
          <cell r="C8">
            <v>22660612</v>
          </cell>
          <cell r="D8">
            <v>118873411</v>
          </cell>
          <cell r="E8">
            <v>133374455</v>
          </cell>
          <cell r="F8">
            <v>60086996</v>
          </cell>
          <cell r="G8">
            <v>105002141</v>
          </cell>
          <cell r="H8">
            <v>76666222</v>
          </cell>
          <cell r="I8">
            <v>186070310</v>
          </cell>
          <cell r="J8">
            <v>105194392</v>
          </cell>
          <cell r="K8">
            <v>45120051</v>
          </cell>
          <cell r="L8">
            <v>0</v>
          </cell>
          <cell r="M8">
            <v>55002090</v>
          </cell>
          <cell r="N8">
            <v>94709098</v>
          </cell>
          <cell r="O8">
            <v>0</v>
          </cell>
          <cell r="P8">
            <v>0</v>
          </cell>
          <cell r="Q8">
            <v>27727948</v>
          </cell>
          <cell r="R8">
            <v>1030487726</v>
          </cell>
          <cell r="S8">
            <v>71025528</v>
          </cell>
          <cell r="T8">
            <v>185098866</v>
          </cell>
          <cell r="U8">
            <v>494164878</v>
          </cell>
          <cell r="V8">
            <v>103496838</v>
          </cell>
          <cell r="W8">
            <v>853904697</v>
          </cell>
          <cell r="X8">
            <v>180846819</v>
          </cell>
          <cell r="Y8">
            <v>19306575</v>
          </cell>
          <cell r="Z8">
            <v>153186416</v>
          </cell>
          <cell r="AA8">
            <v>14430986</v>
          </cell>
          <cell r="AB8">
            <v>232860217</v>
          </cell>
          <cell r="AC8">
            <v>44887104</v>
          </cell>
          <cell r="AD8">
            <v>16655022</v>
          </cell>
          <cell r="AE8">
            <v>0</v>
          </cell>
          <cell r="AF8">
            <v>13950036</v>
          </cell>
          <cell r="AG8">
            <v>2383813982</v>
          </cell>
          <cell r="AH8">
            <v>2383813982</v>
          </cell>
          <cell r="AI8">
            <v>933914794</v>
          </cell>
          <cell r="AJ8">
            <v>234643247</v>
          </cell>
          <cell r="AK8">
            <v>279514720</v>
          </cell>
          <cell r="AL8">
            <v>0</v>
          </cell>
          <cell r="AM8">
            <v>50723481</v>
          </cell>
          <cell r="AN8">
            <v>0</v>
          </cell>
          <cell r="AO8">
            <v>99153316</v>
          </cell>
          <cell r="AP8">
            <v>313639298</v>
          </cell>
          <cell r="AQ8">
            <v>120373168</v>
          </cell>
          <cell r="AR8">
            <v>0</v>
          </cell>
          <cell r="AS8">
            <v>34473526</v>
          </cell>
          <cell r="AT8">
            <v>370213557</v>
          </cell>
          <cell r="AU8">
            <v>2436649107</v>
          </cell>
          <cell r="AV8">
            <v>5850950815</v>
          </cell>
        </row>
        <row r="9">
          <cell r="A9">
            <v>7201001</v>
          </cell>
          <cell r="B9" t="str">
            <v>هزينه حقوق ودستمزد ( پارس پاکان)</v>
          </cell>
          <cell r="C9">
            <v>0</v>
          </cell>
          <cell r="D9">
            <v>60634751</v>
          </cell>
          <cell r="E9">
            <v>56651915</v>
          </cell>
          <cell r="F9">
            <v>77047075</v>
          </cell>
          <cell r="G9">
            <v>83670382</v>
          </cell>
          <cell r="H9">
            <v>20935149</v>
          </cell>
          <cell r="I9">
            <v>83515692</v>
          </cell>
          <cell r="J9">
            <v>102754166</v>
          </cell>
          <cell r="K9">
            <v>60545637</v>
          </cell>
          <cell r="L9">
            <v>0</v>
          </cell>
          <cell r="M9">
            <v>0</v>
          </cell>
          <cell r="N9">
            <v>216970499</v>
          </cell>
          <cell r="O9">
            <v>46351317</v>
          </cell>
          <cell r="P9">
            <v>42114752</v>
          </cell>
          <cell r="Q9">
            <v>0</v>
          </cell>
          <cell r="R9">
            <v>851191335</v>
          </cell>
          <cell r="S9">
            <v>32492689</v>
          </cell>
          <cell r="T9">
            <v>160904805</v>
          </cell>
          <cell r="U9">
            <v>110038568</v>
          </cell>
          <cell r="V9">
            <v>15522554</v>
          </cell>
          <cell r="W9">
            <v>22068512</v>
          </cell>
          <cell r="X9">
            <v>81737864</v>
          </cell>
          <cell r="Y9">
            <v>36367024</v>
          </cell>
          <cell r="Z9">
            <v>0</v>
          </cell>
          <cell r="AA9">
            <v>0</v>
          </cell>
          <cell r="AB9">
            <v>13621093</v>
          </cell>
          <cell r="AC9">
            <v>80710101</v>
          </cell>
          <cell r="AD9">
            <v>398912414</v>
          </cell>
          <cell r="AE9">
            <v>0</v>
          </cell>
          <cell r="AF9">
            <v>0</v>
          </cell>
          <cell r="AG9">
            <v>952375624</v>
          </cell>
          <cell r="AH9">
            <v>952375624</v>
          </cell>
          <cell r="AI9">
            <v>15449455</v>
          </cell>
          <cell r="AJ9">
            <v>0</v>
          </cell>
          <cell r="AK9">
            <v>0</v>
          </cell>
          <cell r="AL9">
            <v>0</v>
          </cell>
          <cell r="AM9">
            <v>0</v>
          </cell>
          <cell r="AN9">
            <v>0</v>
          </cell>
          <cell r="AO9">
            <v>0</v>
          </cell>
          <cell r="AP9">
            <v>0</v>
          </cell>
          <cell r="AQ9">
            <v>15535854</v>
          </cell>
          <cell r="AR9">
            <v>0</v>
          </cell>
          <cell r="AS9">
            <v>0</v>
          </cell>
          <cell r="AT9">
            <v>14315731</v>
          </cell>
          <cell r="AU9">
            <v>45301040</v>
          </cell>
          <cell r="AV9">
            <v>1848867999</v>
          </cell>
        </row>
        <row r="10">
          <cell r="A10">
            <v>7202000</v>
          </cell>
          <cell r="B10" t="str">
            <v>هزينه مسكن</v>
          </cell>
          <cell r="C10">
            <v>226666</v>
          </cell>
          <cell r="D10">
            <v>2479992</v>
          </cell>
          <cell r="E10">
            <v>2789991</v>
          </cell>
          <cell r="F10">
            <v>1239996</v>
          </cell>
          <cell r="G10">
            <v>2169993</v>
          </cell>
          <cell r="H10">
            <v>1549995</v>
          </cell>
          <cell r="I10">
            <v>3939534</v>
          </cell>
          <cell r="J10">
            <v>2169993</v>
          </cell>
          <cell r="K10">
            <v>929997</v>
          </cell>
          <cell r="L10">
            <v>0</v>
          </cell>
          <cell r="M10">
            <v>929997</v>
          </cell>
          <cell r="N10">
            <v>1603837</v>
          </cell>
          <cell r="O10">
            <v>0</v>
          </cell>
          <cell r="P10">
            <v>0</v>
          </cell>
          <cell r="Q10">
            <v>269811</v>
          </cell>
          <cell r="R10">
            <v>20299802</v>
          </cell>
          <cell r="S10">
            <v>1520906</v>
          </cell>
          <cell r="T10">
            <v>3288475</v>
          </cell>
          <cell r="U10">
            <v>9481183</v>
          </cell>
          <cell r="V10">
            <v>2041207</v>
          </cell>
          <cell r="W10">
            <v>14152012</v>
          </cell>
          <cell r="X10">
            <v>3668636</v>
          </cell>
          <cell r="Y10">
            <v>294122</v>
          </cell>
          <cell r="Z10">
            <v>2718931</v>
          </cell>
          <cell r="AA10">
            <v>274250</v>
          </cell>
          <cell r="AB10">
            <v>3712027</v>
          </cell>
          <cell r="AC10">
            <v>929997</v>
          </cell>
          <cell r="AD10">
            <v>309999</v>
          </cell>
          <cell r="AE10">
            <v>0</v>
          </cell>
          <cell r="AF10">
            <v>309999</v>
          </cell>
          <cell r="AG10">
            <v>42701744</v>
          </cell>
          <cell r="AH10">
            <v>42701744</v>
          </cell>
          <cell r="AI10">
            <v>14914499</v>
          </cell>
          <cell r="AJ10">
            <v>1859994</v>
          </cell>
          <cell r="AK10">
            <v>4008170</v>
          </cell>
          <cell r="AL10">
            <v>0</v>
          </cell>
          <cell r="AM10">
            <v>929997</v>
          </cell>
          <cell r="AN10">
            <v>0</v>
          </cell>
          <cell r="AO10">
            <v>1343329</v>
          </cell>
          <cell r="AP10">
            <v>5637212</v>
          </cell>
          <cell r="AQ10">
            <v>1859994</v>
          </cell>
          <cell r="AR10">
            <v>0</v>
          </cell>
          <cell r="AS10">
            <v>619998</v>
          </cell>
          <cell r="AT10">
            <v>4583319</v>
          </cell>
          <cell r="AU10">
            <v>35756512</v>
          </cell>
          <cell r="AV10">
            <v>98758058</v>
          </cell>
        </row>
        <row r="11">
          <cell r="A11">
            <v>7203000</v>
          </cell>
          <cell r="B11" t="str">
            <v>هزينه خواروبار</v>
          </cell>
          <cell r="C11">
            <v>1134</v>
          </cell>
          <cell r="D11">
            <v>54252</v>
          </cell>
          <cell r="E11">
            <v>52704</v>
          </cell>
          <cell r="F11">
            <v>27900</v>
          </cell>
          <cell r="G11">
            <v>38754</v>
          </cell>
          <cell r="H11">
            <v>27903</v>
          </cell>
          <cell r="I11">
            <v>70256</v>
          </cell>
          <cell r="J11">
            <v>46503</v>
          </cell>
          <cell r="K11">
            <v>13950</v>
          </cell>
          <cell r="L11">
            <v>0</v>
          </cell>
          <cell r="M11">
            <v>4653</v>
          </cell>
          <cell r="N11">
            <v>12320</v>
          </cell>
          <cell r="O11">
            <v>0</v>
          </cell>
          <cell r="P11">
            <v>0</v>
          </cell>
          <cell r="Q11">
            <v>2698</v>
          </cell>
          <cell r="R11">
            <v>353027</v>
          </cell>
          <cell r="S11">
            <v>19604</v>
          </cell>
          <cell r="T11">
            <v>53976</v>
          </cell>
          <cell r="U11">
            <v>150526</v>
          </cell>
          <cell r="V11">
            <v>22015</v>
          </cell>
          <cell r="W11">
            <v>177736</v>
          </cell>
          <cell r="X11">
            <v>76310</v>
          </cell>
          <cell r="Y11">
            <v>5883</v>
          </cell>
          <cell r="Z11">
            <v>30414</v>
          </cell>
          <cell r="AA11">
            <v>2742</v>
          </cell>
          <cell r="AB11">
            <v>49568</v>
          </cell>
          <cell r="AC11">
            <v>15501</v>
          </cell>
          <cell r="AD11">
            <v>6201</v>
          </cell>
          <cell r="AE11">
            <v>0</v>
          </cell>
          <cell r="AF11">
            <v>3099</v>
          </cell>
          <cell r="AG11">
            <v>613575</v>
          </cell>
          <cell r="AH11">
            <v>613575</v>
          </cell>
          <cell r="AI11">
            <v>138687</v>
          </cell>
          <cell r="AJ11">
            <v>23253</v>
          </cell>
          <cell r="AK11">
            <v>44195</v>
          </cell>
          <cell r="AL11">
            <v>0</v>
          </cell>
          <cell r="AM11">
            <v>10851</v>
          </cell>
          <cell r="AN11">
            <v>0</v>
          </cell>
          <cell r="AO11">
            <v>19120</v>
          </cell>
          <cell r="AP11">
            <v>83716</v>
          </cell>
          <cell r="AQ11">
            <v>27903</v>
          </cell>
          <cell r="AR11">
            <v>0</v>
          </cell>
          <cell r="AS11">
            <v>10851</v>
          </cell>
          <cell r="AT11">
            <v>53915</v>
          </cell>
          <cell r="AU11">
            <v>412491</v>
          </cell>
          <cell r="AV11">
            <v>1379093</v>
          </cell>
        </row>
        <row r="12">
          <cell r="A12">
            <v>7204000</v>
          </cell>
          <cell r="B12" t="str">
            <v>هزينه حق اولاد</v>
          </cell>
          <cell r="C12">
            <v>0</v>
          </cell>
          <cell r="D12">
            <v>16382880</v>
          </cell>
          <cell r="E12">
            <v>15358950</v>
          </cell>
          <cell r="F12">
            <v>8191440</v>
          </cell>
          <cell r="G12">
            <v>11263230</v>
          </cell>
          <cell r="H12">
            <v>8191440</v>
          </cell>
          <cell r="I12">
            <v>21238291</v>
          </cell>
          <cell r="J12">
            <v>14335020</v>
          </cell>
          <cell r="K12">
            <v>3071790</v>
          </cell>
          <cell r="L12">
            <v>0</v>
          </cell>
          <cell r="M12">
            <v>0</v>
          </cell>
          <cell r="N12">
            <v>1023930</v>
          </cell>
          <cell r="O12">
            <v>0</v>
          </cell>
          <cell r="P12">
            <v>0</v>
          </cell>
          <cell r="Q12">
            <v>0</v>
          </cell>
          <cell r="R12">
            <v>99056971</v>
          </cell>
          <cell r="S12">
            <v>3927567</v>
          </cell>
          <cell r="T12">
            <v>12909725</v>
          </cell>
          <cell r="U12">
            <v>36789415</v>
          </cell>
          <cell r="V12">
            <v>2047860</v>
          </cell>
          <cell r="W12">
            <v>36112325</v>
          </cell>
          <cell r="X12">
            <v>22187200</v>
          </cell>
          <cell r="Y12">
            <v>1942965</v>
          </cell>
          <cell r="Z12">
            <v>7029385</v>
          </cell>
          <cell r="AA12">
            <v>0</v>
          </cell>
          <cell r="AB12">
            <v>12287160</v>
          </cell>
          <cell r="AC12">
            <v>4095720</v>
          </cell>
          <cell r="AD12">
            <v>2047860</v>
          </cell>
          <cell r="AE12">
            <v>0</v>
          </cell>
          <cell r="AF12">
            <v>0</v>
          </cell>
          <cell r="AG12">
            <v>141377182</v>
          </cell>
          <cell r="AH12">
            <v>141377182</v>
          </cell>
          <cell r="AI12">
            <v>12472328</v>
          </cell>
          <cell r="AJ12">
            <v>5119650</v>
          </cell>
          <cell r="AK12">
            <v>5448949</v>
          </cell>
          <cell r="AL12">
            <v>0</v>
          </cell>
          <cell r="AM12">
            <v>2047860</v>
          </cell>
          <cell r="AN12">
            <v>0</v>
          </cell>
          <cell r="AO12">
            <v>5119650</v>
          </cell>
          <cell r="AP12">
            <v>20378208</v>
          </cell>
          <cell r="AQ12">
            <v>7167510</v>
          </cell>
          <cell r="AR12">
            <v>0</v>
          </cell>
          <cell r="AS12">
            <v>3071790</v>
          </cell>
          <cell r="AT12">
            <v>8191440</v>
          </cell>
          <cell r="AU12">
            <v>69017385</v>
          </cell>
          <cell r="AV12">
            <v>309451538</v>
          </cell>
        </row>
        <row r="13">
          <cell r="A13">
            <v>7205000</v>
          </cell>
          <cell r="B13" t="str">
            <v>هزينه حق جذب</v>
          </cell>
          <cell r="C13">
            <v>5482406</v>
          </cell>
          <cell r="D13">
            <v>30809067</v>
          </cell>
          <cell r="E13">
            <v>33121728</v>
          </cell>
          <cell r="F13">
            <v>16773564</v>
          </cell>
          <cell r="G13">
            <v>27410970</v>
          </cell>
          <cell r="H13">
            <v>20526153</v>
          </cell>
          <cell r="I13">
            <v>46985249</v>
          </cell>
          <cell r="J13">
            <v>27410970</v>
          </cell>
          <cell r="K13">
            <v>13286844</v>
          </cell>
          <cell r="L13">
            <v>0</v>
          </cell>
          <cell r="M13">
            <v>11683023</v>
          </cell>
          <cell r="N13">
            <v>14345902</v>
          </cell>
          <cell r="O13">
            <v>0</v>
          </cell>
          <cell r="P13">
            <v>0</v>
          </cell>
          <cell r="Q13">
            <v>6708375</v>
          </cell>
          <cell r="R13">
            <v>254544251</v>
          </cell>
          <cell r="S13">
            <v>17110558</v>
          </cell>
          <cell r="T13">
            <v>26466589</v>
          </cell>
          <cell r="U13">
            <v>99053283</v>
          </cell>
          <cell r="V13">
            <v>11918744</v>
          </cell>
          <cell r="W13">
            <v>195777478</v>
          </cell>
          <cell r="X13">
            <v>46872261</v>
          </cell>
          <cell r="Y13">
            <v>3713755</v>
          </cell>
          <cell r="Z13">
            <v>32985721</v>
          </cell>
          <cell r="AA13">
            <v>2793092</v>
          </cell>
          <cell r="AB13">
            <v>45884084</v>
          </cell>
          <cell r="AC13">
            <v>10832379</v>
          </cell>
          <cell r="AD13">
            <v>6490650</v>
          </cell>
          <cell r="AE13">
            <v>0</v>
          </cell>
          <cell r="AF13">
            <v>0</v>
          </cell>
          <cell r="AG13">
            <v>499898594</v>
          </cell>
          <cell r="AH13">
            <v>499898594</v>
          </cell>
          <cell r="AI13">
            <v>162282715</v>
          </cell>
          <cell r="AJ13">
            <v>20635477</v>
          </cell>
          <cell r="AK13">
            <v>59338938</v>
          </cell>
          <cell r="AL13">
            <v>0</v>
          </cell>
          <cell r="AM13">
            <v>2383563</v>
          </cell>
          <cell r="AN13">
            <v>0</v>
          </cell>
          <cell r="AO13">
            <v>19142965</v>
          </cell>
          <cell r="AP13">
            <v>71465709</v>
          </cell>
          <cell r="AQ13">
            <v>20301717</v>
          </cell>
          <cell r="AR13">
            <v>0</v>
          </cell>
          <cell r="AS13">
            <v>7430976</v>
          </cell>
          <cell r="AT13">
            <v>83932197</v>
          </cell>
          <cell r="AU13">
            <v>446914257</v>
          </cell>
          <cell r="AV13">
            <v>1201357102</v>
          </cell>
        </row>
        <row r="14">
          <cell r="A14">
            <v>7206000</v>
          </cell>
          <cell r="B14" t="str">
            <v>هزينه اضافه كاري</v>
          </cell>
          <cell r="C14">
            <v>12723872</v>
          </cell>
          <cell r="D14">
            <v>82626607</v>
          </cell>
          <cell r="E14">
            <v>80668206</v>
          </cell>
          <cell r="F14">
            <v>37488893</v>
          </cell>
          <cell r="G14">
            <v>81380137</v>
          </cell>
          <cell r="H14">
            <v>54318314</v>
          </cell>
          <cell r="I14">
            <v>104083161</v>
          </cell>
          <cell r="J14">
            <v>73426294</v>
          </cell>
          <cell r="K14">
            <v>39230103</v>
          </cell>
          <cell r="L14">
            <v>0</v>
          </cell>
          <cell r="M14">
            <v>30152804</v>
          </cell>
          <cell r="N14">
            <v>34767552</v>
          </cell>
          <cell r="O14">
            <v>0</v>
          </cell>
          <cell r="P14">
            <v>0</v>
          </cell>
          <cell r="Q14">
            <v>3224936</v>
          </cell>
          <cell r="R14">
            <v>634090879</v>
          </cell>
          <cell r="S14">
            <v>35167933</v>
          </cell>
          <cell r="T14">
            <v>109332076</v>
          </cell>
          <cell r="U14">
            <v>475261123</v>
          </cell>
          <cell r="V14">
            <v>32309949</v>
          </cell>
          <cell r="W14">
            <v>283886536</v>
          </cell>
          <cell r="X14">
            <v>135322484</v>
          </cell>
          <cell r="Y14">
            <v>2685676</v>
          </cell>
          <cell r="Z14">
            <v>43015888</v>
          </cell>
          <cell r="AA14">
            <v>1305928</v>
          </cell>
          <cell r="AB14">
            <v>67996960</v>
          </cell>
          <cell r="AC14">
            <v>30145746</v>
          </cell>
          <cell r="AD14">
            <v>21097927</v>
          </cell>
          <cell r="AE14">
            <v>0</v>
          </cell>
          <cell r="AF14">
            <v>8934569</v>
          </cell>
          <cell r="AG14">
            <v>1246462795</v>
          </cell>
          <cell r="AH14">
            <v>1246462795</v>
          </cell>
          <cell r="AI14">
            <v>18498266</v>
          </cell>
          <cell r="AJ14">
            <v>128964856</v>
          </cell>
          <cell r="AK14">
            <v>34186862</v>
          </cell>
          <cell r="AL14">
            <v>0</v>
          </cell>
          <cell r="AM14">
            <v>48343532</v>
          </cell>
          <cell r="AN14">
            <v>0</v>
          </cell>
          <cell r="AO14">
            <v>33164299</v>
          </cell>
          <cell r="AP14">
            <v>160877604</v>
          </cell>
          <cell r="AQ14">
            <v>32880061</v>
          </cell>
          <cell r="AR14">
            <v>0</v>
          </cell>
          <cell r="AS14">
            <v>22857394</v>
          </cell>
          <cell r="AT14">
            <v>48230932</v>
          </cell>
          <cell r="AU14">
            <v>528003806</v>
          </cell>
          <cell r="AV14">
            <v>2408557480</v>
          </cell>
        </row>
        <row r="15">
          <cell r="A15">
            <v>7206001</v>
          </cell>
          <cell r="B15" t="str">
            <v>هزينه اضافه كاري ( پارس پاکان)</v>
          </cell>
          <cell r="C15">
            <v>0</v>
          </cell>
          <cell r="D15">
            <v>13464182</v>
          </cell>
          <cell r="E15">
            <v>11996554</v>
          </cell>
          <cell r="F15">
            <v>15971431</v>
          </cell>
          <cell r="G15">
            <v>18875852</v>
          </cell>
          <cell r="H15">
            <v>6705620</v>
          </cell>
          <cell r="I15">
            <v>12977057</v>
          </cell>
          <cell r="J15">
            <v>21540257</v>
          </cell>
          <cell r="K15">
            <v>15537241</v>
          </cell>
          <cell r="L15">
            <v>0</v>
          </cell>
          <cell r="M15">
            <v>0</v>
          </cell>
          <cell r="N15">
            <v>51156848</v>
          </cell>
          <cell r="O15">
            <v>9547226</v>
          </cell>
          <cell r="P15">
            <v>8839360</v>
          </cell>
          <cell r="Q15">
            <v>0</v>
          </cell>
          <cell r="R15">
            <v>186611628</v>
          </cell>
          <cell r="S15">
            <v>5093627</v>
          </cell>
          <cell r="T15">
            <v>29168392</v>
          </cell>
          <cell r="U15">
            <v>60115382</v>
          </cell>
          <cell r="V15">
            <v>219792</v>
          </cell>
          <cell r="W15">
            <v>3284141</v>
          </cell>
          <cell r="X15">
            <v>15113729</v>
          </cell>
          <cell r="Y15">
            <v>11837594</v>
          </cell>
          <cell r="Z15">
            <v>0</v>
          </cell>
          <cell r="AA15">
            <v>0</v>
          </cell>
          <cell r="AB15">
            <v>2230401</v>
          </cell>
          <cell r="AC15">
            <v>125145651</v>
          </cell>
          <cell r="AD15">
            <v>29787347</v>
          </cell>
          <cell r="AE15">
            <v>0</v>
          </cell>
          <cell r="AF15">
            <v>0</v>
          </cell>
          <cell r="AG15">
            <v>281996056</v>
          </cell>
          <cell r="AH15">
            <v>281996056</v>
          </cell>
          <cell r="AI15">
            <v>3032438</v>
          </cell>
          <cell r="AJ15">
            <v>0</v>
          </cell>
          <cell r="AK15">
            <v>0</v>
          </cell>
          <cell r="AL15">
            <v>0</v>
          </cell>
          <cell r="AM15">
            <v>0</v>
          </cell>
          <cell r="AN15">
            <v>0</v>
          </cell>
          <cell r="AO15">
            <v>0</v>
          </cell>
          <cell r="AP15">
            <v>0</v>
          </cell>
          <cell r="AQ15">
            <v>1897989</v>
          </cell>
          <cell r="AR15">
            <v>0</v>
          </cell>
          <cell r="AS15">
            <v>0</v>
          </cell>
          <cell r="AT15">
            <v>1568792</v>
          </cell>
          <cell r="AU15">
            <v>6499219</v>
          </cell>
          <cell r="AV15">
            <v>475106903</v>
          </cell>
        </row>
        <row r="16">
          <cell r="A16">
            <v>7207000</v>
          </cell>
          <cell r="B16" t="str">
            <v>هزينه نوبتكاري</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12536880</v>
          </cell>
          <cell r="AD16">
            <v>0</v>
          </cell>
          <cell r="AE16">
            <v>0</v>
          </cell>
          <cell r="AF16">
            <v>0</v>
          </cell>
          <cell r="AG16">
            <v>12536880</v>
          </cell>
          <cell r="AH16">
            <v>12536880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12536880</v>
          </cell>
        </row>
        <row r="17">
          <cell r="A17">
            <v>7208000</v>
          </cell>
          <cell r="B17" t="str">
            <v>هزينه شبكاري</v>
          </cell>
          <cell r="C17">
            <v>159048</v>
          </cell>
          <cell r="D17">
            <v>709489</v>
          </cell>
          <cell r="E17">
            <v>643808</v>
          </cell>
          <cell r="F17">
            <v>0</v>
          </cell>
          <cell r="G17">
            <v>1158841</v>
          </cell>
          <cell r="H17">
            <v>0</v>
          </cell>
          <cell r="I17">
            <v>18534</v>
          </cell>
          <cell r="J17">
            <v>0</v>
          </cell>
          <cell r="K17">
            <v>0</v>
          </cell>
          <cell r="L17">
            <v>0</v>
          </cell>
          <cell r="M17">
            <v>63007</v>
          </cell>
          <cell r="N17">
            <v>15960</v>
          </cell>
          <cell r="O17">
            <v>0</v>
          </cell>
          <cell r="P17">
            <v>0</v>
          </cell>
          <cell r="Q17">
            <v>0</v>
          </cell>
          <cell r="R17">
            <v>2768687</v>
          </cell>
          <cell r="S17">
            <v>0</v>
          </cell>
          <cell r="T17">
            <v>95492</v>
          </cell>
          <cell r="U17">
            <v>16641273</v>
          </cell>
          <cell r="V17">
            <v>43151</v>
          </cell>
          <cell r="W17">
            <v>1624232</v>
          </cell>
          <cell r="X17">
            <v>0</v>
          </cell>
          <cell r="Y17">
            <v>0</v>
          </cell>
          <cell r="Z17">
            <v>0</v>
          </cell>
          <cell r="AA17">
            <v>0</v>
          </cell>
          <cell r="AB17">
            <v>0</v>
          </cell>
          <cell r="AC17">
            <v>0</v>
          </cell>
          <cell r="AD17">
            <v>52257</v>
          </cell>
          <cell r="AE17">
            <v>0</v>
          </cell>
          <cell r="AF17">
            <v>0</v>
          </cell>
          <cell r="AG17">
            <v>18456405</v>
          </cell>
          <cell r="AH17">
            <v>18456405</v>
          </cell>
          <cell r="AI17">
            <v>0</v>
          </cell>
          <cell r="AJ17">
            <v>57282</v>
          </cell>
          <cell r="AK17">
            <v>34000</v>
          </cell>
          <cell r="AL17">
            <v>0</v>
          </cell>
          <cell r="AM17">
            <v>0</v>
          </cell>
          <cell r="AN17">
            <v>0</v>
          </cell>
          <cell r="AO17">
            <v>0</v>
          </cell>
          <cell r="AP17">
            <v>329253</v>
          </cell>
          <cell r="AQ17">
            <v>11316</v>
          </cell>
          <cell r="AR17">
            <v>0</v>
          </cell>
          <cell r="AS17">
            <v>11367</v>
          </cell>
          <cell r="AT17">
            <v>0</v>
          </cell>
          <cell r="AU17">
            <v>443218</v>
          </cell>
          <cell r="AV17">
            <v>21668310</v>
          </cell>
        </row>
        <row r="18">
          <cell r="A18">
            <v>7211000</v>
          </cell>
          <cell r="B18" t="str">
            <v>هزينه عيدي وپاداش ساليانه</v>
          </cell>
          <cell r="C18">
            <v>1693479</v>
          </cell>
          <cell r="D18">
            <v>18510498</v>
          </cell>
          <cell r="E18">
            <v>20832225</v>
          </cell>
          <cell r="F18">
            <v>9252145</v>
          </cell>
          <cell r="G18">
            <v>16212574</v>
          </cell>
          <cell r="H18">
            <v>11580410</v>
          </cell>
          <cell r="I18">
            <v>29769919</v>
          </cell>
          <cell r="J18">
            <v>16211831</v>
          </cell>
          <cell r="K18">
            <v>6948246</v>
          </cell>
          <cell r="L18">
            <v>0</v>
          </cell>
          <cell r="M18">
            <v>6948246</v>
          </cell>
          <cell r="N18">
            <v>11787444</v>
          </cell>
          <cell r="O18">
            <v>0</v>
          </cell>
          <cell r="P18">
            <v>0</v>
          </cell>
          <cell r="Q18">
            <v>2015818</v>
          </cell>
          <cell r="R18">
            <v>151762835</v>
          </cell>
          <cell r="S18">
            <v>11362137</v>
          </cell>
          <cell r="T18">
            <v>24180132</v>
          </cell>
          <cell r="U18">
            <v>70819695</v>
          </cell>
          <cell r="V18">
            <v>16022398</v>
          </cell>
          <cell r="W18">
            <v>105733276</v>
          </cell>
          <cell r="X18">
            <v>27409292</v>
          </cell>
          <cell r="Y18">
            <v>2197448</v>
          </cell>
          <cell r="Z18">
            <v>20364768</v>
          </cell>
          <cell r="AA18">
            <v>2048986</v>
          </cell>
          <cell r="AB18">
            <v>29924418</v>
          </cell>
          <cell r="AC18">
            <v>6948246</v>
          </cell>
          <cell r="AD18">
            <v>2316082</v>
          </cell>
          <cell r="AE18">
            <v>0</v>
          </cell>
          <cell r="AF18">
            <v>2293157</v>
          </cell>
          <cell r="AG18">
            <v>321620035</v>
          </cell>
          <cell r="AH18">
            <v>321620035</v>
          </cell>
          <cell r="AI18">
            <v>111367531</v>
          </cell>
          <cell r="AJ18">
            <v>13896492</v>
          </cell>
          <cell r="AK18">
            <v>29946058</v>
          </cell>
          <cell r="AL18">
            <v>0</v>
          </cell>
          <cell r="AM18">
            <v>6663515</v>
          </cell>
          <cell r="AN18">
            <v>0</v>
          </cell>
          <cell r="AO18">
            <v>10036355</v>
          </cell>
          <cell r="AP18">
            <v>42117034</v>
          </cell>
          <cell r="AQ18">
            <v>13896492</v>
          </cell>
          <cell r="AR18">
            <v>6500000</v>
          </cell>
          <cell r="AS18">
            <v>4632164</v>
          </cell>
          <cell r="AT18">
            <v>34243148</v>
          </cell>
          <cell r="AU18">
            <v>273298789</v>
          </cell>
          <cell r="AV18">
            <v>746681659</v>
          </cell>
        </row>
        <row r="19">
          <cell r="A19">
            <v>7213000</v>
          </cell>
          <cell r="B19" t="str">
            <v>هزينه بن كالاي اساسي</v>
          </cell>
          <cell r="C19">
            <v>840000</v>
          </cell>
          <cell r="D19">
            <v>6720000</v>
          </cell>
          <cell r="E19">
            <v>7560000</v>
          </cell>
          <cell r="F19">
            <v>3360000</v>
          </cell>
          <cell r="G19">
            <v>5880000</v>
          </cell>
          <cell r="H19">
            <v>4200000</v>
          </cell>
          <cell r="I19">
            <v>10360000</v>
          </cell>
          <cell r="J19">
            <v>5880000</v>
          </cell>
          <cell r="K19">
            <v>2520000</v>
          </cell>
          <cell r="L19">
            <v>0</v>
          </cell>
          <cell r="M19">
            <v>2520000</v>
          </cell>
          <cell r="N19">
            <v>5040000</v>
          </cell>
          <cell r="O19">
            <v>0</v>
          </cell>
          <cell r="P19">
            <v>0</v>
          </cell>
          <cell r="Q19">
            <v>840000</v>
          </cell>
          <cell r="R19">
            <v>55720000</v>
          </cell>
          <cell r="S19">
            <v>4200000</v>
          </cell>
          <cell r="T19">
            <v>8960000</v>
          </cell>
          <cell r="U19">
            <v>25760000</v>
          </cell>
          <cell r="V19">
            <v>5600000</v>
          </cell>
          <cell r="W19">
            <v>38920000</v>
          </cell>
          <cell r="X19">
            <v>10080000</v>
          </cell>
          <cell r="Y19">
            <v>840000</v>
          </cell>
          <cell r="Z19">
            <v>7560000</v>
          </cell>
          <cell r="AA19">
            <v>840000</v>
          </cell>
          <cell r="AB19">
            <v>10920000</v>
          </cell>
          <cell r="AC19">
            <v>2520000</v>
          </cell>
          <cell r="AD19">
            <v>840000</v>
          </cell>
          <cell r="AE19">
            <v>0</v>
          </cell>
          <cell r="AF19">
            <v>840000</v>
          </cell>
          <cell r="AG19">
            <v>117880000</v>
          </cell>
          <cell r="AH19">
            <v>117880000</v>
          </cell>
          <cell r="AI19">
            <v>41160000</v>
          </cell>
          <cell r="AJ19">
            <v>5040000</v>
          </cell>
          <cell r="AK19">
            <v>10920000</v>
          </cell>
          <cell r="AL19">
            <v>0</v>
          </cell>
          <cell r="AM19">
            <v>2520000</v>
          </cell>
          <cell r="AN19">
            <v>0</v>
          </cell>
          <cell r="AO19">
            <v>3640000</v>
          </cell>
          <cell r="AP19">
            <v>15120000</v>
          </cell>
          <cell r="AQ19">
            <v>5040000</v>
          </cell>
          <cell r="AR19">
            <v>0</v>
          </cell>
          <cell r="AS19">
            <v>1680000</v>
          </cell>
          <cell r="AT19">
            <v>12600000</v>
          </cell>
          <cell r="AU19">
            <v>97720000</v>
          </cell>
          <cell r="AV19">
            <v>271320000</v>
          </cell>
        </row>
        <row r="20">
          <cell r="A20">
            <v>7215000</v>
          </cell>
          <cell r="B20" t="str">
            <v>هزينه حق بيمه سهم كارفرما</v>
          </cell>
          <cell r="C20">
            <v>10853638</v>
          </cell>
          <cell r="D20">
            <v>56099801</v>
          </cell>
          <cell r="E20">
            <v>59453203</v>
          </cell>
          <cell r="F20">
            <v>27223626</v>
          </cell>
          <cell r="G20">
            <v>51845062</v>
          </cell>
          <cell r="H20">
            <v>35737646</v>
          </cell>
          <cell r="I20">
            <v>80353542</v>
          </cell>
          <cell r="J20">
            <v>48585974</v>
          </cell>
          <cell r="K20">
            <v>23100578</v>
          </cell>
          <cell r="L20">
            <v>0</v>
          </cell>
          <cell r="M20">
            <v>23019684</v>
          </cell>
          <cell r="N20">
            <v>35861004</v>
          </cell>
          <cell r="O20">
            <v>0</v>
          </cell>
          <cell r="P20">
            <v>0</v>
          </cell>
          <cell r="Q20">
            <v>11851205</v>
          </cell>
          <cell r="R20">
            <v>463984963</v>
          </cell>
          <cell r="S20">
            <v>30282733</v>
          </cell>
          <cell r="T20">
            <v>79685164</v>
          </cell>
          <cell r="U20">
            <v>265354478</v>
          </cell>
          <cell r="V20">
            <v>36765062</v>
          </cell>
          <cell r="W20">
            <v>326144651</v>
          </cell>
          <cell r="X20">
            <v>87300633</v>
          </cell>
          <cell r="Y20">
            <v>6793157</v>
          </cell>
          <cell r="Z20">
            <v>56884010</v>
          </cell>
          <cell r="AA20">
            <v>4325610</v>
          </cell>
          <cell r="AB20">
            <v>70862729</v>
          </cell>
          <cell r="AC20">
            <v>23418099</v>
          </cell>
          <cell r="AD20">
            <v>10086287</v>
          </cell>
          <cell r="AE20">
            <v>0</v>
          </cell>
          <cell r="AF20">
            <v>5368324</v>
          </cell>
          <cell r="AG20">
            <v>1003270937</v>
          </cell>
          <cell r="AH20">
            <v>1003270937</v>
          </cell>
          <cell r="AI20">
            <v>363455954</v>
          </cell>
          <cell r="AJ20">
            <v>76028987</v>
          </cell>
          <cell r="AK20">
            <v>91835248</v>
          </cell>
          <cell r="AL20">
            <v>0</v>
          </cell>
          <cell r="AM20">
            <v>24976026</v>
          </cell>
          <cell r="AN20">
            <v>0</v>
          </cell>
          <cell r="AO20">
            <v>37491462</v>
          </cell>
          <cell r="AP20">
            <v>141141133</v>
          </cell>
          <cell r="AQ20">
            <v>45131537</v>
          </cell>
          <cell r="AR20">
            <v>0</v>
          </cell>
          <cell r="AS20">
            <v>15597998</v>
          </cell>
          <cell r="AT20">
            <v>129038849</v>
          </cell>
          <cell r="AU20">
            <v>924697194</v>
          </cell>
          <cell r="AV20">
            <v>2391953094</v>
          </cell>
        </row>
        <row r="21">
          <cell r="A21">
            <v>7216000</v>
          </cell>
          <cell r="B21" t="str">
            <v>هزينه بازخريدسنوات</v>
          </cell>
          <cell r="C21">
            <v>4488049</v>
          </cell>
          <cell r="D21">
            <v>87394935</v>
          </cell>
          <cell r="E21">
            <v>96719019</v>
          </cell>
          <cell r="F21">
            <v>46742347</v>
          </cell>
          <cell r="G21">
            <v>79395371</v>
          </cell>
          <cell r="H21">
            <v>54872577</v>
          </cell>
          <cell r="I21">
            <v>140515544</v>
          </cell>
          <cell r="J21">
            <v>81097892</v>
          </cell>
          <cell r="K21">
            <v>31543543</v>
          </cell>
          <cell r="L21">
            <v>0</v>
          </cell>
          <cell r="M21">
            <v>10197951</v>
          </cell>
          <cell r="N21">
            <v>12338432</v>
          </cell>
          <cell r="O21">
            <v>0</v>
          </cell>
          <cell r="P21">
            <v>0</v>
          </cell>
          <cell r="Q21">
            <v>4174735</v>
          </cell>
          <cell r="R21">
            <v>649480395</v>
          </cell>
          <cell r="S21">
            <v>50323695</v>
          </cell>
          <cell r="T21">
            <v>152882533</v>
          </cell>
          <cell r="U21">
            <v>307058697</v>
          </cell>
          <cell r="V21">
            <v>19800165</v>
          </cell>
          <cell r="W21">
            <v>308004613</v>
          </cell>
          <cell r="X21">
            <v>142047396</v>
          </cell>
          <cell r="Y21">
            <v>4934112</v>
          </cell>
          <cell r="Z21">
            <v>52187069</v>
          </cell>
          <cell r="AA21">
            <v>2802244</v>
          </cell>
          <cell r="AB21">
            <v>105675156</v>
          </cell>
          <cell r="AC21">
            <v>31903752</v>
          </cell>
          <cell r="AD21">
            <v>18696298</v>
          </cell>
          <cell r="AE21">
            <v>0</v>
          </cell>
          <cell r="AF21">
            <v>2737103</v>
          </cell>
          <cell r="AG21">
            <v>1199052833</v>
          </cell>
          <cell r="AH21">
            <v>1199052833</v>
          </cell>
          <cell r="AI21">
            <v>212313914</v>
          </cell>
          <cell r="AJ21">
            <v>71521795</v>
          </cell>
          <cell r="AK21">
            <v>55045444</v>
          </cell>
          <cell r="AL21">
            <v>0</v>
          </cell>
          <cell r="AM21">
            <v>23607554</v>
          </cell>
          <cell r="AN21">
            <v>0</v>
          </cell>
          <cell r="AO21">
            <v>28992548</v>
          </cell>
          <cell r="AP21">
            <v>165261992</v>
          </cell>
          <cell r="AQ21">
            <v>26960694</v>
          </cell>
          <cell r="AR21">
            <v>0</v>
          </cell>
          <cell r="AS21">
            <v>16125186</v>
          </cell>
          <cell r="AT21">
            <v>77513909</v>
          </cell>
          <cell r="AU21">
            <v>677343036</v>
          </cell>
          <cell r="AV21">
            <v>2525876264</v>
          </cell>
        </row>
        <row r="22">
          <cell r="A22" t="str">
            <v xml:space="preserve">دستمزد </v>
          </cell>
          <cell r="B22" t="str">
            <v>دستمزد مستقیم</v>
          </cell>
          <cell r="C22">
            <v>59128904</v>
          </cell>
          <cell r="D22">
            <v>494759865</v>
          </cell>
          <cell r="E22">
            <v>519222758</v>
          </cell>
          <cell r="F22">
            <v>303405413</v>
          </cell>
          <cell r="G22">
            <v>484303307</v>
          </cell>
          <cell r="H22">
            <v>295311429</v>
          </cell>
          <cell r="I22">
            <v>719897089</v>
          </cell>
          <cell r="J22">
            <v>498653292</v>
          </cell>
          <cell r="K22">
            <v>241847980</v>
          </cell>
          <cell r="L22">
            <v>0</v>
          </cell>
          <cell r="M22">
            <v>140521455</v>
          </cell>
          <cell r="N22">
            <v>479632826</v>
          </cell>
          <cell r="O22">
            <v>55898543</v>
          </cell>
          <cell r="P22">
            <v>50954112</v>
          </cell>
          <cell r="Q22">
            <v>56815526</v>
          </cell>
          <cell r="R22">
            <v>4400352499</v>
          </cell>
          <cell r="S22">
            <v>262526977</v>
          </cell>
          <cell r="T22">
            <v>793026225</v>
          </cell>
          <cell r="U22">
            <v>1970688501</v>
          </cell>
          <cell r="V22">
            <v>245809735</v>
          </cell>
          <cell r="W22">
            <v>2189790209</v>
          </cell>
          <cell r="X22">
            <v>752662624</v>
          </cell>
          <cell r="Y22">
            <v>90918311</v>
          </cell>
          <cell r="Z22">
            <v>375962602</v>
          </cell>
          <cell r="AA22">
            <v>28823838</v>
          </cell>
          <cell r="AB22">
            <v>596023813</v>
          </cell>
          <cell r="AC22">
            <v>374089176</v>
          </cell>
          <cell r="AD22">
            <v>507298344</v>
          </cell>
          <cell r="AE22">
            <v>0</v>
          </cell>
          <cell r="AF22">
            <v>34436287</v>
          </cell>
          <cell r="AG22">
            <v>8222056642</v>
          </cell>
          <cell r="AH22">
            <v>8222056642</v>
          </cell>
          <cell r="AI22">
            <v>1889000581</v>
          </cell>
          <cell r="AJ22">
            <v>557791033</v>
          </cell>
          <cell r="AK22">
            <v>570322584</v>
          </cell>
          <cell r="AL22">
            <v>0</v>
          </cell>
          <cell r="AM22">
            <v>162206379</v>
          </cell>
          <cell r="AN22">
            <v>0</v>
          </cell>
          <cell r="AO22">
            <v>238103044</v>
          </cell>
          <cell r="AP22">
            <v>936051159</v>
          </cell>
          <cell r="AQ22">
            <v>291084235</v>
          </cell>
          <cell r="AR22">
            <v>6500000</v>
          </cell>
          <cell r="AS22">
            <v>106511250</v>
          </cell>
          <cell r="AT22">
            <v>784485789</v>
          </cell>
          <cell r="AU22">
            <v>5542056054</v>
          </cell>
          <cell r="AV22">
            <v>18164465195</v>
          </cell>
        </row>
        <row r="23">
          <cell r="A23">
            <v>7217000</v>
          </cell>
          <cell r="B23" t="str">
            <v>هزينه اياب وذهاب</v>
          </cell>
          <cell r="C23">
            <v>146000</v>
          </cell>
          <cell r="D23">
            <v>2408314</v>
          </cell>
          <cell r="E23">
            <v>3468025</v>
          </cell>
          <cell r="F23">
            <v>1743240</v>
          </cell>
          <cell r="G23">
            <v>3226351</v>
          </cell>
          <cell r="H23">
            <v>1292485</v>
          </cell>
          <cell r="I23">
            <v>4598698</v>
          </cell>
          <cell r="J23">
            <v>2685216</v>
          </cell>
          <cell r="K23">
            <v>1546352</v>
          </cell>
          <cell r="L23">
            <v>0</v>
          </cell>
          <cell r="M23">
            <v>390000</v>
          </cell>
          <cell r="N23">
            <v>0</v>
          </cell>
          <cell r="O23">
            <v>0</v>
          </cell>
          <cell r="P23">
            <v>0</v>
          </cell>
          <cell r="Q23">
            <v>2950000</v>
          </cell>
          <cell r="R23">
            <v>24454681</v>
          </cell>
          <cell r="S23">
            <v>967137</v>
          </cell>
          <cell r="T23">
            <v>5473708</v>
          </cell>
          <cell r="U23">
            <v>10975396</v>
          </cell>
          <cell r="V23">
            <v>2950000</v>
          </cell>
          <cell r="W23">
            <v>7204863</v>
          </cell>
          <cell r="X23">
            <v>5467414</v>
          </cell>
          <cell r="Y23">
            <v>0</v>
          </cell>
          <cell r="Z23">
            <v>3757996</v>
          </cell>
          <cell r="AA23">
            <v>0</v>
          </cell>
          <cell r="AB23">
            <v>5019488</v>
          </cell>
          <cell r="AC23">
            <v>1870205</v>
          </cell>
          <cell r="AD23">
            <v>789040</v>
          </cell>
          <cell r="AE23">
            <v>40000</v>
          </cell>
          <cell r="AF23">
            <v>1212637487</v>
          </cell>
          <cell r="AG23">
            <v>1257152734</v>
          </cell>
          <cell r="AH23">
            <v>1281607415</v>
          </cell>
          <cell r="AI23">
            <v>93636000</v>
          </cell>
          <cell r="AJ23">
            <v>16275500</v>
          </cell>
          <cell r="AK23">
            <v>0</v>
          </cell>
          <cell r="AL23">
            <v>160000</v>
          </cell>
          <cell r="AM23">
            <v>0</v>
          </cell>
          <cell r="AN23">
            <v>0</v>
          </cell>
          <cell r="AO23">
            <v>2950000</v>
          </cell>
          <cell r="AP23">
            <v>23793354</v>
          </cell>
          <cell r="AQ23">
            <v>3341792</v>
          </cell>
          <cell r="AR23">
            <v>7346000</v>
          </cell>
          <cell r="AS23">
            <v>1898271</v>
          </cell>
          <cell r="AT23">
            <v>11216307</v>
          </cell>
          <cell r="AU23">
            <v>160617224</v>
          </cell>
          <cell r="AV23">
            <v>1442224639</v>
          </cell>
        </row>
        <row r="24">
          <cell r="A24">
            <v>7218000</v>
          </cell>
          <cell r="B24" t="str">
            <v>هزينه پاداش بهره وري</v>
          </cell>
          <cell r="C24">
            <v>1625000</v>
          </cell>
          <cell r="D24">
            <v>13000000</v>
          </cell>
          <cell r="E24">
            <v>14625000</v>
          </cell>
          <cell r="F24">
            <v>6500000</v>
          </cell>
          <cell r="G24">
            <v>11375000</v>
          </cell>
          <cell r="H24">
            <v>8125000</v>
          </cell>
          <cell r="I24">
            <v>30474999</v>
          </cell>
          <cell r="J24">
            <v>11375000</v>
          </cell>
          <cell r="K24">
            <v>4875000</v>
          </cell>
          <cell r="L24">
            <v>0</v>
          </cell>
          <cell r="M24">
            <v>4875000</v>
          </cell>
          <cell r="N24">
            <v>9750000</v>
          </cell>
          <cell r="O24">
            <v>0</v>
          </cell>
          <cell r="P24">
            <v>0</v>
          </cell>
          <cell r="Q24">
            <v>3250000</v>
          </cell>
          <cell r="R24">
            <v>119849999</v>
          </cell>
          <cell r="S24">
            <v>8125000</v>
          </cell>
          <cell r="T24">
            <v>17875000</v>
          </cell>
          <cell r="U24">
            <v>50375000</v>
          </cell>
          <cell r="V24">
            <v>11375000</v>
          </cell>
          <cell r="W24">
            <v>76925000</v>
          </cell>
          <cell r="X24">
            <v>19500000</v>
          </cell>
          <cell r="Y24">
            <v>1625000</v>
          </cell>
          <cell r="Z24">
            <v>14625000</v>
          </cell>
          <cell r="AA24">
            <v>1625000</v>
          </cell>
          <cell r="AB24">
            <v>22750000</v>
          </cell>
          <cell r="AC24">
            <v>6500000</v>
          </cell>
          <cell r="AD24">
            <v>4875000</v>
          </cell>
          <cell r="AE24">
            <v>0</v>
          </cell>
          <cell r="AF24">
            <v>1625000</v>
          </cell>
          <cell r="AG24">
            <v>237800000</v>
          </cell>
          <cell r="AH24">
            <v>357649999</v>
          </cell>
          <cell r="AI24">
            <v>84500000</v>
          </cell>
          <cell r="AJ24">
            <v>14625000</v>
          </cell>
          <cell r="AK24">
            <v>22750000</v>
          </cell>
          <cell r="AL24">
            <v>0</v>
          </cell>
          <cell r="AM24">
            <v>4875000</v>
          </cell>
          <cell r="AN24">
            <v>0</v>
          </cell>
          <cell r="AO24">
            <v>6500000</v>
          </cell>
          <cell r="AP24">
            <v>30875000</v>
          </cell>
          <cell r="AQ24">
            <v>11375000</v>
          </cell>
          <cell r="AR24">
            <v>0</v>
          </cell>
          <cell r="AS24">
            <v>4875000</v>
          </cell>
          <cell r="AT24">
            <v>24375000</v>
          </cell>
          <cell r="AU24">
            <v>204750000</v>
          </cell>
          <cell r="AV24">
            <v>562399999</v>
          </cell>
        </row>
        <row r="25">
          <cell r="A25">
            <v>7218001</v>
          </cell>
          <cell r="B25" t="str">
            <v>هزينه پاداش بهره وري( پارس پاکان)</v>
          </cell>
          <cell r="C25">
            <v>0</v>
          </cell>
          <cell r="D25">
            <v>4949999</v>
          </cell>
          <cell r="E25">
            <v>2750000</v>
          </cell>
          <cell r="F25">
            <v>7699999</v>
          </cell>
          <cell r="G25">
            <v>6599999</v>
          </cell>
          <cell r="H25">
            <v>1650000</v>
          </cell>
          <cell r="I25">
            <v>6599999</v>
          </cell>
          <cell r="J25">
            <v>7149999</v>
          </cell>
          <cell r="K25">
            <v>4399999</v>
          </cell>
          <cell r="L25">
            <v>0</v>
          </cell>
          <cell r="M25">
            <v>0</v>
          </cell>
          <cell r="N25">
            <v>18699997</v>
          </cell>
          <cell r="O25">
            <v>3300000</v>
          </cell>
          <cell r="P25">
            <v>3300000</v>
          </cell>
          <cell r="Q25">
            <v>0</v>
          </cell>
          <cell r="R25">
            <v>67099991</v>
          </cell>
          <cell r="S25">
            <v>2750000</v>
          </cell>
          <cell r="T25">
            <v>17599997</v>
          </cell>
          <cell r="U25">
            <v>8799999</v>
          </cell>
          <cell r="V25">
            <v>1100000</v>
          </cell>
          <cell r="W25">
            <v>1100000</v>
          </cell>
          <cell r="X25">
            <v>6599999</v>
          </cell>
          <cell r="Y25">
            <v>2750000</v>
          </cell>
          <cell r="Z25">
            <v>0</v>
          </cell>
          <cell r="AA25">
            <v>0</v>
          </cell>
          <cell r="AB25">
            <v>1100000</v>
          </cell>
          <cell r="AC25">
            <v>5499999</v>
          </cell>
          <cell r="AD25">
            <v>32999995</v>
          </cell>
          <cell r="AE25">
            <v>0</v>
          </cell>
          <cell r="AF25">
            <v>0</v>
          </cell>
          <cell r="AG25">
            <v>80299989</v>
          </cell>
          <cell r="AH25">
            <v>147399980</v>
          </cell>
          <cell r="AI25">
            <v>1100000</v>
          </cell>
          <cell r="AJ25">
            <v>0</v>
          </cell>
          <cell r="AK25">
            <v>0</v>
          </cell>
          <cell r="AL25">
            <v>0</v>
          </cell>
          <cell r="AM25">
            <v>0</v>
          </cell>
          <cell r="AN25">
            <v>0</v>
          </cell>
          <cell r="AO25">
            <v>0</v>
          </cell>
          <cell r="AP25">
            <v>0</v>
          </cell>
          <cell r="AQ25">
            <v>1100000</v>
          </cell>
          <cell r="AR25">
            <v>0</v>
          </cell>
          <cell r="AS25">
            <v>0</v>
          </cell>
          <cell r="AT25">
            <v>1100000</v>
          </cell>
          <cell r="AU25">
            <v>3300000</v>
          </cell>
          <cell r="AV25">
            <v>150699980</v>
          </cell>
        </row>
        <row r="26">
          <cell r="A26">
            <v>7219000</v>
          </cell>
          <cell r="B26" t="str">
            <v>هزينه سايرمزاياي نقدي</v>
          </cell>
          <cell r="C26">
            <v>6480000</v>
          </cell>
          <cell r="D26">
            <v>5951068</v>
          </cell>
          <cell r="E26">
            <v>4373262</v>
          </cell>
          <cell r="F26">
            <v>1002999</v>
          </cell>
          <cell r="G26">
            <v>21303901</v>
          </cell>
          <cell r="H26">
            <v>999999</v>
          </cell>
          <cell r="I26">
            <v>3597483</v>
          </cell>
          <cell r="J26">
            <v>309999</v>
          </cell>
          <cell r="K26">
            <v>309999</v>
          </cell>
          <cell r="L26">
            <v>0</v>
          </cell>
          <cell r="M26">
            <v>1860003</v>
          </cell>
          <cell r="N26">
            <v>19605123</v>
          </cell>
          <cell r="O26">
            <v>0</v>
          </cell>
          <cell r="P26">
            <v>0</v>
          </cell>
          <cell r="Q26">
            <v>10792424</v>
          </cell>
          <cell r="R26">
            <v>76586260</v>
          </cell>
          <cell r="S26">
            <v>5852393</v>
          </cell>
          <cell r="T26">
            <v>24763642</v>
          </cell>
          <cell r="U26">
            <v>50209134</v>
          </cell>
          <cell r="V26">
            <v>6200001</v>
          </cell>
          <cell r="W26">
            <v>63952364</v>
          </cell>
          <cell r="X26">
            <v>48618206</v>
          </cell>
          <cell r="Y26">
            <v>3529455</v>
          </cell>
          <cell r="Z26">
            <v>29884198</v>
          </cell>
          <cell r="AA26">
            <v>0</v>
          </cell>
          <cell r="AB26">
            <v>8609001</v>
          </cell>
          <cell r="AC26">
            <v>600000</v>
          </cell>
          <cell r="AD26">
            <v>791277</v>
          </cell>
          <cell r="AE26">
            <v>0</v>
          </cell>
          <cell r="AF26">
            <v>0</v>
          </cell>
          <cell r="AG26">
            <v>243009671</v>
          </cell>
          <cell r="AH26">
            <v>319595931</v>
          </cell>
          <cell r="AI26">
            <v>454862160</v>
          </cell>
          <cell r="AJ26">
            <v>58577781</v>
          </cell>
          <cell r="AK26">
            <v>21286668</v>
          </cell>
          <cell r="AL26">
            <v>0</v>
          </cell>
          <cell r="AM26">
            <v>6200001</v>
          </cell>
          <cell r="AN26">
            <v>0</v>
          </cell>
          <cell r="AO26">
            <v>23122224</v>
          </cell>
          <cell r="AP26">
            <v>125790581</v>
          </cell>
          <cell r="AQ26">
            <v>17428120</v>
          </cell>
          <cell r="AR26">
            <v>0</v>
          </cell>
          <cell r="AS26">
            <v>1840002</v>
          </cell>
          <cell r="AT26">
            <v>84215014</v>
          </cell>
          <cell r="AU26">
            <v>793322551</v>
          </cell>
          <cell r="AV26">
            <v>1112918482</v>
          </cell>
        </row>
        <row r="27">
          <cell r="A27">
            <v>7219001</v>
          </cell>
          <cell r="B27" t="str">
            <v>هزينه سايرمزاياي نقدي ( پارس پاکان)</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row>
        <row r="28">
          <cell r="A28">
            <v>7223000</v>
          </cell>
          <cell r="B28" t="str">
            <v>هزينه بيمه حوادث كاركنان</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row>
        <row r="29">
          <cell r="A29">
            <v>7224000</v>
          </cell>
          <cell r="B29" t="str">
            <v>هزينه بهداشت ودرمان</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79000</v>
          </cell>
          <cell r="U29">
            <v>313400</v>
          </cell>
          <cell r="V29">
            <v>0</v>
          </cell>
          <cell r="W29">
            <v>0</v>
          </cell>
          <cell r="X29">
            <v>0</v>
          </cell>
          <cell r="Y29">
            <v>0</v>
          </cell>
          <cell r="Z29">
            <v>0</v>
          </cell>
          <cell r="AA29">
            <v>0</v>
          </cell>
          <cell r="AB29">
            <v>0</v>
          </cell>
          <cell r="AC29">
            <v>0</v>
          </cell>
          <cell r="AD29">
            <v>864000</v>
          </cell>
          <cell r="AE29">
            <v>213000</v>
          </cell>
          <cell r="AF29">
            <v>140000</v>
          </cell>
          <cell r="AG29">
            <v>1609400</v>
          </cell>
          <cell r="AH29">
            <v>1609400</v>
          </cell>
          <cell r="AI29">
            <v>0</v>
          </cell>
          <cell r="AJ29">
            <v>0</v>
          </cell>
          <cell r="AK29">
            <v>0</v>
          </cell>
          <cell r="AL29">
            <v>0</v>
          </cell>
          <cell r="AM29">
            <v>0</v>
          </cell>
          <cell r="AN29">
            <v>0</v>
          </cell>
          <cell r="AO29">
            <v>0</v>
          </cell>
          <cell r="AP29">
            <v>0</v>
          </cell>
          <cell r="AQ29">
            <v>0</v>
          </cell>
          <cell r="AR29">
            <v>0</v>
          </cell>
          <cell r="AS29">
            <v>3132270</v>
          </cell>
          <cell r="AT29">
            <v>0</v>
          </cell>
          <cell r="AU29">
            <v>3132270</v>
          </cell>
          <cell r="AV29">
            <v>4741670</v>
          </cell>
        </row>
        <row r="30">
          <cell r="A30">
            <v>7225000</v>
          </cell>
          <cell r="B30" t="str">
            <v>هزينه تغذيه پرسنل</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184000</v>
          </cell>
          <cell r="V30">
            <v>0</v>
          </cell>
          <cell r="W30">
            <v>0</v>
          </cell>
          <cell r="X30">
            <v>0</v>
          </cell>
          <cell r="Y30">
            <v>0</v>
          </cell>
          <cell r="Z30">
            <v>0</v>
          </cell>
          <cell r="AA30">
            <v>0</v>
          </cell>
          <cell r="AB30">
            <v>8850000</v>
          </cell>
          <cell r="AC30">
            <v>0</v>
          </cell>
          <cell r="AD30">
            <v>2872000</v>
          </cell>
          <cell r="AE30">
            <v>1628386545</v>
          </cell>
          <cell r="AF30">
            <v>702000</v>
          </cell>
          <cell r="AG30">
            <v>1640994545</v>
          </cell>
          <cell r="AH30">
            <v>1640994545</v>
          </cell>
          <cell r="AI30">
            <v>366500</v>
          </cell>
          <cell r="AJ30">
            <v>86000</v>
          </cell>
          <cell r="AK30">
            <v>0</v>
          </cell>
          <cell r="AL30">
            <v>50000</v>
          </cell>
          <cell r="AM30">
            <v>0</v>
          </cell>
          <cell r="AN30">
            <v>0</v>
          </cell>
          <cell r="AO30">
            <v>291000</v>
          </cell>
          <cell r="AP30">
            <v>1325500</v>
          </cell>
          <cell r="AQ30">
            <v>0</v>
          </cell>
          <cell r="AR30">
            <v>0</v>
          </cell>
          <cell r="AS30">
            <v>0</v>
          </cell>
          <cell r="AT30">
            <v>0</v>
          </cell>
          <cell r="AU30">
            <v>2119000</v>
          </cell>
          <cell r="AV30">
            <v>1643113545</v>
          </cell>
        </row>
        <row r="31">
          <cell r="A31">
            <v>7226000</v>
          </cell>
          <cell r="B31" t="str">
            <v>هزينه 3%صندوق پس انداز آتيه سهم کارفرما</v>
          </cell>
          <cell r="C31">
            <v>919125</v>
          </cell>
          <cell r="D31">
            <v>5057991</v>
          </cell>
          <cell r="E31">
            <v>5540928</v>
          </cell>
          <cell r="F31">
            <v>2589594</v>
          </cell>
          <cell r="G31">
            <v>4376553</v>
          </cell>
          <cell r="H31">
            <v>3211548</v>
          </cell>
          <cell r="I31">
            <v>7749112</v>
          </cell>
          <cell r="J31">
            <v>4474707</v>
          </cell>
          <cell r="K31">
            <v>1872678</v>
          </cell>
          <cell r="L31">
            <v>0</v>
          </cell>
          <cell r="M31">
            <v>2028591</v>
          </cell>
          <cell r="N31">
            <v>3470554</v>
          </cell>
          <cell r="O31">
            <v>0</v>
          </cell>
          <cell r="P31">
            <v>0</v>
          </cell>
          <cell r="Q31">
            <v>1203151</v>
          </cell>
          <cell r="R31">
            <v>42494532</v>
          </cell>
          <cell r="S31">
            <v>2808126</v>
          </cell>
          <cell r="T31">
            <v>7113528</v>
          </cell>
          <cell r="U31">
            <v>19600735</v>
          </cell>
          <cell r="V31">
            <v>3771801</v>
          </cell>
          <cell r="W31">
            <v>33389614</v>
          </cell>
          <cell r="X31">
            <v>7612860</v>
          </cell>
          <cell r="Y31">
            <v>846135</v>
          </cell>
          <cell r="Z31">
            <v>6216980</v>
          </cell>
          <cell r="AA31">
            <v>525032</v>
          </cell>
          <cell r="AB31">
            <v>9030303</v>
          </cell>
          <cell r="AC31">
            <v>1822821</v>
          </cell>
          <cell r="AD31">
            <v>765291</v>
          </cell>
          <cell r="AE31">
            <v>0</v>
          </cell>
          <cell r="AF31">
            <v>427893</v>
          </cell>
          <cell r="AG31">
            <v>93931119</v>
          </cell>
          <cell r="AH31">
            <v>136425651</v>
          </cell>
          <cell r="AI31">
            <v>34176682</v>
          </cell>
          <cell r="AJ31">
            <v>11854336</v>
          </cell>
          <cell r="AK31">
            <v>10569752</v>
          </cell>
          <cell r="AL31">
            <v>0</v>
          </cell>
          <cell r="AM31">
            <v>1682871</v>
          </cell>
          <cell r="AN31">
            <v>0</v>
          </cell>
          <cell r="AO31">
            <v>3960351</v>
          </cell>
          <cell r="AP31">
            <v>13026645</v>
          </cell>
          <cell r="AQ31">
            <v>4770909</v>
          </cell>
          <cell r="AR31">
            <v>0</v>
          </cell>
          <cell r="AS31">
            <v>1368216</v>
          </cell>
          <cell r="AT31">
            <v>14753230</v>
          </cell>
          <cell r="AU31">
            <v>96162992</v>
          </cell>
          <cell r="AV31">
            <v>232588643</v>
          </cell>
        </row>
        <row r="32">
          <cell r="A32">
            <v>7231000</v>
          </cell>
          <cell r="B32" t="str">
            <v>هزينه بازخريدمرخصي</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row>
        <row r="33">
          <cell r="A33">
            <v>7233000</v>
          </cell>
          <cell r="B33" t="str">
            <v>هزينه مزاياي غيرنقدي</v>
          </cell>
          <cell r="C33">
            <v>600000</v>
          </cell>
          <cell r="D33">
            <v>4800000</v>
          </cell>
          <cell r="E33">
            <v>4800000</v>
          </cell>
          <cell r="F33">
            <v>1800000</v>
          </cell>
          <cell r="G33">
            <v>3600000</v>
          </cell>
          <cell r="H33">
            <v>3000000</v>
          </cell>
          <cell r="I33">
            <v>6000000</v>
          </cell>
          <cell r="J33">
            <v>4200000</v>
          </cell>
          <cell r="K33">
            <v>1800000</v>
          </cell>
          <cell r="L33">
            <v>0</v>
          </cell>
          <cell r="M33">
            <v>1800000</v>
          </cell>
          <cell r="N33">
            <v>2400000</v>
          </cell>
          <cell r="O33">
            <v>1800000</v>
          </cell>
          <cell r="P33">
            <v>0</v>
          </cell>
          <cell r="Q33">
            <v>600000</v>
          </cell>
          <cell r="R33">
            <v>37200000</v>
          </cell>
          <cell r="S33">
            <v>2400000</v>
          </cell>
          <cell r="T33">
            <v>7200000</v>
          </cell>
          <cell r="U33">
            <v>18600000</v>
          </cell>
          <cell r="V33">
            <v>4800000</v>
          </cell>
          <cell r="W33">
            <v>25200000</v>
          </cell>
          <cell r="X33">
            <v>5400000</v>
          </cell>
          <cell r="Y33">
            <v>600000</v>
          </cell>
          <cell r="Z33">
            <v>4800000</v>
          </cell>
          <cell r="AA33">
            <v>600000</v>
          </cell>
          <cell r="AB33">
            <v>6600000</v>
          </cell>
          <cell r="AC33">
            <v>1800000</v>
          </cell>
          <cell r="AD33">
            <v>3600000</v>
          </cell>
          <cell r="AE33">
            <v>0</v>
          </cell>
          <cell r="AF33">
            <v>600000</v>
          </cell>
          <cell r="AG33">
            <v>82200000</v>
          </cell>
          <cell r="AH33">
            <v>119400000</v>
          </cell>
          <cell r="AI33">
            <v>29400000</v>
          </cell>
          <cell r="AJ33">
            <v>4200000</v>
          </cell>
          <cell r="AK33">
            <v>8400000</v>
          </cell>
          <cell r="AL33">
            <v>0</v>
          </cell>
          <cell r="AM33">
            <v>1800000</v>
          </cell>
          <cell r="AN33">
            <v>0</v>
          </cell>
          <cell r="AO33">
            <v>2400000</v>
          </cell>
          <cell r="AP33">
            <v>9000000</v>
          </cell>
          <cell r="AQ33">
            <v>3600000</v>
          </cell>
          <cell r="AR33">
            <v>1200000</v>
          </cell>
          <cell r="AS33">
            <v>1200000</v>
          </cell>
          <cell r="AT33">
            <v>9000000</v>
          </cell>
          <cell r="AU33">
            <v>70200000</v>
          </cell>
          <cell r="AV33">
            <v>189600000</v>
          </cell>
        </row>
        <row r="34">
          <cell r="A34">
            <v>7233001</v>
          </cell>
          <cell r="B34" t="str">
            <v>هزينه مزاياي غيرنقدي ( پارس پاکان)</v>
          </cell>
          <cell r="C34">
            <v>0</v>
          </cell>
          <cell r="D34">
            <v>5400000</v>
          </cell>
          <cell r="E34">
            <v>4800000</v>
          </cell>
          <cell r="F34">
            <v>6600000</v>
          </cell>
          <cell r="G34">
            <v>7200000</v>
          </cell>
          <cell r="H34">
            <v>1800000</v>
          </cell>
          <cell r="I34">
            <v>16200000</v>
          </cell>
          <cell r="J34">
            <v>8400000</v>
          </cell>
          <cell r="K34">
            <v>4800000</v>
          </cell>
          <cell r="L34">
            <v>0</v>
          </cell>
          <cell r="M34">
            <v>0</v>
          </cell>
          <cell r="N34">
            <v>16800000</v>
          </cell>
          <cell r="O34">
            <v>4200000</v>
          </cell>
          <cell r="P34">
            <v>3600000</v>
          </cell>
          <cell r="Q34">
            <v>0</v>
          </cell>
          <cell r="R34">
            <v>79800000</v>
          </cell>
          <cell r="S34">
            <v>3000000</v>
          </cell>
          <cell r="T34">
            <v>13200000</v>
          </cell>
          <cell r="U34">
            <v>8400000</v>
          </cell>
          <cell r="V34">
            <v>1200000</v>
          </cell>
          <cell r="W34">
            <v>1800000</v>
          </cell>
          <cell r="X34">
            <v>6600000</v>
          </cell>
          <cell r="Y34">
            <v>2400000</v>
          </cell>
          <cell r="Z34">
            <v>0</v>
          </cell>
          <cell r="AA34">
            <v>0</v>
          </cell>
          <cell r="AB34">
            <v>1200000</v>
          </cell>
          <cell r="AC34">
            <v>6000000</v>
          </cell>
          <cell r="AD34">
            <v>31200000</v>
          </cell>
          <cell r="AE34">
            <v>0</v>
          </cell>
          <cell r="AF34">
            <v>0</v>
          </cell>
          <cell r="AG34">
            <v>75000000</v>
          </cell>
          <cell r="AH34">
            <v>154800000</v>
          </cell>
          <cell r="AI34">
            <v>1200000</v>
          </cell>
          <cell r="AJ34">
            <v>0</v>
          </cell>
          <cell r="AK34">
            <v>0</v>
          </cell>
          <cell r="AL34">
            <v>0</v>
          </cell>
          <cell r="AM34">
            <v>0</v>
          </cell>
          <cell r="AN34">
            <v>0</v>
          </cell>
          <cell r="AO34">
            <v>0</v>
          </cell>
          <cell r="AP34">
            <v>0</v>
          </cell>
          <cell r="AQ34">
            <v>10800000</v>
          </cell>
          <cell r="AR34">
            <v>0</v>
          </cell>
          <cell r="AS34">
            <v>0</v>
          </cell>
          <cell r="AT34">
            <v>1200000</v>
          </cell>
          <cell r="AU34">
            <v>13200000</v>
          </cell>
          <cell r="AV34">
            <v>168000000</v>
          </cell>
        </row>
        <row r="35">
          <cell r="A35">
            <v>7234000</v>
          </cell>
          <cell r="B35" t="str">
            <v>هزينه سفروماموريت</v>
          </cell>
          <cell r="C35">
            <v>0</v>
          </cell>
          <cell r="D35">
            <v>0</v>
          </cell>
          <cell r="E35">
            <v>0</v>
          </cell>
          <cell r="F35">
            <v>0</v>
          </cell>
          <cell r="G35">
            <v>0</v>
          </cell>
          <cell r="H35">
            <v>0</v>
          </cell>
          <cell r="I35">
            <v>0</v>
          </cell>
          <cell r="J35">
            <v>365915</v>
          </cell>
          <cell r="K35">
            <v>0</v>
          </cell>
          <cell r="L35">
            <v>0</v>
          </cell>
          <cell r="M35">
            <v>0</v>
          </cell>
          <cell r="N35">
            <v>0</v>
          </cell>
          <cell r="O35">
            <v>0</v>
          </cell>
          <cell r="P35">
            <v>0</v>
          </cell>
          <cell r="Q35">
            <v>0</v>
          </cell>
          <cell r="R35">
            <v>365915</v>
          </cell>
          <cell r="S35">
            <v>0</v>
          </cell>
          <cell r="T35">
            <v>495915</v>
          </cell>
          <cell r="U35">
            <v>1471878</v>
          </cell>
          <cell r="V35">
            <v>0</v>
          </cell>
          <cell r="W35">
            <v>0</v>
          </cell>
          <cell r="X35">
            <v>0</v>
          </cell>
          <cell r="Y35">
            <v>0</v>
          </cell>
          <cell r="Z35">
            <v>0</v>
          </cell>
          <cell r="AA35">
            <v>0</v>
          </cell>
          <cell r="AB35">
            <v>0</v>
          </cell>
          <cell r="AC35">
            <v>711266</v>
          </cell>
          <cell r="AD35">
            <v>753613</v>
          </cell>
          <cell r="AE35">
            <v>0</v>
          </cell>
          <cell r="AF35">
            <v>0</v>
          </cell>
          <cell r="AG35">
            <v>3432672</v>
          </cell>
          <cell r="AH35">
            <v>3798587</v>
          </cell>
          <cell r="AI35">
            <v>87991877</v>
          </cell>
          <cell r="AJ35">
            <v>131753000</v>
          </cell>
          <cell r="AK35">
            <v>0</v>
          </cell>
          <cell r="AL35">
            <v>0</v>
          </cell>
          <cell r="AM35">
            <v>0</v>
          </cell>
          <cell r="AN35">
            <v>0</v>
          </cell>
          <cell r="AO35">
            <v>0</v>
          </cell>
          <cell r="AP35">
            <v>0</v>
          </cell>
          <cell r="AQ35">
            <v>0</v>
          </cell>
          <cell r="AR35">
            <v>0</v>
          </cell>
          <cell r="AS35">
            <v>0</v>
          </cell>
          <cell r="AT35">
            <v>41650000</v>
          </cell>
          <cell r="AU35">
            <v>261394877</v>
          </cell>
          <cell r="AV35">
            <v>265193464</v>
          </cell>
        </row>
        <row r="36">
          <cell r="A36">
            <v>7235000</v>
          </cell>
          <cell r="B36" t="str">
            <v>هزينه پوشاك</v>
          </cell>
          <cell r="C36">
            <v>0</v>
          </cell>
          <cell r="D36">
            <v>0</v>
          </cell>
          <cell r="E36">
            <v>316067</v>
          </cell>
          <cell r="F36">
            <v>0</v>
          </cell>
          <cell r="G36">
            <v>0</v>
          </cell>
          <cell r="H36">
            <v>0</v>
          </cell>
          <cell r="I36">
            <v>3402000</v>
          </cell>
          <cell r="J36">
            <v>52000</v>
          </cell>
          <cell r="K36">
            <v>305509</v>
          </cell>
          <cell r="L36">
            <v>0</v>
          </cell>
          <cell r="M36">
            <v>0</v>
          </cell>
          <cell r="N36">
            <v>2145775</v>
          </cell>
          <cell r="O36">
            <v>0</v>
          </cell>
          <cell r="P36">
            <v>0</v>
          </cell>
          <cell r="Q36">
            <v>5714500</v>
          </cell>
          <cell r="R36">
            <v>11935851</v>
          </cell>
          <cell r="S36">
            <v>0</v>
          </cell>
          <cell r="T36">
            <v>51086000</v>
          </cell>
          <cell r="U36">
            <v>2012000</v>
          </cell>
          <cell r="V36">
            <v>0</v>
          </cell>
          <cell r="W36">
            <v>1065444</v>
          </cell>
          <cell r="X36">
            <v>1116875</v>
          </cell>
          <cell r="Y36">
            <v>151375</v>
          </cell>
          <cell r="Z36">
            <v>2250000</v>
          </cell>
          <cell r="AA36">
            <v>0</v>
          </cell>
          <cell r="AB36">
            <v>2250000</v>
          </cell>
          <cell r="AC36">
            <v>5540000</v>
          </cell>
          <cell r="AD36">
            <v>126975446</v>
          </cell>
          <cell r="AE36">
            <v>0</v>
          </cell>
          <cell r="AF36">
            <v>280000</v>
          </cell>
          <cell r="AG36">
            <v>192727140</v>
          </cell>
          <cell r="AH36">
            <v>204662991</v>
          </cell>
          <cell r="AI36">
            <v>0</v>
          </cell>
          <cell r="AJ36">
            <v>750000</v>
          </cell>
          <cell r="AK36">
            <v>313375</v>
          </cell>
          <cell r="AL36">
            <v>1500000</v>
          </cell>
          <cell r="AM36">
            <v>0</v>
          </cell>
          <cell r="AN36">
            <v>0</v>
          </cell>
          <cell r="AO36">
            <v>750000</v>
          </cell>
          <cell r="AP36">
            <v>2510000</v>
          </cell>
          <cell r="AQ36">
            <v>2250000</v>
          </cell>
          <cell r="AR36">
            <v>14750000</v>
          </cell>
          <cell r="AS36">
            <v>1270000</v>
          </cell>
          <cell r="AT36">
            <v>6095000</v>
          </cell>
          <cell r="AU36">
            <v>30188375</v>
          </cell>
          <cell r="AV36">
            <v>234851366</v>
          </cell>
        </row>
        <row r="37">
          <cell r="A37">
            <v>7236000</v>
          </cell>
          <cell r="B37" t="str">
            <v>هزينه هاي ورزشي</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26574800</v>
          </cell>
          <cell r="AE37">
            <v>0</v>
          </cell>
          <cell r="AF37">
            <v>0</v>
          </cell>
          <cell r="AG37">
            <v>26574800</v>
          </cell>
          <cell r="AH37">
            <v>26574800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26574800</v>
          </cell>
        </row>
        <row r="38">
          <cell r="A38">
            <v>7237000</v>
          </cell>
          <cell r="B38" t="str">
            <v>هزينه هاي آموزشي</v>
          </cell>
          <cell r="C38">
            <v>0</v>
          </cell>
          <cell r="D38">
            <v>0</v>
          </cell>
          <cell r="E38">
            <v>0</v>
          </cell>
          <cell r="F38">
            <v>0</v>
          </cell>
          <cell r="G38">
            <v>0</v>
          </cell>
          <cell r="H38">
            <v>0</v>
          </cell>
          <cell r="I38">
            <v>0</v>
          </cell>
          <cell r="J38">
            <v>0</v>
          </cell>
          <cell r="K38">
            <v>0</v>
          </cell>
          <cell r="L38">
            <v>0</v>
          </cell>
          <cell r="M38">
            <v>0</v>
          </cell>
          <cell r="N38">
            <v>2200000</v>
          </cell>
          <cell r="O38">
            <v>0</v>
          </cell>
          <cell r="P38">
            <v>0</v>
          </cell>
          <cell r="Q38">
            <v>550000</v>
          </cell>
          <cell r="R38">
            <v>2750000</v>
          </cell>
          <cell r="S38">
            <v>0</v>
          </cell>
          <cell r="T38">
            <v>4512000</v>
          </cell>
          <cell r="U38">
            <v>0</v>
          </cell>
          <cell r="V38">
            <v>2625000</v>
          </cell>
          <cell r="W38">
            <v>11000000</v>
          </cell>
          <cell r="X38">
            <v>72500</v>
          </cell>
          <cell r="Y38">
            <v>0</v>
          </cell>
          <cell r="Z38">
            <v>0</v>
          </cell>
          <cell r="AA38">
            <v>0</v>
          </cell>
          <cell r="AB38">
            <v>0</v>
          </cell>
          <cell r="AC38">
            <v>0</v>
          </cell>
          <cell r="AD38">
            <v>0</v>
          </cell>
          <cell r="AE38">
            <v>0</v>
          </cell>
          <cell r="AF38">
            <v>0</v>
          </cell>
          <cell r="AG38">
            <v>18209500</v>
          </cell>
          <cell r="AH38">
            <v>20959500</v>
          </cell>
          <cell r="AI38">
            <v>550000</v>
          </cell>
          <cell r="AJ38">
            <v>2750000</v>
          </cell>
          <cell r="AK38">
            <v>3300000</v>
          </cell>
          <cell r="AL38">
            <v>3035000</v>
          </cell>
          <cell r="AM38">
            <v>0</v>
          </cell>
          <cell r="AN38">
            <v>0</v>
          </cell>
          <cell r="AO38">
            <v>0</v>
          </cell>
          <cell r="AP38">
            <v>0</v>
          </cell>
          <cell r="AQ38">
            <v>0</v>
          </cell>
          <cell r="AR38">
            <v>0</v>
          </cell>
          <cell r="AS38">
            <v>315789</v>
          </cell>
          <cell r="AT38">
            <v>2124232</v>
          </cell>
          <cell r="AU38">
            <v>12075021</v>
          </cell>
          <cell r="AV38">
            <v>33034521</v>
          </cell>
        </row>
        <row r="39">
          <cell r="A39" t="str">
            <v>جمع سایر هزینه های کارکنان</v>
          </cell>
          <cell r="C39">
            <v>9770125</v>
          </cell>
          <cell r="D39">
            <v>41567372</v>
          </cell>
          <cell r="E39">
            <v>40673282</v>
          </cell>
          <cell r="F39">
            <v>27935832</v>
          </cell>
          <cell r="G39">
            <v>57681804</v>
          </cell>
          <cell r="H39">
            <v>20079032</v>
          </cell>
          <cell r="I39">
            <v>78622291</v>
          </cell>
          <cell r="J39">
            <v>39012836</v>
          </cell>
          <cell r="K39">
            <v>19909537</v>
          </cell>
          <cell r="L39">
            <v>0</v>
          </cell>
          <cell r="M39">
            <v>10953594</v>
          </cell>
          <cell r="N39">
            <v>75071449</v>
          </cell>
          <cell r="O39">
            <v>9300000</v>
          </cell>
          <cell r="P39">
            <v>6900000</v>
          </cell>
          <cell r="Q39">
            <v>25060075</v>
          </cell>
          <cell r="R39">
            <v>462537229</v>
          </cell>
          <cell r="S39">
            <v>25902656</v>
          </cell>
          <cell r="T39">
            <v>149398790</v>
          </cell>
          <cell r="U39">
            <v>170941542</v>
          </cell>
          <cell r="V39">
            <v>34021802</v>
          </cell>
          <cell r="W39">
            <v>221637285</v>
          </cell>
          <cell r="X39">
            <v>100987854</v>
          </cell>
          <cell r="Y39">
            <v>11901965</v>
          </cell>
          <cell r="Z39">
            <v>61534174</v>
          </cell>
          <cell r="AA39">
            <v>2750032</v>
          </cell>
          <cell r="AB39">
            <v>65408792</v>
          </cell>
          <cell r="AC39">
            <v>30344291</v>
          </cell>
          <cell r="AD39">
            <v>233060462</v>
          </cell>
          <cell r="AE39">
            <v>1628639545</v>
          </cell>
          <cell r="AF39">
            <v>1216412380</v>
          </cell>
          <cell r="AG39">
            <v>3952941570</v>
          </cell>
          <cell r="AH39">
            <v>4415478799</v>
          </cell>
          <cell r="AI39">
            <v>787783219</v>
          </cell>
          <cell r="AJ39">
            <v>240871617</v>
          </cell>
          <cell r="AK39">
            <v>66619795</v>
          </cell>
          <cell r="AL39">
            <v>4745000</v>
          </cell>
          <cell r="AM39">
            <v>14557872</v>
          </cell>
          <cell r="AN39">
            <v>0</v>
          </cell>
          <cell r="AO39">
            <v>39973575</v>
          </cell>
          <cell r="AP39">
            <v>206321080</v>
          </cell>
          <cell r="AQ39">
            <v>54665821</v>
          </cell>
          <cell r="AR39">
            <v>23296000</v>
          </cell>
          <cell r="AS39">
            <v>15899548</v>
          </cell>
          <cell r="AT39">
            <v>195728783</v>
          </cell>
          <cell r="AU39">
            <v>1650462310</v>
          </cell>
          <cell r="AV39">
            <v>6065941109</v>
          </cell>
        </row>
        <row r="40">
          <cell r="A40" t="str">
            <v>جمع هزینه های کارکنان</v>
          </cell>
          <cell r="C40">
            <v>68899029</v>
          </cell>
          <cell r="D40">
            <v>536327237</v>
          </cell>
          <cell r="E40">
            <v>559896040</v>
          </cell>
          <cell r="F40">
            <v>331341245</v>
          </cell>
          <cell r="G40">
            <v>541985111</v>
          </cell>
          <cell r="H40">
            <v>315390461</v>
          </cell>
          <cell r="I40">
            <v>798519380</v>
          </cell>
          <cell r="J40">
            <v>537666128</v>
          </cell>
          <cell r="K40">
            <v>261757517</v>
          </cell>
          <cell r="L40">
            <v>0</v>
          </cell>
          <cell r="M40">
            <v>151475049</v>
          </cell>
          <cell r="N40">
            <v>554704275</v>
          </cell>
          <cell r="O40">
            <v>65198543</v>
          </cell>
          <cell r="P40">
            <v>57854112</v>
          </cell>
          <cell r="Q40">
            <v>81875601</v>
          </cell>
          <cell r="R40">
            <v>4862889728</v>
          </cell>
          <cell r="S40">
            <v>288429633</v>
          </cell>
          <cell r="T40">
            <v>942425015</v>
          </cell>
          <cell r="U40">
            <v>2141630043</v>
          </cell>
          <cell r="V40">
            <v>279831537</v>
          </cell>
          <cell r="W40">
            <v>2411427494</v>
          </cell>
          <cell r="X40">
            <v>853650478</v>
          </cell>
          <cell r="Y40">
            <v>102820276</v>
          </cell>
          <cell r="Z40">
            <v>437496776</v>
          </cell>
          <cell r="AA40">
            <v>31573870</v>
          </cell>
          <cell r="AB40">
            <v>661432605</v>
          </cell>
          <cell r="AC40">
            <v>404433467</v>
          </cell>
          <cell r="AD40">
            <v>740358806</v>
          </cell>
          <cell r="AE40">
            <v>1628639545</v>
          </cell>
          <cell r="AF40">
            <v>1250848667</v>
          </cell>
          <cell r="AG40">
            <v>12174998212</v>
          </cell>
          <cell r="AH40">
            <v>12637535441</v>
          </cell>
          <cell r="AI40">
            <v>2676783800</v>
          </cell>
          <cell r="AJ40">
            <v>798662650</v>
          </cell>
          <cell r="AK40">
            <v>636942379</v>
          </cell>
          <cell r="AL40">
            <v>4745000</v>
          </cell>
          <cell r="AM40">
            <v>176764251</v>
          </cell>
          <cell r="AN40">
            <v>0</v>
          </cell>
          <cell r="AO40">
            <v>278076619</v>
          </cell>
          <cell r="AP40">
            <v>1142372239</v>
          </cell>
          <cell r="AQ40">
            <v>345750056</v>
          </cell>
          <cell r="AR40">
            <v>29796000</v>
          </cell>
          <cell r="AS40">
            <v>122410798</v>
          </cell>
          <cell r="AT40">
            <v>980214572</v>
          </cell>
          <cell r="AU40">
            <v>7192518364</v>
          </cell>
          <cell r="AV40">
            <v>24230406304</v>
          </cell>
        </row>
        <row r="41">
          <cell r="A41">
            <v>7313000</v>
          </cell>
          <cell r="B41" t="str">
            <v>هزينه سربار مواد اوليه</v>
          </cell>
          <cell r="C41">
            <v>0</v>
          </cell>
          <cell r="D41">
            <v>24649971</v>
          </cell>
          <cell r="E41">
            <v>105881933</v>
          </cell>
          <cell r="F41">
            <v>46742865</v>
          </cell>
          <cell r="G41">
            <v>33577631</v>
          </cell>
          <cell r="H41">
            <v>272500</v>
          </cell>
          <cell r="I41">
            <v>9056107</v>
          </cell>
          <cell r="J41">
            <v>744756</v>
          </cell>
          <cell r="K41">
            <v>5405683</v>
          </cell>
          <cell r="L41">
            <v>0</v>
          </cell>
          <cell r="M41">
            <v>0</v>
          </cell>
          <cell r="N41">
            <v>0</v>
          </cell>
          <cell r="O41">
            <v>0</v>
          </cell>
          <cell r="P41">
            <v>0</v>
          </cell>
          <cell r="Q41">
            <v>3854277</v>
          </cell>
          <cell r="R41">
            <v>230185723</v>
          </cell>
          <cell r="S41">
            <v>0</v>
          </cell>
          <cell r="T41">
            <v>0</v>
          </cell>
          <cell r="U41">
            <v>0</v>
          </cell>
          <cell r="V41">
            <v>0</v>
          </cell>
          <cell r="W41">
            <v>79261722</v>
          </cell>
          <cell r="X41">
            <v>0</v>
          </cell>
          <cell r="Y41">
            <v>4286093</v>
          </cell>
          <cell r="Z41">
            <v>0</v>
          </cell>
          <cell r="AA41">
            <v>0</v>
          </cell>
          <cell r="AB41">
            <v>0</v>
          </cell>
          <cell r="AC41">
            <v>0</v>
          </cell>
          <cell r="AD41">
            <v>0</v>
          </cell>
          <cell r="AE41">
            <v>0</v>
          </cell>
          <cell r="AF41">
            <v>0</v>
          </cell>
          <cell r="AG41">
            <v>83547815</v>
          </cell>
          <cell r="AH41">
            <v>313733538</v>
          </cell>
          <cell r="AI41">
            <v>0</v>
          </cell>
          <cell r="AJ41">
            <v>0</v>
          </cell>
          <cell r="AK41">
            <v>0</v>
          </cell>
          <cell r="AL41">
            <v>0</v>
          </cell>
          <cell r="AM41">
            <v>0</v>
          </cell>
          <cell r="AN41">
            <v>0</v>
          </cell>
          <cell r="AO41">
            <v>0</v>
          </cell>
          <cell r="AP41">
            <v>0</v>
          </cell>
          <cell r="AQ41">
            <v>0</v>
          </cell>
          <cell r="AR41">
            <v>0</v>
          </cell>
          <cell r="AS41">
            <v>0</v>
          </cell>
          <cell r="AT41">
            <v>0</v>
          </cell>
          <cell r="AU41">
            <v>0</v>
          </cell>
          <cell r="AV41">
            <v>313733538</v>
          </cell>
        </row>
        <row r="42">
          <cell r="A42">
            <v>7314000</v>
          </cell>
          <cell r="B42" t="str">
            <v>هزينه  سربار مواد بسته بندي</v>
          </cell>
          <cell r="C42">
            <v>0</v>
          </cell>
          <cell r="D42">
            <v>0</v>
          </cell>
          <cell r="E42">
            <v>5634121</v>
          </cell>
          <cell r="F42">
            <v>2015215</v>
          </cell>
          <cell r="G42">
            <v>4660647</v>
          </cell>
          <cell r="H42">
            <v>0</v>
          </cell>
          <cell r="I42">
            <v>1690210</v>
          </cell>
          <cell r="J42">
            <v>632021</v>
          </cell>
          <cell r="K42">
            <v>1648468</v>
          </cell>
          <cell r="L42">
            <v>0</v>
          </cell>
          <cell r="M42">
            <v>0</v>
          </cell>
          <cell r="N42">
            <v>0</v>
          </cell>
          <cell r="O42">
            <v>0</v>
          </cell>
          <cell r="P42">
            <v>0</v>
          </cell>
          <cell r="Q42">
            <v>2047827</v>
          </cell>
          <cell r="R42">
            <v>18328509</v>
          </cell>
          <cell r="S42">
            <v>0</v>
          </cell>
          <cell r="T42">
            <v>0</v>
          </cell>
          <cell r="U42">
            <v>0</v>
          </cell>
          <cell r="V42">
            <v>0</v>
          </cell>
          <cell r="W42">
            <v>12530197</v>
          </cell>
          <cell r="X42">
            <v>0</v>
          </cell>
          <cell r="Y42">
            <v>0</v>
          </cell>
          <cell r="Z42">
            <v>0</v>
          </cell>
          <cell r="AA42">
            <v>0</v>
          </cell>
          <cell r="AB42">
            <v>0</v>
          </cell>
          <cell r="AC42">
            <v>0</v>
          </cell>
          <cell r="AD42">
            <v>0</v>
          </cell>
          <cell r="AE42">
            <v>0</v>
          </cell>
          <cell r="AF42">
            <v>0</v>
          </cell>
          <cell r="AG42">
            <v>12530197</v>
          </cell>
          <cell r="AH42">
            <v>30858706</v>
          </cell>
          <cell r="AI42">
            <v>0</v>
          </cell>
          <cell r="AJ42">
            <v>0</v>
          </cell>
          <cell r="AK42">
            <v>0</v>
          </cell>
          <cell r="AL42">
            <v>0</v>
          </cell>
          <cell r="AM42">
            <v>0</v>
          </cell>
          <cell r="AN42">
            <v>0</v>
          </cell>
          <cell r="AO42">
            <v>0</v>
          </cell>
          <cell r="AP42">
            <v>0</v>
          </cell>
          <cell r="AQ42">
            <v>0</v>
          </cell>
          <cell r="AR42">
            <v>0</v>
          </cell>
          <cell r="AS42">
            <v>0</v>
          </cell>
          <cell r="AT42">
            <v>0</v>
          </cell>
          <cell r="AU42">
            <v>0</v>
          </cell>
          <cell r="AV42">
            <v>30858706</v>
          </cell>
        </row>
        <row r="43">
          <cell r="A43">
            <v>7316000</v>
          </cell>
          <cell r="B43" t="str">
            <v>هزينه سربار مواد اوليه (افشانه ها )</v>
          </cell>
          <cell r="C43">
            <v>0</v>
          </cell>
          <cell r="D43">
            <v>0</v>
          </cell>
          <cell r="E43">
            <v>0</v>
          </cell>
          <cell r="F43">
            <v>0</v>
          </cell>
          <cell r="G43">
            <v>0</v>
          </cell>
          <cell r="H43">
            <v>0</v>
          </cell>
          <cell r="I43">
            <v>0</v>
          </cell>
          <cell r="J43">
            <v>0</v>
          </cell>
          <cell r="K43">
            <v>0</v>
          </cell>
          <cell r="L43">
            <v>0</v>
          </cell>
          <cell r="M43">
            <v>0</v>
          </cell>
          <cell r="N43">
            <v>0</v>
          </cell>
          <cell r="O43">
            <v>1487404</v>
          </cell>
          <cell r="P43">
            <v>0</v>
          </cell>
          <cell r="Q43">
            <v>0</v>
          </cell>
          <cell r="R43">
            <v>1487404</v>
          </cell>
          <cell r="S43">
            <v>0</v>
          </cell>
          <cell r="T43">
            <v>0</v>
          </cell>
          <cell r="U43">
            <v>0</v>
          </cell>
          <cell r="V43">
            <v>0</v>
          </cell>
          <cell r="W43">
            <v>42672949</v>
          </cell>
          <cell r="X43">
            <v>0</v>
          </cell>
          <cell r="Y43">
            <v>0</v>
          </cell>
          <cell r="Z43">
            <v>0</v>
          </cell>
          <cell r="AA43">
            <v>0</v>
          </cell>
          <cell r="AB43">
            <v>1387961</v>
          </cell>
          <cell r="AC43">
            <v>0</v>
          </cell>
          <cell r="AD43">
            <v>0</v>
          </cell>
          <cell r="AE43">
            <v>0</v>
          </cell>
          <cell r="AF43">
            <v>0</v>
          </cell>
          <cell r="AG43">
            <v>44060910</v>
          </cell>
          <cell r="AH43">
            <v>45548314</v>
          </cell>
          <cell r="AI43">
            <v>0</v>
          </cell>
          <cell r="AJ43">
            <v>0</v>
          </cell>
          <cell r="AK43">
            <v>91667111</v>
          </cell>
          <cell r="AL43">
            <v>0</v>
          </cell>
          <cell r="AM43">
            <v>0</v>
          </cell>
          <cell r="AN43">
            <v>0</v>
          </cell>
          <cell r="AO43">
            <v>0</v>
          </cell>
          <cell r="AP43">
            <v>0</v>
          </cell>
          <cell r="AQ43">
            <v>0</v>
          </cell>
          <cell r="AR43">
            <v>0</v>
          </cell>
          <cell r="AS43">
            <v>0</v>
          </cell>
          <cell r="AT43">
            <v>0</v>
          </cell>
          <cell r="AU43">
            <v>91667111</v>
          </cell>
          <cell r="AV43">
            <v>137215425</v>
          </cell>
        </row>
        <row r="44">
          <cell r="A44">
            <v>7317000</v>
          </cell>
          <cell r="B44" t="str">
            <v>هزينه  سربار  بسته بندي (افشا نه ها )</v>
          </cell>
          <cell r="C44">
            <v>0</v>
          </cell>
          <cell r="D44">
            <v>0</v>
          </cell>
          <cell r="E44">
            <v>0</v>
          </cell>
          <cell r="F44">
            <v>0</v>
          </cell>
          <cell r="G44">
            <v>0</v>
          </cell>
          <cell r="H44">
            <v>0</v>
          </cell>
          <cell r="I44">
            <v>0</v>
          </cell>
          <cell r="J44">
            <v>0</v>
          </cell>
          <cell r="K44">
            <v>0</v>
          </cell>
          <cell r="L44">
            <v>0</v>
          </cell>
          <cell r="M44">
            <v>0</v>
          </cell>
          <cell r="N44">
            <v>0</v>
          </cell>
          <cell r="O44">
            <v>1701000</v>
          </cell>
          <cell r="P44">
            <v>7710540</v>
          </cell>
          <cell r="Q44">
            <v>0</v>
          </cell>
          <cell r="R44">
            <v>9411540</v>
          </cell>
          <cell r="S44">
            <v>0</v>
          </cell>
          <cell r="T44">
            <v>0</v>
          </cell>
          <cell r="U44">
            <v>0</v>
          </cell>
          <cell r="V44">
            <v>0</v>
          </cell>
          <cell r="W44">
            <v>291357</v>
          </cell>
          <cell r="X44">
            <v>0</v>
          </cell>
          <cell r="Y44">
            <v>0</v>
          </cell>
          <cell r="Z44">
            <v>0</v>
          </cell>
          <cell r="AA44">
            <v>0</v>
          </cell>
          <cell r="AB44">
            <v>0</v>
          </cell>
          <cell r="AC44">
            <v>0</v>
          </cell>
          <cell r="AD44">
            <v>0</v>
          </cell>
          <cell r="AE44">
            <v>0</v>
          </cell>
          <cell r="AF44">
            <v>0</v>
          </cell>
          <cell r="AG44">
            <v>291357</v>
          </cell>
          <cell r="AH44">
            <v>9702897</v>
          </cell>
          <cell r="AI44">
            <v>0</v>
          </cell>
          <cell r="AJ44">
            <v>0</v>
          </cell>
          <cell r="AK44">
            <v>0</v>
          </cell>
          <cell r="AL44">
            <v>0</v>
          </cell>
          <cell r="AM44">
            <v>0</v>
          </cell>
          <cell r="AN44">
            <v>0</v>
          </cell>
          <cell r="AO44">
            <v>0</v>
          </cell>
          <cell r="AP44">
            <v>0</v>
          </cell>
          <cell r="AQ44">
            <v>0</v>
          </cell>
          <cell r="AR44">
            <v>0</v>
          </cell>
          <cell r="AS44">
            <v>0</v>
          </cell>
          <cell r="AT44">
            <v>0</v>
          </cell>
          <cell r="AU44">
            <v>0</v>
          </cell>
          <cell r="AV44">
            <v>9702897</v>
          </cell>
        </row>
        <row r="45">
          <cell r="A45">
            <v>7319000</v>
          </cell>
          <cell r="B45" t="str">
            <v>تعميرونگهداري ساختمان وتاسيسات</v>
          </cell>
          <cell r="C45">
            <v>0</v>
          </cell>
          <cell r="D45">
            <v>1090000</v>
          </cell>
          <cell r="E45">
            <v>12502500</v>
          </cell>
          <cell r="F45">
            <v>0</v>
          </cell>
          <cell r="G45">
            <v>0</v>
          </cell>
          <cell r="H45">
            <v>0</v>
          </cell>
          <cell r="I45">
            <v>930000</v>
          </cell>
          <cell r="J45">
            <v>584000</v>
          </cell>
          <cell r="K45">
            <v>0</v>
          </cell>
          <cell r="L45">
            <v>0</v>
          </cell>
          <cell r="M45">
            <v>0</v>
          </cell>
          <cell r="N45">
            <v>18150000</v>
          </cell>
          <cell r="O45">
            <v>0</v>
          </cell>
          <cell r="P45">
            <v>0</v>
          </cell>
          <cell r="Q45">
            <v>7130000</v>
          </cell>
          <cell r="R45">
            <v>40386500</v>
          </cell>
          <cell r="S45">
            <v>0</v>
          </cell>
          <cell r="T45">
            <v>0</v>
          </cell>
          <cell r="U45">
            <v>698195122</v>
          </cell>
          <cell r="V45">
            <v>7048000</v>
          </cell>
          <cell r="W45">
            <v>13500000</v>
          </cell>
          <cell r="X45">
            <v>24115000</v>
          </cell>
          <cell r="Y45">
            <v>0</v>
          </cell>
          <cell r="Z45">
            <v>0</v>
          </cell>
          <cell r="AA45">
            <v>0</v>
          </cell>
          <cell r="AB45">
            <v>0</v>
          </cell>
          <cell r="AC45">
            <v>4377000</v>
          </cell>
          <cell r="AD45">
            <v>0</v>
          </cell>
          <cell r="AE45">
            <v>0</v>
          </cell>
          <cell r="AF45">
            <v>0</v>
          </cell>
          <cell r="AG45">
            <v>747235122</v>
          </cell>
          <cell r="AH45">
            <v>787621622</v>
          </cell>
          <cell r="AI45">
            <v>14273333</v>
          </cell>
          <cell r="AJ45">
            <v>0</v>
          </cell>
          <cell r="AK45">
            <v>0</v>
          </cell>
          <cell r="AL45">
            <v>0</v>
          </cell>
          <cell r="AM45">
            <v>0</v>
          </cell>
          <cell r="AN45">
            <v>0</v>
          </cell>
          <cell r="AO45">
            <v>6000000</v>
          </cell>
          <cell r="AP45">
            <v>0</v>
          </cell>
          <cell r="AQ45">
            <v>0</v>
          </cell>
          <cell r="AR45">
            <v>0</v>
          </cell>
          <cell r="AS45">
            <v>0</v>
          </cell>
          <cell r="AT45">
            <v>5000000</v>
          </cell>
          <cell r="AU45">
            <v>25273333</v>
          </cell>
          <cell r="AV45">
            <v>812894955</v>
          </cell>
        </row>
        <row r="46">
          <cell r="A46">
            <v>7320000</v>
          </cell>
          <cell r="B46" t="str">
            <v>تعميرونگهداري ماشين آلات</v>
          </cell>
          <cell r="C46">
            <v>0</v>
          </cell>
          <cell r="D46">
            <v>38443737</v>
          </cell>
          <cell r="E46">
            <v>17198950</v>
          </cell>
          <cell r="F46">
            <v>17116150</v>
          </cell>
          <cell r="G46">
            <v>68005594</v>
          </cell>
          <cell r="H46">
            <v>595040</v>
          </cell>
          <cell r="I46">
            <v>28099791</v>
          </cell>
          <cell r="J46">
            <v>497420</v>
          </cell>
          <cell r="K46">
            <v>370000</v>
          </cell>
          <cell r="L46">
            <v>0</v>
          </cell>
          <cell r="M46">
            <v>0</v>
          </cell>
          <cell r="N46">
            <v>0</v>
          </cell>
          <cell r="O46">
            <v>0</v>
          </cell>
          <cell r="P46">
            <v>0</v>
          </cell>
          <cell r="Q46">
            <v>3189636</v>
          </cell>
          <cell r="R46">
            <v>173516318</v>
          </cell>
          <cell r="S46">
            <v>0</v>
          </cell>
          <cell r="T46">
            <v>0</v>
          </cell>
          <cell r="U46">
            <v>81186078</v>
          </cell>
          <cell r="V46">
            <v>43634472</v>
          </cell>
          <cell r="W46">
            <v>485527</v>
          </cell>
          <cell r="X46">
            <v>545354</v>
          </cell>
          <cell r="Y46">
            <v>1424500</v>
          </cell>
          <cell r="Z46">
            <v>0</v>
          </cell>
          <cell r="AA46">
            <v>0</v>
          </cell>
          <cell r="AB46">
            <v>0</v>
          </cell>
          <cell r="AC46">
            <v>0</v>
          </cell>
          <cell r="AD46">
            <v>0</v>
          </cell>
          <cell r="AE46">
            <v>60000</v>
          </cell>
          <cell r="AF46">
            <v>0</v>
          </cell>
          <cell r="AG46">
            <v>127335931</v>
          </cell>
          <cell r="AH46">
            <v>300852249</v>
          </cell>
          <cell r="AI46">
            <v>0</v>
          </cell>
          <cell r="AJ46">
            <v>0</v>
          </cell>
          <cell r="AK46">
            <v>0</v>
          </cell>
          <cell r="AL46">
            <v>0</v>
          </cell>
          <cell r="AM46">
            <v>0</v>
          </cell>
          <cell r="AN46">
            <v>0</v>
          </cell>
          <cell r="AO46">
            <v>0</v>
          </cell>
          <cell r="AP46">
            <v>0</v>
          </cell>
          <cell r="AQ46">
            <v>11625</v>
          </cell>
          <cell r="AR46">
            <v>0</v>
          </cell>
          <cell r="AS46">
            <v>0</v>
          </cell>
          <cell r="AT46">
            <v>0</v>
          </cell>
          <cell r="AU46">
            <v>11625</v>
          </cell>
          <cell r="AV46">
            <v>300863874</v>
          </cell>
        </row>
        <row r="47">
          <cell r="A47">
            <v>7321000</v>
          </cell>
          <cell r="B47" t="str">
            <v>تعميرونگهداري وسائطنقليه</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12433685</v>
          </cell>
          <cell r="V47">
            <v>0</v>
          </cell>
          <cell r="W47">
            <v>50000</v>
          </cell>
          <cell r="X47">
            <v>14132288</v>
          </cell>
          <cell r="Y47">
            <v>0</v>
          </cell>
          <cell r="Z47">
            <v>0</v>
          </cell>
          <cell r="AA47">
            <v>0</v>
          </cell>
          <cell r="AB47">
            <v>7992000</v>
          </cell>
          <cell r="AC47">
            <v>0</v>
          </cell>
          <cell r="AD47">
            <v>885000</v>
          </cell>
          <cell r="AE47">
            <v>0</v>
          </cell>
          <cell r="AF47">
            <v>0</v>
          </cell>
          <cell r="AG47">
            <v>35492973</v>
          </cell>
          <cell r="AH47">
            <v>35492973</v>
          </cell>
          <cell r="AI47">
            <v>0</v>
          </cell>
          <cell r="AJ47">
            <v>7084180</v>
          </cell>
          <cell r="AK47">
            <v>0</v>
          </cell>
          <cell r="AL47">
            <v>0</v>
          </cell>
          <cell r="AM47">
            <v>0</v>
          </cell>
          <cell r="AN47">
            <v>0</v>
          </cell>
          <cell r="AO47">
            <v>0</v>
          </cell>
          <cell r="AP47">
            <v>530000</v>
          </cell>
          <cell r="AQ47">
            <v>0</v>
          </cell>
          <cell r="AR47">
            <v>0</v>
          </cell>
          <cell r="AS47">
            <v>0</v>
          </cell>
          <cell r="AT47">
            <v>0</v>
          </cell>
          <cell r="AU47">
            <v>7614180</v>
          </cell>
          <cell r="AV47">
            <v>43107153</v>
          </cell>
        </row>
        <row r="48">
          <cell r="A48">
            <v>7322000</v>
          </cell>
          <cell r="B48" t="str">
            <v>تعميرونگهداري اثاثيه ومنصوبات</v>
          </cell>
          <cell r="C48">
            <v>0</v>
          </cell>
          <cell r="D48">
            <v>0</v>
          </cell>
          <cell r="E48">
            <v>0</v>
          </cell>
          <cell r="F48">
            <v>0</v>
          </cell>
          <cell r="G48">
            <v>0</v>
          </cell>
          <cell r="H48">
            <v>0</v>
          </cell>
          <cell r="I48">
            <v>0</v>
          </cell>
          <cell r="J48">
            <v>0</v>
          </cell>
          <cell r="K48">
            <v>0</v>
          </cell>
          <cell r="L48">
            <v>0</v>
          </cell>
          <cell r="M48">
            <v>0</v>
          </cell>
          <cell r="N48">
            <v>1186790</v>
          </cell>
          <cell r="O48">
            <v>0</v>
          </cell>
          <cell r="P48">
            <v>0</v>
          </cell>
          <cell r="Q48">
            <v>0</v>
          </cell>
          <cell r="R48">
            <v>1186790</v>
          </cell>
          <cell r="S48">
            <v>0</v>
          </cell>
          <cell r="T48">
            <v>300000</v>
          </cell>
          <cell r="U48">
            <v>25695500</v>
          </cell>
          <cell r="V48">
            <v>0</v>
          </cell>
          <cell r="W48">
            <v>3000000</v>
          </cell>
          <cell r="X48">
            <v>0</v>
          </cell>
          <cell r="Y48">
            <v>0</v>
          </cell>
          <cell r="Z48">
            <v>0</v>
          </cell>
          <cell r="AA48">
            <v>0</v>
          </cell>
          <cell r="AB48">
            <v>200000</v>
          </cell>
          <cell r="AC48">
            <v>0</v>
          </cell>
          <cell r="AD48">
            <v>4562862</v>
          </cell>
          <cell r="AE48">
            <v>0</v>
          </cell>
          <cell r="AF48">
            <v>0</v>
          </cell>
          <cell r="AG48">
            <v>33758362</v>
          </cell>
          <cell r="AH48">
            <v>34945152</v>
          </cell>
          <cell r="AI48">
            <v>16578496</v>
          </cell>
          <cell r="AJ48">
            <v>465000</v>
          </cell>
          <cell r="AK48">
            <v>0</v>
          </cell>
          <cell r="AL48">
            <v>0</v>
          </cell>
          <cell r="AM48">
            <v>0</v>
          </cell>
          <cell r="AN48">
            <v>0</v>
          </cell>
          <cell r="AO48">
            <v>2990000</v>
          </cell>
          <cell r="AP48">
            <v>1617000</v>
          </cell>
          <cell r="AQ48">
            <v>2686000</v>
          </cell>
          <cell r="AR48">
            <v>0</v>
          </cell>
          <cell r="AS48">
            <v>0</v>
          </cell>
          <cell r="AT48">
            <v>8390000</v>
          </cell>
          <cell r="AU48">
            <v>32726496</v>
          </cell>
          <cell r="AV48">
            <v>67671648</v>
          </cell>
        </row>
        <row r="49">
          <cell r="A49">
            <v>7323000</v>
          </cell>
          <cell r="B49" t="str">
            <v>تعميرونگهداري سايردارائيها</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2910000</v>
          </cell>
          <cell r="V49">
            <v>0</v>
          </cell>
          <cell r="W49">
            <v>152750000</v>
          </cell>
          <cell r="X49">
            <v>0</v>
          </cell>
          <cell r="Y49">
            <v>0</v>
          </cell>
          <cell r="Z49">
            <v>0</v>
          </cell>
          <cell r="AA49">
            <v>0</v>
          </cell>
          <cell r="AB49">
            <v>0</v>
          </cell>
          <cell r="AC49">
            <v>0</v>
          </cell>
          <cell r="AD49">
            <v>0</v>
          </cell>
          <cell r="AE49">
            <v>0</v>
          </cell>
          <cell r="AF49">
            <v>0</v>
          </cell>
          <cell r="AG49">
            <v>155660000</v>
          </cell>
          <cell r="AH49">
            <v>155660000</v>
          </cell>
          <cell r="AI49">
            <v>0</v>
          </cell>
          <cell r="AJ49">
            <v>0</v>
          </cell>
          <cell r="AK49">
            <v>30900000</v>
          </cell>
          <cell r="AL49">
            <v>0</v>
          </cell>
          <cell r="AM49">
            <v>0</v>
          </cell>
          <cell r="AN49">
            <v>0</v>
          </cell>
          <cell r="AO49">
            <v>0</v>
          </cell>
          <cell r="AP49">
            <v>0</v>
          </cell>
          <cell r="AQ49">
            <v>0</v>
          </cell>
          <cell r="AR49">
            <v>0</v>
          </cell>
          <cell r="AS49">
            <v>0</v>
          </cell>
          <cell r="AT49">
            <v>9050000</v>
          </cell>
          <cell r="AU49">
            <v>39950000</v>
          </cell>
          <cell r="AV49">
            <v>195610000</v>
          </cell>
        </row>
        <row r="50">
          <cell r="A50">
            <v>7324000</v>
          </cell>
          <cell r="B50" t="str">
            <v>هزينه موادوملزومات مصرفي</v>
          </cell>
          <cell r="C50">
            <v>0</v>
          </cell>
          <cell r="D50">
            <v>15233050</v>
          </cell>
          <cell r="E50">
            <v>9975555</v>
          </cell>
          <cell r="F50">
            <v>8919944</v>
          </cell>
          <cell r="G50">
            <v>9369887</v>
          </cell>
          <cell r="H50">
            <v>11917360</v>
          </cell>
          <cell r="I50">
            <v>45670000</v>
          </cell>
          <cell r="J50">
            <v>6556505</v>
          </cell>
          <cell r="K50">
            <v>5254671</v>
          </cell>
          <cell r="L50">
            <v>0</v>
          </cell>
          <cell r="M50">
            <v>0</v>
          </cell>
          <cell r="N50">
            <v>80291065</v>
          </cell>
          <cell r="O50">
            <v>0</v>
          </cell>
          <cell r="P50">
            <v>0</v>
          </cell>
          <cell r="Q50">
            <v>56548412</v>
          </cell>
          <cell r="R50">
            <v>249736449</v>
          </cell>
          <cell r="S50">
            <v>2278005</v>
          </cell>
          <cell r="T50">
            <v>90078375</v>
          </cell>
          <cell r="U50">
            <v>242585094</v>
          </cell>
          <cell r="V50">
            <v>31210944</v>
          </cell>
          <cell r="W50">
            <v>295503389</v>
          </cell>
          <cell r="X50">
            <v>30328537</v>
          </cell>
          <cell r="Y50">
            <v>21623161</v>
          </cell>
          <cell r="Z50">
            <v>5212950</v>
          </cell>
          <cell r="AA50">
            <v>2910884</v>
          </cell>
          <cell r="AB50">
            <v>12569942</v>
          </cell>
          <cell r="AC50">
            <v>5838177</v>
          </cell>
          <cell r="AD50">
            <v>177521411</v>
          </cell>
          <cell r="AE50">
            <v>8630200</v>
          </cell>
          <cell r="AF50">
            <v>1990000</v>
          </cell>
          <cell r="AG50">
            <v>928281069</v>
          </cell>
          <cell r="AH50">
            <v>1178017518</v>
          </cell>
          <cell r="AI50">
            <v>47951149</v>
          </cell>
          <cell r="AJ50">
            <v>6103400</v>
          </cell>
          <cell r="AK50">
            <v>407400194</v>
          </cell>
          <cell r="AL50">
            <v>4923994</v>
          </cell>
          <cell r="AM50">
            <v>0</v>
          </cell>
          <cell r="AN50">
            <v>0</v>
          </cell>
          <cell r="AO50">
            <v>66515801</v>
          </cell>
          <cell r="AP50">
            <v>8323759</v>
          </cell>
          <cell r="AQ50">
            <v>37409166</v>
          </cell>
          <cell r="AR50">
            <v>0</v>
          </cell>
          <cell r="AS50">
            <v>11070014</v>
          </cell>
          <cell r="AT50">
            <v>94357077</v>
          </cell>
          <cell r="AU50">
            <v>684054554</v>
          </cell>
          <cell r="AV50">
            <v>1862072072</v>
          </cell>
        </row>
        <row r="51">
          <cell r="A51">
            <v>7350000</v>
          </cell>
          <cell r="B51" t="str">
            <v xml:space="preserve">هزينه حق المشاوره حقوقي </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27526800</v>
          </cell>
          <cell r="AC51">
            <v>23020200</v>
          </cell>
          <cell r="AD51">
            <v>24901239</v>
          </cell>
          <cell r="AE51">
            <v>0</v>
          </cell>
          <cell r="AF51">
            <v>0</v>
          </cell>
          <cell r="AG51">
            <v>75448239</v>
          </cell>
          <cell r="AH51">
            <v>75448239</v>
          </cell>
          <cell r="AI51">
            <v>45521329</v>
          </cell>
          <cell r="AJ51">
            <v>434430000</v>
          </cell>
          <cell r="AK51">
            <v>112653750</v>
          </cell>
          <cell r="AL51">
            <v>0</v>
          </cell>
          <cell r="AM51">
            <v>0</v>
          </cell>
          <cell r="AN51">
            <v>76028068</v>
          </cell>
          <cell r="AO51">
            <v>0</v>
          </cell>
          <cell r="AP51">
            <v>17490000</v>
          </cell>
          <cell r="AQ51">
            <v>19845000</v>
          </cell>
          <cell r="AR51">
            <v>0</v>
          </cell>
          <cell r="AS51">
            <v>18659775</v>
          </cell>
          <cell r="AT51">
            <v>21713430</v>
          </cell>
          <cell r="AU51">
            <v>746341352</v>
          </cell>
          <cell r="AV51">
            <v>821789591</v>
          </cell>
        </row>
        <row r="52">
          <cell r="A52">
            <v>7376000</v>
          </cell>
          <cell r="B52" t="str">
            <v>هزينه اجاره</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22050000</v>
          </cell>
          <cell r="AJ52">
            <v>0</v>
          </cell>
          <cell r="AK52">
            <v>0</v>
          </cell>
          <cell r="AL52">
            <v>0</v>
          </cell>
          <cell r="AM52">
            <v>0</v>
          </cell>
          <cell r="AN52">
            <v>0</v>
          </cell>
          <cell r="AO52">
            <v>0</v>
          </cell>
          <cell r="AP52">
            <v>0</v>
          </cell>
          <cell r="AQ52">
            <v>0</v>
          </cell>
          <cell r="AR52">
            <v>0</v>
          </cell>
          <cell r="AS52">
            <v>0</v>
          </cell>
          <cell r="AT52">
            <v>0</v>
          </cell>
          <cell r="AU52">
            <v>22050000</v>
          </cell>
          <cell r="AV52">
            <v>22050000</v>
          </cell>
        </row>
        <row r="53">
          <cell r="A53">
            <v>7325000</v>
          </cell>
          <cell r="B53" t="str">
            <v>هزينه ضايعات مواد اوليه وبسته بندي</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249222092</v>
          </cell>
          <cell r="AE53">
            <v>0</v>
          </cell>
          <cell r="AF53">
            <v>0</v>
          </cell>
          <cell r="AG53">
            <v>249222092</v>
          </cell>
          <cell r="AH53">
            <v>249222092</v>
          </cell>
          <cell r="AI53">
            <v>0</v>
          </cell>
          <cell r="AJ53">
            <v>0</v>
          </cell>
          <cell r="AK53">
            <v>0</v>
          </cell>
          <cell r="AL53">
            <v>0</v>
          </cell>
          <cell r="AM53">
            <v>0</v>
          </cell>
          <cell r="AN53">
            <v>0</v>
          </cell>
          <cell r="AO53">
            <v>0</v>
          </cell>
          <cell r="AP53">
            <v>0</v>
          </cell>
          <cell r="AQ53">
            <v>0</v>
          </cell>
          <cell r="AR53">
            <v>0</v>
          </cell>
          <cell r="AS53">
            <v>0</v>
          </cell>
          <cell r="AT53">
            <v>0</v>
          </cell>
          <cell r="AU53">
            <v>0</v>
          </cell>
          <cell r="AV53">
            <v>249222092</v>
          </cell>
        </row>
        <row r="54">
          <cell r="A54">
            <v>7353000</v>
          </cell>
          <cell r="B54" t="str">
            <v>تعديل انبارگرداني ومصرف</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row>
        <row r="55">
          <cell r="A55">
            <v>7355000</v>
          </cell>
          <cell r="B55" t="str">
            <v>هزينه حق الزحمه هيات مديره</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40500000</v>
          </cell>
          <cell r="AK55">
            <v>0</v>
          </cell>
          <cell r="AL55">
            <v>0</v>
          </cell>
          <cell r="AM55">
            <v>0</v>
          </cell>
          <cell r="AN55">
            <v>0</v>
          </cell>
          <cell r="AO55">
            <v>0</v>
          </cell>
          <cell r="AP55">
            <v>0</v>
          </cell>
          <cell r="AQ55">
            <v>0</v>
          </cell>
          <cell r="AR55">
            <v>0</v>
          </cell>
          <cell r="AS55">
            <v>0</v>
          </cell>
          <cell r="AT55">
            <v>0</v>
          </cell>
          <cell r="AU55">
            <v>40500000</v>
          </cell>
          <cell r="AV55">
            <v>40500000</v>
          </cell>
        </row>
        <row r="56">
          <cell r="A56">
            <v>7356000</v>
          </cell>
          <cell r="B56" t="str">
            <v>هزينه هاي ثبتي ومحضري</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800000</v>
          </cell>
          <cell r="AC56">
            <v>0</v>
          </cell>
          <cell r="AD56">
            <v>0</v>
          </cell>
          <cell r="AE56">
            <v>0</v>
          </cell>
          <cell r="AF56">
            <v>0</v>
          </cell>
          <cell r="AG56">
            <v>800000</v>
          </cell>
          <cell r="AH56">
            <v>800000</v>
          </cell>
          <cell r="AI56">
            <v>2605263</v>
          </cell>
          <cell r="AJ56">
            <v>0</v>
          </cell>
          <cell r="AK56">
            <v>0</v>
          </cell>
          <cell r="AL56">
            <v>0</v>
          </cell>
          <cell r="AM56">
            <v>0</v>
          </cell>
          <cell r="AN56">
            <v>31860000</v>
          </cell>
          <cell r="AO56">
            <v>0</v>
          </cell>
          <cell r="AP56">
            <v>0</v>
          </cell>
          <cell r="AQ56">
            <v>0</v>
          </cell>
          <cell r="AR56">
            <v>0</v>
          </cell>
          <cell r="AS56">
            <v>0</v>
          </cell>
          <cell r="AT56">
            <v>800000</v>
          </cell>
          <cell r="AU56">
            <v>35265263</v>
          </cell>
          <cell r="AV56">
            <v>36065263</v>
          </cell>
        </row>
        <row r="57">
          <cell r="A57">
            <v>7357000</v>
          </cell>
          <cell r="B57" t="str">
            <v>هزينه هاي عوارض</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359000</v>
          </cell>
          <cell r="AC57">
            <v>0</v>
          </cell>
          <cell r="AD57">
            <v>378208000</v>
          </cell>
          <cell r="AE57">
            <v>0</v>
          </cell>
          <cell r="AF57">
            <v>0</v>
          </cell>
          <cell r="AG57">
            <v>378567000</v>
          </cell>
          <cell r="AH57">
            <v>378567000</v>
          </cell>
          <cell r="AI57">
            <v>192000</v>
          </cell>
          <cell r="AJ57">
            <v>3219000</v>
          </cell>
          <cell r="AK57">
            <v>0</v>
          </cell>
          <cell r="AL57">
            <v>0</v>
          </cell>
          <cell r="AM57">
            <v>0</v>
          </cell>
          <cell r="AN57">
            <v>0</v>
          </cell>
          <cell r="AO57">
            <v>0</v>
          </cell>
          <cell r="AP57">
            <v>0</v>
          </cell>
          <cell r="AQ57">
            <v>0</v>
          </cell>
          <cell r="AR57">
            <v>0</v>
          </cell>
          <cell r="AS57">
            <v>125000</v>
          </cell>
          <cell r="AT57">
            <v>0</v>
          </cell>
          <cell r="AU57">
            <v>3536000</v>
          </cell>
          <cell r="AV57">
            <v>382103000</v>
          </cell>
        </row>
        <row r="58">
          <cell r="A58">
            <v>7359000</v>
          </cell>
          <cell r="B58" t="str">
            <v>يك درصدبازآموزي ونوآموزي</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88888888</v>
          </cell>
          <cell r="AL58">
            <v>0</v>
          </cell>
          <cell r="AM58">
            <v>0</v>
          </cell>
          <cell r="AN58">
            <v>844520561</v>
          </cell>
          <cell r="AO58">
            <v>0</v>
          </cell>
          <cell r="AP58">
            <v>0</v>
          </cell>
          <cell r="AQ58">
            <v>0</v>
          </cell>
          <cell r="AR58">
            <v>0</v>
          </cell>
          <cell r="AS58">
            <v>0</v>
          </cell>
          <cell r="AT58">
            <v>0</v>
          </cell>
          <cell r="AU58">
            <v>933409449</v>
          </cell>
          <cell r="AV58">
            <v>933409449</v>
          </cell>
        </row>
        <row r="59">
          <cell r="A59">
            <v>7361000</v>
          </cell>
          <cell r="B59" t="str">
            <v>هزينه هاي آزمايشگاهي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2200000</v>
          </cell>
          <cell r="AL59">
            <v>0</v>
          </cell>
          <cell r="AM59">
            <v>0</v>
          </cell>
          <cell r="AN59">
            <v>0</v>
          </cell>
          <cell r="AO59">
            <v>0</v>
          </cell>
          <cell r="AP59">
            <v>0</v>
          </cell>
          <cell r="AQ59">
            <v>0</v>
          </cell>
          <cell r="AR59">
            <v>0</v>
          </cell>
          <cell r="AS59">
            <v>0</v>
          </cell>
          <cell r="AT59">
            <v>3300000</v>
          </cell>
          <cell r="AU59">
            <v>5500000</v>
          </cell>
          <cell r="AV59">
            <v>5500000</v>
          </cell>
        </row>
        <row r="60">
          <cell r="A60">
            <v>7364000</v>
          </cell>
          <cell r="B60" t="str">
            <v>هزينه حمل ونگهداري</v>
          </cell>
          <cell r="C60">
            <v>0</v>
          </cell>
          <cell r="D60">
            <v>0</v>
          </cell>
          <cell r="E60">
            <v>0</v>
          </cell>
          <cell r="F60">
            <v>0</v>
          </cell>
          <cell r="G60">
            <v>0</v>
          </cell>
          <cell r="H60">
            <v>0</v>
          </cell>
          <cell r="I60">
            <v>0</v>
          </cell>
          <cell r="J60">
            <v>0</v>
          </cell>
          <cell r="K60">
            <v>0</v>
          </cell>
          <cell r="L60">
            <v>0</v>
          </cell>
          <cell r="M60">
            <v>0</v>
          </cell>
          <cell r="N60">
            <v>150000</v>
          </cell>
          <cell r="O60">
            <v>0</v>
          </cell>
          <cell r="P60">
            <v>0</v>
          </cell>
          <cell r="Q60">
            <v>60000</v>
          </cell>
          <cell r="R60">
            <v>210000</v>
          </cell>
          <cell r="S60">
            <v>0</v>
          </cell>
          <cell r="T60">
            <v>0</v>
          </cell>
          <cell r="U60">
            <v>21461820</v>
          </cell>
          <cell r="V60">
            <v>0</v>
          </cell>
          <cell r="W60">
            <v>1500000</v>
          </cell>
          <cell r="X60">
            <v>173313368</v>
          </cell>
          <cell r="Y60">
            <v>410000</v>
          </cell>
          <cell r="Z60">
            <v>0</v>
          </cell>
          <cell r="AA60">
            <v>0</v>
          </cell>
          <cell r="AB60">
            <v>115000</v>
          </cell>
          <cell r="AC60">
            <v>0</v>
          </cell>
          <cell r="AD60">
            <v>18987000</v>
          </cell>
          <cell r="AE60">
            <v>0</v>
          </cell>
          <cell r="AF60">
            <v>10730000</v>
          </cell>
          <cell r="AG60">
            <v>226517188</v>
          </cell>
          <cell r="AH60">
            <v>226727188</v>
          </cell>
          <cell r="AI60">
            <v>20149000</v>
          </cell>
          <cell r="AJ60">
            <v>0</v>
          </cell>
          <cell r="AK60">
            <v>0</v>
          </cell>
          <cell r="AL60">
            <v>0</v>
          </cell>
          <cell r="AM60">
            <v>0</v>
          </cell>
          <cell r="AN60">
            <v>0</v>
          </cell>
          <cell r="AO60">
            <v>765000</v>
          </cell>
          <cell r="AP60">
            <v>575000</v>
          </cell>
          <cell r="AQ60">
            <v>5360000</v>
          </cell>
          <cell r="AR60">
            <v>0</v>
          </cell>
          <cell r="AS60">
            <v>9058394</v>
          </cell>
          <cell r="AT60">
            <v>890000</v>
          </cell>
          <cell r="AU60">
            <v>36797394</v>
          </cell>
          <cell r="AV60">
            <v>263524582</v>
          </cell>
        </row>
        <row r="61">
          <cell r="A61">
            <v>7365000</v>
          </cell>
          <cell r="B61" t="str">
            <v>هزينه كارآموزان</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row>
        <row r="62">
          <cell r="A62">
            <v>7367000</v>
          </cell>
          <cell r="B62" t="str">
            <v>هزينه حق عضويت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1339550</v>
          </cell>
          <cell r="AC62">
            <v>0</v>
          </cell>
          <cell r="AD62">
            <v>20000000</v>
          </cell>
          <cell r="AE62">
            <v>0</v>
          </cell>
          <cell r="AF62">
            <v>0</v>
          </cell>
          <cell r="AG62">
            <v>21339550</v>
          </cell>
          <cell r="AH62">
            <v>21339550</v>
          </cell>
          <cell r="AI62">
            <v>0</v>
          </cell>
          <cell r="AJ62">
            <v>0</v>
          </cell>
          <cell r="AK62">
            <v>9108000</v>
          </cell>
          <cell r="AL62">
            <v>0</v>
          </cell>
          <cell r="AM62">
            <v>0</v>
          </cell>
          <cell r="AN62">
            <v>0</v>
          </cell>
          <cell r="AO62">
            <v>0</v>
          </cell>
          <cell r="AP62">
            <v>0</v>
          </cell>
          <cell r="AQ62">
            <v>0</v>
          </cell>
          <cell r="AR62">
            <v>0</v>
          </cell>
          <cell r="AS62">
            <v>0</v>
          </cell>
          <cell r="AT62">
            <v>0</v>
          </cell>
          <cell r="AU62">
            <v>9108000</v>
          </cell>
          <cell r="AV62">
            <v>30447550</v>
          </cell>
        </row>
        <row r="63">
          <cell r="A63">
            <v>7368000</v>
          </cell>
          <cell r="B63" t="str">
            <v>هزينه تبليغات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5000000</v>
          </cell>
          <cell r="AE63">
            <v>0</v>
          </cell>
          <cell r="AF63">
            <v>0</v>
          </cell>
          <cell r="AG63">
            <v>5000000</v>
          </cell>
          <cell r="AH63">
            <v>5000000</v>
          </cell>
          <cell r="AI63">
            <v>1722909525</v>
          </cell>
          <cell r="AJ63">
            <v>0</v>
          </cell>
          <cell r="AK63">
            <v>0</v>
          </cell>
          <cell r="AL63">
            <v>0</v>
          </cell>
          <cell r="AM63">
            <v>0</v>
          </cell>
          <cell r="AN63">
            <v>0</v>
          </cell>
          <cell r="AO63">
            <v>0</v>
          </cell>
          <cell r="AP63">
            <v>0</v>
          </cell>
          <cell r="AQ63">
            <v>0</v>
          </cell>
          <cell r="AR63">
            <v>0</v>
          </cell>
          <cell r="AS63">
            <v>0</v>
          </cell>
          <cell r="AT63">
            <v>0</v>
          </cell>
          <cell r="AU63">
            <v>1722909525</v>
          </cell>
          <cell r="AV63">
            <v>1727909525</v>
          </cell>
        </row>
        <row r="64">
          <cell r="A64">
            <v>7368100</v>
          </cell>
          <cell r="B64" t="str">
            <v>هزينه پورسانت</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1232000000</v>
          </cell>
          <cell r="AJ64">
            <v>0</v>
          </cell>
          <cell r="AK64">
            <v>0</v>
          </cell>
          <cell r="AL64">
            <v>0</v>
          </cell>
          <cell r="AM64">
            <v>0</v>
          </cell>
          <cell r="AN64">
            <v>0</v>
          </cell>
          <cell r="AO64">
            <v>0</v>
          </cell>
          <cell r="AP64">
            <v>0</v>
          </cell>
          <cell r="AQ64">
            <v>0</v>
          </cell>
          <cell r="AR64">
            <v>0</v>
          </cell>
          <cell r="AS64">
            <v>0</v>
          </cell>
          <cell r="AT64">
            <v>0</v>
          </cell>
          <cell r="AU64">
            <v>1232000000</v>
          </cell>
          <cell r="AV64">
            <v>1232000000</v>
          </cell>
        </row>
        <row r="65">
          <cell r="A65">
            <v>7369000</v>
          </cell>
          <cell r="B65" t="str">
            <v>هزينه کارمزد بانکي</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192000</v>
          </cell>
          <cell r="AC65">
            <v>0</v>
          </cell>
          <cell r="AD65">
            <v>11443861</v>
          </cell>
          <cell r="AE65">
            <v>0</v>
          </cell>
          <cell r="AF65">
            <v>0</v>
          </cell>
          <cell r="AG65">
            <v>11635861</v>
          </cell>
          <cell r="AH65">
            <v>11635861</v>
          </cell>
          <cell r="AI65">
            <v>0</v>
          </cell>
          <cell r="AJ65">
            <v>0</v>
          </cell>
          <cell r="AK65">
            <v>0</v>
          </cell>
          <cell r="AL65">
            <v>0</v>
          </cell>
          <cell r="AM65">
            <v>0</v>
          </cell>
          <cell r="AN65">
            <v>3027133</v>
          </cell>
          <cell r="AO65">
            <v>0</v>
          </cell>
          <cell r="AP65">
            <v>150000</v>
          </cell>
          <cell r="AQ65">
            <v>0</v>
          </cell>
          <cell r="AR65">
            <v>0</v>
          </cell>
          <cell r="AS65">
            <v>0</v>
          </cell>
          <cell r="AT65">
            <v>0</v>
          </cell>
          <cell r="AU65">
            <v>3177133</v>
          </cell>
          <cell r="AV65">
            <v>14812994</v>
          </cell>
        </row>
        <row r="66">
          <cell r="A66">
            <v>7372000</v>
          </cell>
          <cell r="B66" t="str">
            <v>هزينه مراسم وپذيرائي</v>
          </cell>
          <cell r="C66">
            <v>0</v>
          </cell>
          <cell r="D66">
            <v>0</v>
          </cell>
          <cell r="E66">
            <v>0</v>
          </cell>
          <cell r="F66">
            <v>0</v>
          </cell>
          <cell r="G66">
            <v>0</v>
          </cell>
          <cell r="H66">
            <v>0</v>
          </cell>
          <cell r="I66">
            <v>0</v>
          </cell>
          <cell r="J66">
            <v>0</v>
          </cell>
          <cell r="K66">
            <v>0</v>
          </cell>
          <cell r="L66">
            <v>0</v>
          </cell>
          <cell r="M66">
            <v>0</v>
          </cell>
          <cell r="N66">
            <v>4728000</v>
          </cell>
          <cell r="O66">
            <v>0</v>
          </cell>
          <cell r="P66">
            <v>0</v>
          </cell>
          <cell r="Q66">
            <v>0</v>
          </cell>
          <cell r="R66">
            <v>4728000</v>
          </cell>
          <cell r="S66">
            <v>0</v>
          </cell>
          <cell r="T66">
            <v>1802640</v>
          </cell>
          <cell r="U66">
            <v>787250</v>
          </cell>
          <cell r="V66">
            <v>0</v>
          </cell>
          <cell r="W66">
            <v>5040450</v>
          </cell>
          <cell r="X66">
            <v>2135000</v>
          </cell>
          <cell r="Y66">
            <v>0</v>
          </cell>
          <cell r="Z66">
            <v>0</v>
          </cell>
          <cell r="AA66">
            <v>0</v>
          </cell>
          <cell r="AB66">
            <v>655500</v>
          </cell>
          <cell r="AC66">
            <v>636000</v>
          </cell>
          <cell r="AD66">
            <v>72668127</v>
          </cell>
          <cell r="AE66">
            <v>4949200</v>
          </cell>
          <cell r="AF66">
            <v>1000000</v>
          </cell>
          <cell r="AG66">
            <v>89674167</v>
          </cell>
          <cell r="AH66">
            <v>94402167</v>
          </cell>
          <cell r="AI66">
            <v>51174738</v>
          </cell>
          <cell r="AJ66">
            <v>64843995</v>
          </cell>
          <cell r="AK66">
            <v>0</v>
          </cell>
          <cell r="AL66">
            <v>2967830</v>
          </cell>
          <cell r="AM66">
            <v>0</v>
          </cell>
          <cell r="AN66">
            <v>0</v>
          </cell>
          <cell r="AO66">
            <v>137000</v>
          </cell>
          <cell r="AP66">
            <v>7167490</v>
          </cell>
          <cell r="AQ66">
            <v>44790500</v>
          </cell>
          <cell r="AR66">
            <v>15695808</v>
          </cell>
          <cell r="AS66">
            <v>0</v>
          </cell>
          <cell r="AT66">
            <v>1687480</v>
          </cell>
          <cell r="AU66">
            <v>188464841</v>
          </cell>
          <cell r="AV66">
            <v>282867008</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1025295</v>
          </cell>
          <cell r="AE67">
            <v>0</v>
          </cell>
          <cell r="AF67">
            <v>0</v>
          </cell>
          <cell r="AG67">
            <v>1025295</v>
          </cell>
          <cell r="AH67">
            <v>1025295</v>
          </cell>
          <cell r="AI67">
            <v>11847589</v>
          </cell>
          <cell r="AJ67">
            <v>500000</v>
          </cell>
          <cell r="AK67">
            <v>0</v>
          </cell>
          <cell r="AL67">
            <v>0</v>
          </cell>
          <cell r="AM67">
            <v>0</v>
          </cell>
          <cell r="AN67">
            <v>0</v>
          </cell>
          <cell r="AO67">
            <v>56970000</v>
          </cell>
          <cell r="AP67">
            <v>5000000</v>
          </cell>
          <cell r="AQ67">
            <v>0</v>
          </cell>
          <cell r="AR67">
            <v>0</v>
          </cell>
          <cell r="AS67">
            <v>0</v>
          </cell>
          <cell r="AT67">
            <v>0</v>
          </cell>
          <cell r="AU67">
            <v>74317589</v>
          </cell>
          <cell r="AV67">
            <v>75342884</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5184000</v>
          </cell>
          <cell r="V68">
            <v>0</v>
          </cell>
          <cell r="W68">
            <v>0</v>
          </cell>
          <cell r="X68">
            <v>0</v>
          </cell>
          <cell r="Y68">
            <v>0</v>
          </cell>
          <cell r="Z68">
            <v>0</v>
          </cell>
          <cell r="AA68">
            <v>0</v>
          </cell>
          <cell r="AB68">
            <v>0</v>
          </cell>
          <cell r="AC68">
            <v>0</v>
          </cell>
          <cell r="AD68">
            <v>0</v>
          </cell>
          <cell r="AE68">
            <v>0</v>
          </cell>
          <cell r="AF68">
            <v>0</v>
          </cell>
          <cell r="AG68">
            <v>5184000</v>
          </cell>
          <cell r="AH68">
            <v>5184000</v>
          </cell>
          <cell r="AI68">
            <v>967855</v>
          </cell>
          <cell r="AJ68">
            <v>0</v>
          </cell>
          <cell r="AK68">
            <v>0</v>
          </cell>
          <cell r="AL68">
            <v>0</v>
          </cell>
          <cell r="AM68">
            <v>0</v>
          </cell>
          <cell r="AN68">
            <v>0</v>
          </cell>
          <cell r="AO68">
            <v>0</v>
          </cell>
          <cell r="AP68">
            <v>0</v>
          </cell>
          <cell r="AQ68">
            <v>0</v>
          </cell>
          <cell r="AR68">
            <v>0</v>
          </cell>
          <cell r="AS68">
            <v>0</v>
          </cell>
          <cell r="AT68">
            <v>0</v>
          </cell>
          <cell r="AU68">
            <v>967855</v>
          </cell>
          <cell r="AV68">
            <v>6151855</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329649599</v>
          </cell>
          <cell r="V69">
            <v>0</v>
          </cell>
          <cell r="W69">
            <v>0</v>
          </cell>
          <cell r="X69">
            <v>0</v>
          </cell>
          <cell r="Y69">
            <v>0</v>
          </cell>
          <cell r="Z69">
            <v>0</v>
          </cell>
          <cell r="AA69">
            <v>0</v>
          </cell>
          <cell r="AB69">
            <v>0</v>
          </cell>
          <cell r="AC69">
            <v>0</v>
          </cell>
          <cell r="AD69">
            <v>0</v>
          </cell>
          <cell r="AE69">
            <v>0</v>
          </cell>
          <cell r="AF69">
            <v>0</v>
          </cell>
          <cell r="AG69">
            <v>329649599</v>
          </cell>
          <cell r="AH69">
            <v>329649599</v>
          </cell>
          <cell r="AI69">
            <v>6489761</v>
          </cell>
          <cell r="AJ69">
            <v>0</v>
          </cell>
          <cell r="AK69">
            <v>0</v>
          </cell>
          <cell r="AL69">
            <v>0</v>
          </cell>
          <cell r="AM69">
            <v>0</v>
          </cell>
          <cell r="AN69">
            <v>0</v>
          </cell>
          <cell r="AO69">
            <v>0</v>
          </cell>
          <cell r="AP69">
            <v>0</v>
          </cell>
          <cell r="AQ69">
            <v>0</v>
          </cell>
          <cell r="AR69">
            <v>0</v>
          </cell>
          <cell r="AS69">
            <v>0</v>
          </cell>
          <cell r="AT69">
            <v>0</v>
          </cell>
          <cell r="AU69">
            <v>6489761</v>
          </cell>
          <cell r="AV69">
            <v>336139360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117982156</v>
          </cell>
          <cell r="V70">
            <v>0</v>
          </cell>
          <cell r="W70">
            <v>0</v>
          </cell>
          <cell r="X70">
            <v>0</v>
          </cell>
          <cell r="Y70">
            <v>0</v>
          </cell>
          <cell r="Z70">
            <v>0</v>
          </cell>
          <cell r="AA70">
            <v>0</v>
          </cell>
          <cell r="AB70">
            <v>0</v>
          </cell>
          <cell r="AC70">
            <v>0</v>
          </cell>
          <cell r="AD70">
            <v>0</v>
          </cell>
          <cell r="AE70">
            <v>0</v>
          </cell>
          <cell r="AF70">
            <v>0</v>
          </cell>
          <cell r="AG70">
            <v>117982156</v>
          </cell>
          <cell r="AH70">
            <v>117982156</v>
          </cell>
          <cell r="AI70">
            <v>4541664</v>
          </cell>
          <cell r="AJ70">
            <v>0</v>
          </cell>
          <cell r="AK70">
            <v>0</v>
          </cell>
          <cell r="AL70">
            <v>0</v>
          </cell>
          <cell r="AM70">
            <v>0</v>
          </cell>
          <cell r="AN70">
            <v>0</v>
          </cell>
          <cell r="AO70">
            <v>0</v>
          </cell>
          <cell r="AP70">
            <v>0</v>
          </cell>
          <cell r="AQ70">
            <v>0</v>
          </cell>
          <cell r="AR70">
            <v>0</v>
          </cell>
          <cell r="AS70">
            <v>0</v>
          </cell>
          <cell r="AT70">
            <v>0</v>
          </cell>
          <cell r="AU70">
            <v>4541664</v>
          </cell>
          <cell r="AV70">
            <v>122523820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80000</v>
          </cell>
          <cell r="X71">
            <v>2530000</v>
          </cell>
          <cell r="Y71">
            <v>0</v>
          </cell>
          <cell r="Z71">
            <v>0</v>
          </cell>
          <cell r="AA71">
            <v>0</v>
          </cell>
          <cell r="AB71">
            <v>2888000</v>
          </cell>
          <cell r="AC71">
            <v>80000</v>
          </cell>
          <cell r="AD71">
            <v>570000</v>
          </cell>
          <cell r="AE71">
            <v>0</v>
          </cell>
          <cell r="AF71">
            <v>0</v>
          </cell>
          <cell r="AG71">
            <v>6148000</v>
          </cell>
          <cell r="AH71">
            <v>6148000</v>
          </cell>
          <cell r="AI71">
            <v>0</v>
          </cell>
          <cell r="AJ71">
            <v>10704000</v>
          </cell>
          <cell r="AK71">
            <v>0</v>
          </cell>
          <cell r="AL71">
            <v>0</v>
          </cell>
          <cell r="AM71">
            <v>0</v>
          </cell>
          <cell r="AN71">
            <v>0</v>
          </cell>
          <cell r="AO71">
            <v>0</v>
          </cell>
          <cell r="AP71">
            <v>1290000</v>
          </cell>
          <cell r="AQ71">
            <v>70000</v>
          </cell>
          <cell r="AR71">
            <v>0</v>
          </cell>
          <cell r="AS71">
            <v>340000</v>
          </cell>
          <cell r="AT71">
            <v>0</v>
          </cell>
          <cell r="AU71">
            <v>12404000</v>
          </cell>
          <cell r="AV71">
            <v>18552000</v>
          </cell>
        </row>
        <row r="72">
          <cell r="A72">
            <v>7374009</v>
          </cell>
          <cell r="B72" t="str">
            <v>هزينه تلفن -تلكس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14774045</v>
          </cell>
          <cell r="AE72">
            <v>0</v>
          </cell>
          <cell r="AF72">
            <v>0</v>
          </cell>
          <cell r="AG72">
            <v>14774045</v>
          </cell>
          <cell r="AH72">
            <v>14774045</v>
          </cell>
          <cell r="AI72">
            <v>3356718</v>
          </cell>
          <cell r="AJ72">
            <v>2087624</v>
          </cell>
          <cell r="AK72">
            <v>0</v>
          </cell>
          <cell r="AL72">
            <v>0</v>
          </cell>
          <cell r="AM72">
            <v>0</v>
          </cell>
          <cell r="AN72">
            <v>0</v>
          </cell>
          <cell r="AO72">
            <v>0</v>
          </cell>
          <cell r="AP72">
            <v>0</v>
          </cell>
          <cell r="AQ72">
            <v>0</v>
          </cell>
          <cell r="AR72">
            <v>0</v>
          </cell>
          <cell r="AS72">
            <v>0</v>
          </cell>
          <cell r="AT72">
            <v>0</v>
          </cell>
          <cell r="AU72">
            <v>5444342</v>
          </cell>
          <cell r="AV72">
            <v>20218387</v>
          </cell>
        </row>
        <row r="73">
          <cell r="A73">
            <v>7377000</v>
          </cell>
          <cell r="B73" t="str">
            <v>هزينه مميزي    ISO</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row>
        <row r="74">
          <cell r="A74">
            <v>7375000</v>
          </cell>
          <cell r="B74" t="str">
            <v xml:space="preserve"> هزينه كارشناسان رسمي</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10800000</v>
          </cell>
          <cell r="AE74">
            <v>0</v>
          </cell>
          <cell r="AF74">
            <v>0</v>
          </cell>
          <cell r="AG74">
            <v>10800000</v>
          </cell>
          <cell r="AH74">
            <v>10800000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10800000</v>
          </cell>
        </row>
        <row r="75">
          <cell r="A75">
            <v>7378000</v>
          </cell>
          <cell r="B75" t="str">
            <v>هزينه آگهي</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32040000</v>
          </cell>
          <cell r="AE75">
            <v>0</v>
          </cell>
          <cell r="AF75">
            <v>0</v>
          </cell>
          <cell r="AG75">
            <v>32040000</v>
          </cell>
          <cell r="AH75">
            <v>32040000</v>
          </cell>
          <cell r="AI75">
            <v>0</v>
          </cell>
          <cell r="AJ75">
            <v>0</v>
          </cell>
          <cell r="AK75">
            <v>0</v>
          </cell>
          <cell r="AL75">
            <v>0</v>
          </cell>
          <cell r="AM75">
            <v>0</v>
          </cell>
          <cell r="AN75">
            <v>41220000</v>
          </cell>
          <cell r="AO75">
            <v>0</v>
          </cell>
          <cell r="AP75">
            <v>0</v>
          </cell>
          <cell r="AQ75">
            <v>0</v>
          </cell>
          <cell r="AR75">
            <v>0</v>
          </cell>
          <cell r="AS75">
            <v>0</v>
          </cell>
          <cell r="AT75">
            <v>0</v>
          </cell>
          <cell r="AU75">
            <v>41220000</v>
          </cell>
          <cell r="AV75">
            <v>73260000</v>
          </cell>
        </row>
        <row r="76">
          <cell r="A76">
            <v>7379000</v>
          </cell>
          <cell r="B76" t="str">
            <v>هزينه انتشارات</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20000000</v>
          </cell>
          <cell r="AJ76">
            <v>4311200</v>
          </cell>
          <cell r="AK76">
            <v>0</v>
          </cell>
          <cell r="AL76">
            <v>0</v>
          </cell>
          <cell r="AM76">
            <v>0</v>
          </cell>
          <cell r="AN76">
            <v>0</v>
          </cell>
          <cell r="AO76">
            <v>0</v>
          </cell>
          <cell r="AP76">
            <v>0</v>
          </cell>
          <cell r="AQ76">
            <v>0</v>
          </cell>
          <cell r="AR76">
            <v>0</v>
          </cell>
          <cell r="AS76">
            <v>0</v>
          </cell>
          <cell r="AT76">
            <v>33500000</v>
          </cell>
          <cell r="AU76">
            <v>57811200</v>
          </cell>
          <cell r="AV76">
            <v>57811200</v>
          </cell>
        </row>
        <row r="77">
          <cell r="A77">
            <v>7601001</v>
          </cell>
          <cell r="B77" t="str">
            <v xml:space="preserve"> سودوكارمزدتسهيلات مالي وسايرخدمات بانكي</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row>
        <row r="78">
          <cell r="A78">
            <v>7602000</v>
          </cell>
          <cell r="B78" t="str">
            <v xml:space="preserve"> هزينه تمبرسفته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row>
        <row r="79">
          <cell r="A79">
            <v>7602001</v>
          </cell>
          <cell r="B79" t="str">
            <v xml:space="preserve"> هزينه تمبرسفته</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7698001</v>
          </cell>
          <cell r="B80" t="str">
            <v xml:space="preserve"> سايرهزينه هاي تامين مالي</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7704000</v>
          </cell>
          <cell r="B81" t="str">
            <v xml:space="preserve"> هزينه جرائم دولتي</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row>
        <row r="82">
          <cell r="A82">
            <v>7380010</v>
          </cell>
          <cell r="B82" t="str">
            <v>هزينه بيمه مسئوليت مدني کارفرما</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row>
        <row r="83">
          <cell r="A83" t="str">
            <v>جمع هزینه های عملیاتی</v>
          </cell>
          <cell r="C83">
            <v>0</v>
          </cell>
          <cell r="D83">
            <v>79416758</v>
          </cell>
          <cell r="E83">
            <v>151193059</v>
          </cell>
          <cell r="F83">
            <v>74794174</v>
          </cell>
          <cell r="G83">
            <v>115613759</v>
          </cell>
          <cell r="H83">
            <v>12784900</v>
          </cell>
          <cell r="I83">
            <v>85446108</v>
          </cell>
          <cell r="J83">
            <v>9014702</v>
          </cell>
          <cell r="K83">
            <v>12678822</v>
          </cell>
          <cell r="L83">
            <v>0</v>
          </cell>
          <cell r="M83">
            <v>0</v>
          </cell>
          <cell r="N83">
            <v>104505855</v>
          </cell>
          <cell r="O83">
            <v>3188404</v>
          </cell>
          <cell r="P83">
            <v>7710540</v>
          </cell>
          <cell r="Q83">
            <v>72830152</v>
          </cell>
          <cell r="R83">
            <v>729177233</v>
          </cell>
          <cell r="S83">
            <v>2278005</v>
          </cell>
          <cell r="T83">
            <v>92181015</v>
          </cell>
          <cell r="U83">
            <v>1538070304</v>
          </cell>
          <cell r="V83">
            <v>81893416</v>
          </cell>
          <cell r="W83">
            <v>606665591</v>
          </cell>
          <cell r="X83">
            <v>247099547</v>
          </cell>
          <cell r="Y83">
            <v>27743754</v>
          </cell>
          <cell r="Z83">
            <v>5212950</v>
          </cell>
          <cell r="AA83">
            <v>2910884</v>
          </cell>
          <cell r="AB83">
            <v>56025753</v>
          </cell>
          <cell r="AC83">
            <v>33951377</v>
          </cell>
          <cell r="AD83">
            <v>1022608932</v>
          </cell>
          <cell r="AE83">
            <v>13639400</v>
          </cell>
          <cell r="AF83">
            <v>13720000</v>
          </cell>
          <cell r="AG83">
            <v>3744000928</v>
          </cell>
          <cell r="AH83">
            <v>4473178161</v>
          </cell>
          <cell r="AI83">
            <v>3222608420</v>
          </cell>
          <cell r="AJ83">
            <v>574248399</v>
          </cell>
          <cell r="AK83">
            <v>742817943</v>
          </cell>
          <cell r="AL83">
            <v>7891824</v>
          </cell>
          <cell r="AM83">
            <v>0</v>
          </cell>
          <cell r="AN83">
            <v>996655762</v>
          </cell>
          <cell r="AO83">
            <v>133377801</v>
          </cell>
          <cell r="AP83">
            <v>42143249</v>
          </cell>
          <cell r="AQ83">
            <v>110172291</v>
          </cell>
          <cell r="AR83">
            <v>15695808</v>
          </cell>
          <cell r="AS83">
            <v>39253183</v>
          </cell>
          <cell r="AT83">
            <v>178687987</v>
          </cell>
          <cell r="AU83">
            <v>6063552667</v>
          </cell>
          <cell r="AV83">
            <v>10536730828</v>
          </cell>
        </row>
        <row r="84">
          <cell r="A84">
            <v>7400000</v>
          </cell>
          <cell r="B84" t="str">
            <v>هزينه استهلاك دارائيهاي ثابت</v>
          </cell>
          <cell r="C84">
            <v>90088329</v>
          </cell>
          <cell r="D84">
            <v>12503387</v>
          </cell>
          <cell r="E84">
            <v>7928526</v>
          </cell>
          <cell r="F84">
            <v>1683202</v>
          </cell>
          <cell r="G84">
            <v>4550834</v>
          </cell>
          <cell r="H84">
            <v>89681455</v>
          </cell>
          <cell r="I84">
            <v>123764044</v>
          </cell>
          <cell r="J84">
            <v>38224485</v>
          </cell>
          <cell r="K84">
            <v>39912285</v>
          </cell>
          <cell r="L84">
            <v>0</v>
          </cell>
          <cell r="M84">
            <v>204748</v>
          </cell>
          <cell r="N84">
            <v>203607014</v>
          </cell>
          <cell r="O84">
            <v>285614022</v>
          </cell>
          <cell r="P84">
            <v>164034083</v>
          </cell>
          <cell r="Q84">
            <v>519587427</v>
          </cell>
          <cell r="R84">
            <v>1581383841</v>
          </cell>
          <cell r="S84">
            <v>4566023</v>
          </cell>
          <cell r="T84">
            <v>78024870</v>
          </cell>
          <cell r="U84">
            <v>934462861</v>
          </cell>
          <cell r="V84">
            <v>1182942491</v>
          </cell>
          <cell r="W84">
            <v>640359422</v>
          </cell>
          <cell r="X84">
            <v>116124377</v>
          </cell>
          <cell r="Y84">
            <v>33012663</v>
          </cell>
          <cell r="Z84">
            <v>5220561</v>
          </cell>
          <cell r="AA84">
            <v>0</v>
          </cell>
          <cell r="AB84">
            <v>10397284</v>
          </cell>
          <cell r="AC84">
            <v>10789174</v>
          </cell>
          <cell r="AD84">
            <v>27931874</v>
          </cell>
          <cell r="AE84">
            <v>14635036</v>
          </cell>
          <cell r="AF84">
            <v>1410931</v>
          </cell>
          <cell r="AG84">
            <v>3059877567</v>
          </cell>
          <cell r="AH84">
            <v>4641261408</v>
          </cell>
          <cell r="AI84">
            <v>306650502</v>
          </cell>
          <cell r="AJ84">
            <v>78436360</v>
          </cell>
          <cell r="AK84">
            <v>117154371</v>
          </cell>
          <cell r="AL84">
            <v>7630432</v>
          </cell>
          <cell r="AM84">
            <v>0</v>
          </cell>
          <cell r="AN84">
            <v>0</v>
          </cell>
          <cell r="AO84">
            <v>16567401</v>
          </cell>
          <cell r="AP84">
            <v>12473013</v>
          </cell>
          <cell r="AQ84">
            <v>9884953</v>
          </cell>
          <cell r="AR84">
            <v>549495</v>
          </cell>
          <cell r="AS84">
            <v>3589072</v>
          </cell>
          <cell r="AT84">
            <v>32578746</v>
          </cell>
          <cell r="AU84">
            <v>585514345</v>
          </cell>
          <cell r="AV84">
            <v>5226775753</v>
          </cell>
        </row>
        <row r="85">
          <cell r="A85" t="str">
            <v xml:space="preserve">جمع استهلاک </v>
          </cell>
          <cell r="C85">
            <v>90088329</v>
          </cell>
          <cell r="D85">
            <v>12503387</v>
          </cell>
          <cell r="E85">
            <v>7928526</v>
          </cell>
          <cell r="F85">
            <v>1683202</v>
          </cell>
          <cell r="G85">
            <v>4550834</v>
          </cell>
          <cell r="H85">
            <v>89681455</v>
          </cell>
          <cell r="I85">
            <v>123764044</v>
          </cell>
          <cell r="J85">
            <v>38224485</v>
          </cell>
          <cell r="K85">
            <v>39912285</v>
          </cell>
          <cell r="L85">
            <v>0</v>
          </cell>
          <cell r="M85">
            <v>204748</v>
          </cell>
          <cell r="N85">
            <v>203607014</v>
          </cell>
          <cell r="O85">
            <v>285614022</v>
          </cell>
          <cell r="P85">
            <v>164034083</v>
          </cell>
          <cell r="Q85">
            <v>519587427</v>
          </cell>
          <cell r="R85">
            <v>1581383841</v>
          </cell>
          <cell r="S85">
            <v>4566023</v>
          </cell>
          <cell r="T85">
            <v>78024870</v>
          </cell>
          <cell r="U85">
            <v>934462861</v>
          </cell>
          <cell r="V85">
            <v>1182942491</v>
          </cell>
          <cell r="W85">
            <v>640359422</v>
          </cell>
          <cell r="X85">
            <v>116124377</v>
          </cell>
          <cell r="Y85">
            <v>33012663</v>
          </cell>
          <cell r="Z85">
            <v>5220561</v>
          </cell>
          <cell r="AA85">
            <v>0</v>
          </cell>
          <cell r="AB85">
            <v>10397284</v>
          </cell>
          <cell r="AC85">
            <v>10789174</v>
          </cell>
          <cell r="AD85">
            <v>27931874</v>
          </cell>
          <cell r="AE85">
            <v>14635036</v>
          </cell>
          <cell r="AF85">
            <v>1410931</v>
          </cell>
          <cell r="AG85">
            <v>3059877567</v>
          </cell>
          <cell r="AH85">
            <v>4641261408</v>
          </cell>
          <cell r="AI85">
            <v>306650502</v>
          </cell>
          <cell r="AJ85">
            <v>78436360</v>
          </cell>
          <cell r="AK85">
            <v>117154371</v>
          </cell>
          <cell r="AL85">
            <v>7630432</v>
          </cell>
          <cell r="AM85">
            <v>0</v>
          </cell>
          <cell r="AN85">
            <v>0</v>
          </cell>
          <cell r="AO85">
            <v>16567401</v>
          </cell>
          <cell r="AP85">
            <v>12473013</v>
          </cell>
          <cell r="AQ85">
            <v>9884953</v>
          </cell>
          <cell r="AR85">
            <v>549495</v>
          </cell>
          <cell r="AS85">
            <v>3589072</v>
          </cell>
          <cell r="AT85">
            <v>32578746</v>
          </cell>
          <cell r="AU85">
            <v>585514345</v>
          </cell>
          <cell r="AV85">
            <v>5226775753</v>
          </cell>
        </row>
        <row r="86">
          <cell r="A86" t="str">
            <v>جمع سربار</v>
          </cell>
          <cell r="C86">
            <v>99858454</v>
          </cell>
          <cell r="D86">
            <v>133487517</v>
          </cell>
          <cell r="E86">
            <v>199794867</v>
          </cell>
          <cell r="F86">
            <v>104413208</v>
          </cell>
          <cell r="G86">
            <v>177846397</v>
          </cell>
          <cell r="H86">
            <v>122545387</v>
          </cell>
          <cell r="I86">
            <v>287832443</v>
          </cell>
          <cell r="J86">
            <v>86252023</v>
          </cell>
          <cell r="K86">
            <v>72500644</v>
          </cell>
          <cell r="L86">
            <v>0</v>
          </cell>
          <cell r="M86">
            <v>11158342</v>
          </cell>
          <cell r="N86">
            <v>383184318</v>
          </cell>
          <cell r="O86">
            <v>298102426</v>
          </cell>
          <cell r="P86">
            <v>178644623</v>
          </cell>
          <cell r="Q86">
            <v>617477654</v>
          </cell>
          <cell r="R86">
            <v>2773098303</v>
          </cell>
          <cell r="S86">
            <v>32746684</v>
          </cell>
          <cell r="T86">
            <v>319604675</v>
          </cell>
          <cell r="U86">
            <v>2643474707</v>
          </cell>
          <cell r="V86">
            <v>1298857709</v>
          </cell>
          <cell r="W86">
            <v>1468662298</v>
          </cell>
          <cell r="X86">
            <v>464211778</v>
          </cell>
          <cell r="Y86">
            <v>72658382</v>
          </cell>
          <cell r="Z86">
            <v>71967685</v>
          </cell>
          <cell r="AA86">
            <v>5660916</v>
          </cell>
          <cell r="AB86">
            <v>131831829</v>
          </cell>
          <cell r="AC86">
            <v>75084842</v>
          </cell>
          <cell r="AD86">
            <v>1283601268</v>
          </cell>
          <cell r="AE86">
            <v>1656913981</v>
          </cell>
          <cell r="AF86">
            <v>1231543311</v>
          </cell>
          <cell r="AG86">
            <v>10756820065</v>
          </cell>
          <cell r="AH86">
            <v>13529918368</v>
          </cell>
          <cell r="AI86">
            <v>4317042141</v>
          </cell>
          <cell r="AJ86">
            <v>893556376</v>
          </cell>
          <cell r="AK86">
            <v>926592109</v>
          </cell>
          <cell r="AL86">
            <v>20267256</v>
          </cell>
          <cell r="AM86">
            <v>14557872</v>
          </cell>
          <cell r="AN86">
            <v>996655762</v>
          </cell>
          <cell r="AO86">
            <v>189918777</v>
          </cell>
          <cell r="AP86">
            <v>260937342</v>
          </cell>
          <cell r="AQ86">
            <v>174723065</v>
          </cell>
          <cell r="AR86">
            <v>39541303</v>
          </cell>
          <cell r="AS86">
            <v>58741803</v>
          </cell>
          <cell r="AT86">
            <v>406995516</v>
          </cell>
          <cell r="AU86">
            <v>8299529322</v>
          </cell>
          <cell r="AV86">
            <v>21829447690</v>
          </cell>
        </row>
        <row r="87">
          <cell r="A87" t="str">
            <v xml:space="preserve">جمع کل </v>
          </cell>
          <cell r="C87">
            <v>158987358</v>
          </cell>
          <cell r="D87">
            <v>5986175285</v>
          </cell>
          <cell r="E87">
            <v>14905237061</v>
          </cell>
          <cell r="F87">
            <v>6393167296</v>
          </cell>
          <cell r="G87">
            <v>56562142248</v>
          </cell>
          <cell r="H87">
            <v>1473840813</v>
          </cell>
          <cell r="I87">
            <v>7993436626</v>
          </cell>
          <cell r="J87">
            <v>7907928880</v>
          </cell>
          <cell r="K87">
            <v>1851817176</v>
          </cell>
          <cell r="L87">
            <v>0</v>
          </cell>
          <cell r="M87">
            <v>151679797</v>
          </cell>
          <cell r="N87">
            <v>862817144</v>
          </cell>
          <cell r="O87">
            <v>13618262278</v>
          </cell>
          <cell r="P87">
            <v>1260091500</v>
          </cell>
          <cell r="Q87">
            <v>4416138087</v>
          </cell>
          <cell r="R87">
            <v>123541721549</v>
          </cell>
          <cell r="S87">
            <v>295273661</v>
          </cell>
          <cell r="T87">
            <v>1112630900</v>
          </cell>
          <cell r="U87">
            <v>4614163208</v>
          </cell>
          <cell r="V87">
            <v>1544667444</v>
          </cell>
          <cell r="W87">
            <v>3658452507</v>
          </cell>
          <cell r="X87">
            <v>1216874402</v>
          </cell>
          <cell r="Y87">
            <v>163576693</v>
          </cell>
          <cell r="Z87">
            <v>447930287</v>
          </cell>
          <cell r="AA87">
            <v>34484754</v>
          </cell>
          <cell r="AB87">
            <v>727855642</v>
          </cell>
          <cell r="AC87">
            <v>449174018</v>
          </cell>
          <cell r="AD87">
            <v>1790899612</v>
          </cell>
          <cell r="AE87">
            <v>1656913981</v>
          </cell>
          <cell r="AF87">
            <v>1265979598</v>
          </cell>
          <cell r="AG87">
            <v>18978876707</v>
          </cell>
          <cell r="AH87">
            <v>21751975010</v>
          </cell>
          <cell r="AI87">
            <v>6206042722</v>
          </cell>
          <cell r="AJ87">
            <v>1451347409</v>
          </cell>
          <cell r="AK87">
            <v>1496914693</v>
          </cell>
          <cell r="AL87">
            <v>20267256</v>
          </cell>
          <cell r="AM87">
            <v>176764251</v>
          </cell>
          <cell r="AN87">
            <v>996655762</v>
          </cell>
          <cell r="AO87">
            <v>428021821</v>
          </cell>
          <cell r="AP87">
            <v>1196988501</v>
          </cell>
          <cell r="AQ87">
            <v>465807300</v>
          </cell>
          <cell r="AR87">
            <v>46041303</v>
          </cell>
          <cell r="AS87">
            <v>165253053</v>
          </cell>
          <cell r="AT87">
            <v>1191481305</v>
          </cell>
          <cell r="AU87">
            <v>13841585376</v>
          </cell>
          <cell r="AV87">
            <v>156362183632</v>
          </cell>
        </row>
      </sheetData>
      <sheetData sheetId="18"/>
      <sheetData sheetId="19"/>
      <sheetData sheetId="20"/>
      <sheetData sheetId="21"/>
      <sheetData sheetId="22"/>
      <sheetData sheetId="23"/>
      <sheetData sheetId="24"/>
      <sheetData sheetId="25"/>
      <sheetData sheetId="26">
        <row r="92">
          <cell r="D92">
            <v>19001798</v>
          </cell>
        </row>
      </sheetData>
      <sheetData sheetId="27">
        <row r="92">
          <cell r="I92">
            <v>548078.92384783155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2)"/>
    </sheetNames>
    <sheetDataSet>
      <sheetData sheetId="0"/>
      <sheetData sheetId="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BASE"/>
      <sheetName val="BudgetDB"/>
      <sheetName val="روکش"/>
      <sheetName val="First"/>
      <sheetName val="در یک نگاه"/>
      <sheetName val="الف-ب-ج"/>
      <sheetName val="کلیات"/>
      <sheetName val="اقدامات تکالیف بودجه"/>
      <sheetName val="اقدامات تکالیف مجمع"/>
      <sheetName val="میزان اجرای برنامه"/>
      <sheetName val="مصوبات هیات مدیره"/>
      <sheetName val="اهم اقدامات"/>
      <sheetName val="صورتخلاصه درآمد آزادراه"/>
      <sheetName val="صورتخلاصه درآمد"/>
      <sheetName val="فروش داخلی تولیدی"/>
      <sheetName val="فروش B2B"/>
      <sheetName val="فروش پخش"/>
      <sheetName val="فروش داخلی تجاری"/>
      <sheetName val="عوارض"/>
      <sheetName val="واردات"/>
      <sheetName val="صادرات"/>
      <sheetName val="درآمد خدمات آزادراهی"/>
      <sheetName val="جدول فروش خدمات"/>
      <sheetName val="درآمد خدمات"/>
      <sheetName val="درآمد صادرات"/>
      <sheetName val="گردش سهام"/>
      <sheetName val="سود سهام "/>
      <sheetName val="مقادیر تولید"/>
      <sheetName val="مستندات تولید"/>
      <sheetName val="گردش محصول تولیدی"/>
      <sheetName val="خرید مواد اولیه تولید"/>
      <sheetName val="هزینه پرسنلی مستقیم تولید"/>
      <sheetName val="هزینه پرسنلی غیرمستقیم تولید"/>
      <sheetName val="هزینه سربار تولید"/>
      <sheetName val="بهای تمام شده تولید"/>
      <sheetName val="مقادیر مصرف مواد"/>
      <sheetName val="مقادیر خدمات آزادراهی"/>
      <sheetName val="خرید اقلام خدمات آزادراهی"/>
      <sheetName val="هزینه پرسنلی مستقیم خدمات 2"/>
      <sheetName val="هزینه پرسنلی غیرمستقیم خدمات 2"/>
      <sheetName val="هزینه سربار خدمات آزادراهی"/>
      <sheetName val="بهای خدمات آزادراهی"/>
      <sheetName val="مقادیر خدمات"/>
      <sheetName val="خرید اقلام خدمات"/>
      <sheetName val="تعداد پرسنل"/>
      <sheetName val="هزینه پرسنلی مستقیم خدمات"/>
      <sheetName val="هزینه پرسنلی غیرمستقیم خدمات"/>
      <sheetName val="هزینه سربار خدمات"/>
      <sheetName val="بهای خدمات"/>
      <sheetName val="نگهداری آزادراه"/>
      <sheetName val="بهره برداری آزادراه"/>
      <sheetName val="بهسازی آزادراه"/>
      <sheetName val="خرید کالای تجاری"/>
      <sheetName val="بهای کالای تجاری"/>
      <sheetName val="تعداد پرسنل آزادراه (2)"/>
      <sheetName val="تعداد پرسنل آزادراه"/>
      <sheetName val="صورت وضعیت مالی آزادراه"/>
      <sheetName val="هزینه اداری عمومی"/>
      <sheetName val="سایر عملیاتی"/>
      <sheetName val="سایر غیرعملیاتی"/>
      <sheetName val="صورت سود و زیان"/>
      <sheetName val="صورت سود و زیان - شرکت اصلی"/>
      <sheetName val="صورت وضعیت مالی "/>
      <sheetName val="صورت وضعیت مالی - شرکت اصلی"/>
      <sheetName val="اقلام عمده حسابها آزادراه"/>
      <sheetName val="اقلام عمده حسابها "/>
      <sheetName val="درآمد هزینه آزادراه"/>
      <sheetName val="صورت جریان وجوه نقد آزادراه"/>
      <sheetName val="صورت جریان وجوه نقد "/>
      <sheetName val="صورت جریان وجوه نقد - شرکت اصلی"/>
      <sheetName val="دریافت پرداخت نقد آزادراه"/>
      <sheetName val="دریافت پرداخت"/>
      <sheetName val="سود ناویژه محصول تولیدی"/>
      <sheetName val=" سود ناویژه کالای تجاری"/>
      <sheetName val="سود ناویژه صادراتی"/>
      <sheetName val="سود ناویژه خدمات آزادراهی"/>
      <sheetName val="هزینه اداری عمومی آزادراه"/>
      <sheetName val="دارایی آزادراه"/>
      <sheetName val="دارایی"/>
      <sheetName val="موجودی مواد و کالا"/>
      <sheetName val="موجودی مواد و کالا آزادراهی"/>
      <sheetName val="سایر عملیاتی آزادراهی"/>
      <sheetName val="سایر غیرعملیاتی آزادراهی"/>
      <sheetName val="سود ناویژه خدمات"/>
      <sheetName val="تسهیلات"/>
      <sheetName val="حقوقی"/>
      <sheetName val="مزایده-مناقصه"/>
      <sheetName val="استهلاک سرمایه گذاری"/>
      <sheetName val="روابط عمومی"/>
      <sheetName val="پروژه ها"/>
      <sheetName val="ریزشعب انبار"/>
      <sheetName val="ماشین آلات "/>
      <sheetName val="ظرفیت انبارها"/>
      <sheetName val="جدول درآمد-هزینه-سود شرکتها"/>
      <sheetName val="خلاصه وضعیت پروازی ناوگان"/>
      <sheetName val="درآمد فروش بليط داخلی"/>
      <sheetName val="درآمد فروش بليط خارجی"/>
      <sheetName val="سوخت"/>
      <sheetName val="کترینگ"/>
      <sheetName val="هندلینگ"/>
      <sheetName val="خدمات فرودگاهی"/>
      <sheetName val="اطلاعات واحدها"/>
      <sheetName val="ریز فروشگاه ها"/>
      <sheetName val="پایان"/>
      <sheetName val="اصلاحات"/>
      <sheetName val="تغییر در فرمول بودجه و اصلی"/>
      <sheetName val="ابهامات"/>
    </sheetNames>
    <sheetDataSet>
      <sheetData sheetId="0"/>
      <sheetData sheetId="1"/>
      <sheetData sheetId="2">
        <row r="9">
          <cell r="F9" t="str">
            <v>شش ماهه</v>
          </cell>
        </row>
      </sheetData>
      <sheetData sheetId="3"/>
      <sheetData sheetId="4"/>
      <sheetData sheetId="5">
        <row r="9">
          <cell r="L9">
            <v>247</v>
          </cell>
          <cell r="M9">
            <v>2</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it" refreshedDate="46299.546692708333" createdVersion="6" refreshedVersion="6" minRefreshableVersion="3" recordCount="60" xr:uid="{00000000-000A-0000-FFFF-FFFF04000000}">
  <cacheSource type="worksheet">
    <worksheetSource name="Table2"/>
  </cacheSource>
  <cacheFields count="3">
    <cacheField name="نام شرکت" numFmtId="0">
      <sharedItems count="29">
        <s v="انبارهای عمومی و خدمات گمرکی ایران"/>
        <s v="آپاداناسرام"/>
        <s v="آرین پارسه کیش"/>
        <s v="آزادراه تبریز ارومیه"/>
        <s v="آزادراه شرق سپاهان"/>
        <s v="بازرگانی پدیده نیکان صبا"/>
        <s v="بازرگانی جبل دماوند صبا"/>
        <s v="توسعه دهکده آبدرمانی محلات"/>
        <s v="تولیدی تجهیزات ایمنی راه‌ها"/>
        <s v="خدمات هوایی کشور - آسمان"/>
        <s v="سرمایه‌گذاری ایرانگردی و جهانگردی"/>
        <s v="سرمایه‌گذاری گروه صنعتی ملی"/>
        <s v="سیمان یاسوج"/>
        <s v="صدر معادن ایرانیان"/>
        <s v="صنایع شیر ایران"/>
        <s v="صنایع کاغذسازی قائمشهر"/>
        <s v="گلف اجنسی ایران"/>
        <s v="مجتمع معادن مس تکنار"/>
        <s v="خدمات مسافرت هوایی، گردشگری و زیارتی پرشین گلف" u="1"/>
        <s v="تولیدی تجهیزات ایمنی راهها" u="1"/>
        <s v="کاوشگران بازار سرمایه" u="1"/>
        <s v="آزادراه امیرکبیر" u="1"/>
        <s v="تجارت الکترونیک پیشگامان آتیه صبا" u="1"/>
        <s v="حمل و نقل جاده ای داخلی فجر جهاد" u="1"/>
        <s v="راهکار هوشمند صبا" u="1"/>
        <s v="سرمایه گذاری گروه صنعتی ملی" u="1"/>
        <s v="سرمایه گذاری ایرانگردی و جهانگردی" u="1"/>
        <s v="هواپیمایی چابهار" u="1"/>
        <s v="آزادراه تبریز - ارومیه" u="1"/>
      </sharedItems>
    </cacheField>
    <cacheField name="درآمدها" numFmtId="0">
      <sharedItems count="17">
        <s v="ارائه خدمات"/>
        <s v="عمومی خاص"/>
        <s v="تلفیق"/>
        <s v="انبار"/>
        <s v="فروش محصول تولیدی"/>
        <s v="صادرات"/>
        <s v="آزادراه"/>
        <s v="فروش کالای تجاری"/>
        <s v="آسمان"/>
        <s v="ایرانگردی"/>
        <s v="ملی"/>
        <s v="سیمان"/>
        <s v="مس"/>
        <s v="شیر"/>
        <s v="سرمایه گذاری" u="1"/>
        <s v="صادرات کالای تجاری" u="1"/>
        <s v="صادرات محصول تولیدی" u="1"/>
      </sharedItems>
    </cacheField>
    <cacheField name="رنگ" numFmtId="0">
      <sharedItems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e v="#N/A"/>
  </r>
  <r>
    <x v="0"/>
    <x v="1"/>
    <e v="#N/A"/>
  </r>
  <r>
    <x v="0"/>
    <x v="2"/>
    <e v="#N/A"/>
  </r>
  <r>
    <x v="0"/>
    <x v="3"/>
    <m/>
  </r>
  <r>
    <x v="1"/>
    <x v="4"/>
    <s v="0,176,240"/>
  </r>
  <r>
    <x v="1"/>
    <x v="5"/>
    <m/>
  </r>
  <r>
    <x v="1"/>
    <x v="1"/>
    <e v="#N/A"/>
  </r>
  <r>
    <x v="2"/>
    <x v="0"/>
    <e v="#N/A"/>
  </r>
  <r>
    <x v="2"/>
    <x v="1"/>
    <e v="#N/A"/>
  </r>
  <r>
    <x v="2"/>
    <x v="4"/>
    <s v="0,176,240"/>
  </r>
  <r>
    <x v="3"/>
    <x v="6"/>
    <e v="#N/A"/>
  </r>
  <r>
    <x v="4"/>
    <x v="6"/>
    <e v="#N/A"/>
  </r>
  <r>
    <x v="5"/>
    <x v="0"/>
    <e v="#N/A"/>
  </r>
  <r>
    <x v="5"/>
    <x v="1"/>
    <e v="#N/A"/>
  </r>
  <r>
    <x v="5"/>
    <x v="4"/>
    <s v="0,176,240"/>
  </r>
  <r>
    <x v="5"/>
    <x v="2"/>
    <e v="#N/A"/>
  </r>
  <r>
    <x v="5"/>
    <x v="7"/>
    <e v="#N/A"/>
  </r>
  <r>
    <x v="6"/>
    <x v="4"/>
    <s v="0,176,240"/>
  </r>
  <r>
    <x v="6"/>
    <x v="1"/>
    <e v="#N/A"/>
  </r>
  <r>
    <x v="6"/>
    <x v="7"/>
    <e v="#N/A"/>
  </r>
  <r>
    <x v="6"/>
    <x v="5"/>
    <e v="#N/A"/>
  </r>
  <r>
    <x v="7"/>
    <x v="0"/>
    <e v="#N/A"/>
  </r>
  <r>
    <x v="7"/>
    <x v="1"/>
    <e v="#N/A"/>
  </r>
  <r>
    <x v="7"/>
    <x v="4"/>
    <s v="0,176,240"/>
  </r>
  <r>
    <x v="8"/>
    <x v="4"/>
    <s v="0,176,240"/>
  </r>
  <r>
    <x v="8"/>
    <x v="1"/>
    <e v="#N/A"/>
  </r>
  <r>
    <x v="8"/>
    <x v="7"/>
    <e v="#N/A"/>
  </r>
  <r>
    <x v="8"/>
    <x v="0"/>
    <e v="#N/A"/>
  </r>
  <r>
    <x v="9"/>
    <x v="0"/>
    <e v="#N/A"/>
  </r>
  <r>
    <x v="9"/>
    <x v="8"/>
    <e v="#N/A"/>
  </r>
  <r>
    <x v="9"/>
    <x v="1"/>
    <e v="#N/A"/>
  </r>
  <r>
    <x v="10"/>
    <x v="0"/>
    <e v="#N/A"/>
  </r>
  <r>
    <x v="10"/>
    <x v="1"/>
    <e v="#N/A"/>
  </r>
  <r>
    <x v="10"/>
    <x v="9"/>
    <e v="#N/A"/>
  </r>
  <r>
    <x v="10"/>
    <x v="2"/>
    <e v="#N/A"/>
  </r>
  <r>
    <x v="10"/>
    <x v="4"/>
    <s v="0,176,240"/>
  </r>
  <r>
    <x v="11"/>
    <x v="7"/>
    <e v="#N/A"/>
  </r>
  <r>
    <x v="11"/>
    <x v="10"/>
    <e v="#N/A"/>
  </r>
  <r>
    <x v="11"/>
    <x v="4"/>
    <m/>
  </r>
  <r>
    <x v="11"/>
    <x v="2"/>
    <e v="#N/A"/>
  </r>
  <r>
    <x v="11"/>
    <x v="1"/>
    <e v="#N/A"/>
  </r>
  <r>
    <x v="12"/>
    <x v="4"/>
    <s v="0,176,240"/>
  </r>
  <r>
    <x v="12"/>
    <x v="11"/>
    <e v="#N/A"/>
  </r>
  <r>
    <x v="12"/>
    <x v="1"/>
    <e v="#N/A"/>
  </r>
  <r>
    <x v="12"/>
    <x v="5"/>
    <e v="#N/A"/>
  </r>
  <r>
    <x v="13"/>
    <x v="4"/>
    <s v="0,176,240"/>
  </r>
  <r>
    <x v="13"/>
    <x v="12"/>
    <e v="#N/A"/>
  </r>
  <r>
    <x v="13"/>
    <x v="1"/>
    <e v="#N/A"/>
  </r>
  <r>
    <x v="14"/>
    <x v="4"/>
    <s v="0,176,240"/>
  </r>
  <r>
    <x v="14"/>
    <x v="2"/>
    <e v="#N/A"/>
  </r>
  <r>
    <x v="14"/>
    <x v="1"/>
    <e v="#N/A"/>
  </r>
  <r>
    <x v="14"/>
    <x v="13"/>
    <e v="#N/A"/>
  </r>
  <r>
    <x v="14"/>
    <x v="5"/>
    <e v="#N/A"/>
  </r>
  <r>
    <x v="15"/>
    <x v="4"/>
    <s v="0,176,240"/>
  </r>
  <r>
    <x v="15"/>
    <x v="1"/>
    <e v="#N/A"/>
  </r>
  <r>
    <x v="16"/>
    <x v="0"/>
    <e v="#N/A"/>
  </r>
  <r>
    <x v="16"/>
    <x v="1"/>
    <e v="#N/A"/>
  </r>
  <r>
    <x v="17"/>
    <x v="12"/>
    <e v="#N/A"/>
  </r>
  <r>
    <x v="17"/>
    <x v="4"/>
    <s v="0,176,240"/>
  </r>
  <r>
    <x v="17"/>
    <x v="1"/>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8:A60" firstHeaderRow="1" firstDataRow="1" firstDataCol="1"/>
  <pivotFields count="3">
    <pivotField axis="axisRow" showAll="0">
      <items count="30">
        <item h="1" x="1"/>
        <item h="1" x="2"/>
        <item h="1" m="1" x="21"/>
        <item h="1" m="1" x="28"/>
        <item h="1" x="4"/>
        <item x="0"/>
        <item h="1" x="5"/>
        <item h="1" x="6"/>
        <item h="1" m="1" x="22"/>
        <item h="1" x="7"/>
        <item h="1" m="1" x="19"/>
        <item h="1" m="1" x="23"/>
        <item h="1" m="1" x="18"/>
        <item h="1" x="9"/>
        <item h="1" m="1" x="24"/>
        <item h="1" m="1" x="26"/>
        <item h="1" m="1" x="25"/>
        <item h="1" x="12"/>
        <item h="1" x="13"/>
        <item h="1" x="14"/>
        <item h="1" x="15"/>
        <item h="1" m="1" x="20"/>
        <item h="1" x="16"/>
        <item h="1" x="17"/>
        <item h="1" x="3"/>
        <item h="1" m="1" x="27"/>
        <item h="1" x="8"/>
        <item h="1" x="10"/>
        <item h="1" x="11"/>
        <item t="default"/>
      </items>
    </pivotField>
    <pivotField showAll="0"/>
    <pivotField showAll="0"/>
  </pivotFields>
  <rowFields count="1">
    <field x="0"/>
  </rowFields>
  <rowItems count="2">
    <i>
      <x v="5"/>
    </i>
    <i t="grand">
      <x/>
    </i>
  </rowItems>
  <colItems count="1">
    <i/>
  </colItems>
  <formats count="56">
    <format dxfId="734">
      <pivotArea type="all" dataOnly="0" outline="0" fieldPosition="0"/>
    </format>
    <format dxfId="733">
      <pivotArea field="0" type="button" dataOnly="0" labelOnly="1" outline="0" axis="axisRow" fieldPosition="0"/>
    </format>
    <format dxfId="732">
      <pivotArea dataOnly="0" labelOnly="1" fieldPosition="0">
        <references count="1">
          <reference field="0" count="0"/>
        </references>
      </pivotArea>
    </format>
    <format dxfId="731">
      <pivotArea dataOnly="0" labelOnly="1" grandRow="1" outline="0" fieldPosition="0"/>
    </format>
    <format dxfId="730">
      <pivotArea type="all" dataOnly="0" outline="0" fieldPosition="0"/>
    </format>
    <format dxfId="729">
      <pivotArea field="0" type="button" dataOnly="0" labelOnly="1" outline="0" axis="axisRow" fieldPosition="0"/>
    </format>
    <format dxfId="728">
      <pivotArea dataOnly="0" labelOnly="1" fieldPosition="0">
        <references count="1">
          <reference field="0" count="0"/>
        </references>
      </pivotArea>
    </format>
    <format dxfId="727">
      <pivotArea dataOnly="0" labelOnly="1" grandRow="1" outline="0" fieldPosition="0"/>
    </format>
    <format dxfId="726">
      <pivotArea type="all" dataOnly="0" outline="0" fieldPosition="0"/>
    </format>
    <format dxfId="725">
      <pivotArea field="0" type="button" dataOnly="0" labelOnly="1" outline="0" axis="axisRow" fieldPosition="0"/>
    </format>
    <format dxfId="724">
      <pivotArea dataOnly="0" labelOnly="1" fieldPosition="0">
        <references count="1">
          <reference field="0" count="0"/>
        </references>
      </pivotArea>
    </format>
    <format dxfId="723">
      <pivotArea dataOnly="0" labelOnly="1" grandRow="1" outline="0" fieldPosition="0"/>
    </format>
    <format dxfId="722">
      <pivotArea type="all" dataOnly="0" outline="0" fieldPosition="0"/>
    </format>
    <format dxfId="721">
      <pivotArea field="0" type="button" dataOnly="0" labelOnly="1" outline="0" axis="axisRow" fieldPosition="0"/>
    </format>
    <format dxfId="720">
      <pivotArea dataOnly="0" labelOnly="1" fieldPosition="0">
        <references count="1">
          <reference field="0" count="0"/>
        </references>
      </pivotArea>
    </format>
    <format dxfId="719">
      <pivotArea dataOnly="0" labelOnly="1" grandRow="1" outline="0" fieldPosition="0"/>
    </format>
    <format dxfId="718">
      <pivotArea type="all" dataOnly="0" outline="0" fieldPosition="0"/>
    </format>
    <format dxfId="717">
      <pivotArea field="0" type="button" dataOnly="0" labelOnly="1" outline="0" axis="axisRow" fieldPosition="0"/>
    </format>
    <format dxfId="716">
      <pivotArea dataOnly="0" labelOnly="1" fieldPosition="0">
        <references count="1">
          <reference field="0" count="0"/>
        </references>
      </pivotArea>
    </format>
    <format dxfId="715">
      <pivotArea dataOnly="0" labelOnly="1" grandRow="1" outline="0" fieldPosition="0"/>
    </format>
    <format dxfId="714">
      <pivotArea type="all" dataOnly="0" outline="0" fieldPosition="0"/>
    </format>
    <format dxfId="713">
      <pivotArea field="0" type="button" dataOnly="0" labelOnly="1" outline="0" axis="axisRow" fieldPosition="0"/>
    </format>
    <format dxfId="712">
      <pivotArea dataOnly="0" labelOnly="1" fieldPosition="0">
        <references count="1">
          <reference field="0" count="0"/>
        </references>
      </pivotArea>
    </format>
    <format dxfId="711">
      <pivotArea dataOnly="0" labelOnly="1" grandRow="1" outline="0" fieldPosition="0"/>
    </format>
    <format dxfId="710">
      <pivotArea type="all" dataOnly="0" outline="0" fieldPosition="0"/>
    </format>
    <format dxfId="709">
      <pivotArea field="0" type="button" dataOnly="0" labelOnly="1" outline="0" axis="axisRow" fieldPosition="0"/>
    </format>
    <format dxfId="708">
      <pivotArea dataOnly="0" labelOnly="1" fieldPosition="0">
        <references count="1">
          <reference field="0" count="0"/>
        </references>
      </pivotArea>
    </format>
    <format dxfId="707">
      <pivotArea dataOnly="0" labelOnly="1" grandRow="1" outline="0" fieldPosition="0"/>
    </format>
    <format dxfId="706">
      <pivotArea type="all" dataOnly="0" outline="0" fieldPosition="0"/>
    </format>
    <format dxfId="705">
      <pivotArea field="0" type="button" dataOnly="0" labelOnly="1" outline="0" axis="axisRow" fieldPosition="0"/>
    </format>
    <format dxfId="704">
      <pivotArea dataOnly="0" labelOnly="1" fieldPosition="0">
        <references count="1">
          <reference field="0" count="0"/>
        </references>
      </pivotArea>
    </format>
    <format dxfId="703">
      <pivotArea dataOnly="0" labelOnly="1" grandRow="1" outline="0" fieldPosition="0"/>
    </format>
    <format dxfId="702">
      <pivotArea type="all" dataOnly="0" outline="0" fieldPosition="0"/>
    </format>
    <format dxfId="701">
      <pivotArea field="0" type="button" dataOnly="0" labelOnly="1" outline="0" axis="axisRow" fieldPosition="0"/>
    </format>
    <format dxfId="700">
      <pivotArea dataOnly="0" labelOnly="1" fieldPosition="0">
        <references count="1">
          <reference field="0" count="0"/>
        </references>
      </pivotArea>
    </format>
    <format dxfId="699">
      <pivotArea dataOnly="0" labelOnly="1" grandRow="1" outline="0" fieldPosition="0"/>
    </format>
    <format dxfId="698">
      <pivotArea type="all" dataOnly="0" outline="0" fieldPosition="0"/>
    </format>
    <format dxfId="697">
      <pivotArea field="0" type="button" dataOnly="0" labelOnly="1" outline="0" axis="axisRow" fieldPosition="0"/>
    </format>
    <format dxfId="696">
      <pivotArea dataOnly="0" labelOnly="1" fieldPosition="0">
        <references count="1">
          <reference field="0" count="0"/>
        </references>
      </pivotArea>
    </format>
    <format dxfId="695">
      <pivotArea dataOnly="0" labelOnly="1" grandRow="1" outline="0" fieldPosition="0"/>
    </format>
    <format dxfId="694">
      <pivotArea type="all" dataOnly="0" outline="0" fieldPosition="0"/>
    </format>
    <format dxfId="693">
      <pivotArea field="0" type="button" dataOnly="0" labelOnly="1" outline="0" axis="axisRow" fieldPosition="0"/>
    </format>
    <format dxfId="692">
      <pivotArea dataOnly="0" labelOnly="1" fieldPosition="0">
        <references count="1">
          <reference field="0" count="0"/>
        </references>
      </pivotArea>
    </format>
    <format dxfId="691">
      <pivotArea dataOnly="0" labelOnly="1" grandRow="1" outline="0" fieldPosition="0"/>
    </format>
    <format dxfId="690">
      <pivotArea type="all" dataOnly="0" outline="0" fieldPosition="0"/>
    </format>
    <format dxfId="689">
      <pivotArea field="0" type="button" dataOnly="0" labelOnly="1" outline="0" axis="axisRow" fieldPosition="0"/>
    </format>
    <format dxfId="688">
      <pivotArea dataOnly="0" labelOnly="1" fieldPosition="0">
        <references count="1">
          <reference field="0" count="0"/>
        </references>
      </pivotArea>
    </format>
    <format dxfId="687">
      <pivotArea dataOnly="0" labelOnly="1" grandRow="1" outline="0" fieldPosition="0"/>
    </format>
    <format dxfId="686">
      <pivotArea type="all" dataOnly="0" outline="0" fieldPosition="0"/>
    </format>
    <format dxfId="685">
      <pivotArea field="0" type="button" dataOnly="0" labelOnly="1" outline="0" axis="axisRow" fieldPosition="0"/>
    </format>
    <format dxfId="684">
      <pivotArea dataOnly="0" labelOnly="1" fieldPosition="0">
        <references count="1">
          <reference field="0" count="0"/>
        </references>
      </pivotArea>
    </format>
    <format dxfId="683">
      <pivotArea dataOnly="0" labelOnly="1" grandRow="1" outline="0" fieldPosition="0"/>
    </format>
    <format dxfId="682">
      <pivotArea type="all" dataOnly="0" outline="0" fieldPosition="0"/>
    </format>
    <format dxfId="681">
      <pivotArea field="0" type="button" dataOnly="0" labelOnly="1" outline="0" axis="axisRow" fieldPosition="0"/>
    </format>
    <format dxfId="680">
      <pivotArea dataOnly="0" labelOnly="1" fieldPosition="0">
        <references count="1">
          <reference field="0" count="0"/>
        </references>
      </pivotArea>
    </format>
    <format dxfId="67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4"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محل های درآمدی شرکت" fieldListSortAscending="1">
  <location ref="A20:A24" firstHeaderRow="1" firstDataRow="1" firstDataCol="1"/>
  <pivotFields count="3">
    <pivotField multipleItemSelectionAllowed="1" showAll="0">
      <items count="30">
        <item h="1" x="1"/>
        <item h="1" x="2"/>
        <item h="1" m="1" x="21"/>
        <item h="1" m="1" x="28"/>
        <item h="1" x="3"/>
        <item h="1" x="4"/>
        <item x="0"/>
        <item h="1" x="5"/>
        <item h="1" x="6"/>
        <item h="1" m="1" x="22"/>
        <item h="1" x="7"/>
        <item h="1" m="1" x="19"/>
        <item h="1" x="8"/>
        <item h="1" m="1" x="23"/>
        <item h="1" m="1" x="18"/>
        <item h="1" x="9"/>
        <item h="1" m="1" x="24"/>
        <item h="1" m="1" x="26"/>
        <item h="1" m="1" x="25"/>
        <item h="1" x="10"/>
        <item h="1" x="11"/>
        <item h="1" x="12"/>
        <item h="1" x="13"/>
        <item h="1" x="14"/>
        <item h="1" x="15"/>
        <item h="1" m="1" x="20"/>
        <item h="1" x="16"/>
        <item h="1" x="17"/>
        <item h="1" m="1" x="27"/>
        <item t="default"/>
      </items>
    </pivotField>
    <pivotField axis="axisRow" showAll="0">
      <items count="18">
        <item x="0"/>
        <item x="6"/>
        <item m="1" x="14"/>
        <item m="1" x="15"/>
        <item m="1" x="16"/>
        <item x="7"/>
        <item x="4"/>
        <item x="5"/>
        <item x="3"/>
        <item x="1"/>
        <item x="9"/>
        <item x="8"/>
        <item x="10"/>
        <item x="12"/>
        <item x="11"/>
        <item x="2"/>
        <item x="13"/>
        <item t="default"/>
      </items>
    </pivotField>
    <pivotField showAll="0" defaultSubtotal="0"/>
  </pivotFields>
  <rowFields count="1">
    <field x="1"/>
  </rowFields>
  <rowItems count="4">
    <i>
      <x/>
    </i>
    <i>
      <x v="8"/>
    </i>
    <i>
      <x v="9"/>
    </i>
    <i>
      <x v="15"/>
    </i>
  </rowItems>
  <colItems count="1">
    <i/>
  </colItems>
  <formats count="57">
    <format dxfId="791">
      <pivotArea field="1" type="button" dataOnly="0" labelOnly="1" outline="0" axis="axisRow" fieldPosition="0"/>
    </format>
    <format dxfId="790">
      <pivotArea field="1" type="button" dataOnly="0" labelOnly="1" outline="0" axis="axisRow" fieldPosition="0"/>
    </format>
    <format dxfId="789">
      <pivotArea field="1" type="button" dataOnly="0" labelOnly="1" outline="0" axis="axisRow" fieldPosition="0"/>
    </format>
    <format dxfId="788">
      <pivotArea field="1" type="button" dataOnly="0" labelOnly="1" outline="0" axis="axisRow" fieldPosition="0"/>
    </format>
    <format dxfId="787">
      <pivotArea field="1" type="button" dataOnly="0" labelOnly="1" outline="0" axis="axisRow" fieldPosition="0"/>
    </format>
    <format dxfId="786">
      <pivotArea field="1" type="button" dataOnly="0" labelOnly="1" outline="0" axis="axisRow" fieldPosition="0"/>
    </format>
    <format dxfId="785">
      <pivotArea field="1" type="button" dataOnly="0" labelOnly="1" outline="0" axis="axisRow" fieldPosition="0"/>
    </format>
    <format dxfId="784">
      <pivotArea field="1" type="button" dataOnly="0" labelOnly="1" outline="0" axis="axisRow" fieldPosition="0"/>
    </format>
    <format dxfId="783">
      <pivotArea field="1" type="button" dataOnly="0" labelOnly="1" outline="0" axis="axisRow" fieldPosition="0"/>
    </format>
    <format dxfId="782">
      <pivotArea dataOnly="0" labelOnly="1" fieldPosition="0">
        <references count="1">
          <reference field="1" count="1">
            <x v="6"/>
          </reference>
        </references>
      </pivotArea>
    </format>
    <format dxfId="781">
      <pivotArea dataOnly="0" labelOnly="1" grandRow="1" outline="0" fieldPosition="0"/>
    </format>
    <format dxfId="780">
      <pivotArea dataOnly="0" labelOnly="1" fieldPosition="0">
        <references count="1">
          <reference field="1" count="0"/>
        </references>
      </pivotArea>
    </format>
    <format dxfId="779">
      <pivotArea type="all" dataOnly="0" outline="0" fieldPosition="0"/>
    </format>
    <format dxfId="778">
      <pivotArea field="1" type="button" dataOnly="0" labelOnly="1" outline="0" axis="axisRow" fieldPosition="0"/>
    </format>
    <format dxfId="777">
      <pivotArea dataOnly="0" labelOnly="1" fieldPosition="0">
        <references count="1">
          <reference field="1" count="3">
            <x v="0"/>
            <x v="5"/>
            <x v="6"/>
          </reference>
        </references>
      </pivotArea>
    </format>
    <format dxfId="776">
      <pivotArea type="all" dataOnly="0" outline="0" fieldPosition="0"/>
    </format>
    <format dxfId="775">
      <pivotArea field="1" type="button" dataOnly="0" labelOnly="1" outline="0" axis="axisRow" fieldPosition="0"/>
    </format>
    <format dxfId="774">
      <pivotArea dataOnly="0" labelOnly="1" fieldPosition="0">
        <references count="1">
          <reference field="1" count="3">
            <x v="0"/>
            <x v="5"/>
            <x v="6"/>
          </reference>
        </references>
      </pivotArea>
    </format>
    <format dxfId="773">
      <pivotArea type="all" dataOnly="0" outline="0" fieldPosition="0"/>
    </format>
    <format dxfId="772">
      <pivotArea field="1" type="button" dataOnly="0" labelOnly="1" outline="0" axis="axisRow" fieldPosition="0"/>
    </format>
    <format dxfId="771">
      <pivotArea dataOnly="0" labelOnly="1" fieldPosition="0">
        <references count="1">
          <reference field="1" count="1">
            <x v="5"/>
          </reference>
        </references>
      </pivotArea>
    </format>
    <format dxfId="770">
      <pivotArea type="all" dataOnly="0" outline="0" fieldPosition="0"/>
    </format>
    <format dxfId="769">
      <pivotArea field="1" type="button" dataOnly="0" labelOnly="1" outline="0" axis="axisRow" fieldPosition="0"/>
    </format>
    <format dxfId="768">
      <pivotArea dataOnly="0" labelOnly="1" fieldPosition="0">
        <references count="1">
          <reference field="1" count="1">
            <x v="5"/>
          </reference>
        </references>
      </pivotArea>
    </format>
    <format dxfId="767">
      <pivotArea type="all" dataOnly="0" outline="0" fieldPosition="0"/>
    </format>
    <format dxfId="766">
      <pivotArea field="1" type="button" dataOnly="0" labelOnly="1" outline="0" axis="axisRow" fieldPosition="0"/>
    </format>
    <format dxfId="765">
      <pivotArea dataOnly="0" labelOnly="1" fieldPosition="0">
        <references count="1">
          <reference field="1" count="1">
            <x v="5"/>
          </reference>
        </references>
      </pivotArea>
    </format>
    <format dxfId="764">
      <pivotArea type="all" dataOnly="0" outline="0" fieldPosition="0"/>
    </format>
    <format dxfId="763">
      <pivotArea field="1" type="button" dataOnly="0" labelOnly="1" outline="0" axis="axisRow" fieldPosition="0"/>
    </format>
    <format dxfId="762">
      <pivotArea dataOnly="0" labelOnly="1" fieldPosition="0">
        <references count="1">
          <reference field="1" count="2">
            <x v="0"/>
            <x v="1"/>
          </reference>
        </references>
      </pivotArea>
    </format>
    <format dxfId="761">
      <pivotArea type="all" dataOnly="0" outline="0" fieldPosition="0"/>
    </format>
    <format dxfId="760">
      <pivotArea field="1" type="button" dataOnly="0" labelOnly="1" outline="0" axis="axisRow" fieldPosition="0"/>
    </format>
    <format dxfId="759">
      <pivotArea dataOnly="0" labelOnly="1" fieldPosition="0">
        <references count="1">
          <reference field="1" count="2">
            <x v="0"/>
            <x v="1"/>
          </reference>
        </references>
      </pivotArea>
    </format>
    <format dxfId="758">
      <pivotArea type="all" dataOnly="0" outline="0" fieldPosition="0"/>
    </format>
    <format dxfId="757">
      <pivotArea field="1" type="button" dataOnly="0" labelOnly="1" outline="0" axis="axisRow" fieldPosition="0"/>
    </format>
    <format dxfId="756">
      <pivotArea dataOnly="0" labelOnly="1" fieldPosition="0">
        <references count="1">
          <reference field="1" count="2">
            <x v="0"/>
            <x v="1"/>
          </reference>
        </references>
      </pivotArea>
    </format>
    <format dxfId="755">
      <pivotArea type="all" dataOnly="0" outline="0" fieldPosition="0"/>
    </format>
    <format dxfId="754">
      <pivotArea field="1" type="button" dataOnly="0" labelOnly="1" outline="0" axis="axisRow" fieldPosition="0"/>
    </format>
    <format dxfId="753">
      <pivotArea dataOnly="0" labelOnly="1" fieldPosition="0">
        <references count="1">
          <reference field="1" count="1">
            <x v="0"/>
          </reference>
        </references>
      </pivotArea>
    </format>
    <format dxfId="752">
      <pivotArea type="all" dataOnly="0" outline="0" fieldPosition="0"/>
    </format>
    <format dxfId="751">
      <pivotArea field="1" type="button" dataOnly="0" labelOnly="1" outline="0" axis="axisRow" fieldPosition="0"/>
    </format>
    <format dxfId="750">
      <pivotArea dataOnly="0" labelOnly="1" fieldPosition="0">
        <references count="1">
          <reference field="1" count="2">
            <x v="0"/>
            <x v="9"/>
          </reference>
        </references>
      </pivotArea>
    </format>
    <format dxfId="749">
      <pivotArea type="all" dataOnly="0" outline="0" fieldPosition="0"/>
    </format>
    <format dxfId="748">
      <pivotArea field="1" type="button" dataOnly="0" labelOnly="1" outline="0" axis="axisRow" fieldPosition="0"/>
    </format>
    <format dxfId="747">
      <pivotArea dataOnly="0" labelOnly="1" fieldPosition="0">
        <references count="1">
          <reference field="1" count="2">
            <x v="0"/>
            <x v="9"/>
          </reference>
        </references>
      </pivotArea>
    </format>
    <format dxfId="746">
      <pivotArea type="all" dataOnly="0" outline="0" fieldPosition="0"/>
    </format>
    <format dxfId="745">
      <pivotArea field="1" type="button" dataOnly="0" labelOnly="1" outline="0" axis="axisRow" fieldPosition="0"/>
    </format>
    <format dxfId="744">
      <pivotArea dataOnly="0" labelOnly="1" fieldPosition="0">
        <references count="1">
          <reference field="1" count="2">
            <x v="0"/>
            <x v="9"/>
          </reference>
        </references>
      </pivotArea>
    </format>
    <format dxfId="743">
      <pivotArea type="all" dataOnly="0" outline="0" fieldPosition="0"/>
    </format>
    <format dxfId="742">
      <pivotArea field="1" type="button" dataOnly="0" labelOnly="1" outline="0" axis="axisRow" fieldPosition="0"/>
    </format>
    <format dxfId="741">
      <pivotArea dataOnly="0" labelOnly="1" fieldPosition="0">
        <references count="1">
          <reference field="1" count="2">
            <x v="0"/>
            <x v="9"/>
          </reference>
        </references>
      </pivotArea>
    </format>
    <format dxfId="740">
      <pivotArea type="all" dataOnly="0" outline="0" fieldPosition="0"/>
    </format>
    <format dxfId="739">
      <pivotArea field="1" type="button" dataOnly="0" labelOnly="1" outline="0" axis="axisRow" fieldPosition="0"/>
    </format>
    <format dxfId="738">
      <pivotArea dataOnly="0" labelOnly="1" fieldPosition="0">
        <references count="1">
          <reference field="1" count="2">
            <x v="0"/>
            <x v="9"/>
          </reference>
        </references>
      </pivotArea>
    </format>
    <format dxfId="737">
      <pivotArea type="all" dataOnly="0" outline="0" fieldPosition="0"/>
    </format>
    <format dxfId="736">
      <pivotArea field="1" type="button" dataOnly="0" labelOnly="1" outline="0" axis="axisRow" fieldPosition="0"/>
    </format>
    <format dxfId="735">
      <pivotArea dataOnly="0" labelOnly="1" fieldPosition="0">
        <references count="1">
          <reference field="1" count="3">
            <x v="6"/>
            <x v="9"/>
            <x v="13"/>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نام_شرکت" xr10:uid="{00000000-0013-0000-FFFF-FFFF01000000}" sourceName="نام شرکت">
  <pivotTables>
    <pivotTable tabId="113" name="PivotTable1"/>
    <pivotTable tabId="113" name="PivotTable2"/>
  </pivotTables>
  <data>
    <tabular pivotCacheId="1" showMissing="0">
      <items count="29">
        <i x="1"/>
        <i x="2"/>
        <i x="3"/>
        <i x="4"/>
        <i x="0" s="1"/>
        <i x="5"/>
        <i x="6"/>
        <i x="7"/>
        <i x="8"/>
        <i x="9"/>
        <i x="10"/>
        <i x="11"/>
        <i x="12"/>
        <i x="13"/>
        <i x="14"/>
        <i x="15"/>
        <i x="16"/>
        <i x="17"/>
        <i x="21" nd="1"/>
        <i x="28" nd="1"/>
        <i x="22" nd="1"/>
        <i x="19" nd="1"/>
        <i x="23" nd="1"/>
        <i x="18" nd="1"/>
        <i x="24" nd="1"/>
        <i x="26" nd="1"/>
        <i x="25" nd="1"/>
        <i x="20" nd="1"/>
        <i x="2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نام شرکت" xr10:uid="{00000000-0014-0000-FFFF-FFFF01000000}" cache="Slicer_نام_شرکت" caption="نام شرکت" columnCount="3"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C61" totalsRowShown="0" headerRowDxfId="796" dataDxfId="795">
  <autoFilter ref="A1:C61" xr:uid="{00000000-0009-0000-0100-000002000000}"/>
  <sortState xmlns:xlrd2="http://schemas.microsoft.com/office/spreadsheetml/2017/richdata2" ref="A2:C56">
    <sortCondition ref="A1:A56"/>
  </sortState>
  <tableColumns count="3">
    <tableColumn id="1" xr3:uid="{00000000-0010-0000-0000-000001000000}" name="نام شرکت" dataDxfId="794"/>
    <tableColumn id="2" xr3:uid="{00000000-0010-0000-0000-000002000000}" name="درآمدها" dataDxfId="793"/>
    <tableColumn id="3" xr3:uid="{00000000-0010-0000-0000-000003000000}" name="رنگ" dataDxfId="7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able9" displayName="Table9" ref="A24:F34" totalsRowShown="0" headerRowDxfId="678" dataDxfId="676" headerRowBorderDxfId="677" tableBorderDxfId="675" totalsRowBorderDxfId="674">
  <autoFilter ref="A24:F34" xr:uid="{00000000-0009-0000-0100-000009000000}"/>
  <tableColumns count="6">
    <tableColumn id="1" xr3:uid="{00000000-0010-0000-0100-000001000000}" name="ردیف" dataDxfId="673"/>
    <tableColumn id="2" xr3:uid="{00000000-0010-0000-0100-000002000000}" name="تاریخ_x000a_ افزایش سرمایه" dataDxfId="672">
      <calculatedColumnFormula>IF(ROW()-25&lt;$L$9,INDIRECT("BudgetDB!HX"&amp;($M$9+ROW()-25)),"")</calculatedColumnFormula>
    </tableColumn>
    <tableColumn id="3" xr3:uid="{00000000-0010-0000-0100-000003000000}" name="درصد_x000a_ افزایش سرمایه" dataDxfId="671">
      <calculatedColumnFormula>IF(ROW()-25&lt;$L$9,INDIRECT("BudgetDB!HY"&amp;($M$9+ROW()-25)),"")</calculatedColumnFormula>
    </tableColumn>
    <tableColumn id="4" xr3:uid="{00000000-0010-0000-0100-000004000000}" name="سرمایه جدید_x000a_ (میلیون ریال)" dataDxfId="670">
      <calculatedColumnFormula>IF(ROW()-25&lt;$L$9,INDIRECT("BudgetDB!HZ"&amp;($M$9+ROW()-25)),"")</calculatedColumnFormula>
    </tableColumn>
    <tableColumn id="5" xr3:uid="{00000000-0010-0000-0100-000005000000}" name="محل _x000a_افزایش سرمایه" dataDxfId="669">
      <calculatedColumnFormula>IF(ROW()-25&lt;$L$9,INDIRECT("BudgetDB!IA"&amp;($M$9+ROW()-25)),"")</calculatedColumnFormula>
    </tableColumn>
    <tableColumn id="6" xr3:uid="{00000000-0010-0000-0100-000006000000}" name="تاریخ_x000a_ روزنامه رسمی" dataDxfId="668">
      <calculatedColumnFormula>IF(ROW()-25&lt;$L$9,INDIRECT("BudgetDB!IB"&amp;($M$9+ROW()-25)),"")</calculatedColumnFormula>
    </tableColumn>
  </tableColumns>
  <tableStyleInfo name="New 2 2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B2:F4" totalsRowShown="0" headerRowDxfId="114">
  <autoFilter ref="B2:F4" xr:uid="{00000000-0009-0000-0100-000003000000}"/>
  <tableColumns count="5">
    <tableColumn id="1" xr3:uid="{00000000-0010-0000-0200-000001000000}" name="عنوان خطا/ابهام"/>
    <tableColumn id="2" xr3:uid="{00000000-0010-0000-0200-000002000000}" name="دوره گزارش"/>
    <tableColumn id="3" xr3:uid="{00000000-0010-0000-0200-000003000000}" name="کاربرگ های مرتبط"/>
    <tableColumn id="4" xr3:uid="{00000000-0010-0000-0200-000004000000}" name="اقدام پیشنهادی جهت رفع"/>
    <tableColumn id="5" xr3:uid="{00000000-0010-0000-0200-000005000000}" name="میزان عددی اختلاف / _x000a_داده درج شده غلط / تعداد ابهام"/>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FF0000"/>
        </a:solidFill>
      </a:spPr>
      <a:bodyPr vertOverflow="clip" horzOverflow="clip" rtlCol="1" anchor="ctr"/>
      <a:lstStyle>
        <a:defPPr algn="ctr" rtl="1">
          <a:defRPr sz="1600">
            <a:cs typeface="B Titr" panose="00000700000000000000" pitchFamily="2" charset="-78"/>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5.xml"/><Relationship Id="rId1" Type="http://schemas.openxmlformats.org/officeDocument/2006/relationships/printerSettings" Target="../printerSettings/printerSettings10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4"/>
  <dimension ref="A1:M61"/>
  <sheetViews>
    <sheetView rightToLeft="1" topLeftCell="A31" workbookViewId="0">
      <selection activeCell="A50" sqref="A50"/>
    </sheetView>
  </sheetViews>
  <sheetFormatPr defaultColWidth="9" defaultRowHeight="15"/>
  <cols>
    <col min="1" max="1" width="36.28515625" style="41" bestFit="1" customWidth="1"/>
    <col min="2" max="2" width="41.28515625" style="41" customWidth="1"/>
    <col min="3" max="16384" width="9" style="41"/>
  </cols>
  <sheetData>
    <row r="1" spans="1:13">
      <c r="A1" s="90" t="s">
        <v>199</v>
      </c>
      <c r="B1" s="90" t="s">
        <v>234</v>
      </c>
      <c r="C1" s="90" t="s">
        <v>263</v>
      </c>
      <c r="D1" s="90"/>
      <c r="E1" s="90"/>
      <c r="F1" s="90" t="s">
        <v>255</v>
      </c>
      <c r="G1" s="90"/>
      <c r="H1" s="90"/>
      <c r="I1" s="90"/>
      <c r="J1" s="90"/>
      <c r="K1" s="90"/>
      <c r="L1" s="90"/>
      <c r="M1" s="90"/>
    </row>
    <row r="2" spans="1:13">
      <c r="A2" s="90" t="s">
        <v>235</v>
      </c>
      <c r="B2" s="90" t="s">
        <v>252</v>
      </c>
      <c r="C2" s="90" t="e">
        <v>#N/A</v>
      </c>
      <c r="D2" s="90"/>
      <c r="E2" s="90"/>
      <c r="F2" s="90"/>
      <c r="G2" s="90"/>
      <c r="H2" s="90"/>
      <c r="I2" s="90"/>
      <c r="J2" s="90"/>
      <c r="K2" s="90"/>
      <c r="L2" s="90"/>
      <c r="M2" s="90"/>
    </row>
    <row r="3" spans="1:13">
      <c r="A3" s="90" t="s">
        <v>235</v>
      </c>
      <c r="B3" s="90" t="s">
        <v>372</v>
      </c>
      <c r="C3" s="90" t="e">
        <v>#N/A</v>
      </c>
      <c r="D3" s="90"/>
      <c r="E3" s="90"/>
      <c r="F3" s="90"/>
      <c r="G3" s="90"/>
      <c r="H3" s="90"/>
      <c r="I3" s="90"/>
      <c r="J3" s="90"/>
      <c r="K3" s="90"/>
      <c r="L3" s="90"/>
      <c r="M3" s="90"/>
    </row>
    <row r="4" spans="1:13">
      <c r="A4" s="90" t="s">
        <v>235</v>
      </c>
      <c r="B4" s="41" t="s">
        <v>862</v>
      </c>
      <c r="C4" s="41" t="e">
        <v>#N/A</v>
      </c>
      <c r="D4" s="90"/>
      <c r="E4" s="90"/>
      <c r="F4" s="90"/>
      <c r="G4" s="90"/>
      <c r="H4" s="90"/>
      <c r="I4" s="90"/>
      <c r="J4" s="90"/>
      <c r="K4" s="90"/>
      <c r="L4" s="90"/>
      <c r="M4" s="90"/>
    </row>
    <row r="5" spans="1:13">
      <c r="A5" s="90" t="s">
        <v>235</v>
      </c>
      <c r="B5" s="90" t="s">
        <v>352</v>
      </c>
      <c r="C5" s="90"/>
      <c r="D5" s="90"/>
      <c r="E5" s="90"/>
      <c r="F5" s="90"/>
      <c r="G5" s="90"/>
      <c r="H5" s="90"/>
      <c r="I5" s="90"/>
      <c r="J5" s="90"/>
      <c r="K5" s="90"/>
      <c r="L5" s="90"/>
      <c r="M5" s="90"/>
    </row>
    <row r="6" spans="1:13">
      <c r="A6" s="90" t="s">
        <v>236</v>
      </c>
      <c r="B6" s="90" t="s">
        <v>231</v>
      </c>
      <c r="C6" s="90" t="s">
        <v>262</v>
      </c>
      <c r="D6" s="90"/>
      <c r="E6" s="90"/>
      <c r="F6" s="90"/>
      <c r="G6" s="90"/>
      <c r="H6" s="90"/>
      <c r="I6" s="90"/>
      <c r="J6" s="90"/>
      <c r="K6" s="90"/>
      <c r="L6" s="90"/>
      <c r="M6" s="90"/>
    </row>
    <row r="7" spans="1:13">
      <c r="A7" s="90" t="s">
        <v>236</v>
      </c>
      <c r="B7" s="90" t="s">
        <v>256</v>
      </c>
      <c r="C7" s="90"/>
      <c r="D7" s="90"/>
      <c r="E7" s="90"/>
      <c r="F7" s="90"/>
      <c r="G7" s="90"/>
      <c r="H7" s="90"/>
      <c r="I7" s="90"/>
      <c r="J7" s="90"/>
      <c r="K7" s="90"/>
      <c r="L7" s="90"/>
      <c r="M7" s="90"/>
    </row>
    <row r="8" spans="1:13">
      <c r="A8" s="90" t="s">
        <v>236</v>
      </c>
      <c r="B8" s="90" t="s">
        <v>372</v>
      </c>
      <c r="C8" s="90" t="e">
        <v>#N/A</v>
      </c>
      <c r="D8" s="90"/>
      <c r="E8" s="90"/>
      <c r="F8" s="90"/>
      <c r="G8" s="90"/>
      <c r="H8" s="90"/>
      <c r="I8" s="90"/>
      <c r="J8" s="90"/>
      <c r="K8" s="90"/>
      <c r="L8" s="90"/>
      <c r="M8" s="90"/>
    </row>
    <row r="9" spans="1:13">
      <c r="A9" s="90" t="s">
        <v>237</v>
      </c>
      <c r="B9" s="90" t="s">
        <v>252</v>
      </c>
      <c r="C9" s="90" t="e">
        <v>#N/A</v>
      </c>
      <c r="D9" s="90"/>
      <c r="E9" s="90"/>
      <c r="F9" s="90"/>
      <c r="G9" s="90"/>
      <c r="H9" s="90"/>
      <c r="I9" s="90"/>
      <c r="J9" s="90"/>
      <c r="K9" s="90"/>
      <c r="L9" s="90"/>
      <c r="M9" s="90"/>
    </row>
    <row r="10" spans="1:13">
      <c r="A10" s="90" t="s">
        <v>237</v>
      </c>
      <c r="B10" s="90" t="s">
        <v>372</v>
      </c>
      <c r="C10" s="90" t="e">
        <v>#N/A</v>
      </c>
      <c r="D10" s="90"/>
      <c r="E10" s="90"/>
      <c r="F10" s="90"/>
      <c r="G10" s="90"/>
      <c r="H10" s="90"/>
      <c r="I10" s="90"/>
      <c r="J10" s="90"/>
      <c r="K10" s="90"/>
      <c r="L10" s="90"/>
      <c r="M10" s="90"/>
    </row>
    <row r="11" spans="1:13">
      <c r="A11" s="90" t="s">
        <v>237</v>
      </c>
      <c r="B11" s="90" t="s">
        <v>231</v>
      </c>
      <c r="C11" s="90" t="s">
        <v>262</v>
      </c>
      <c r="D11" s="90"/>
      <c r="E11" s="90"/>
      <c r="F11" s="90"/>
      <c r="G11" s="90"/>
      <c r="H11" s="90"/>
      <c r="I11" s="90"/>
      <c r="J11" s="90"/>
      <c r="K11" s="90" t="s">
        <v>253</v>
      </c>
      <c r="L11" s="91"/>
      <c r="M11" s="90" t="s">
        <v>258</v>
      </c>
    </row>
    <row r="12" spans="1:13">
      <c r="A12" s="90" t="s">
        <v>1244</v>
      </c>
      <c r="B12" s="90" t="s">
        <v>253</v>
      </c>
      <c r="C12" s="90" t="e">
        <v>#N/A</v>
      </c>
      <c r="D12" s="90"/>
      <c r="E12" s="90"/>
      <c r="F12" s="90"/>
      <c r="G12" s="90"/>
      <c r="H12" s="90"/>
      <c r="I12" s="90"/>
      <c r="J12" s="90"/>
      <c r="K12" s="90" t="s">
        <v>231</v>
      </c>
      <c r="L12" s="92"/>
      <c r="M12" s="90" t="s">
        <v>262</v>
      </c>
    </row>
    <row r="13" spans="1:13">
      <c r="A13" s="90" t="s">
        <v>238</v>
      </c>
      <c r="B13" s="90" t="s">
        <v>253</v>
      </c>
      <c r="C13" s="90" t="e">
        <v>#N/A</v>
      </c>
      <c r="D13" s="90"/>
      <c r="E13" s="90"/>
      <c r="F13" s="90"/>
      <c r="G13" s="90"/>
      <c r="H13" s="90"/>
      <c r="I13" s="90"/>
      <c r="J13" s="90"/>
      <c r="K13" s="90"/>
      <c r="L13" s="90"/>
      <c r="M13" s="90"/>
    </row>
    <row r="14" spans="1:13">
      <c r="A14" s="90" t="s">
        <v>239</v>
      </c>
      <c r="B14" s="90" t="s">
        <v>252</v>
      </c>
      <c r="C14" s="90" t="e">
        <v>#N/A</v>
      </c>
      <c r="D14" s="90"/>
      <c r="E14" s="90"/>
      <c r="F14" s="90"/>
      <c r="G14" s="90"/>
      <c r="H14" s="90"/>
      <c r="I14" s="90"/>
      <c r="J14" s="90"/>
      <c r="K14" s="90"/>
      <c r="L14" s="90"/>
      <c r="M14" s="90"/>
    </row>
    <row r="15" spans="1:13">
      <c r="A15" s="90" t="s">
        <v>239</v>
      </c>
      <c r="B15" s="90" t="s">
        <v>372</v>
      </c>
      <c r="C15" s="90" t="e">
        <v>#N/A</v>
      </c>
      <c r="D15" s="90"/>
      <c r="E15" s="90"/>
      <c r="F15" s="90"/>
      <c r="G15" s="90"/>
      <c r="H15" s="90"/>
      <c r="I15" s="90"/>
      <c r="J15" s="90"/>
      <c r="K15" s="90"/>
      <c r="L15" s="90"/>
      <c r="M15" s="90"/>
    </row>
    <row r="16" spans="1:13">
      <c r="A16" s="90" t="s">
        <v>239</v>
      </c>
      <c r="B16" s="90" t="s">
        <v>231</v>
      </c>
      <c r="C16" s="90" t="s">
        <v>262</v>
      </c>
      <c r="D16" s="90"/>
      <c r="E16" s="90"/>
      <c r="F16" s="90"/>
      <c r="G16" s="90"/>
      <c r="H16" s="90"/>
      <c r="I16" s="90"/>
      <c r="J16" s="90"/>
      <c r="K16" s="90"/>
      <c r="L16" s="90"/>
      <c r="M16" s="90"/>
    </row>
    <row r="17" spans="1:13">
      <c r="A17" s="90" t="s">
        <v>239</v>
      </c>
      <c r="B17" s="41" t="s">
        <v>862</v>
      </c>
      <c r="C17" s="41" t="e">
        <v>#N/A</v>
      </c>
      <c r="D17" s="90"/>
      <c r="E17" s="90"/>
      <c r="F17" s="90"/>
      <c r="G17" s="90"/>
      <c r="H17" s="90"/>
      <c r="I17" s="90"/>
      <c r="J17" s="90"/>
      <c r="K17" s="90"/>
      <c r="L17" s="90"/>
      <c r="M17" s="90"/>
    </row>
    <row r="18" spans="1:13">
      <c r="A18" s="90" t="s">
        <v>239</v>
      </c>
      <c r="B18" s="90" t="s">
        <v>233</v>
      </c>
      <c r="C18" s="90" t="e">
        <v>#N/A</v>
      </c>
      <c r="D18" s="90"/>
      <c r="E18" s="90"/>
      <c r="F18" s="90"/>
      <c r="G18" s="90"/>
      <c r="H18" s="90"/>
      <c r="I18" s="90"/>
      <c r="J18" s="90"/>
      <c r="K18" s="90"/>
      <c r="L18" s="90"/>
      <c r="M18" s="90"/>
    </row>
    <row r="19" spans="1:13">
      <c r="A19" s="90" t="s">
        <v>251</v>
      </c>
      <c r="B19" s="90" t="s">
        <v>231</v>
      </c>
      <c r="C19" s="90" t="s">
        <v>262</v>
      </c>
      <c r="D19" s="90"/>
      <c r="E19" s="90"/>
      <c r="F19" s="90"/>
      <c r="G19" s="90"/>
      <c r="H19" s="90"/>
      <c r="I19" s="90"/>
      <c r="J19" s="90"/>
      <c r="K19" s="90"/>
      <c r="L19" s="90"/>
      <c r="M19" s="90"/>
    </row>
    <row r="20" spans="1:13">
      <c r="A20" s="90" t="s">
        <v>251</v>
      </c>
      <c r="B20" s="90" t="s">
        <v>372</v>
      </c>
      <c r="C20" s="90" t="e">
        <v>#N/A</v>
      </c>
      <c r="D20" s="90"/>
      <c r="E20" s="90"/>
      <c r="F20" s="90"/>
      <c r="G20" s="90"/>
      <c r="H20" s="90"/>
      <c r="I20" s="90"/>
      <c r="J20" s="90"/>
      <c r="K20" s="90"/>
      <c r="L20" s="90"/>
      <c r="M20" s="90"/>
    </row>
    <row r="21" spans="1:13">
      <c r="A21" s="90" t="s">
        <v>251</v>
      </c>
      <c r="B21" s="90" t="s">
        <v>233</v>
      </c>
      <c r="C21" s="90" t="e">
        <v>#N/A</v>
      </c>
      <c r="D21" s="90"/>
      <c r="E21" s="90"/>
      <c r="F21" s="90"/>
      <c r="G21" s="90"/>
      <c r="H21" s="90"/>
      <c r="I21" s="90"/>
      <c r="J21" s="90"/>
      <c r="K21" s="90"/>
      <c r="L21" s="90"/>
      <c r="M21" s="90"/>
    </row>
    <row r="22" spans="1:13">
      <c r="A22" s="90" t="s">
        <v>251</v>
      </c>
      <c r="B22" s="90" t="s">
        <v>256</v>
      </c>
      <c r="C22" s="90" t="e">
        <v>#N/A</v>
      </c>
      <c r="D22" s="90"/>
      <c r="E22" s="90"/>
      <c r="F22" s="90"/>
      <c r="G22" s="90"/>
      <c r="H22" s="90"/>
      <c r="I22" s="90"/>
      <c r="J22" s="90"/>
      <c r="K22" s="90"/>
      <c r="L22" s="90"/>
      <c r="M22" s="90"/>
    </row>
    <row r="23" spans="1:13">
      <c r="A23" s="90" t="s">
        <v>240</v>
      </c>
      <c r="B23" s="90" t="s">
        <v>252</v>
      </c>
      <c r="C23" s="90" t="e">
        <v>#N/A</v>
      </c>
      <c r="D23" s="90"/>
      <c r="E23" s="90"/>
      <c r="F23" s="90"/>
      <c r="G23" s="90"/>
      <c r="H23" s="90"/>
      <c r="I23" s="90"/>
      <c r="J23" s="90"/>
      <c r="K23" s="90"/>
      <c r="L23" s="90"/>
      <c r="M23" s="90"/>
    </row>
    <row r="24" spans="1:13">
      <c r="A24" s="90" t="s">
        <v>240</v>
      </c>
      <c r="B24" s="90" t="s">
        <v>372</v>
      </c>
      <c r="C24" s="90" t="e">
        <v>#N/A</v>
      </c>
      <c r="D24" s="90"/>
      <c r="E24" s="90"/>
      <c r="F24" s="90"/>
      <c r="G24" s="90"/>
      <c r="H24" s="90"/>
      <c r="I24" s="90"/>
      <c r="J24" s="90"/>
      <c r="K24" s="90"/>
      <c r="L24" s="90"/>
      <c r="M24" s="90"/>
    </row>
    <row r="25" spans="1:13">
      <c r="A25" s="90" t="s">
        <v>240</v>
      </c>
      <c r="B25" s="90" t="s">
        <v>231</v>
      </c>
      <c r="C25" s="90" t="s">
        <v>262</v>
      </c>
      <c r="D25" s="90"/>
      <c r="E25" s="90"/>
      <c r="F25" s="90"/>
      <c r="G25" s="90"/>
      <c r="H25" s="90"/>
      <c r="I25" s="90"/>
      <c r="J25" s="90"/>
      <c r="K25" s="90"/>
      <c r="L25" s="90"/>
      <c r="M25" s="90"/>
    </row>
    <row r="26" spans="1:13">
      <c r="A26" s="90" t="s">
        <v>2690</v>
      </c>
      <c r="B26" s="90" t="s">
        <v>231</v>
      </c>
      <c r="C26" s="90" t="s">
        <v>262</v>
      </c>
      <c r="D26" s="90"/>
      <c r="E26" s="90"/>
      <c r="F26" s="90"/>
      <c r="G26" s="90"/>
      <c r="H26" s="90"/>
      <c r="I26" s="90"/>
      <c r="J26" s="90"/>
      <c r="K26" s="90"/>
      <c r="L26" s="90"/>
      <c r="M26" s="90"/>
    </row>
    <row r="27" spans="1:13">
      <c r="A27" s="90" t="s">
        <v>2690</v>
      </c>
      <c r="B27" s="90" t="s">
        <v>372</v>
      </c>
      <c r="C27" s="90" t="e">
        <v>#N/A</v>
      </c>
      <c r="D27" s="90"/>
      <c r="E27" s="90"/>
      <c r="F27" s="90"/>
      <c r="G27" s="90"/>
      <c r="H27" s="90"/>
      <c r="I27" s="90"/>
      <c r="J27" s="90"/>
      <c r="K27" s="90"/>
      <c r="L27" s="90"/>
      <c r="M27" s="90"/>
    </row>
    <row r="28" spans="1:13">
      <c r="A28" s="90" t="s">
        <v>2690</v>
      </c>
      <c r="B28" s="90" t="s">
        <v>233</v>
      </c>
      <c r="C28" s="90" t="e">
        <v>#N/A</v>
      </c>
      <c r="D28" s="90"/>
      <c r="E28" s="90"/>
      <c r="F28" s="90"/>
      <c r="G28" s="90"/>
      <c r="H28" s="90"/>
      <c r="I28" s="90"/>
      <c r="J28" s="90"/>
      <c r="K28" s="90"/>
      <c r="L28" s="90"/>
      <c r="M28" s="90"/>
    </row>
    <row r="29" spans="1:13">
      <c r="A29" s="90" t="s">
        <v>2690</v>
      </c>
      <c r="B29" s="90" t="s">
        <v>252</v>
      </c>
      <c r="C29" s="90" t="e">
        <v>#N/A</v>
      </c>
      <c r="D29" s="90"/>
      <c r="E29" s="90"/>
      <c r="F29" s="90"/>
      <c r="G29" s="90"/>
      <c r="H29" s="90"/>
      <c r="I29" s="90"/>
      <c r="J29" s="90"/>
      <c r="K29" s="90"/>
      <c r="L29" s="90"/>
      <c r="M29" s="90"/>
    </row>
    <row r="30" spans="1:13">
      <c r="A30" s="90" t="s">
        <v>243</v>
      </c>
      <c r="B30" s="90" t="s">
        <v>252</v>
      </c>
      <c r="C30" s="90" t="e">
        <v>#N/A</v>
      </c>
      <c r="D30" s="90"/>
      <c r="E30" s="90"/>
      <c r="F30" s="90"/>
      <c r="G30" s="90"/>
      <c r="H30" s="90"/>
      <c r="I30" s="90"/>
      <c r="J30" s="90"/>
      <c r="K30" s="90"/>
      <c r="L30" s="90"/>
      <c r="M30" s="90"/>
    </row>
    <row r="31" spans="1:13">
      <c r="A31" s="90" t="s">
        <v>243</v>
      </c>
      <c r="B31" s="41" t="s">
        <v>619</v>
      </c>
      <c r="C31" s="41" t="e">
        <v>#N/A</v>
      </c>
      <c r="D31" s="90"/>
      <c r="E31" s="90"/>
      <c r="F31" s="90"/>
      <c r="G31" s="90"/>
      <c r="H31" s="90"/>
      <c r="I31" s="90"/>
      <c r="J31" s="90"/>
      <c r="K31" s="90"/>
      <c r="L31" s="90"/>
      <c r="M31" s="90"/>
    </row>
    <row r="32" spans="1:13">
      <c r="A32" s="90" t="s">
        <v>243</v>
      </c>
      <c r="B32" s="90" t="s">
        <v>372</v>
      </c>
      <c r="C32" s="90" t="e">
        <v>#N/A</v>
      </c>
      <c r="D32" s="90"/>
      <c r="E32" s="90"/>
      <c r="F32" s="90"/>
      <c r="G32" s="90"/>
      <c r="H32" s="90"/>
      <c r="I32" s="90"/>
      <c r="J32" s="90"/>
      <c r="K32" s="90"/>
      <c r="L32" s="90"/>
      <c r="M32" s="90"/>
    </row>
    <row r="33" spans="1:13">
      <c r="A33" s="90" t="s">
        <v>2691</v>
      </c>
      <c r="B33" s="90" t="s">
        <v>252</v>
      </c>
      <c r="C33" s="90" t="e">
        <v>#N/A</v>
      </c>
      <c r="D33" s="90"/>
      <c r="E33" s="90"/>
      <c r="F33" s="90"/>
      <c r="G33" s="90"/>
      <c r="H33" s="90"/>
      <c r="I33" s="90"/>
      <c r="J33" s="90"/>
      <c r="K33" s="90"/>
      <c r="L33" s="90"/>
      <c r="M33" s="90"/>
    </row>
    <row r="34" spans="1:13">
      <c r="A34" s="90" t="s">
        <v>2691</v>
      </c>
      <c r="B34" s="90" t="s">
        <v>372</v>
      </c>
      <c r="C34" s="90" t="e">
        <v>#N/A</v>
      </c>
      <c r="D34" s="90"/>
      <c r="E34" s="90"/>
      <c r="F34" s="90"/>
      <c r="G34" s="90"/>
      <c r="H34" s="90"/>
      <c r="I34" s="90"/>
      <c r="J34" s="90"/>
      <c r="K34" s="90"/>
      <c r="L34" s="90"/>
      <c r="M34" s="90"/>
    </row>
    <row r="35" spans="1:13">
      <c r="A35" s="90" t="s">
        <v>2691</v>
      </c>
      <c r="B35" s="90" t="s">
        <v>576</v>
      </c>
      <c r="C35" s="90" t="e">
        <v>#N/A</v>
      </c>
      <c r="D35" s="90"/>
      <c r="E35" s="90"/>
      <c r="F35" s="90"/>
      <c r="G35" s="90"/>
      <c r="H35" s="90"/>
      <c r="I35" s="90"/>
      <c r="J35" s="90"/>
      <c r="K35" s="90"/>
      <c r="L35" s="90"/>
      <c r="M35" s="90"/>
    </row>
    <row r="36" spans="1:13">
      <c r="A36" s="90" t="s">
        <v>2691</v>
      </c>
      <c r="B36" s="41" t="s">
        <v>862</v>
      </c>
      <c r="C36" s="41" t="e">
        <v>#N/A</v>
      </c>
      <c r="D36" s="90"/>
      <c r="E36" s="90"/>
      <c r="F36" s="90"/>
      <c r="G36" s="90"/>
      <c r="H36" s="90"/>
      <c r="I36" s="90"/>
      <c r="J36" s="90"/>
      <c r="K36" s="90"/>
      <c r="L36" s="90"/>
      <c r="M36" s="90"/>
    </row>
    <row r="37" spans="1:13">
      <c r="A37" s="90" t="s">
        <v>2691</v>
      </c>
      <c r="B37" s="90" t="s">
        <v>231</v>
      </c>
      <c r="C37" s="90" t="s">
        <v>262</v>
      </c>
      <c r="D37" s="90"/>
      <c r="E37" s="90"/>
      <c r="F37" s="90"/>
      <c r="G37" s="90"/>
      <c r="H37" s="90"/>
      <c r="I37" s="90"/>
      <c r="J37" s="90"/>
      <c r="K37" s="90"/>
      <c r="L37" s="90"/>
      <c r="M37" s="90"/>
    </row>
    <row r="38" spans="1:13">
      <c r="A38" s="90" t="s">
        <v>2692</v>
      </c>
      <c r="B38" s="90" t="s">
        <v>233</v>
      </c>
      <c r="C38" s="90" t="e">
        <v>#N/A</v>
      </c>
      <c r="D38" s="90"/>
      <c r="E38" s="90"/>
      <c r="F38" s="90"/>
      <c r="G38" s="90"/>
      <c r="H38" s="90"/>
      <c r="I38" s="90"/>
      <c r="J38" s="90"/>
      <c r="K38" s="90"/>
      <c r="L38" s="90"/>
      <c r="M38" s="90"/>
    </row>
    <row r="39" spans="1:13">
      <c r="A39" s="90" t="s">
        <v>2692</v>
      </c>
      <c r="B39" s="41" t="s">
        <v>621</v>
      </c>
      <c r="C39" s="41" t="e">
        <v>#N/A</v>
      </c>
      <c r="D39" s="90"/>
      <c r="E39" s="90"/>
      <c r="F39" s="90"/>
      <c r="G39" s="90"/>
      <c r="H39" s="90"/>
      <c r="I39" s="90"/>
      <c r="J39" s="90"/>
      <c r="K39" s="90"/>
      <c r="L39" s="90"/>
      <c r="M39" s="90"/>
    </row>
    <row r="40" spans="1:13">
      <c r="A40" s="90" t="s">
        <v>2692</v>
      </c>
      <c r="B40" s="90" t="s">
        <v>231</v>
      </c>
      <c r="C40" s="90"/>
      <c r="D40" s="90"/>
      <c r="E40" s="90"/>
      <c r="F40" s="90"/>
      <c r="G40" s="90"/>
      <c r="H40" s="90"/>
      <c r="I40" s="90"/>
      <c r="J40" s="90"/>
      <c r="K40" s="90"/>
      <c r="L40" s="90"/>
      <c r="M40" s="90"/>
    </row>
    <row r="41" spans="1:13">
      <c r="A41" s="90" t="s">
        <v>2692</v>
      </c>
      <c r="B41" s="41" t="s">
        <v>862</v>
      </c>
      <c r="C41" s="41" t="e">
        <v>#N/A</v>
      </c>
      <c r="D41" s="90"/>
      <c r="E41" s="90"/>
      <c r="F41" s="90"/>
      <c r="G41" s="90"/>
      <c r="H41" s="90"/>
      <c r="I41" s="90"/>
      <c r="J41" s="90"/>
      <c r="K41" s="90"/>
      <c r="L41" s="90"/>
      <c r="M41" s="90"/>
    </row>
    <row r="42" spans="1:13">
      <c r="A42" s="90" t="s">
        <v>2692</v>
      </c>
      <c r="B42" s="90" t="s">
        <v>372</v>
      </c>
      <c r="C42" s="90" t="e">
        <v>#N/A</v>
      </c>
      <c r="D42" s="90"/>
      <c r="E42" s="90"/>
      <c r="F42" s="90"/>
      <c r="G42" s="90"/>
      <c r="H42" s="90"/>
      <c r="I42" s="90"/>
      <c r="J42" s="90"/>
      <c r="K42" s="90"/>
      <c r="L42" s="90"/>
      <c r="M42" s="90"/>
    </row>
    <row r="43" spans="1:13">
      <c r="A43" s="90" t="s">
        <v>244</v>
      </c>
      <c r="B43" s="90" t="s">
        <v>231</v>
      </c>
      <c r="C43" s="90" t="s">
        <v>262</v>
      </c>
      <c r="D43" s="90"/>
      <c r="E43" s="90"/>
      <c r="F43" s="90"/>
      <c r="G43" s="90"/>
      <c r="H43" s="90"/>
      <c r="I43" s="90"/>
      <c r="J43" s="90"/>
      <c r="K43" s="90"/>
      <c r="L43" s="90"/>
      <c r="M43" s="90"/>
    </row>
    <row r="44" spans="1:13">
      <c r="A44" s="41" t="s">
        <v>244</v>
      </c>
      <c r="B44" s="41" t="s">
        <v>634</v>
      </c>
      <c r="C44" s="41" t="e">
        <v>#N/A</v>
      </c>
      <c r="D44" s="90"/>
      <c r="E44" s="90"/>
      <c r="F44" s="90"/>
      <c r="G44" s="90"/>
      <c r="H44" s="90"/>
      <c r="I44" s="90"/>
      <c r="J44" s="90"/>
      <c r="K44" s="90"/>
      <c r="L44" s="90"/>
      <c r="M44" s="90"/>
    </row>
    <row r="45" spans="1:13">
      <c r="A45" s="90" t="s">
        <v>244</v>
      </c>
      <c r="B45" s="90" t="s">
        <v>372</v>
      </c>
      <c r="C45" s="90" t="e">
        <v>#N/A</v>
      </c>
      <c r="D45" s="90"/>
      <c r="E45" s="90"/>
      <c r="F45" s="90"/>
      <c r="G45" s="90"/>
      <c r="H45" s="90"/>
      <c r="I45" s="90"/>
      <c r="J45" s="90"/>
      <c r="K45" s="90"/>
      <c r="L45" s="90"/>
      <c r="M45" s="90"/>
    </row>
    <row r="46" spans="1:13">
      <c r="A46" s="90" t="s">
        <v>244</v>
      </c>
      <c r="B46" s="90" t="s">
        <v>256</v>
      </c>
      <c r="C46" s="90" t="e">
        <v>#N/A</v>
      </c>
      <c r="D46" s="90"/>
      <c r="E46" s="90"/>
      <c r="F46" s="90"/>
      <c r="G46" s="90"/>
      <c r="H46" s="90"/>
      <c r="I46" s="90"/>
      <c r="J46" s="90"/>
      <c r="K46" s="90"/>
      <c r="L46" s="90"/>
      <c r="M46" s="90"/>
    </row>
    <row r="47" spans="1:13">
      <c r="A47" s="90" t="s">
        <v>245</v>
      </c>
      <c r="B47" s="90" t="s">
        <v>231</v>
      </c>
      <c r="C47" s="90" t="s">
        <v>262</v>
      </c>
      <c r="D47" s="90"/>
      <c r="E47" s="90"/>
      <c r="F47" s="90"/>
      <c r="G47" s="90"/>
      <c r="H47" s="90"/>
      <c r="I47" s="90"/>
      <c r="J47" s="90"/>
      <c r="K47" s="90"/>
      <c r="L47" s="90"/>
      <c r="M47" s="90"/>
    </row>
    <row r="48" spans="1:13">
      <c r="A48" s="90" t="s">
        <v>245</v>
      </c>
      <c r="B48" s="41" t="s">
        <v>622</v>
      </c>
      <c r="C48" s="41" t="e">
        <v>#N/A</v>
      </c>
      <c r="D48" s="90"/>
      <c r="E48" s="90"/>
      <c r="F48" s="90"/>
      <c r="G48" s="90"/>
      <c r="H48" s="90"/>
      <c r="I48" s="90"/>
      <c r="J48" s="90"/>
      <c r="K48" s="90"/>
      <c r="L48" s="90"/>
      <c r="M48" s="90"/>
    </row>
    <row r="49" spans="1:13">
      <c r="A49" s="90" t="s">
        <v>245</v>
      </c>
      <c r="B49" s="90" t="s">
        <v>372</v>
      </c>
      <c r="C49" s="90" t="e">
        <v>#N/A</v>
      </c>
      <c r="D49" s="90"/>
      <c r="E49" s="90"/>
      <c r="F49" s="90"/>
      <c r="G49" s="90"/>
      <c r="H49" s="90"/>
      <c r="I49" s="90"/>
      <c r="J49" s="90"/>
      <c r="K49" s="90"/>
      <c r="L49" s="90"/>
      <c r="M49" s="90"/>
    </row>
    <row r="50" spans="1:13">
      <c r="A50" s="90" t="s">
        <v>246</v>
      </c>
      <c r="B50" s="90" t="s">
        <v>231</v>
      </c>
      <c r="C50" s="90" t="s">
        <v>262</v>
      </c>
      <c r="D50" s="90"/>
      <c r="E50" s="90"/>
      <c r="F50" s="90"/>
      <c r="G50" s="90"/>
      <c r="H50" s="90"/>
      <c r="I50" s="90"/>
      <c r="J50" s="90"/>
      <c r="K50" s="90"/>
      <c r="L50" s="90"/>
      <c r="M50" s="90"/>
    </row>
    <row r="51" spans="1:13">
      <c r="A51" s="90" t="s">
        <v>246</v>
      </c>
      <c r="B51" s="41" t="s">
        <v>862</v>
      </c>
      <c r="C51" s="41" t="e">
        <v>#N/A</v>
      </c>
      <c r="D51" s="90"/>
      <c r="E51" s="90"/>
      <c r="F51" s="90"/>
      <c r="G51" s="90"/>
      <c r="H51" s="90"/>
      <c r="I51" s="90"/>
      <c r="J51" s="90"/>
      <c r="K51" s="90"/>
      <c r="L51" s="90"/>
      <c r="M51" s="90"/>
    </row>
    <row r="52" spans="1:13">
      <c r="A52" s="90" t="s">
        <v>246</v>
      </c>
      <c r="B52" s="90" t="s">
        <v>372</v>
      </c>
      <c r="C52" s="90" t="e">
        <v>#N/A</v>
      </c>
      <c r="D52" s="90"/>
      <c r="E52" s="90"/>
      <c r="F52" s="90"/>
      <c r="G52" s="90"/>
      <c r="H52" s="90"/>
      <c r="I52" s="90"/>
      <c r="J52" s="90"/>
      <c r="K52" s="90"/>
      <c r="L52" s="90"/>
      <c r="M52" s="90"/>
    </row>
    <row r="53" spans="1:13">
      <c r="A53" s="90" t="s">
        <v>246</v>
      </c>
      <c r="B53" s="90" t="s">
        <v>861</v>
      </c>
      <c r="C53" s="90" t="e">
        <v>#N/A</v>
      </c>
      <c r="D53" s="90"/>
      <c r="E53" s="90"/>
      <c r="F53" s="90"/>
      <c r="G53" s="90"/>
      <c r="H53" s="90"/>
      <c r="I53" s="90"/>
      <c r="J53" s="90"/>
      <c r="K53" s="90"/>
      <c r="L53" s="90"/>
      <c r="M53" s="90"/>
    </row>
    <row r="54" spans="1:13">
      <c r="A54" s="90" t="s">
        <v>246</v>
      </c>
      <c r="B54" s="90" t="s">
        <v>256</v>
      </c>
      <c r="C54" s="90" t="e">
        <v>#N/A</v>
      </c>
      <c r="D54" s="90"/>
      <c r="E54" s="90"/>
      <c r="F54" s="90"/>
      <c r="G54" s="90"/>
      <c r="H54" s="90"/>
      <c r="I54" s="90"/>
      <c r="J54" s="90"/>
      <c r="K54" s="90"/>
      <c r="L54" s="90"/>
      <c r="M54" s="90"/>
    </row>
    <row r="55" spans="1:13">
      <c r="A55" s="90" t="s">
        <v>247</v>
      </c>
      <c r="B55" s="90" t="s">
        <v>231</v>
      </c>
      <c r="C55" s="90" t="s">
        <v>262</v>
      </c>
      <c r="D55" s="90"/>
      <c r="E55" s="90"/>
      <c r="F55" s="90"/>
      <c r="G55" s="90"/>
      <c r="H55" s="90"/>
      <c r="I55" s="90"/>
      <c r="J55" s="90"/>
      <c r="K55" s="90"/>
      <c r="L55" s="90"/>
      <c r="M55" s="90"/>
    </row>
    <row r="56" spans="1:13">
      <c r="A56" s="90" t="s">
        <v>247</v>
      </c>
      <c r="B56" s="90" t="s">
        <v>372</v>
      </c>
      <c r="C56" s="90" t="e">
        <v>#N/A</v>
      </c>
      <c r="D56" s="90"/>
      <c r="E56" s="90"/>
      <c r="F56" s="90"/>
      <c r="G56" s="90"/>
      <c r="H56" s="90"/>
      <c r="I56" s="90"/>
      <c r="J56" s="90"/>
      <c r="K56" s="90"/>
      <c r="L56" s="90"/>
      <c r="M56" s="90"/>
    </row>
    <row r="57" spans="1:13">
      <c r="A57" s="90" t="s">
        <v>249</v>
      </c>
      <c r="B57" s="90" t="s">
        <v>252</v>
      </c>
      <c r="C57" s="90" t="e">
        <v>#N/A</v>
      </c>
    </row>
    <row r="58" spans="1:13">
      <c r="A58" s="90" t="s">
        <v>249</v>
      </c>
      <c r="B58" s="90" t="s">
        <v>372</v>
      </c>
      <c r="C58" s="90" t="e">
        <v>#N/A</v>
      </c>
    </row>
    <row r="59" spans="1:13">
      <c r="A59" s="90" t="s">
        <v>250</v>
      </c>
      <c r="B59" s="41" t="s">
        <v>622</v>
      </c>
      <c r="C59" s="41" t="e">
        <v>#N/A</v>
      </c>
    </row>
    <row r="60" spans="1:13">
      <c r="A60" s="90" t="s">
        <v>250</v>
      </c>
      <c r="B60" s="41" t="s">
        <v>231</v>
      </c>
      <c r="C60" s="41" t="s">
        <v>262</v>
      </c>
    </row>
    <row r="61" spans="1:13">
      <c r="A61" s="90" t="s">
        <v>250</v>
      </c>
      <c r="B61" s="90" t="s">
        <v>372</v>
      </c>
      <c r="C61" s="90" t="e">
        <v>#N/A</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8"/>
  <dimension ref="A1:LB4500"/>
  <sheetViews>
    <sheetView rightToLeft="1" zoomScaleNormal="100" workbookViewId="0">
      <pane xSplit="1" ySplit="1073" topLeftCell="LC1074" activePane="bottomRight" state="frozen"/>
      <selection pane="topRight" activeCell="B1" sqref="B1"/>
      <selection pane="bottomLeft" activeCell="A1074" sqref="A1074"/>
      <selection pane="bottomRight" activeCell="LI20" sqref="LI20"/>
    </sheetView>
  </sheetViews>
  <sheetFormatPr defaultColWidth="9" defaultRowHeight="18"/>
  <cols>
    <col min="1" max="1" width="34.42578125" style="181" hidden="1" customWidth="1"/>
    <col min="2" max="2" width="27.7109375" style="181" hidden="1" customWidth="1"/>
    <col min="3" max="3" width="24.7109375" style="181" hidden="1" customWidth="1"/>
    <col min="4" max="4" width="30.140625" style="181" hidden="1" customWidth="1"/>
    <col min="5" max="5" width="23" style="181" hidden="1" customWidth="1"/>
    <col min="6" max="6" width="30.5703125" style="181" hidden="1" customWidth="1"/>
    <col min="7" max="7" width="13.5703125" style="181" hidden="1" customWidth="1"/>
    <col min="8" max="8" width="12.85546875" style="181" hidden="1" customWidth="1"/>
    <col min="9" max="9" width="255.7109375" style="181" hidden="1" customWidth="1"/>
    <col min="10" max="10" width="45.5703125" style="181" hidden="1" customWidth="1"/>
    <col min="11" max="11" width="13" style="181" hidden="1" customWidth="1"/>
    <col min="12" max="12" width="13.7109375" style="181" hidden="1" customWidth="1"/>
    <col min="13" max="13" width="8.140625" style="181" hidden="1" customWidth="1"/>
    <col min="14" max="14" width="11.140625" style="181" hidden="1" customWidth="1"/>
    <col min="15" max="15" width="10.5703125" style="181" hidden="1" customWidth="1"/>
    <col min="16" max="17" width="21.5703125" style="181" hidden="1" customWidth="1"/>
    <col min="18" max="18" width="22.5703125" style="181" hidden="1" customWidth="1"/>
    <col min="19" max="21" width="21.5703125" style="181" hidden="1" customWidth="1"/>
    <col min="22" max="22" width="14.42578125" style="181" hidden="1" customWidth="1"/>
    <col min="23" max="23" width="14.140625" style="181" hidden="1" customWidth="1"/>
    <col min="24" max="24" width="27.85546875" style="181" hidden="1" customWidth="1"/>
    <col min="25" max="25" width="26.7109375" style="181" hidden="1" customWidth="1"/>
    <col min="26" max="26" width="26.5703125" style="181" hidden="1" customWidth="1"/>
    <col min="27" max="31" width="25.5703125" style="181" hidden="1" customWidth="1"/>
    <col min="32" max="32" width="11.140625" style="181" hidden="1" customWidth="1"/>
    <col min="33" max="33" width="9" style="181" hidden="1" customWidth="1"/>
    <col min="34" max="34" width="18.140625" style="181" hidden="1" customWidth="1"/>
    <col min="35" max="35" width="17.140625" style="181" hidden="1" customWidth="1"/>
    <col min="36" max="36" width="17" style="181" hidden="1" customWidth="1"/>
    <col min="37" max="37" width="16" style="181" hidden="1" customWidth="1"/>
    <col min="38" max="38" width="23" style="181" hidden="1" customWidth="1"/>
    <col min="39" max="39" width="22" style="181" hidden="1" customWidth="1"/>
    <col min="40" max="40" width="21.85546875" style="181" hidden="1" customWidth="1"/>
    <col min="41" max="41" width="20.85546875" style="181" hidden="1" customWidth="1"/>
    <col min="42" max="42" width="12.85546875" style="181" hidden="1" customWidth="1"/>
    <col min="43" max="43" width="8.42578125" style="181" hidden="1" customWidth="1"/>
    <col min="44" max="44" width="4.7109375" style="181" hidden="1" customWidth="1"/>
    <col min="45" max="45" width="12" style="181" hidden="1" customWidth="1"/>
    <col min="46" max="46" width="11" style="181" hidden="1" customWidth="1"/>
    <col min="47" max="48" width="17.5703125" style="181" hidden="1" customWidth="1"/>
    <col min="49" max="52" width="16.42578125" style="181" hidden="1" customWidth="1"/>
    <col min="53" max="53" width="16.28515625" style="181" hidden="1" customWidth="1"/>
    <col min="54" max="63" width="22.42578125" style="181" hidden="1" customWidth="1"/>
    <col min="64" max="67" width="27.85546875" style="181" hidden="1" customWidth="1"/>
    <col min="68" max="72" width="30.42578125" style="181" hidden="1" customWidth="1"/>
    <col min="73" max="73" width="28.5703125" style="181" hidden="1" customWidth="1"/>
    <col min="74" max="77" width="20" style="181" hidden="1" customWidth="1"/>
    <col min="78" max="78" width="22.85546875" style="181" hidden="1" customWidth="1"/>
    <col min="79" max="80" width="28.7109375" style="181" hidden="1" customWidth="1"/>
    <col min="81" max="86" width="29.85546875" style="181" hidden="1" customWidth="1"/>
    <col min="87" max="87" width="17.85546875" style="181" hidden="1" customWidth="1"/>
    <col min="88" max="95" width="12.7109375" style="181" hidden="1" customWidth="1"/>
    <col min="96" max="106" width="13.7109375" style="181" hidden="1" customWidth="1"/>
    <col min="107" max="107" width="18.140625" style="181" hidden="1" customWidth="1"/>
    <col min="108" max="108" width="18.42578125" style="181" hidden="1" customWidth="1"/>
    <col min="109" max="109" width="18.7109375" style="181" hidden="1" customWidth="1"/>
    <col min="110" max="110" width="18.42578125" style="181" hidden="1" customWidth="1"/>
    <col min="111" max="112" width="28.5703125" style="181" hidden="1" customWidth="1"/>
    <col min="113" max="114" width="27.28515625" style="181" hidden="1" customWidth="1"/>
    <col min="115" max="115" width="9" style="181" hidden="1" customWidth="1"/>
    <col min="116" max="116" width="17.85546875" style="181" hidden="1" customWidth="1"/>
    <col min="117" max="117" width="17.5703125" style="181" hidden="1" customWidth="1"/>
    <col min="118" max="118" width="28" style="181" hidden="1" customWidth="1"/>
    <col min="119" max="120" width="30" style="181" hidden="1" customWidth="1"/>
    <col min="121" max="122" width="22.42578125" style="181" hidden="1" customWidth="1"/>
    <col min="123" max="123" width="25.85546875" style="181" hidden="1" customWidth="1"/>
    <col min="124" max="125" width="28" style="181" hidden="1" customWidth="1"/>
    <col min="126" max="126" width="32.140625" style="181" hidden="1" customWidth="1"/>
    <col min="127" max="127" width="31.42578125" style="181" hidden="1" customWidth="1"/>
    <col min="128" max="137" width="28.42578125" style="181" hidden="1" customWidth="1"/>
    <col min="138" max="140" width="17.140625" style="181" hidden="1" customWidth="1"/>
    <col min="141" max="145" width="15.28515625" style="181" hidden="1" customWidth="1"/>
    <col min="146" max="146" width="20.42578125" style="181" hidden="1" customWidth="1"/>
    <col min="147" max="148" width="21.85546875" style="181" hidden="1" customWidth="1"/>
    <col min="149" max="149" width="10.7109375" style="181" hidden="1" customWidth="1"/>
    <col min="150" max="153" width="20" style="181" hidden="1" customWidth="1"/>
    <col min="154" max="154" width="12.42578125" style="181" hidden="1" customWidth="1"/>
    <col min="155" max="156" width="19.140625" style="181" hidden="1" customWidth="1"/>
    <col min="157" max="157" width="15.85546875" style="181" hidden="1" customWidth="1"/>
    <col min="158" max="159" width="17.28515625" style="181" hidden="1" customWidth="1"/>
    <col min="160" max="161" width="17.7109375" style="181" hidden="1" customWidth="1"/>
    <col min="162" max="171" width="32.42578125" style="181" hidden="1" customWidth="1"/>
    <col min="172" max="172" width="18.42578125" style="181" hidden="1" customWidth="1"/>
    <col min="173" max="174" width="38" style="181" hidden="1" customWidth="1"/>
    <col min="175" max="175" width="17.42578125" style="181" hidden="1" customWidth="1"/>
    <col min="176" max="176" width="19.140625" style="181" hidden="1" customWidth="1"/>
    <col min="177" max="177" width="18.42578125" style="181" hidden="1" customWidth="1"/>
    <col min="178" max="178" width="17.42578125" style="181" hidden="1" customWidth="1"/>
    <col min="179" max="179" width="19.140625" style="181" hidden="1" customWidth="1"/>
    <col min="180" max="180" width="18.42578125" style="181" hidden="1" customWidth="1"/>
    <col min="181" max="181" width="13.140625" style="181" hidden="1" customWidth="1"/>
    <col min="182" max="182" width="14.85546875" style="181" hidden="1" customWidth="1"/>
    <col min="183" max="183" width="14.140625" style="181" hidden="1" customWidth="1"/>
    <col min="184" max="184" width="13.140625" style="181" hidden="1" customWidth="1"/>
    <col min="185" max="185" width="14.85546875" style="181" hidden="1" customWidth="1"/>
    <col min="186" max="186" width="14.140625" style="181" hidden="1" customWidth="1"/>
    <col min="187" max="187" width="24.7109375" style="181" hidden="1" customWidth="1"/>
    <col min="188" max="188" width="22.85546875" style="181" hidden="1" customWidth="1"/>
    <col min="189" max="189" width="25.7109375" style="181" hidden="1" customWidth="1"/>
    <col min="190" max="190" width="25.140625" style="181" hidden="1" customWidth="1"/>
    <col min="191" max="191" width="22.42578125" style="181" hidden="1" customWidth="1"/>
    <col min="192" max="192" width="25.140625" style="181" hidden="1" customWidth="1"/>
    <col min="193" max="193" width="14.140625" style="181" hidden="1" customWidth="1"/>
    <col min="194" max="194" width="10.42578125" style="181" hidden="1" customWidth="1"/>
    <col min="195" max="202" width="25.140625" style="181" hidden="1" customWidth="1"/>
    <col min="203" max="203" width="24" style="181" hidden="1" customWidth="1"/>
    <col min="204" max="205" width="29.28515625" style="181" hidden="1" customWidth="1"/>
    <col min="206" max="206" width="26.42578125" style="181" hidden="1" customWidth="1"/>
    <col min="207" max="207" width="27.28515625" style="181" hidden="1" customWidth="1"/>
    <col min="208" max="210" width="22.42578125" style="181" hidden="1" customWidth="1"/>
    <col min="211" max="211" width="17.42578125" style="181" hidden="1" customWidth="1"/>
    <col min="212" max="214" width="22.42578125" style="181" hidden="1" customWidth="1"/>
    <col min="215" max="215" width="33" style="181" hidden="1" customWidth="1"/>
    <col min="216" max="219" width="21.5703125" style="181" hidden="1" customWidth="1"/>
    <col min="220" max="226" width="27" style="181" hidden="1" customWidth="1"/>
    <col min="227" max="227" width="36.5703125" style="181" hidden="1" customWidth="1"/>
    <col min="228" max="229" width="22.42578125" style="181" hidden="1" customWidth="1"/>
    <col min="230" max="230" width="34.7109375" style="181" hidden="1" customWidth="1"/>
    <col min="231" max="232" width="22.28515625" style="181" hidden="1" customWidth="1"/>
    <col min="233" max="233" width="41.42578125" style="181" hidden="1" customWidth="1"/>
    <col min="234" max="235" width="24.85546875" style="181" hidden="1" customWidth="1"/>
    <col min="236" max="236" width="30.7109375" style="181" hidden="1" customWidth="1"/>
    <col min="237" max="238" width="24.140625" style="181" hidden="1" customWidth="1"/>
    <col min="239" max="239" width="71.28515625" style="181" hidden="1" customWidth="1"/>
    <col min="240" max="240" width="15.5703125" style="181" hidden="1" customWidth="1"/>
    <col min="241" max="241" width="16.85546875" style="181" hidden="1" customWidth="1"/>
    <col min="242" max="242" width="36.5703125" style="181" hidden="1" customWidth="1"/>
    <col min="243" max="243" width="15.42578125" style="181" hidden="1" customWidth="1"/>
    <col min="244" max="244" width="10.5703125" style="181" hidden="1" customWidth="1"/>
    <col min="245" max="245" width="10.85546875" style="181" hidden="1" customWidth="1"/>
    <col min="246" max="246" width="13.28515625" style="181" hidden="1" customWidth="1"/>
    <col min="247" max="247" width="13" style="181" hidden="1" customWidth="1"/>
    <col min="248" max="248" width="16.85546875" style="181" hidden="1" customWidth="1"/>
    <col min="249" max="249" width="11.5703125" style="181" hidden="1" customWidth="1"/>
    <col min="250" max="250" width="14" style="181" hidden="1" customWidth="1"/>
    <col min="251" max="251" width="14.42578125" style="181" hidden="1" customWidth="1"/>
    <col min="252" max="254" width="16.140625" style="181" hidden="1" customWidth="1"/>
    <col min="255" max="255" width="17.7109375" style="181" hidden="1" customWidth="1"/>
    <col min="256" max="257" width="13.42578125" style="181" hidden="1" customWidth="1"/>
    <col min="258" max="259" width="18.28515625" style="181" hidden="1" customWidth="1"/>
    <col min="260" max="261" width="15.5703125" style="181" hidden="1" customWidth="1"/>
    <col min="262" max="263" width="15.42578125" style="181" hidden="1" customWidth="1"/>
    <col min="264" max="265" width="16.5703125" style="181" hidden="1" customWidth="1"/>
    <col min="266" max="266" width="18.5703125" style="181" hidden="1" customWidth="1"/>
    <col min="267" max="276" width="14.28515625" style="181" hidden="1" customWidth="1"/>
    <col min="277" max="277" width="39" style="181" hidden="1" customWidth="1"/>
    <col min="278" max="279" width="13.85546875" style="181" hidden="1" customWidth="1"/>
    <col min="280" max="281" width="8.7109375" style="181" hidden="1" customWidth="1"/>
    <col min="282" max="283" width="8.42578125" style="181" hidden="1" customWidth="1"/>
    <col min="284" max="285" width="19.28515625" style="181" hidden="1" customWidth="1"/>
    <col min="286" max="287" width="20.28515625" style="181" hidden="1" customWidth="1"/>
    <col min="288" max="289" width="14.5703125" style="181" hidden="1" customWidth="1"/>
    <col min="290" max="291" width="15.28515625" style="181" hidden="1" customWidth="1"/>
    <col min="292" max="293" width="15.7109375" style="181" hidden="1" customWidth="1"/>
    <col min="294" max="294" width="18.28515625" style="181" hidden="1" customWidth="1"/>
    <col min="295" max="295" width="13.42578125" style="181" hidden="1" customWidth="1"/>
    <col min="296" max="296" width="14.85546875" style="181" hidden="1" customWidth="1"/>
    <col min="297" max="297" width="10.5703125" style="181" hidden="1" customWidth="1"/>
    <col min="298" max="298" width="14.7109375" style="181" hidden="1" customWidth="1"/>
    <col min="299" max="299" width="10.42578125" style="181" hidden="1" customWidth="1"/>
    <col min="300" max="300" width="14.5703125" style="181" hidden="1" customWidth="1"/>
    <col min="301" max="301" width="19.28515625" style="181" hidden="1" customWidth="1"/>
    <col min="302" max="302" width="19.140625" style="181" hidden="1" customWidth="1"/>
    <col min="303" max="303" width="23" style="181" hidden="1" customWidth="1"/>
    <col min="304" max="305" width="20.140625" style="181" hidden="1" customWidth="1"/>
    <col min="306" max="306" width="18" style="181" hidden="1" customWidth="1"/>
    <col min="307" max="308" width="20" style="181" hidden="1" customWidth="1"/>
    <col min="309" max="309" width="20.42578125" style="181" hidden="1" customWidth="1"/>
    <col min="310" max="311" width="22" style="181" hidden="1" customWidth="1"/>
    <col min="312" max="312" width="20.28515625" style="181" hidden="1" customWidth="1"/>
    <col min="313" max="314" width="21.85546875" style="181" hidden="1" customWidth="1"/>
    <col min="315" max="16384" width="9" style="181"/>
  </cols>
  <sheetData>
    <row r="1" spans="1:314">
      <c r="A1" s="181" t="s">
        <v>199</v>
      </c>
      <c r="B1" s="1271" t="s">
        <v>644</v>
      </c>
      <c r="C1" s="1271" t="s">
        <v>663</v>
      </c>
      <c r="D1" s="1271" t="s">
        <v>662</v>
      </c>
      <c r="E1" s="1271" t="s">
        <v>664</v>
      </c>
      <c r="F1" s="181" t="s">
        <v>645</v>
      </c>
      <c r="G1" s="181" t="s">
        <v>118</v>
      </c>
      <c r="H1" s="1271" t="s">
        <v>647</v>
      </c>
      <c r="I1" s="1271" t="s">
        <v>849</v>
      </c>
      <c r="J1" s="1271" t="s">
        <v>136</v>
      </c>
      <c r="K1" s="1271" t="s">
        <v>733</v>
      </c>
      <c r="L1" s="1271" t="s">
        <v>734</v>
      </c>
      <c r="M1" s="1271" t="s">
        <v>283</v>
      </c>
      <c r="N1" s="1271" t="s">
        <v>735</v>
      </c>
      <c r="O1" s="1271" t="s">
        <v>736</v>
      </c>
      <c r="P1" s="1271" t="s">
        <v>1507</v>
      </c>
      <c r="Q1" s="1271" t="s">
        <v>1508</v>
      </c>
      <c r="R1" s="1271" t="s">
        <v>1509</v>
      </c>
      <c r="S1" s="1271" t="s">
        <v>1510</v>
      </c>
      <c r="T1" s="1271" t="s">
        <v>1511</v>
      </c>
      <c r="U1" s="1271" t="s">
        <v>1512</v>
      </c>
      <c r="V1" s="1271" t="s">
        <v>1264</v>
      </c>
      <c r="W1" s="1271" t="s">
        <v>1265</v>
      </c>
      <c r="X1" s="1271" t="s">
        <v>1514</v>
      </c>
      <c r="Y1" s="1271" t="s">
        <v>1515</v>
      </c>
      <c r="Z1" s="1271" t="s">
        <v>1516</v>
      </c>
      <c r="AA1" s="1271" t="s">
        <v>1517</v>
      </c>
      <c r="AB1" s="1271" t="s">
        <v>1518</v>
      </c>
      <c r="AC1" s="1271" t="s">
        <v>1519</v>
      </c>
      <c r="AD1" s="1271" t="s">
        <v>1520</v>
      </c>
      <c r="AE1" s="1271" t="s">
        <v>1521</v>
      </c>
      <c r="AF1" s="1271" t="s">
        <v>813</v>
      </c>
      <c r="AG1" s="1271" t="s">
        <v>22</v>
      </c>
      <c r="AH1" s="1271" t="s">
        <v>1522</v>
      </c>
      <c r="AI1" s="1271" t="s">
        <v>1523</v>
      </c>
      <c r="AJ1" s="1271" t="s">
        <v>1524</v>
      </c>
      <c r="AK1" s="1271" t="s">
        <v>1525</v>
      </c>
      <c r="AL1" s="1271" t="s">
        <v>1526</v>
      </c>
      <c r="AM1" s="1271" t="s">
        <v>1527</v>
      </c>
      <c r="AN1" s="1271" t="s">
        <v>1528</v>
      </c>
      <c r="AO1" s="1271" t="s">
        <v>1529</v>
      </c>
      <c r="AP1" s="1271" t="s">
        <v>680</v>
      </c>
      <c r="AQ1" s="1271" t="s">
        <v>1530</v>
      </c>
      <c r="AR1" s="1271" t="s">
        <v>26</v>
      </c>
      <c r="AS1" s="1271" t="s">
        <v>681</v>
      </c>
      <c r="AT1" s="1271" t="s">
        <v>682</v>
      </c>
      <c r="AU1" s="1271" t="s">
        <v>1531</v>
      </c>
      <c r="AV1" s="1271" t="s">
        <v>1532</v>
      </c>
      <c r="AW1" s="1271" t="s">
        <v>1533</v>
      </c>
      <c r="AX1" s="1271" t="s">
        <v>1534</v>
      </c>
      <c r="AY1" s="1271" t="s">
        <v>1535</v>
      </c>
      <c r="AZ1" s="1271" t="s">
        <v>1536</v>
      </c>
      <c r="BA1" s="1271" t="s">
        <v>648</v>
      </c>
      <c r="BB1" s="1271" t="s">
        <v>665</v>
      </c>
      <c r="BC1" s="1271" t="s">
        <v>1539</v>
      </c>
      <c r="BD1" s="1271" t="s">
        <v>1540</v>
      </c>
      <c r="BE1" s="1271" t="s">
        <v>1541</v>
      </c>
      <c r="BF1" s="1271" t="s">
        <v>1542</v>
      </c>
      <c r="BG1" s="1271" t="s">
        <v>1543</v>
      </c>
      <c r="BH1" s="1271" t="s">
        <v>1544</v>
      </c>
      <c r="BI1" s="1271" t="s">
        <v>1545</v>
      </c>
      <c r="BJ1" s="1271" t="s">
        <v>1546</v>
      </c>
      <c r="BK1" s="1271" t="s">
        <v>1270</v>
      </c>
      <c r="BL1" s="1271" t="s">
        <v>1547</v>
      </c>
      <c r="BM1" s="1271" t="s">
        <v>1548</v>
      </c>
      <c r="BN1" s="1271" t="s">
        <v>1549</v>
      </c>
      <c r="BO1" s="1271" t="s">
        <v>1550</v>
      </c>
      <c r="BP1" s="1271" t="s">
        <v>1271</v>
      </c>
      <c r="BQ1" s="1271" t="s">
        <v>1551</v>
      </c>
      <c r="BR1" s="1271" t="s">
        <v>1552</v>
      </c>
      <c r="BS1" s="1271" t="s">
        <v>1553</v>
      </c>
      <c r="BT1" s="1271" t="s">
        <v>1554</v>
      </c>
      <c r="BU1" s="1271" t="s">
        <v>1272</v>
      </c>
      <c r="BV1" s="1271" t="s">
        <v>1556</v>
      </c>
      <c r="BW1" s="1271" t="s">
        <v>1557</v>
      </c>
      <c r="BX1" s="1271" t="s">
        <v>1558</v>
      </c>
      <c r="BY1" s="1271" t="s">
        <v>1559</v>
      </c>
      <c r="BZ1" s="1271" t="s">
        <v>1560</v>
      </c>
      <c r="CA1" s="1271" t="s">
        <v>1561</v>
      </c>
      <c r="CB1" s="1271" t="s">
        <v>1562</v>
      </c>
      <c r="CC1" s="1271" t="s">
        <v>1563</v>
      </c>
      <c r="CD1" s="1271" t="s">
        <v>1564</v>
      </c>
      <c r="CE1" s="1271" t="s">
        <v>1565</v>
      </c>
      <c r="CF1" s="1271" t="s">
        <v>1566</v>
      </c>
      <c r="CG1" s="1271" t="s">
        <v>1567</v>
      </c>
      <c r="CH1" s="1271" t="s">
        <v>1568</v>
      </c>
      <c r="CI1" s="1271" t="s">
        <v>694</v>
      </c>
      <c r="CJ1" s="1271" t="s">
        <v>695</v>
      </c>
      <c r="CK1" s="1271" t="s">
        <v>696</v>
      </c>
      <c r="CL1" s="1271" t="s">
        <v>697</v>
      </c>
      <c r="CM1" s="1271" t="s">
        <v>698</v>
      </c>
      <c r="CN1" s="1271" t="s">
        <v>699</v>
      </c>
      <c r="CO1" s="1271" t="s">
        <v>700</v>
      </c>
      <c r="CP1" s="1271" t="s">
        <v>701</v>
      </c>
      <c r="CQ1" s="1271" t="s">
        <v>702</v>
      </c>
      <c r="CR1" s="1271" t="s">
        <v>703</v>
      </c>
      <c r="CS1" s="1271" t="s">
        <v>704</v>
      </c>
      <c r="CT1" s="1271" t="s">
        <v>705</v>
      </c>
      <c r="CU1" s="1271" t="s">
        <v>706</v>
      </c>
      <c r="CV1" s="1271" t="s">
        <v>707</v>
      </c>
      <c r="CW1" s="1271" t="s">
        <v>708</v>
      </c>
      <c r="CX1" s="1271" t="s">
        <v>709</v>
      </c>
      <c r="CY1" s="1271" t="s">
        <v>710</v>
      </c>
      <c r="CZ1" s="1271" t="s">
        <v>711</v>
      </c>
      <c r="DA1" s="1271" t="s">
        <v>712</v>
      </c>
      <c r="DB1" s="1271" t="s">
        <v>713</v>
      </c>
      <c r="DC1" s="1271" t="s">
        <v>1569</v>
      </c>
      <c r="DD1" s="1271" t="s">
        <v>1570</v>
      </c>
      <c r="DE1" s="1271" t="s">
        <v>670</v>
      </c>
      <c r="DF1" s="1271" t="s">
        <v>671</v>
      </c>
      <c r="DG1" s="1271" t="s">
        <v>1572</v>
      </c>
      <c r="DH1" s="1271" t="s">
        <v>1573</v>
      </c>
      <c r="DI1" s="1271" t="s">
        <v>1574</v>
      </c>
      <c r="DJ1" s="1271" t="s">
        <v>1575</v>
      </c>
      <c r="DK1" s="181" t="s">
        <v>794</v>
      </c>
      <c r="DL1" s="1271" t="s">
        <v>761</v>
      </c>
      <c r="DM1" s="1271" t="s">
        <v>762</v>
      </c>
      <c r="DN1" s="1271" t="s">
        <v>1576</v>
      </c>
      <c r="DO1" s="1271" t="s">
        <v>1577</v>
      </c>
      <c r="DP1" s="1271" t="s">
        <v>1578</v>
      </c>
      <c r="DQ1" s="1271" t="s">
        <v>1579</v>
      </c>
      <c r="DR1" s="1271" t="s">
        <v>1580</v>
      </c>
      <c r="DS1" s="1271" t="s">
        <v>1581</v>
      </c>
      <c r="DT1" s="1271" t="s">
        <v>1582</v>
      </c>
      <c r="DU1" s="1271" t="s">
        <v>1583</v>
      </c>
      <c r="DV1" s="1271" t="s">
        <v>1584</v>
      </c>
      <c r="DW1" s="1271" t="s">
        <v>1585</v>
      </c>
      <c r="DX1" s="1271" t="s">
        <v>1586</v>
      </c>
      <c r="DY1" s="1271" t="s">
        <v>1587</v>
      </c>
      <c r="DZ1" s="1271" t="s">
        <v>1588</v>
      </c>
      <c r="EA1" s="1271" t="s">
        <v>1589</v>
      </c>
      <c r="EB1" s="1271" t="s">
        <v>1590</v>
      </c>
      <c r="EC1" s="1271" t="s">
        <v>1591</v>
      </c>
      <c r="ED1" s="1271" t="s">
        <v>1592</v>
      </c>
      <c r="EE1" s="1271" t="s">
        <v>1593</v>
      </c>
      <c r="EF1" s="1271" t="s">
        <v>1594</v>
      </c>
      <c r="EG1" s="1271" t="s">
        <v>1595</v>
      </c>
      <c r="EH1" s="1271" t="s">
        <v>1596</v>
      </c>
      <c r="EI1" s="1271" t="s">
        <v>1598</v>
      </c>
      <c r="EJ1" s="1271" t="s">
        <v>1599</v>
      </c>
      <c r="EK1" s="1271" t="s">
        <v>1597</v>
      </c>
      <c r="EL1" s="1271" t="s">
        <v>1600</v>
      </c>
      <c r="EM1" s="1271" t="s">
        <v>1601</v>
      </c>
      <c r="EN1" s="1271" t="s">
        <v>1602</v>
      </c>
      <c r="EO1" s="1271" t="s">
        <v>1603</v>
      </c>
      <c r="EP1" s="1271" t="s">
        <v>1604</v>
      </c>
      <c r="EQ1" s="1271" t="s">
        <v>1605</v>
      </c>
      <c r="ER1" s="1271" t="s">
        <v>1606</v>
      </c>
      <c r="ES1" s="1271" t="s">
        <v>1607</v>
      </c>
      <c r="ET1" s="1271" t="s">
        <v>1608</v>
      </c>
      <c r="EU1" s="1271" t="s">
        <v>1609</v>
      </c>
      <c r="EV1" s="1271" t="s">
        <v>1610</v>
      </c>
      <c r="EW1" s="1271" t="s">
        <v>1611</v>
      </c>
      <c r="EX1" s="1271" t="s">
        <v>1612</v>
      </c>
      <c r="EY1" s="1271" t="s">
        <v>1613</v>
      </c>
      <c r="EZ1" s="1271" t="s">
        <v>1614</v>
      </c>
      <c r="FA1" s="1271" t="s">
        <v>1615</v>
      </c>
      <c r="FB1" s="1271" t="s">
        <v>1616</v>
      </c>
      <c r="FC1" s="1271" t="s">
        <v>1617</v>
      </c>
      <c r="FD1" s="1271" t="s">
        <v>1618</v>
      </c>
      <c r="FE1" s="1271" t="s">
        <v>1619</v>
      </c>
      <c r="FF1" s="1271" t="s">
        <v>672</v>
      </c>
      <c r="FG1" s="1271" t="s">
        <v>673</v>
      </c>
      <c r="FH1" s="1271" t="s">
        <v>1620</v>
      </c>
      <c r="FI1" s="1271" t="s">
        <v>1621</v>
      </c>
      <c r="FJ1" s="1271" t="s">
        <v>1622</v>
      </c>
      <c r="FK1" s="1271" t="s">
        <v>1623</v>
      </c>
      <c r="FL1" s="1271" t="s">
        <v>1627</v>
      </c>
      <c r="FM1" s="1271" t="s">
        <v>1628</v>
      </c>
      <c r="FN1" s="1271" t="s">
        <v>1629</v>
      </c>
      <c r="FO1" s="1271" t="s">
        <v>1630</v>
      </c>
      <c r="FP1" s="1271" t="s">
        <v>1631</v>
      </c>
      <c r="FQ1" s="1271" t="s">
        <v>1632</v>
      </c>
      <c r="FR1" s="1271" t="s">
        <v>1633</v>
      </c>
      <c r="FS1" s="1271" t="s">
        <v>1635</v>
      </c>
      <c r="FT1" s="1271" t="s">
        <v>1636</v>
      </c>
      <c r="FU1" s="1271" t="s">
        <v>1637</v>
      </c>
      <c r="FV1" s="1271" t="s">
        <v>1638</v>
      </c>
      <c r="FW1" s="1271" t="s">
        <v>1639</v>
      </c>
      <c r="FX1" s="1271" t="s">
        <v>1640</v>
      </c>
      <c r="FY1" s="1271" t="s">
        <v>1641</v>
      </c>
      <c r="FZ1" s="1271" t="s">
        <v>1642</v>
      </c>
      <c r="GA1" s="1271" t="s">
        <v>1643</v>
      </c>
      <c r="GB1" s="1271" t="s">
        <v>1644</v>
      </c>
      <c r="GC1" s="1271" t="s">
        <v>1645</v>
      </c>
      <c r="GD1" s="1271" t="s">
        <v>1646</v>
      </c>
      <c r="GE1" s="1271" t="s">
        <v>1648</v>
      </c>
      <c r="GF1" s="1271" t="s">
        <v>1649</v>
      </c>
      <c r="GG1" s="1271" t="s">
        <v>1650</v>
      </c>
      <c r="GH1" s="1271" t="s">
        <v>1651</v>
      </c>
      <c r="GI1" s="1271" t="s">
        <v>1652</v>
      </c>
      <c r="GJ1" s="1271" t="s">
        <v>1653</v>
      </c>
      <c r="GK1" s="1271" t="s">
        <v>1654</v>
      </c>
      <c r="GL1" s="1271" t="s">
        <v>650</v>
      </c>
      <c r="GM1" s="1271" t="s">
        <v>1655</v>
      </c>
      <c r="GN1" s="1271" t="s">
        <v>1656</v>
      </c>
      <c r="GO1" s="1271" t="s">
        <v>1657</v>
      </c>
      <c r="GP1" s="1271" t="s">
        <v>1658</v>
      </c>
      <c r="GQ1" s="1271" t="s">
        <v>1659</v>
      </c>
      <c r="GR1" s="1271" t="s">
        <v>1704</v>
      </c>
      <c r="GS1" s="1271" t="s">
        <v>1705</v>
      </c>
      <c r="GT1" s="1271" t="s">
        <v>1706</v>
      </c>
      <c r="GU1" s="1271" t="s">
        <v>1282</v>
      </c>
      <c r="GV1" s="1271" t="s">
        <v>1921</v>
      </c>
      <c r="GW1" s="1271" t="s">
        <v>1922</v>
      </c>
      <c r="GX1" s="1271" t="s">
        <v>1927</v>
      </c>
      <c r="GY1" s="1271" t="s">
        <v>1923</v>
      </c>
      <c r="GZ1" s="1271" t="s">
        <v>1924</v>
      </c>
      <c r="HA1" s="1271" t="s">
        <v>1926</v>
      </c>
      <c r="HB1" s="1271" t="s">
        <v>1925</v>
      </c>
      <c r="HD1" s="1271" t="s">
        <v>651</v>
      </c>
      <c r="HE1" s="1271" t="s">
        <v>1928</v>
      </c>
      <c r="HF1" s="1271" t="s">
        <v>1929</v>
      </c>
      <c r="HG1" s="1271" t="s">
        <v>652</v>
      </c>
      <c r="HH1" s="1271" t="s">
        <v>1930</v>
      </c>
      <c r="HI1" s="1271" t="s">
        <v>1931</v>
      </c>
      <c r="HJ1" s="1271" t="s">
        <v>1932</v>
      </c>
      <c r="HK1" s="1271" t="s">
        <v>1933</v>
      </c>
      <c r="HL1" s="1271" t="s">
        <v>771</v>
      </c>
      <c r="HM1" s="1271" t="s">
        <v>1940</v>
      </c>
      <c r="HN1" s="1271" t="s">
        <v>1941</v>
      </c>
      <c r="HO1" s="1271" t="s">
        <v>1942</v>
      </c>
      <c r="HP1" s="1271" t="s">
        <v>1943</v>
      </c>
      <c r="HQ1" s="1271" t="s">
        <v>1944</v>
      </c>
      <c r="HR1" s="1271" t="s">
        <v>1945</v>
      </c>
      <c r="HS1" s="1271" t="s">
        <v>1949</v>
      </c>
      <c r="HT1" s="1271" t="s">
        <v>1950</v>
      </c>
      <c r="HU1" s="1271" t="s">
        <v>1951</v>
      </c>
      <c r="HV1" s="1271" t="s">
        <v>1952</v>
      </c>
      <c r="HW1" s="1271" t="s">
        <v>1953</v>
      </c>
      <c r="HX1" s="1271" t="s">
        <v>1954</v>
      </c>
      <c r="HY1" s="1271" t="s">
        <v>1959</v>
      </c>
      <c r="HZ1" s="1271" t="s">
        <v>1957</v>
      </c>
      <c r="IA1" s="1271" t="s">
        <v>1958</v>
      </c>
      <c r="IB1" s="1271" t="s">
        <v>1962</v>
      </c>
      <c r="IC1" s="1271" t="s">
        <v>1960</v>
      </c>
      <c r="ID1" s="1271" t="s">
        <v>1961</v>
      </c>
      <c r="IE1" s="1271" t="s">
        <v>1963</v>
      </c>
      <c r="IF1" s="1271" t="s">
        <v>1964</v>
      </c>
      <c r="IG1" s="1271" t="s">
        <v>1965</v>
      </c>
      <c r="IH1" s="1271" t="s">
        <v>1966</v>
      </c>
      <c r="II1" s="1271" t="s">
        <v>1967</v>
      </c>
      <c r="IJ1" s="1271" t="s">
        <v>347</v>
      </c>
      <c r="IK1" s="1271" t="s">
        <v>1968</v>
      </c>
      <c r="IL1" s="1271" t="s">
        <v>1969</v>
      </c>
      <c r="IM1" s="1271" t="s">
        <v>1970</v>
      </c>
      <c r="IN1" s="1271" t="s">
        <v>1971</v>
      </c>
      <c r="IO1" s="1271" t="s">
        <v>737</v>
      </c>
      <c r="IP1" s="1271" t="s">
        <v>616</v>
      </c>
      <c r="IQ1" s="1271" t="s">
        <v>1972</v>
      </c>
      <c r="IR1" s="1271" t="s">
        <v>1973</v>
      </c>
      <c r="IS1" s="1271" t="s">
        <v>1974</v>
      </c>
      <c r="IT1" s="1271" t="s">
        <v>1975</v>
      </c>
      <c r="IU1" s="1271" t="s">
        <v>738</v>
      </c>
      <c r="IV1" s="1271" t="s">
        <v>1973</v>
      </c>
      <c r="IW1" s="1271" t="s">
        <v>1975</v>
      </c>
      <c r="IX1" s="1271" t="s">
        <v>1976</v>
      </c>
      <c r="IY1" s="1271" t="s">
        <v>1977</v>
      </c>
      <c r="IZ1" s="1271" t="s">
        <v>1978</v>
      </c>
      <c r="JA1" s="1271" t="s">
        <v>1979</v>
      </c>
      <c r="JB1" s="1271" t="s">
        <v>1980</v>
      </c>
      <c r="JC1" s="1271" t="s">
        <v>1981</v>
      </c>
      <c r="JD1" s="1271" t="s">
        <v>1982</v>
      </c>
      <c r="JE1" s="1271" t="s">
        <v>1983</v>
      </c>
      <c r="JF1" s="1271" t="s">
        <v>739</v>
      </c>
      <c r="JG1" s="1271" t="s">
        <v>1973</v>
      </c>
      <c r="JH1" s="1271" t="s">
        <v>1975</v>
      </c>
      <c r="JI1" s="1271" t="s">
        <v>1976</v>
      </c>
      <c r="JJ1" s="1271" t="s">
        <v>1977</v>
      </c>
      <c r="JK1" s="1271" t="s">
        <v>1978</v>
      </c>
      <c r="JL1" s="1271" t="s">
        <v>1979</v>
      </c>
      <c r="JM1" s="1271" t="s">
        <v>1980</v>
      </c>
      <c r="JN1" s="1271" t="s">
        <v>1981</v>
      </c>
      <c r="JO1" s="1271" t="s">
        <v>1982</v>
      </c>
      <c r="JP1" s="1271" t="s">
        <v>1983</v>
      </c>
      <c r="JQ1" s="1271" t="s">
        <v>740</v>
      </c>
      <c r="JR1" s="1271" t="s">
        <v>1973</v>
      </c>
      <c r="JS1" s="1271" t="s">
        <v>1975</v>
      </c>
      <c r="JT1" s="1271" t="s">
        <v>1984</v>
      </c>
      <c r="JU1" s="1271" t="s">
        <v>1985</v>
      </c>
      <c r="JV1" s="1271" t="s">
        <v>1986</v>
      </c>
      <c r="JW1" s="1271" t="s">
        <v>1987</v>
      </c>
      <c r="JX1" s="1271" t="s">
        <v>1988</v>
      </c>
      <c r="JY1" s="1271" t="s">
        <v>1989</v>
      </c>
      <c r="JZ1" s="1271" t="s">
        <v>1990</v>
      </c>
      <c r="KA1" s="1271" t="s">
        <v>1991</v>
      </c>
      <c r="KB1" s="1271" t="s">
        <v>1992</v>
      </c>
      <c r="KC1" s="1271" t="s">
        <v>1993</v>
      </c>
      <c r="KD1" s="1271" t="s">
        <v>1994</v>
      </c>
      <c r="KE1" s="1271" t="s">
        <v>1995</v>
      </c>
      <c r="KF1" s="1271" t="s">
        <v>1996</v>
      </c>
      <c r="KG1" s="1271" t="s">
        <v>1997</v>
      </c>
      <c r="KH1" s="1271" t="s">
        <v>2058</v>
      </c>
      <c r="KI1" s="1271" t="s">
        <v>2059</v>
      </c>
      <c r="KJ1" s="1271" t="s">
        <v>2122</v>
      </c>
      <c r="KK1" s="1271" t="s">
        <v>1940</v>
      </c>
      <c r="KL1" s="1271" t="s">
        <v>1941</v>
      </c>
      <c r="KM1" s="1271" t="s">
        <v>1942</v>
      </c>
      <c r="KN1" s="1271" t="s">
        <v>1943</v>
      </c>
      <c r="KO1" s="1271" t="s">
        <v>1944</v>
      </c>
      <c r="KP1" s="1271" t="s">
        <v>1945</v>
      </c>
      <c r="KQ1" s="1271" t="s">
        <v>2123</v>
      </c>
      <c r="KR1" s="1271" t="s">
        <v>1950</v>
      </c>
      <c r="KS1" s="1271" t="s">
        <v>1951</v>
      </c>
      <c r="KT1" s="1271" t="s">
        <v>1952</v>
      </c>
      <c r="KU1" s="1271" t="s">
        <v>1953</v>
      </c>
      <c r="KV1" s="1271" t="s">
        <v>1954</v>
      </c>
      <c r="KW1" s="1271" t="s">
        <v>1959</v>
      </c>
      <c r="KX1" s="1271" t="s">
        <v>1957</v>
      </c>
      <c r="KY1" s="1271" t="s">
        <v>1958</v>
      </c>
      <c r="KZ1" s="1271" t="s">
        <v>1962</v>
      </c>
      <c r="LA1" s="1271" t="s">
        <v>1960</v>
      </c>
      <c r="LB1" s="1271" t="s">
        <v>1961</v>
      </c>
    </row>
    <row r="2" spans="1:314">
      <c r="A2" s="181" t="s">
        <v>235</v>
      </c>
      <c r="D2" s="181" t="s">
        <v>1175</v>
      </c>
      <c r="E2" s="181" t="s">
        <v>475</v>
      </c>
      <c r="F2" s="181" t="s">
        <v>1680</v>
      </c>
      <c r="G2" s="181">
        <v>399999800</v>
      </c>
      <c r="H2" s="181">
        <v>17</v>
      </c>
      <c r="I2" s="183" t="s">
        <v>2173</v>
      </c>
      <c r="J2" s="182" t="s">
        <v>2196</v>
      </c>
      <c r="K2" s="181">
        <v>100</v>
      </c>
      <c r="L2" s="181" t="s">
        <v>933</v>
      </c>
      <c r="M2" s="181">
        <v>1</v>
      </c>
      <c r="N2" s="181" t="s">
        <v>2043</v>
      </c>
      <c r="O2" s="181" t="s">
        <v>2115</v>
      </c>
      <c r="P2" s="181">
        <v>0</v>
      </c>
      <c r="Q2" s="181">
        <v>53.254798905464618</v>
      </c>
      <c r="R2" s="181">
        <v>0</v>
      </c>
      <c r="S2" s="181">
        <v>12673410</v>
      </c>
      <c r="AL2" s="181">
        <v>766217.43377200013</v>
      </c>
      <c r="AM2" s="181">
        <v>1532434.8675440003</v>
      </c>
      <c r="AN2" s="181">
        <v>10182841.891746473</v>
      </c>
      <c r="AO2" s="181">
        <v>10182841.891746473</v>
      </c>
      <c r="DC2" s="181">
        <v>766217.43377200013</v>
      </c>
      <c r="DD2" s="181">
        <v>1532434.8675440003</v>
      </c>
      <c r="DN2" s="181" t="s">
        <v>37</v>
      </c>
      <c r="DO2" s="181">
        <v>1859734.7341935486</v>
      </c>
      <c r="DP2" s="181">
        <v>3719469.4683870971</v>
      </c>
      <c r="DX2" s="181" t="s">
        <v>1634</v>
      </c>
      <c r="DY2" s="181">
        <v>278200.48834244086</v>
      </c>
      <c r="DZ2" s="181">
        <v>556400.97668488172</v>
      </c>
      <c r="FY2" s="181">
        <v>0</v>
      </c>
      <c r="FZ2" s="181">
        <v>0</v>
      </c>
      <c r="GA2" s="181">
        <v>0</v>
      </c>
      <c r="GB2" s="181">
        <v>0</v>
      </c>
      <c r="GC2" s="181">
        <v>0</v>
      </c>
      <c r="GD2" s="181">
        <v>0</v>
      </c>
      <c r="GN2" s="181">
        <v>0</v>
      </c>
      <c r="GR2" s="181" t="s">
        <v>176</v>
      </c>
      <c r="GS2" s="181">
        <v>0</v>
      </c>
      <c r="GT2" s="181">
        <v>0</v>
      </c>
      <c r="HD2" s="181" t="s">
        <v>1176</v>
      </c>
      <c r="HE2" s="181">
        <f>463982.5+15</f>
        <v>463997.5</v>
      </c>
      <c r="HF2" s="181">
        <f>927965+30</f>
        <v>927995</v>
      </c>
      <c r="HG2" s="181" t="s">
        <v>1634</v>
      </c>
      <c r="HH2" s="181">
        <v>78239.65217391304</v>
      </c>
      <c r="HI2" s="181">
        <v>156479.30434782608</v>
      </c>
      <c r="HL2" s="181" t="s">
        <v>932</v>
      </c>
      <c r="HS2" s="181" t="s">
        <v>1728</v>
      </c>
      <c r="HT2" s="181">
        <v>1462535</v>
      </c>
      <c r="HU2" s="181">
        <v>3031225</v>
      </c>
      <c r="HV2" s="181" t="s">
        <v>1178</v>
      </c>
      <c r="HW2" s="181">
        <v>32569</v>
      </c>
      <c r="HX2" s="181">
        <v>67073</v>
      </c>
      <c r="HY2" s="181" t="s">
        <v>2236</v>
      </c>
      <c r="HZ2" s="181">
        <v>249353</v>
      </c>
      <c r="IA2" s="181">
        <v>498706</v>
      </c>
      <c r="IE2" s="181" t="s">
        <v>2250</v>
      </c>
      <c r="IF2" s="181">
        <v>1600</v>
      </c>
      <c r="IG2" s="181" t="s">
        <v>2251</v>
      </c>
      <c r="IH2" s="181" t="s">
        <v>2301</v>
      </c>
      <c r="II2" s="181">
        <v>24</v>
      </c>
      <c r="IJ2" s="181" t="s">
        <v>1283</v>
      </c>
      <c r="IK2" s="181" t="s">
        <v>2115</v>
      </c>
      <c r="IL2" s="181">
        <v>50</v>
      </c>
      <c r="IM2" s="181">
        <v>400000</v>
      </c>
      <c r="IN2" s="181">
        <v>100000</v>
      </c>
      <c r="KI2" s="181">
        <v>-1710000</v>
      </c>
    </row>
    <row r="3" spans="1:314">
      <c r="A3" s="181" t="s">
        <v>235</v>
      </c>
      <c r="D3" s="181" t="s">
        <v>1180</v>
      </c>
      <c r="E3" s="181" t="s">
        <v>475</v>
      </c>
      <c r="F3" s="181" t="s">
        <v>2172</v>
      </c>
      <c r="G3" s="181">
        <v>50</v>
      </c>
      <c r="I3" s="183" t="s">
        <v>2174</v>
      </c>
      <c r="J3" s="182" t="s">
        <v>2186</v>
      </c>
      <c r="K3" s="181">
        <v>100</v>
      </c>
      <c r="L3" s="181" t="s">
        <v>933</v>
      </c>
      <c r="M3" s="181">
        <v>1</v>
      </c>
      <c r="N3" s="181" t="s">
        <v>2140</v>
      </c>
      <c r="O3" s="181" t="s">
        <v>2115</v>
      </c>
      <c r="P3" s="181">
        <v>25</v>
      </c>
      <c r="Q3" s="181">
        <v>50</v>
      </c>
      <c r="R3" s="181">
        <v>0</v>
      </c>
      <c r="S3" s="181">
        <v>0</v>
      </c>
      <c r="AL3" s="181">
        <v>1532434.8675440003</v>
      </c>
      <c r="AM3" s="181">
        <v>3064869.7350880005</v>
      </c>
      <c r="AN3" s="181">
        <v>1259580.3297751434</v>
      </c>
      <c r="AO3" s="181">
        <v>1259580.3297751434</v>
      </c>
      <c r="DC3" s="181">
        <v>1532434.8675440003</v>
      </c>
      <c r="DD3" s="181">
        <v>3064869.7350880005</v>
      </c>
      <c r="DN3" s="181" t="s">
        <v>38</v>
      </c>
      <c r="DO3" s="181">
        <v>633987.32048387104</v>
      </c>
      <c r="DP3" s="181">
        <v>1267974.6409677421</v>
      </c>
      <c r="DX3" s="181" t="s">
        <v>1109</v>
      </c>
      <c r="DY3" s="181">
        <f>1643649.91666667+22.5</f>
        <v>1643672.41666667</v>
      </c>
      <c r="DZ3" s="181">
        <f>3287299.83333333+50</f>
        <v>3287349.8333333302</v>
      </c>
      <c r="FY3" s="181">
        <v>0</v>
      </c>
      <c r="FZ3" s="181">
        <v>0</v>
      </c>
      <c r="GA3" s="181">
        <v>0</v>
      </c>
      <c r="GB3" s="181">
        <v>0</v>
      </c>
      <c r="GC3" s="181">
        <v>0</v>
      </c>
      <c r="GD3" s="181">
        <v>0</v>
      </c>
      <c r="GN3" s="181">
        <v>0</v>
      </c>
      <c r="GR3" s="181" t="s">
        <v>177</v>
      </c>
      <c r="GS3" s="181">
        <v>0</v>
      </c>
      <c r="GT3" s="181">
        <v>0</v>
      </c>
      <c r="HD3" s="181" t="s">
        <v>1101</v>
      </c>
      <c r="HE3" s="181">
        <v>306940.5</v>
      </c>
      <c r="HF3" s="181">
        <v>613881</v>
      </c>
      <c r="HG3" s="181" t="s">
        <v>887</v>
      </c>
      <c r="HH3" s="181">
        <v>253458</v>
      </c>
      <c r="HI3" s="181">
        <v>506916</v>
      </c>
      <c r="HL3" s="181" t="s">
        <v>1224</v>
      </c>
      <c r="HM3" s="181">
        <v>322564</v>
      </c>
      <c r="HN3" s="181">
        <v>322564</v>
      </c>
      <c r="HS3" s="181" t="s">
        <v>2233</v>
      </c>
      <c r="HT3" s="181">
        <v>536853</v>
      </c>
      <c r="HU3" s="181">
        <v>1079518</v>
      </c>
      <c r="HV3" s="181" t="s">
        <v>1732</v>
      </c>
      <c r="HW3" s="181">
        <v>43470</v>
      </c>
      <c r="HX3" s="181">
        <v>86940</v>
      </c>
      <c r="HY3" s="181" t="s">
        <v>1182</v>
      </c>
      <c r="HZ3" s="181">
        <v>77719</v>
      </c>
      <c r="IA3" s="181">
        <v>155438</v>
      </c>
      <c r="IE3" s="181" t="s">
        <v>2237</v>
      </c>
      <c r="IF3" s="181">
        <v>1328.3333333333333</v>
      </c>
      <c r="IG3" s="181" t="s">
        <v>2251</v>
      </c>
      <c r="IH3" s="181" t="s">
        <v>2302</v>
      </c>
      <c r="II3" s="181">
        <v>12</v>
      </c>
      <c r="IJ3" s="181" t="s">
        <v>2140</v>
      </c>
      <c r="IK3" s="181" t="s">
        <v>2115</v>
      </c>
      <c r="IL3" s="181">
        <v>100</v>
      </c>
      <c r="IM3" s="181">
        <v>600000</v>
      </c>
      <c r="IN3" s="181">
        <v>300000</v>
      </c>
    </row>
    <row r="4" spans="1:314">
      <c r="A4" s="181" t="s">
        <v>235</v>
      </c>
      <c r="D4" s="181" t="s">
        <v>658</v>
      </c>
      <c r="E4" s="181" t="s">
        <v>475</v>
      </c>
      <c r="F4" s="181" t="s">
        <v>657</v>
      </c>
      <c r="G4" s="181">
        <v>50</v>
      </c>
      <c r="I4" s="183" t="s">
        <v>2175</v>
      </c>
      <c r="J4" s="182" t="s">
        <v>2197</v>
      </c>
      <c r="K4" s="181">
        <v>100</v>
      </c>
      <c r="L4" s="181" t="s">
        <v>933</v>
      </c>
      <c r="M4" s="181">
        <v>2</v>
      </c>
      <c r="N4" s="181" t="s">
        <v>2140</v>
      </c>
      <c r="O4" s="181" t="s">
        <v>2115</v>
      </c>
      <c r="P4" s="181">
        <v>25</v>
      </c>
      <c r="Q4" s="181">
        <v>50</v>
      </c>
      <c r="R4" s="181">
        <v>0</v>
      </c>
      <c r="S4" s="181">
        <v>0</v>
      </c>
      <c r="AL4" s="181">
        <v>564617.34</v>
      </c>
      <c r="AM4" s="181">
        <v>1129234.68</v>
      </c>
      <c r="AN4" s="181">
        <v>349439.11216045899</v>
      </c>
      <c r="AO4" s="181">
        <v>349439.11216045899</v>
      </c>
      <c r="DC4" s="181">
        <v>564617.34</v>
      </c>
      <c r="DD4" s="181">
        <v>1129234.68</v>
      </c>
      <c r="DN4" s="181" t="s">
        <v>2222</v>
      </c>
      <c r="DO4" s="181">
        <v>563614.2041935483</v>
      </c>
      <c r="DP4" s="181">
        <v>1127228.4083870966</v>
      </c>
      <c r="DX4" s="181" t="s">
        <v>1183</v>
      </c>
      <c r="DY4" s="181">
        <v>137978.73749999999</v>
      </c>
      <c r="DZ4" s="181">
        <v>275957.47499999998</v>
      </c>
      <c r="FY4" s="181">
        <v>7</v>
      </c>
      <c r="FZ4" s="181">
        <v>1570</v>
      </c>
      <c r="GA4" s="181">
        <v>323</v>
      </c>
      <c r="GB4" s="181">
        <v>7</v>
      </c>
      <c r="GC4" s="181">
        <v>1570</v>
      </c>
      <c r="GD4" s="181">
        <v>323</v>
      </c>
      <c r="GM4" s="181">
        <v>1525652</v>
      </c>
      <c r="GN4" s="181">
        <v>3158192</v>
      </c>
      <c r="GR4" s="181" t="s">
        <v>178</v>
      </c>
      <c r="GS4" s="181">
        <v>12794513.5</v>
      </c>
      <c r="GT4" s="181">
        <v>25589027.5</v>
      </c>
      <c r="HD4" s="181" t="s">
        <v>1184</v>
      </c>
      <c r="HE4" s="181">
        <v>147869.00000000003</v>
      </c>
      <c r="HF4" s="181">
        <v>295738.00000000006</v>
      </c>
      <c r="HG4" s="181" t="s">
        <v>890</v>
      </c>
      <c r="HH4" s="181">
        <v>70257.133333333331</v>
      </c>
      <c r="HI4" s="181">
        <v>140514.26666666666</v>
      </c>
      <c r="HL4" s="181" t="s">
        <v>1187</v>
      </c>
      <c r="HM4" s="181">
        <v>115360</v>
      </c>
      <c r="HN4" s="181">
        <v>115360</v>
      </c>
      <c r="HS4" s="181" t="s">
        <v>1181</v>
      </c>
      <c r="HT4" s="181">
        <v>580680</v>
      </c>
      <c r="HU4" s="181">
        <v>1193240</v>
      </c>
      <c r="HY4" s="181" t="s">
        <v>333</v>
      </c>
      <c r="HZ4" s="181">
        <v>3000</v>
      </c>
      <c r="IA4" s="181">
        <v>6000</v>
      </c>
      <c r="IE4" s="181" t="s">
        <v>2238</v>
      </c>
      <c r="IF4" s="181">
        <v>64969.066666666666</v>
      </c>
      <c r="IG4" s="181" t="s">
        <v>2251</v>
      </c>
      <c r="IH4" s="181" t="s">
        <v>2303</v>
      </c>
      <c r="II4" s="181">
        <v>12</v>
      </c>
      <c r="IJ4" s="181" t="s">
        <v>2140</v>
      </c>
      <c r="IK4" s="181" t="s">
        <v>2115</v>
      </c>
      <c r="IL4" s="181">
        <v>100</v>
      </c>
      <c r="IM4" s="181">
        <v>600000</v>
      </c>
      <c r="IN4" s="181">
        <v>300000</v>
      </c>
    </row>
    <row r="5" spans="1:314">
      <c r="A5" s="181" t="s">
        <v>235</v>
      </c>
      <c r="D5" s="181" t="s">
        <v>659</v>
      </c>
      <c r="E5" s="181" t="s">
        <v>475</v>
      </c>
      <c r="F5" s="181" t="s">
        <v>759</v>
      </c>
      <c r="G5" s="181">
        <v>50</v>
      </c>
      <c r="I5" s="183" t="s">
        <v>2176</v>
      </c>
      <c r="J5" s="182" t="s">
        <v>2187</v>
      </c>
      <c r="K5" s="181">
        <v>3</v>
      </c>
      <c r="L5" s="181" t="s">
        <v>359</v>
      </c>
      <c r="M5" s="181">
        <v>1</v>
      </c>
      <c r="N5" s="181" t="s">
        <v>2140</v>
      </c>
      <c r="O5" s="181" t="s">
        <v>2214</v>
      </c>
      <c r="P5" s="181">
        <v>5</v>
      </c>
      <c r="Q5" s="181">
        <v>10</v>
      </c>
      <c r="R5" s="181">
        <v>0</v>
      </c>
      <c r="S5" s="181">
        <v>0</v>
      </c>
      <c r="AL5" s="181">
        <v>274669.15000000002</v>
      </c>
      <c r="AM5" s="181">
        <v>549338.30000000005</v>
      </c>
      <c r="AN5" s="181">
        <v>248432.39220713355</v>
      </c>
      <c r="AO5" s="181">
        <v>248432.39220713355</v>
      </c>
      <c r="DC5" s="181">
        <v>274669.15000000002</v>
      </c>
      <c r="DD5" s="181">
        <v>549338.30000000005</v>
      </c>
      <c r="DN5" s="181" t="s">
        <v>2221</v>
      </c>
      <c r="DO5" s="181">
        <v>944731.35516129027</v>
      </c>
      <c r="DP5" s="181">
        <v>1889462.7103225805</v>
      </c>
      <c r="DX5" s="181" t="s">
        <v>2226</v>
      </c>
      <c r="DY5" s="181">
        <v>127262.93333333332</v>
      </c>
      <c r="DZ5" s="181">
        <v>254525.86666666664</v>
      </c>
      <c r="FY5" s="181">
        <v>0</v>
      </c>
      <c r="FZ5" s="181">
        <v>0</v>
      </c>
      <c r="GA5" s="181">
        <v>0</v>
      </c>
      <c r="GB5" s="181">
        <v>0</v>
      </c>
      <c r="GC5" s="181">
        <v>0</v>
      </c>
      <c r="GD5" s="181">
        <v>0</v>
      </c>
      <c r="GN5" s="181">
        <v>0</v>
      </c>
      <c r="GR5" s="181" t="s">
        <v>1707</v>
      </c>
      <c r="GS5" s="181">
        <v>0</v>
      </c>
      <c r="GT5" s="181">
        <v>0</v>
      </c>
      <c r="HD5" s="181" t="s">
        <v>972</v>
      </c>
      <c r="HE5" s="181">
        <v>227396.00000000003</v>
      </c>
      <c r="HF5" s="181">
        <v>454792.00000000006</v>
      </c>
      <c r="HG5" s="181" t="s">
        <v>925</v>
      </c>
      <c r="HH5" s="181">
        <v>82722.266666666663</v>
      </c>
      <c r="HI5" s="181">
        <v>165444.53333333333</v>
      </c>
      <c r="HL5" s="181" t="s">
        <v>1670</v>
      </c>
      <c r="HM5" s="181">
        <v>956240</v>
      </c>
      <c r="HN5" s="181">
        <v>956240</v>
      </c>
      <c r="HS5" s="181" t="s">
        <v>1185</v>
      </c>
      <c r="HT5" s="181">
        <v>194358</v>
      </c>
      <c r="HU5" s="181">
        <v>394208</v>
      </c>
      <c r="IE5" s="181" t="s">
        <v>2239</v>
      </c>
      <c r="IF5" s="181">
        <v>5050</v>
      </c>
      <c r="IG5" s="181" t="s">
        <v>2251</v>
      </c>
      <c r="IH5" s="181" t="s">
        <v>2304</v>
      </c>
      <c r="II5" s="181">
        <v>14</v>
      </c>
      <c r="IJ5" s="181" t="s">
        <v>1317</v>
      </c>
      <c r="IK5" s="181" t="s">
        <v>2115</v>
      </c>
      <c r="IL5" s="181">
        <v>84.21052631578948</v>
      </c>
      <c r="IM5" s="181">
        <v>950000</v>
      </c>
      <c r="IN5" s="181">
        <v>0</v>
      </c>
    </row>
    <row r="6" spans="1:314">
      <c r="A6" s="181" t="s">
        <v>235</v>
      </c>
      <c r="D6" s="181" t="s">
        <v>1191</v>
      </c>
      <c r="E6" s="181" t="s">
        <v>666</v>
      </c>
      <c r="F6" s="181" t="s">
        <v>2117</v>
      </c>
      <c r="G6" s="181">
        <v>50</v>
      </c>
      <c r="I6" s="183" t="s">
        <v>2177</v>
      </c>
      <c r="J6" s="182" t="s">
        <v>2198</v>
      </c>
      <c r="K6" s="181">
        <v>20</v>
      </c>
      <c r="L6" s="181" t="s">
        <v>720</v>
      </c>
      <c r="M6" s="181">
        <v>1</v>
      </c>
      <c r="N6" s="181" t="s">
        <v>2140</v>
      </c>
      <c r="O6" s="181" t="s">
        <v>2115</v>
      </c>
      <c r="P6" s="181">
        <v>25</v>
      </c>
      <c r="Q6" s="181">
        <v>50</v>
      </c>
      <c r="R6" s="181">
        <v>0</v>
      </c>
      <c r="S6" s="181">
        <v>75000</v>
      </c>
      <c r="AL6" s="181">
        <v>751110.75</v>
      </c>
      <c r="AM6" s="181">
        <v>1502221.5</v>
      </c>
      <c r="AN6" s="181">
        <v>1330000</v>
      </c>
      <c r="AO6" s="181">
        <v>1330000</v>
      </c>
      <c r="DC6" s="181">
        <v>751110.75</v>
      </c>
      <c r="DD6" s="181">
        <v>1502221.5</v>
      </c>
      <c r="DN6" s="181" t="s">
        <v>41</v>
      </c>
      <c r="DO6" s="181">
        <v>723132.33258064522</v>
      </c>
      <c r="DP6" s="181">
        <v>1446264.6651612904</v>
      </c>
      <c r="DX6" s="181" t="s">
        <v>1190</v>
      </c>
      <c r="DY6" s="181">
        <v>151778.66666666666</v>
      </c>
      <c r="DZ6" s="181">
        <v>303557.33333333331</v>
      </c>
      <c r="FY6" s="181">
        <v>7</v>
      </c>
      <c r="FZ6" s="181">
        <v>590</v>
      </c>
      <c r="GA6" s="181">
        <v>104</v>
      </c>
      <c r="GB6" s="181">
        <v>7</v>
      </c>
      <c r="GC6" s="181">
        <v>590</v>
      </c>
      <c r="GD6" s="181">
        <v>104</v>
      </c>
      <c r="GN6" s="181">
        <v>0</v>
      </c>
      <c r="GR6" s="181" t="s">
        <v>175</v>
      </c>
      <c r="GS6" s="181">
        <v>0</v>
      </c>
      <c r="GT6" s="181">
        <v>0</v>
      </c>
      <c r="HD6" s="181" t="s">
        <v>1192</v>
      </c>
      <c r="HE6" s="181">
        <v>110164.5</v>
      </c>
      <c r="HF6" s="181">
        <v>220329</v>
      </c>
      <c r="HG6" s="181" t="s">
        <v>1188</v>
      </c>
      <c r="HH6" s="181">
        <v>44470.933333333334</v>
      </c>
      <c r="HI6" s="181">
        <v>88941.866666666669</v>
      </c>
      <c r="HL6" s="181" t="s">
        <v>2120</v>
      </c>
      <c r="HM6" s="181">
        <v>8079386</v>
      </c>
      <c r="HN6" s="181">
        <v>8079386</v>
      </c>
      <c r="HS6" s="181" t="s">
        <v>1189</v>
      </c>
      <c r="HT6" s="181">
        <v>0</v>
      </c>
      <c r="HU6" s="181">
        <v>0</v>
      </c>
      <c r="IE6" s="181" t="s">
        <v>2240</v>
      </c>
      <c r="IF6" s="181">
        <v>9000</v>
      </c>
      <c r="IG6" s="181" t="s">
        <v>2251</v>
      </c>
      <c r="IH6" s="181" t="s">
        <v>2305</v>
      </c>
      <c r="II6" s="181">
        <v>14</v>
      </c>
      <c r="IJ6" s="181" t="s">
        <v>1317</v>
      </c>
      <c r="IK6" s="181" t="s">
        <v>2115</v>
      </c>
      <c r="IL6" s="181">
        <v>99.385054972358532</v>
      </c>
      <c r="IM6" s="181">
        <v>804950</v>
      </c>
      <c r="IN6" s="181">
        <v>0</v>
      </c>
    </row>
    <row r="7" spans="1:314">
      <c r="A7" s="181" t="s">
        <v>235</v>
      </c>
      <c r="D7" s="181" t="s">
        <v>1195</v>
      </c>
      <c r="E7" s="181" t="s">
        <v>475</v>
      </c>
      <c r="I7" s="183" t="s">
        <v>2178</v>
      </c>
      <c r="J7" s="182" t="s">
        <v>2199</v>
      </c>
      <c r="K7" s="181">
        <v>100</v>
      </c>
      <c r="L7" s="181" t="s">
        <v>933</v>
      </c>
      <c r="M7" s="181">
        <v>1</v>
      </c>
      <c r="N7" s="181" t="s">
        <v>2140</v>
      </c>
      <c r="O7" s="181" t="s">
        <v>2040</v>
      </c>
      <c r="P7" s="181">
        <v>25</v>
      </c>
      <c r="Q7" s="181">
        <v>50</v>
      </c>
      <c r="R7" s="181">
        <v>0</v>
      </c>
      <c r="S7" s="181">
        <v>0</v>
      </c>
      <c r="AL7" s="181">
        <v>58771.21</v>
      </c>
      <c r="AM7" s="181">
        <v>117542.42</v>
      </c>
      <c r="AN7" s="181">
        <v>999825.30221855221</v>
      </c>
      <c r="AO7" s="181">
        <v>999825.30221855221</v>
      </c>
      <c r="DC7" s="181">
        <v>58771.21</v>
      </c>
      <c r="DD7" s="181">
        <v>117542.42</v>
      </c>
      <c r="DN7" s="181" t="s">
        <v>2219</v>
      </c>
      <c r="DO7" s="181">
        <v>139562.97387096772</v>
      </c>
      <c r="DP7" s="181">
        <v>279125.94774193544</v>
      </c>
      <c r="DX7" s="181" t="s">
        <v>887</v>
      </c>
      <c r="DY7" s="181">
        <v>757923</v>
      </c>
      <c r="DZ7" s="181">
        <v>1515846</v>
      </c>
      <c r="GM7" s="181">
        <v>1525652</v>
      </c>
      <c r="GN7" s="181">
        <v>3158192</v>
      </c>
      <c r="GR7" s="181" t="s">
        <v>871</v>
      </c>
      <c r="GS7" s="181">
        <v>0</v>
      </c>
      <c r="GT7" s="181">
        <v>0</v>
      </c>
      <c r="HD7" s="181" t="s">
        <v>1097</v>
      </c>
      <c r="HE7" s="181">
        <v>162752.5</v>
      </c>
      <c r="HF7" s="181">
        <v>325505</v>
      </c>
      <c r="HG7" s="181" t="s">
        <v>1193</v>
      </c>
      <c r="HH7" s="181">
        <v>37712.26666666667</v>
      </c>
      <c r="HI7" s="181">
        <v>75424.53333333334</v>
      </c>
      <c r="HL7" s="181" t="s">
        <v>1742</v>
      </c>
      <c r="HM7" s="181">
        <v>56256</v>
      </c>
      <c r="HN7" s="181">
        <v>56256</v>
      </c>
      <c r="HS7" s="181" t="s">
        <v>1194</v>
      </c>
      <c r="HT7" s="181">
        <v>136890</v>
      </c>
      <c r="HU7" s="181">
        <v>282540</v>
      </c>
      <c r="IE7" s="181" t="s">
        <v>2241</v>
      </c>
      <c r="IF7" s="181">
        <v>10161</v>
      </c>
      <c r="IG7" s="181" t="s">
        <v>2251</v>
      </c>
      <c r="IH7" s="181" t="s">
        <v>2306</v>
      </c>
      <c r="II7" s="181">
        <v>8</v>
      </c>
      <c r="IJ7" s="181" t="s">
        <v>1317</v>
      </c>
      <c r="IK7" s="181" t="s">
        <v>2041</v>
      </c>
      <c r="IL7" s="181">
        <v>88.888888888888886</v>
      </c>
      <c r="IM7" s="181">
        <v>168750</v>
      </c>
      <c r="IN7" s="181">
        <v>150000</v>
      </c>
    </row>
    <row r="8" spans="1:314">
      <c r="A8" s="181" t="s">
        <v>235</v>
      </c>
      <c r="D8" s="181" t="s">
        <v>1198</v>
      </c>
      <c r="E8" s="181" t="s">
        <v>475</v>
      </c>
      <c r="I8" s="183" t="s">
        <v>2179</v>
      </c>
      <c r="J8" s="182" t="s">
        <v>2200</v>
      </c>
      <c r="K8" s="181">
        <v>100</v>
      </c>
      <c r="L8" s="181" t="s">
        <v>933</v>
      </c>
      <c r="M8" s="181">
        <v>1</v>
      </c>
      <c r="N8" s="181" t="s">
        <v>2043</v>
      </c>
      <c r="O8" s="181" t="s">
        <v>2040</v>
      </c>
      <c r="P8" s="181">
        <v>0</v>
      </c>
      <c r="Q8" s="181">
        <v>50</v>
      </c>
      <c r="R8" s="181">
        <v>0</v>
      </c>
      <c r="S8" s="181">
        <v>0</v>
      </c>
      <c r="AL8" s="181">
        <v>117542.42</v>
      </c>
      <c r="AM8" s="181">
        <v>235084.84</v>
      </c>
      <c r="AN8" s="181">
        <v>970633.45556438249</v>
      </c>
      <c r="AO8" s="181">
        <v>970633.45556438249</v>
      </c>
      <c r="DC8" s="181">
        <v>117542.42</v>
      </c>
      <c r="DD8" s="181">
        <v>235084.84</v>
      </c>
      <c r="DN8" s="181" t="s">
        <v>43</v>
      </c>
      <c r="DO8" s="181">
        <v>153628.7964516129</v>
      </c>
      <c r="DP8" s="181">
        <v>307257.5929032258</v>
      </c>
      <c r="DX8" s="181" t="s">
        <v>925</v>
      </c>
      <c r="DY8" s="181">
        <v>428235.73333333345</v>
      </c>
      <c r="DZ8" s="181">
        <v>856471.46666666691</v>
      </c>
      <c r="GN8" s="181">
        <v>0</v>
      </c>
      <c r="GR8" s="181" t="s">
        <v>871</v>
      </c>
      <c r="GS8" s="181">
        <v>0</v>
      </c>
      <c r="GT8" s="181">
        <v>0</v>
      </c>
      <c r="HD8" s="181" t="s">
        <v>927</v>
      </c>
      <c r="HE8" s="181">
        <v>103031</v>
      </c>
      <c r="HF8" s="181">
        <v>206062</v>
      </c>
      <c r="HG8" s="181" t="s">
        <v>813</v>
      </c>
      <c r="HH8" s="181">
        <v>81131.850000000006</v>
      </c>
      <c r="HI8" s="181">
        <v>162263.70000000001</v>
      </c>
      <c r="HL8" s="181" t="s">
        <v>917</v>
      </c>
      <c r="HM8" s="181">
        <v>425680</v>
      </c>
      <c r="HN8" s="181">
        <v>425680</v>
      </c>
      <c r="HS8" s="181" t="s">
        <v>1197</v>
      </c>
      <c r="HT8" s="181">
        <v>189551</v>
      </c>
      <c r="HU8" s="181">
        <v>399115</v>
      </c>
      <c r="IE8" s="181" t="s">
        <v>2242</v>
      </c>
      <c r="IF8" s="181">
        <v>19849.066666666666</v>
      </c>
      <c r="IG8" s="181" t="s">
        <v>2251</v>
      </c>
      <c r="IH8" s="181" t="s">
        <v>2307</v>
      </c>
      <c r="II8" s="181">
        <v>8</v>
      </c>
      <c r="IJ8" s="181" t="s">
        <v>1317</v>
      </c>
      <c r="IK8" s="181" t="s">
        <v>2041</v>
      </c>
      <c r="IL8" s="181">
        <v>100</v>
      </c>
      <c r="IM8" s="181">
        <v>132500</v>
      </c>
      <c r="IN8" s="181">
        <v>130000</v>
      </c>
    </row>
    <row r="9" spans="1:314">
      <c r="A9" s="181" t="s">
        <v>235</v>
      </c>
      <c r="D9" s="181" t="s">
        <v>660</v>
      </c>
      <c r="E9" s="181" t="s">
        <v>475</v>
      </c>
      <c r="I9" s="183" t="s">
        <v>2180</v>
      </c>
      <c r="J9" s="182" t="s">
        <v>2188</v>
      </c>
      <c r="K9" s="181">
        <v>100</v>
      </c>
      <c r="L9" s="181" t="s">
        <v>933</v>
      </c>
      <c r="M9" s="181">
        <v>1</v>
      </c>
      <c r="N9" s="181" t="s">
        <v>2140</v>
      </c>
      <c r="O9" s="181" t="s">
        <v>2215</v>
      </c>
      <c r="P9" s="181">
        <v>5</v>
      </c>
      <c r="Q9" s="181">
        <v>20</v>
      </c>
      <c r="R9" s="181">
        <v>0</v>
      </c>
      <c r="S9" s="181">
        <v>0</v>
      </c>
      <c r="AL9" s="181">
        <v>533769.48400000005</v>
      </c>
      <c r="AM9" s="181">
        <v>1067538.9680000001</v>
      </c>
      <c r="AN9" s="181">
        <v>277380.82924950426</v>
      </c>
      <c r="AO9" s="181">
        <v>277380.82924950426</v>
      </c>
      <c r="DC9" s="181">
        <v>533769.48400000005</v>
      </c>
      <c r="DD9" s="181">
        <v>1067538.9680000001</v>
      </c>
      <c r="DN9" s="181" t="s">
        <v>44</v>
      </c>
      <c r="DO9" s="181">
        <v>50804.326774193549</v>
      </c>
      <c r="DP9" s="181">
        <v>101608.6535483871</v>
      </c>
      <c r="DX9" s="181" t="s">
        <v>2227</v>
      </c>
      <c r="DY9" s="181">
        <v>299396.06666666671</v>
      </c>
      <c r="DZ9" s="181">
        <v>598792.13333333342</v>
      </c>
      <c r="GN9" s="181">
        <v>0</v>
      </c>
      <c r="GR9" s="181" t="s">
        <v>871</v>
      </c>
      <c r="GS9" s="181">
        <v>0</v>
      </c>
      <c r="GT9" s="181">
        <v>0</v>
      </c>
      <c r="HD9" s="181" t="s">
        <v>1199</v>
      </c>
      <c r="HE9" s="181">
        <v>100526.5</v>
      </c>
      <c r="HF9" s="181">
        <v>201053</v>
      </c>
      <c r="HG9" s="181" t="s">
        <v>1196</v>
      </c>
      <c r="HH9" s="181">
        <v>50249.066666666666</v>
      </c>
      <c r="HI9" s="181">
        <v>100498.13333333333</v>
      </c>
      <c r="HL9" s="181" t="s">
        <v>894</v>
      </c>
      <c r="HS9" s="181" t="s">
        <v>2235</v>
      </c>
      <c r="HT9" s="181">
        <v>48560</v>
      </c>
      <c r="HU9" s="181">
        <v>101124</v>
      </c>
      <c r="IE9" s="181" t="s">
        <v>2243</v>
      </c>
      <c r="IF9" s="181">
        <v>2700</v>
      </c>
      <c r="IG9" s="181" t="s">
        <v>2251</v>
      </c>
      <c r="IH9" s="181" t="s">
        <v>2308</v>
      </c>
      <c r="II9" s="181">
        <v>6</v>
      </c>
      <c r="IJ9" s="181" t="s">
        <v>2114</v>
      </c>
      <c r="IK9" s="181" t="s">
        <v>2115</v>
      </c>
      <c r="IL9" s="181">
        <v>100</v>
      </c>
      <c r="IM9" s="181">
        <v>500000</v>
      </c>
      <c r="IN9" s="181">
        <v>0</v>
      </c>
    </row>
    <row r="10" spans="1:314">
      <c r="A10" s="181" t="s">
        <v>235</v>
      </c>
      <c r="D10" s="181" t="s">
        <v>661</v>
      </c>
      <c r="E10" s="181" t="s">
        <v>475</v>
      </c>
      <c r="I10" s="181" t="s">
        <v>2181</v>
      </c>
      <c r="J10" s="182" t="s">
        <v>2189</v>
      </c>
      <c r="K10" s="181">
        <v>100</v>
      </c>
      <c r="L10" s="181" t="s">
        <v>933</v>
      </c>
      <c r="M10" s="181">
        <v>1</v>
      </c>
      <c r="N10" s="181" t="s">
        <v>2140</v>
      </c>
      <c r="O10" s="181" t="s">
        <v>2214</v>
      </c>
      <c r="P10" s="181">
        <v>5</v>
      </c>
      <c r="Q10" s="181">
        <v>10</v>
      </c>
      <c r="R10" s="181">
        <v>0</v>
      </c>
      <c r="S10" s="181">
        <v>0</v>
      </c>
      <c r="AL10" s="181">
        <v>1498184.7720000001</v>
      </c>
      <c r="AM10" s="181">
        <v>2996369.5440000002</v>
      </c>
      <c r="AN10" s="181">
        <v>419938.24995305715</v>
      </c>
      <c r="AO10" s="181">
        <v>419938.24995305715</v>
      </c>
      <c r="DC10" s="181">
        <v>1498184.7720000001</v>
      </c>
      <c r="DD10" s="181">
        <v>2996369.5440000002</v>
      </c>
      <c r="DN10" s="181" t="s">
        <v>45</v>
      </c>
      <c r="DO10" s="181">
        <v>305990.90580645169</v>
      </c>
      <c r="DP10" s="181">
        <v>611981.81161290337</v>
      </c>
      <c r="DX10" s="181" t="s">
        <v>1202</v>
      </c>
      <c r="DY10" s="181">
        <v>266716.21666666667</v>
      </c>
      <c r="DZ10" s="181">
        <v>533432.43333333335</v>
      </c>
      <c r="GM10" s="181">
        <v>-1514907</v>
      </c>
      <c r="GN10" s="181">
        <v>-3113917</v>
      </c>
      <c r="GR10" s="181" t="s">
        <v>871</v>
      </c>
      <c r="GS10" s="181">
        <v>0</v>
      </c>
      <c r="GT10" s="181">
        <v>0</v>
      </c>
      <c r="HD10" s="181" t="s">
        <v>2221</v>
      </c>
      <c r="HE10" s="181">
        <v>200759.5</v>
      </c>
      <c r="HF10" s="181">
        <v>401519</v>
      </c>
      <c r="HG10" s="181" t="s">
        <v>1200</v>
      </c>
      <c r="HH10" s="181">
        <v>24608.250000000007</v>
      </c>
      <c r="HI10" s="181">
        <v>49216.500000000015</v>
      </c>
      <c r="HL10" s="181" t="s">
        <v>2125</v>
      </c>
      <c r="HM10" s="181">
        <v>125650</v>
      </c>
      <c r="HN10" s="181">
        <v>125650</v>
      </c>
      <c r="HS10" s="181" t="s">
        <v>1204</v>
      </c>
      <c r="HT10" s="181">
        <v>55689</v>
      </c>
      <c r="HU10" s="181">
        <v>117353</v>
      </c>
      <c r="IE10" s="181" t="s">
        <v>2244</v>
      </c>
      <c r="IF10" s="181">
        <v>20500</v>
      </c>
      <c r="IG10" s="181" t="s">
        <v>2251</v>
      </c>
      <c r="IH10" s="181" t="s">
        <v>2309</v>
      </c>
      <c r="II10" s="181">
        <v>6</v>
      </c>
      <c r="IJ10" s="181" t="s">
        <v>2114</v>
      </c>
      <c r="IK10" s="181" t="s">
        <v>2115</v>
      </c>
      <c r="IL10" s="181">
        <v>100</v>
      </c>
      <c r="IM10" s="181">
        <v>50000</v>
      </c>
      <c r="IN10" s="181">
        <v>0</v>
      </c>
    </row>
    <row r="11" spans="1:314">
      <c r="A11" s="181" t="s">
        <v>235</v>
      </c>
      <c r="D11" s="181" t="s">
        <v>1207</v>
      </c>
      <c r="E11" s="181" t="s">
        <v>666</v>
      </c>
      <c r="I11" s="181" t="s">
        <v>2182</v>
      </c>
      <c r="J11" s="182" t="s">
        <v>2201</v>
      </c>
      <c r="K11" s="181">
        <v>100</v>
      </c>
      <c r="L11" s="181" t="s">
        <v>933</v>
      </c>
      <c r="M11" s="181">
        <v>1</v>
      </c>
      <c r="N11" s="181" t="s">
        <v>2140</v>
      </c>
      <c r="O11" s="181" t="s">
        <v>2214</v>
      </c>
      <c r="P11" s="181">
        <v>5</v>
      </c>
      <c r="Q11" s="181">
        <v>10</v>
      </c>
      <c r="R11" s="181">
        <v>0</v>
      </c>
      <c r="S11" s="181">
        <v>0</v>
      </c>
      <c r="AL11" s="181">
        <v>162845.75</v>
      </c>
      <c r="AM11" s="181">
        <v>325691.5</v>
      </c>
      <c r="AN11" s="181">
        <v>1330000</v>
      </c>
      <c r="AO11" s="181">
        <v>1330000</v>
      </c>
      <c r="DC11" s="181">
        <v>162845.75</v>
      </c>
      <c r="DD11" s="181">
        <v>325691.5</v>
      </c>
      <c r="DN11" s="181" t="s">
        <v>46</v>
      </c>
      <c r="DO11" s="181">
        <v>1830.8461290322582</v>
      </c>
      <c r="DP11" s="181">
        <v>3661.6922580645164</v>
      </c>
      <c r="DX11" s="181" t="s">
        <v>1200</v>
      </c>
      <c r="DY11" s="181">
        <v>22137.3</v>
      </c>
      <c r="DZ11" s="181">
        <v>44274.6</v>
      </c>
      <c r="GM11" s="181">
        <v>-1514907</v>
      </c>
      <c r="GN11" s="181">
        <v>-3113917</v>
      </c>
      <c r="GR11" s="181" t="s">
        <v>871</v>
      </c>
      <c r="GS11" s="181">
        <v>0</v>
      </c>
      <c r="GT11" s="181">
        <v>0</v>
      </c>
      <c r="HD11" s="181" t="s">
        <v>43</v>
      </c>
      <c r="HE11" s="181">
        <v>47961</v>
      </c>
      <c r="HF11" s="181">
        <v>95922</v>
      </c>
      <c r="HG11" s="181" t="s">
        <v>1203</v>
      </c>
      <c r="HH11" s="181">
        <v>13899.733333333334</v>
      </c>
      <c r="HI11" s="181">
        <v>27799.466666666667</v>
      </c>
      <c r="HL11" s="181" t="s">
        <v>2121</v>
      </c>
      <c r="HM11" s="181">
        <v>2664274</v>
      </c>
      <c r="HN11" s="181">
        <v>2664274</v>
      </c>
      <c r="HS11" s="181" t="s">
        <v>1729</v>
      </c>
      <c r="HT11" s="181">
        <v>52460</v>
      </c>
      <c r="HU11" s="181">
        <v>108450</v>
      </c>
      <c r="IE11" s="181" t="s">
        <v>2245</v>
      </c>
      <c r="IF11" s="181">
        <v>800</v>
      </c>
      <c r="IG11" s="181" t="s">
        <v>2251</v>
      </c>
      <c r="IH11" s="181" t="s">
        <v>2310</v>
      </c>
      <c r="II11" s="181">
        <v>6</v>
      </c>
      <c r="IJ11" s="181" t="s">
        <v>2114</v>
      </c>
      <c r="IK11" s="181" t="s">
        <v>2115</v>
      </c>
      <c r="IL11" s="181">
        <v>100</v>
      </c>
      <c r="IM11" s="181">
        <v>50000</v>
      </c>
      <c r="IN11" s="181">
        <v>0</v>
      </c>
    </row>
    <row r="12" spans="1:314">
      <c r="A12" s="181" t="s">
        <v>235</v>
      </c>
      <c r="D12" s="181" t="s">
        <v>2218</v>
      </c>
      <c r="E12" s="181" t="s">
        <v>484</v>
      </c>
      <c r="I12" s="181" t="s">
        <v>2183</v>
      </c>
      <c r="J12" s="182" t="s">
        <v>2202</v>
      </c>
      <c r="K12" s="181">
        <v>100</v>
      </c>
      <c r="L12" s="181" t="s">
        <v>933</v>
      </c>
      <c r="M12" s="181">
        <v>2</v>
      </c>
      <c r="N12" s="181" t="s">
        <v>2140</v>
      </c>
      <c r="O12" s="181" t="s">
        <v>2214</v>
      </c>
      <c r="P12" s="181">
        <v>5</v>
      </c>
      <c r="Q12" s="181">
        <v>10</v>
      </c>
      <c r="R12" s="181">
        <v>0</v>
      </c>
      <c r="S12" s="181">
        <v>0</v>
      </c>
      <c r="AL12" s="181">
        <v>7584.5261030000001</v>
      </c>
      <c r="AM12" s="181">
        <v>15169.052206</v>
      </c>
      <c r="AN12" s="181">
        <v>5560282.1810283605</v>
      </c>
      <c r="AO12" s="181">
        <v>5560282.1810283605</v>
      </c>
      <c r="DC12" s="181">
        <v>7584.5261030000001</v>
      </c>
      <c r="DD12" s="181">
        <v>15169.052206</v>
      </c>
      <c r="DN12" s="181" t="s">
        <v>1184</v>
      </c>
      <c r="DO12" s="181">
        <v>415665.1512903226</v>
      </c>
      <c r="DP12" s="181">
        <v>831330.30258064519</v>
      </c>
      <c r="DX12" s="181" t="s">
        <v>2228</v>
      </c>
      <c r="DY12" s="181">
        <v>224105.4</v>
      </c>
      <c r="DZ12" s="181">
        <v>448210.8</v>
      </c>
      <c r="GM12" s="181">
        <v>10745</v>
      </c>
      <c r="GN12" s="181">
        <v>44275</v>
      </c>
      <c r="GR12" s="181" t="s">
        <v>871</v>
      </c>
      <c r="GS12" s="181">
        <v>0</v>
      </c>
      <c r="GT12" s="181">
        <v>0</v>
      </c>
      <c r="HD12" s="181" t="s">
        <v>47</v>
      </c>
      <c r="HE12" s="181">
        <v>1318</v>
      </c>
      <c r="HF12" s="181">
        <v>2636</v>
      </c>
      <c r="HG12" s="181" t="s">
        <v>1205</v>
      </c>
      <c r="HH12" s="181">
        <v>18047.466666666667</v>
      </c>
      <c r="HI12" s="181">
        <v>36094.933333333334</v>
      </c>
      <c r="HS12" s="181" t="s">
        <v>1206</v>
      </c>
      <c r="HT12" s="181">
        <v>178560</v>
      </c>
      <c r="HU12" s="181">
        <v>361010</v>
      </c>
      <c r="IE12" s="181" t="s">
        <v>2246</v>
      </c>
      <c r="IF12" s="181">
        <v>31767.200000000001</v>
      </c>
      <c r="IG12" s="181" t="s">
        <v>2251</v>
      </c>
      <c r="IH12" s="181" t="s">
        <v>2311</v>
      </c>
      <c r="II12" s="181">
        <v>6</v>
      </c>
      <c r="IJ12" s="181" t="s">
        <v>2114</v>
      </c>
      <c r="IK12" s="181" t="s">
        <v>2115</v>
      </c>
      <c r="IL12" s="181">
        <v>100</v>
      </c>
      <c r="IM12" s="181">
        <v>70000</v>
      </c>
      <c r="IN12" s="181">
        <v>0</v>
      </c>
    </row>
    <row r="13" spans="1:314">
      <c r="A13" s="181" t="s">
        <v>235</v>
      </c>
      <c r="D13" s="181" t="s">
        <v>2218</v>
      </c>
      <c r="E13" s="181" t="s">
        <v>2217</v>
      </c>
      <c r="I13" s="181" t="s">
        <v>2184</v>
      </c>
      <c r="J13" s="181" t="s">
        <v>2190</v>
      </c>
      <c r="K13" s="181">
        <v>100</v>
      </c>
      <c r="L13" s="181" t="s">
        <v>933</v>
      </c>
      <c r="M13" s="181">
        <v>1</v>
      </c>
      <c r="N13" s="181" t="s">
        <v>2140</v>
      </c>
      <c r="O13" s="181" t="s">
        <v>2214</v>
      </c>
      <c r="P13" s="181">
        <v>5</v>
      </c>
      <c r="Q13" s="181">
        <v>10</v>
      </c>
      <c r="R13" s="181">
        <v>0</v>
      </c>
      <c r="S13" s="181">
        <v>0</v>
      </c>
      <c r="AL13" s="181">
        <v>98650.955969999995</v>
      </c>
      <c r="AM13" s="181">
        <v>197301.91193999999</v>
      </c>
      <c r="AN13" s="181">
        <v>5967438.2332485402</v>
      </c>
      <c r="AO13" s="181">
        <v>5967438.2332485402</v>
      </c>
      <c r="DC13" s="181">
        <v>98650.955969999995</v>
      </c>
      <c r="DD13" s="181">
        <v>197301.91193999999</v>
      </c>
      <c r="DN13" s="181" t="s">
        <v>2223</v>
      </c>
      <c r="DO13" s="181">
        <v>24280.204193548387</v>
      </c>
      <c r="DP13" s="181">
        <v>48560.408387096773</v>
      </c>
      <c r="DX13" s="181" t="s">
        <v>2229</v>
      </c>
      <c r="DY13" s="181">
        <v>115034.66666666666</v>
      </c>
      <c r="DZ13" s="181">
        <v>230069.33333333331</v>
      </c>
      <c r="GM13" s="181">
        <v>-785560</v>
      </c>
      <c r="GN13" s="181">
        <v>-1648064</v>
      </c>
      <c r="GR13" s="181" t="s">
        <v>871</v>
      </c>
      <c r="GS13" s="181">
        <v>0</v>
      </c>
      <c r="GT13" s="181">
        <v>0</v>
      </c>
      <c r="HD13" s="181" t="s">
        <v>49</v>
      </c>
      <c r="HE13" s="181">
        <v>16013.500000000002</v>
      </c>
      <c r="HF13" s="181">
        <v>32027.000000000004</v>
      </c>
      <c r="HG13" s="181" t="s">
        <v>1208</v>
      </c>
      <c r="HH13" s="181">
        <v>7723.2</v>
      </c>
      <c r="HI13" s="181">
        <v>15446.4</v>
      </c>
      <c r="HS13" s="181" t="s">
        <v>2234</v>
      </c>
      <c r="HT13" s="181">
        <v>0</v>
      </c>
      <c r="HU13" s="181">
        <v>0</v>
      </c>
      <c r="IE13" s="181" t="s">
        <v>2247</v>
      </c>
      <c r="IF13" s="181">
        <v>13583</v>
      </c>
      <c r="IG13" s="181" t="s">
        <v>2251</v>
      </c>
      <c r="IH13" s="181" t="s">
        <v>2312</v>
      </c>
      <c r="II13" s="181">
        <v>6</v>
      </c>
      <c r="IJ13" s="181" t="s">
        <v>2114</v>
      </c>
      <c r="IK13" s="181" t="s">
        <v>2115</v>
      </c>
      <c r="IL13" s="181">
        <v>100</v>
      </c>
      <c r="IM13" s="181">
        <v>50000</v>
      </c>
      <c r="IN13" s="181">
        <v>0</v>
      </c>
    </row>
    <row r="14" spans="1:314">
      <c r="A14" s="181" t="s">
        <v>235</v>
      </c>
      <c r="I14" s="181" t="s">
        <v>2150</v>
      </c>
      <c r="J14" s="181" t="s">
        <v>2203</v>
      </c>
      <c r="K14" s="181">
        <v>100</v>
      </c>
      <c r="L14" s="181" t="s">
        <v>933</v>
      </c>
      <c r="M14" s="181">
        <v>1</v>
      </c>
      <c r="N14" s="181" t="s">
        <v>2140</v>
      </c>
      <c r="O14" s="181" t="s">
        <v>2214</v>
      </c>
      <c r="P14" s="181">
        <v>5</v>
      </c>
      <c r="Q14" s="181">
        <v>10</v>
      </c>
      <c r="R14" s="181">
        <v>0</v>
      </c>
      <c r="S14" s="181">
        <v>0</v>
      </c>
      <c r="DN14" s="181" t="s">
        <v>47</v>
      </c>
      <c r="DO14" s="181">
        <v>1676.7070967741936</v>
      </c>
      <c r="DP14" s="181">
        <v>3353.4141935483872</v>
      </c>
      <c r="DX14" s="181" t="s">
        <v>1155</v>
      </c>
      <c r="DY14" s="181">
        <v>54545.866666666676</v>
      </c>
      <c r="DZ14" s="181">
        <v>109091.73333333335</v>
      </c>
      <c r="GM14" s="181">
        <v>185624</v>
      </c>
      <c r="GN14" s="181">
        <v>408174</v>
      </c>
      <c r="GR14" s="181" t="s">
        <v>871</v>
      </c>
      <c r="GS14" s="181">
        <v>0</v>
      </c>
      <c r="GT14" s="181">
        <v>0</v>
      </c>
      <c r="HD14" s="181" t="s">
        <v>50</v>
      </c>
      <c r="HE14" s="181">
        <v>9234</v>
      </c>
      <c r="HF14" s="181">
        <v>18468</v>
      </c>
      <c r="HG14" s="181" t="s">
        <v>929</v>
      </c>
      <c r="HH14" s="181">
        <v>10474.799999999999</v>
      </c>
      <c r="HI14" s="181">
        <v>20949.599999999999</v>
      </c>
      <c r="IE14" s="181" t="s">
        <v>2248</v>
      </c>
      <c r="IF14" s="181">
        <v>8000</v>
      </c>
      <c r="IG14" s="181" t="s">
        <v>2251</v>
      </c>
      <c r="IH14" s="181" t="s">
        <v>2313</v>
      </c>
      <c r="II14" s="181">
        <v>6</v>
      </c>
      <c r="IJ14" s="181" t="s">
        <v>2114</v>
      </c>
      <c r="IK14" s="181" t="s">
        <v>2115</v>
      </c>
      <c r="IL14" s="181">
        <v>100</v>
      </c>
      <c r="IM14" s="181">
        <v>30000</v>
      </c>
      <c r="IN14" s="181">
        <v>0</v>
      </c>
    </row>
    <row r="15" spans="1:314">
      <c r="A15" s="181" t="s">
        <v>235</v>
      </c>
      <c r="I15" s="181" t="s">
        <v>2134</v>
      </c>
      <c r="J15" s="181" t="s">
        <v>2204</v>
      </c>
      <c r="K15" s="181">
        <v>100</v>
      </c>
      <c r="L15" s="181" t="s">
        <v>933</v>
      </c>
      <c r="M15" s="181">
        <v>1</v>
      </c>
      <c r="N15" s="181" t="s">
        <v>2140</v>
      </c>
      <c r="O15" s="181" t="s">
        <v>2214</v>
      </c>
      <c r="P15" s="181">
        <v>5</v>
      </c>
      <c r="Q15" s="181">
        <v>10</v>
      </c>
      <c r="R15" s="181">
        <v>0</v>
      </c>
      <c r="S15" s="181">
        <v>0</v>
      </c>
      <c r="DN15" s="181" t="s">
        <v>2224</v>
      </c>
      <c r="DO15" s="181">
        <v>438114.50935483875</v>
      </c>
      <c r="DP15" s="181">
        <v>876229.0187096775</v>
      </c>
      <c r="GN15" s="181">
        <v>0</v>
      </c>
      <c r="GR15" s="181" t="s">
        <v>871</v>
      </c>
      <c r="GS15" s="181">
        <v>0</v>
      </c>
      <c r="GT15" s="181">
        <v>0</v>
      </c>
      <c r="HD15" s="181" t="s">
        <v>51</v>
      </c>
      <c r="HE15" s="181">
        <v>1972</v>
      </c>
      <c r="HF15" s="181">
        <v>3944</v>
      </c>
      <c r="HG15" s="181" t="s">
        <v>333</v>
      </c>
      <c r="HH15" s="181">
        <v>23067.566666666666</v>
      </c>
      <c r="HI15" s="181">
        <v>46135.133333333331</v>
      </c>
      <c r="IE15" s="181" t="s">
        <v>2249</v>
      </c>
      <c r="IF15" s="181">
        <v>57665.350000000006</v>
      </c>
      <c r="IG15" s="181" t="s">
        <v>2251</v>
      </c>
      <c r="IH15" s="181" t="s">
        <v>2314</v>
      </c>
      <c r="II15" s="181">
        <v>6</v>
      </c>
      <c r="IJ15" s="181" t="s">
        <v>2114</v>
      </c>
      <c r="IK15" s="181" t="s">
        <v>2115</v>
      </c>
      <c r="IL15" s="181">
        <v>100</v>
      </c>
      <c r="IM15" s="181">
        <v>25000</v>
      </c>
      <c r="IN15" s="181">
        <v>0</v>
      </c>
    </row>
    <row r="16" spans="1:314">
      <c r="A16" s="181" t="s">
        <v>235</v>
      </c>
      <c r="I16" s="181" t="s">
        <v>2185</v>
      </c>
      <c r="J16" s="181" t="s">
        <v>2205</v>
      </c>
      <c r="K16" s="181">
        <v>100</v>
      </c>
      <c r="L16" s="181" t="s">
        <v>933</v>
      </c>
      <c r="M16" s="181">
        <v>1</v>
      </c>
      <c r="N16" s="181" t="s">
        <v>2140</v>
      </c>
      <c r="O16" s="181" t="s">
        <v>2214</v>
      </c>
      <c r="P16" s="181">
        <v>5</v>
      </c>
      <c r="Q16" s="181">
        <v>10</v>
      </c>
      <c r="R16" s="181">
        <v>0</v>
      </c>
      <c r="S16" s="181">
        <v>0</v>
      </c>
      <c r="DN16" s="181" t="s">
        <v>2220</v>
      </c>
      <c r="DO16" s="181">
        <v>20907.967741935485</v>
      </c>
      <c r="DP16" s="181">
        <v>41815.93548387097</v>
      </c>
      <c r="GM16" s="181">
        <v>-589191</v>
      </c>
      <c r="GN16" s="181">
        <v>-1195615</v>
      </c>
      <c r="GR16" s="181" t="s">
        <v>872</v>
      </c>
      <c r="GS16" s="181">
        <v>230372</v>
      </c>
      <c r="GT16" s="181">
        <v>413372</v>
      </c>
      <c r="HD16" s="181" t="s">
        <v>2232</v>
      </c>
      <c r="HE16" s="181">
        <v>61655.500000000007</v>
      </c>
      <c r="HF16" s="181">
        <v>123311.00000000001</v>
      </c>
      <c r="IG16" s="181" t="s">
        <v>2251</v>
      </c>
      <c r="IH16" s="181" t="s">
        <v>2315</v>
      </c>
      <c r="II16" s="181">
        <v>12</v>
      </c>
      <c r="IJ16" s="181" t="s">
        <v>2140</v>
      </c>
      <c r="IK16" s="181" t="s">
        <v>2115</v>
      </c>
      <c r="IL16" s="181">
        <v>100</v>
      </c>
      <c r="IM16" s="181">
        <v>35000</v>
      </c>
      <c r="IN16" s="181">
        <v>15000</v>
      </c>
    </row>
    <row r="17" spans="1:248">
      <c r="A17" s="181" t="s">
        <v>235</v>
      </c>
      <c r="I17" s="181" t="s">
        <v>2158</v>
      </c>
      <c r="J17" s="181" t="s">
        <v>2206</v>
      </c>
      <c r="K17" s="181">
        <v>100</v>
      </c>
      <c r="L17" s="181" t="s">
        <v>933</v>
      </c>
      <c r="M17" s="181">
        <v>1</v>
      </c>
      <c r="N17" s="181" t="s">
        <v>2140</v>
      </c>
      <c r="O17" s="181" t="s">
        <v>2214</v>
      </c>
      <c r="P17" s="181">
        <v>5</v>
      </c>
      <c r="Q17" s="181">
        <v>10</v>
      </c>
      <c r="R17" s="181">
        <v>0</v>
      </c>
      <c r="S17" s="181">
        <v>0</v>
      </c>
      <c r="DN17" s="181" t="s">
        <v>50</v>
      </c>
      <c r="DO17" s="181">
        <v>54605.405483870964</v>
      </c>
      <c r="DP17" s="181">
        <v>109210.81096774193</v>
      </c>
      <c r="GN17" s="181">
        <v>0</v>
      </c>
      <c r="GR17" s="181" t="s">
        <v>873</v>
      </c>
      <c r="GS17" s="181">
        <v>0</v>
      </c>
      <c r="GT17" s="181">
        <v>0</v>
      </c>
      <c r="IG17" s="181" t="s">
        <v>2252</v>
      </c>
      <c r="IH17" s="181" t="s">
        <v>2316</v>
      </c>
      <c r="II17" s="181">
        <v>14</v>
      </c>
      <c r="IJ17" s="181" t="s">
        <v>1317</v>
      </c>
      <c r="IK17" s="181" t="s">
        <v>2115</v>
      </c>
      <c r="IL17" s="181">
        <v>97.859327217125383</v>
      </c>
      <c r="IM17" s="181">
        <v>81750</v>
      </c>
      <c r="IN17" s="181">
        <v>0</v>
      </c>
    </row>
    <row r="18" spans="1:248">
      <c r="A18" s="181" t="s">
        <v>235</v>
      </c>
      <c r="I18" s="181" t="s">
        <v>1330</v>
      </c>
      <c r="J18" s="181" t="s">
        <v>2207</v>
      </c>
      <c r="K18" s="181">
        <v>100</v>
      </c>
      <c r="L18" s="181" t="s">
        <v>933</v>
      </c>
      <c r="M18" s="181">
        <v>1</v>
      </c>
      <c r="N18" s="181" t="s">
        <v>2043</v>
      </c>
      <c r="O18" s="181" t="s">
        <v>2216</v>
      </c>
      <c r="P18" s="181">
        <v>0</v>
      </c>
      <c r="Q18" s="181">
        <v>5</v>
      </c>
      <c r="R18" s="181">
        <v>0</v>
      </c>
      <c r="S18" s="181">
        <v>0</v>
      </c>
      <c r="DN18" s="181" t="s">
        <v>51</v>
      </c>
      <c r="DO18" s="181">
        <v>7897.2090322580652</v>
      </c>
      <c r="DP18" s="181">
        <v>15794.41806451613</v>
      </c>
      <c r="GM18" s="181">
        <v>185250</v>
      </c>
      <c r="GN18" s="181">
        <v>310500</v>
      </c>
      <c r="GR18" s="181" t="s">
        <v>873</v>
      </c>
      <c r="GS18" s="181">
        <v>0</v>
      </c>
      <c r="GT18" s="181">
        <v>0</v>
      </c>
      <c r="IG18" s="181" t="s">
        <v>2252</v>
      </c>
      <c r="IH18" s="181" t="s">
        <v>2317</v>
      </c>
      <c r="II18" s="181">
        <v>6</v>
      </c>
      <c r="IJ18" s="181" t="s">
        <v>2140</v>
      </c>
      <c r="IK18" s="181" t="s">
        <v>2041</v>
      </c>
      <c r="IL18" s="181">
        <v>100</v>
      </c>
      <c r="IM18" s="181">
        <v>10000</v>
      </c>
      <c r="IN18" s="181">
        <v>10000</v>
      </c>
    </row>
    <row r="19" spans="1:248">
      <c r="A19" s="181" t="s">
        <v>235</v>
      </c>
      <c r="J19" s="181" t="s">
        <v>2191</v>
      </c>
      <c r="K19" s="181">
        <v>100</v>
      </c>
      <c r="L19" s="181" t="s">
        <v>933</v>
      </c>
      <c r="M19" s="181">
        <v>1</v>
      </c>
      <c r="N19" s="181" t="s">
        <v>2140</v>
      </c>
      <c r="O19" s="181" t="s">
        <v>2214</v>
      </c>
      <c r="P19" s="181">
        <v>5</v>
      </c>
      <c r="Q19" s="181">
        <v>10</v>
      </c>
      <c r="R19" s="181">
        <v>0</v>
      </c>
      <c r="S19" s="181">
        <v>0</v>
      </c>
      <c r="DN19" s="181" t="s">
        <v>2225</v>
      </c>
      <c r="DO19" s="181">
        <v>251633.24193548385</v>
      </c>
      <c r="DP19" s="181">
        <v>503266.4838709677</v>
      </c>
      <c r="GM19" s="181">
        <v>-403941</v>
      </c>
      <c r="GN19" s="181">
        <v>-885115</v>
      </c>
      <c r="GR19" s="181" t="s">
        <v>873</v>
      </c>
      <c r="GS19" s="181">
        <v>0</v>
      </c>
      <c r="GT19" s="181">
        <v>0</v>
      </c>
      <c r="IG19" s="181" t="s">
        <v>2252</v>
      </c>
      <c r="IH19" s="181" t="s">
        <v>2318</v>
      </c>
      <c r="II19" s="181">
        <v>12</v>
      </c>
      <c r="IJ19" s="181" t="s">
        <v>2140</v>
      </c>
      <c r="IK19" s="181" t="s">
        <v>2115</v>
      </c>
      <c r="IL19" s="181">
        <v>100</v>
      </c>
      <c r="IM19" s="181">
        <v>110000</v>
      </c>
      <c r="IN19" s="181">
        <v>20000</v>
      </c>
    </row>
    <row r="20" spans="1:248">
      <c r="A20" s="181" t="s">
        <v>235</v>
      </c>
      <c r="J20" s="181" t="s">
        <v>2192</v>
      </c>
      <c r="K20" s="181">
        <v>100</v>
      </c>
      <c r="L20" s="181" t="s">
        <v>933</v>
      </c>
      <c r="M20" s="181">
        <v>1</v>
      </c>
      <c r="N20" s="181" t="s">
        <v>2140</v>
      </c>
      <c r="O20" s="181" t="s">
        <v>2214</v>
      </c>
      <c r="P20" s="181">
        <v>5</v>
      </c>
      <c r="Q20" s="181">
        <v>10</v>
      </c>
      <c r="R20" s="181">
        <v>0</v>
      </c>
      <c r="S20" s="181">
        <v>0</v>
      </c>
      <c r="GR20" s="181" t="s">
        <v>873</v>
      </c>
      <c r="GS20" s="181">
        <v>0</v>
      </c>
      <c r="GT20" s="181">
        <v>0</v>
      </c>
      <c r="IG20" s="181" t="s">
        <v>2252</v>
      </c>
      <c r="IH20" s="181" t="s">
        <v>2319</v>
      </c>
      <c r="II20" s="181">
        <v>6</v>
      </c>
      <c r="IJ20" s="181" t="s">
        <v>2140</v>
      </c>
      <c r="IK20" s="181" t="s">
        <v>2041</v>
      </c>
      <c r="IL20" s="181">
        <v>100</v>
      </c>
      <c r="IM20" s="181">
        <v>5000</v>
      </c>
      <c r="IN20" s="181">
        <v>5000</v>
      </c>
    </row>
    <row r="21" spans="1:248">
      <c r="A21" s="181" t="s">
        <v>235</v>
      </c>
      <c r="J21" s="181" t="s">
        <v>2208</v>
      </c>
      <c r="K21" s="181">
        <v>100</v>
      </c>
      <c r="L21" s="181" t="s">
        <v>933</v>
      </c>
      <c r="M21" s="181">
        <v>1</v>
      </c>
      <c r="N21" s="181" t="s">
        <v>2140</v>
      </c>
      <c r="O21" s="181" t="s">
        <v>2214</v>
      </c>
      <c r="P21" s="181">
        <v>5</v>
      </c>
      <c r="Q21" s="181">
        <v>10</v>
      </c>
      <c r="R21" s="181">
        <v>0</v>
      </c>
      <c r="S21" s="181">
        <v>0</v>
      </c>
      <c r="GR21" s="181" t="s">
        <v>308</v>
      </c>
      <c r="GS21" s="181">
        <v>0</v>
      </c>
      <c r="GT21" s="181">
        <v>0</v>
      </c>
      <c r="HL21" s="181" t="s">
        <v>1946</v>
      </c>
      <c r="HM21" s="181">
        <v>3000</v>
      </c>
      <c r="HN21" s="181">
        <v>3000</v>
      </c>
      <c r="IG21" s="181" t="s">
        <v>2252</v>
      </c>
      <c r="IH21" s="181" t="s">
        <v>2320</v>
      </c>
      <c r="II21" s="181">
        <v>6</v>
      </c>
      <c r="IJ21" s="181" t="s">
        <v>2114</v>
      </c>
      <c r="IK21" s="181" t="s">
        <v>2115</v>
      </c>
      <c r="IL21" s="181">
        <v>100</v>
      </c>
      <c r="IM21" s="181">
        <v>20000</v>
      </c>
      <c r="IN21" s="181">
        <v>0</v>
      </c>
    </row>
    <row r="22" spans="1:248">
      <c r="A22" s="181" t="s">
        <v>235</v>
      </c>
      <c r="J22" s="181" t="s">
        <v>2209</v>
      </c>
      <c r="K22" s="181">
        <v>100</v>
      </c>
      <c r="L22" s="181" t="s">
        <v>933</v>
      </c>
      <c r="M22" s="181">
        <v>1</v>
      </c>
      <c r="N22" s="181" t="s">
        <v>2140</v>
      </c>
      <c r="O22" s="181" t="s">
        <v>2214</v>
      </c>
      <c r="P22" s="181">
        <v>5</v>
      </c>
      <c r="Q22" s="181">
        <v>10</v>
      </c>
      <c r="R22" s="181">
        <v>0</v>
      </c>
      <c r="S22" s="181">
        <v>0</v>
      </c>
      <c r="GR22" s="181" t="s">
        <v>1727</v>
      </c>
      <c r="GS22" s="181">
        <v>1000000</v>
      </c>
      <c r="GT22" s="181">
        <v>2088974</v>
      </c>
      <c r="IG22" s="181" t="s">
        <v>2253</v>
      </c>
      <c r="IH22" s="181" t="s">
        <v>2319</v>
      </c>
      <c r="II22" s="181">
        <v>6</v>
      </c>
      <c r="IJ22" s="181" t="s">
        <v>2140</v>
      </c>
      <c r="IK22" s="181" t="s">
        <v>2041</v>
      </c>
      <c r="IL22" s="181">
        <v>100</v>
      </c>
      <c r="IM22" s="181">
        <v>5000</v>
      </c>
      <c r="IN22" s="181">
        <v>5000</v>
      </c>
    </row>
    <row r="23" spans="1:248">
      <c r="A23" s="181" t="s">
        <v>235</v>
      </c>
      <c r="J23" s="181" t="s">
        <v>2210</v>
      </c>
      <c r="K23" s="181">
        <v>100</v>
      </c>
      <c r="L23" s="181" t="s">
        <v>933</v>
      </c>
      <c r="M23" s="181">
        <v>1</v>
      </c>
      <c r="N23" s="181" t="s">
        <v>2140</v>
      </c>
      <c r="O23" s="181" t="s">
        <v>2214</v>
      </c>
      <c r="P23" s="181">
        <v>5</v>
      </c>
      <c r="Q23" s="181">
        <v>10</v>
      </c>
      <c r="R23" s="181">
        <v>0</v>
      </c>
      <c r="S23" s="181">
        <v>0</v>
      </c>
      <c r="GR23" s="181" t="s">
        <v>874</v>
      </c>
      <c r="GS23" s="181">
        <v>0</v>
      </c>
      <c r="GT23" s="181">
        <v>0</v>
      </c>
      <c r="IG23" s="181" t="s">
        <v>2253</v>
      </c>
      <c r="IH23" s="181" t="s">
        <v>2321</v>
      </c>
      <c r="II23" s="181">
        <v>6</v>
      </c>
      <c r="IJ23" s="181" t="s">
        <v>2140</v>
      </c>
      <c r="IK23" s="181" t="s">
        <v>2041</v>
      </c>
      <c r="IL23" s="181">
        <v>100</v>
      </c>
      <c r="IM23" s="181">
        <v>10000</v>
      </c>
      <c r="IN23" s="181">
        <v>10000</v>
      </c>
    </row>
    <row r="24" spans="1:248">
      <c r="A24" s="181" t="s">
        <v>235</v>
      </c>
      <c r="J24" s="181" t="s">
        <v>2211</v>
      </c>
      <c r="K24" s="181">
        <v>100</v>
      </c>
      <c r="L24" s="181" t="s">
        <v>933</v>
      </c>
      <c r="M24" s="181">
        <v>1</v>
      </c>
      <c r="N24" s="181" t="s">
        <v>2140</v>
      </c>
      <c r="O24" s="181" t="s">
        <v>2214</v>
      </c>
      <c r="P24" s="181">
        <v>5</v>
      </c>
      <c r="Q24" s="181">
        <v>10</v>
      </c>
      <c r="R24" s="181">
        <v>0</v>
      </c>
      <c r="S24" s="181">
        <v>0</v>
      </c>
      <c r="GR24" s="181" t="s">
        <v>874</v>
      </c>
      <c r="GS24" s="181">
        <v>0</v>
      </c>
      <c r="GT24" s="181">
        <v>0</v>
      </c>
      <c r="IG24" s="181" t="s">
        <v>2253</v>
      </c>
      <c r="IH24" s="181" t="s">
        <v>2322</v>
      </c>
      <c r="II24" s="181">
        <v>6</v>
      </c>
      <c r="IJ24" s="181" t="s">
        <v>2114</v>
      </c>
      <c r="IK24" s="181" t="s">
        <v>2115</v>
      </c>
      <c r="IL24" s="181">
        <v>100</v>
      </c>
      <c r="IM24" s="181">
        <v>80000</v>
      </c>
      <c r="IN24" s="181">
        <v>0</v>
      </c>
    </row>
    <row r="25" spans="1:248">
      <c r="A25" s="181" t="s">
        <v>235</v>
      </c>
      <c r="J25" s="181" t="s">
        <v>2193</v>
      </c>
      <c r="K25" s="181">
        <v>100</v>
      </c>
      <c r="L25" s="181" t="s">
        <v>933</v>
      </c>
      <c r="M25" s="181">
        <v>1</v>
      </c>
      <c r="N25" s="181" t="s">
        <v>2140</v>
      </c>
      <c r="O25" s="181" t="s">
        <v>2115</v>
      </c>
      <c r="P25" s="181">
        <v>25</v>
      </c>
      <c r="Q25" s="181">
        <v>50</v>
      </c>
      <c r="R25" s="181">
        <v>0</v>
      </c>
      <c r="S25" s="181">
        <v>0</v>
      </c>
      <c r="GR25" s="181" t="s">
        <v>874</v>
      </c>
      <c r="GS25" s="181">
        <v>0</v>
      </c>
      <c r="GT25" s="181">
        <v>0</v>
      </c>
      <c r="IG25" s="181" t="s">
        <v>2254</v>
      </c>
      <c r="IH25" s="181" t="s">
        <v>2319</v>
      </c>
      <c r="II25" s="181">
        <v>6</v>
      </c>
      <c r="IJ25" s="181" t="s">
        <v>2140</v>
      </c>
      <c r="IK25" s="181" t="s">
        <v>2041</v>
      </c>
      <c r="IL25" s="181">
        <v>100</v>
      </c>
      <c r="IM25" s="181">
        <v>5000</v>
      </c>
      <c r="IN25" s="181">
        <v>5000</v>
      </c>
    </row>
    <row r="26" spans="1:248">
      <c r="A26" s="181" t="s">
        <v>235</v>
      </c>
      <c r="J26" s="181" t="s">
        <v>2212</v>
      </c>
      <c r="K26" s="181">
        <v>100</v>
      </c>
      <c r="L26" s="181" t="s">
        <v>933</v>
      </c>
      <c r="M26" s="181">
        <v>1</v>
      </c>
      <c r="N26" s="181" t="s">
        <v>2140</v>
      </c>
      <c r="O26" s="181" t="s">
        <v>2214</v>
      </c>
      <c r="P26" s="181">
        <v>5</v>
      </c>
      <c r="Q26" s="181">
        <v>10</v>
      </c>
      <c r="R26" s="181">
        <v>0</v>
      </c>
      <c r="S26" s="181">
        <v>0</v>
      </c>
      <c r="GR26" s="181" t="s">
        <v>1728</v>
      </c>
      <c r="GS26" s="181">
        <v>562534</v>
      </c>
      <c r="GT26" s="181">
        <v>1025068</v>
      </c>
      <c r="IG26" s="181" t="s">
        <v>2254</v>
      </c>
      <c r="IH26" s="181" t="s">
        <v>2321</v>
      </c>
      <c r="II26" s="181">
        <v>6</v>
      </c>
      <c r="IJ26" s="181" t="s">
        <v>2140</v>
      </c>
      <c r="IK26" s="181" t="s">
        <v>2041</v>
      </c>
      <c r="IL26" s="181">
        <v>100</v>
      </c>
      <c r="IM26" s="181">
        <v>10000</v>
      </c>
      <c r="IN26" s="181">
        <v>10000</v>
      </c>
    </row>
    <row r="27" spans="1:248">
      <c r="A27" s="181" t="s">
        <v>235</v>
      </c>
      <c r="J27" s="181" t="s">
        <v>2213</v>
      </c>
      <c r="K27" s="181">
        <v>100</v>
      </c>
      <c r="L27" s="181" t="s">
        <v>933</v>
      </c>
      <c r="M27" s="181">
        <v>1</v>
      </c>
      <c r="N27" s="181" t="s">
        <v>2140</v>
      </c>
      <c r="O27" s="181" t="s">
        <v>2214</v>
      </c>
      <c r="P27" s="181">
        <v>5</v>
      </c>
      <c r="Q27" s="181">
        <v>10</v>
      </c>
      <c r="R27" s="181">
        <v>0</v>
      </c>
      <c r="S27" s="181">
        <v>0</v>
      </c>
      <c r="GR27" s="181" t="s">
        <v>1177</v>
      </c>
      <c r="GS27" s="181">
        <v>339111</v>
      </c>
      <c r="GT27" s="181">
        <v>678225</v>
      </c>
      <c r="IG27" s="181" t="s">
        <v>2254</v>
      </c>
      <c r="IH27" s="181" t="s">
        <v>2317</v>
      </c>
      <c r="II27" s="181">
        <v>6</v>
      </c>
      <c r="IJ27" s="181" t="s">
        <v>2140</v>
      </c>
      <c r="IK27" s="181" t="s">
        <v>2041</v>
      </c>
      <c r="IL27" s="181">
        <v>100</v>
      </c>
      <c r="IM27" s="181">
        <v>10000</v>
      </c>
      <c r="IN27" s="181">
        <v>10000</v>
      </c>
    </row>
    <row r="28" spans="1:248">
      <c r="A28" s="181" t="s">
        <v>235</v>
      </c>
      <c r="J28" s="181" t="s">
        <v>2194</v>
      </c>
      <c r="K28" s="181">
        <v>100</v>
      </c>
      <c r="L28" s="181" t="s">
        <v>933</v>
      </c>
      <c r="M28" s="181">
        <v>1</v>
      </c>
      <c r="N28" s="181" t="s">
        <v>2140</v>
      </c>
      <c r="O28" s="181" t="s">
        <v>2115</v>
      </c>
      <c r="P28" s="181">
        <v>25</v>
      </c>
      <c r="Q28" s="181">
        <v>50</v>
      </c>
      <c r="R28" s="181">
        <v>0</v>
      </c>
      <c r="S28" s="181">
        <v>0</v>
      </c>
      <c r="GR28" s="181" t="s">
        <v>1181</v>
      </c>
      <c r="GS28" s="181">
        <v>580680</v>
      </c>
      <c r="GT28" s="181">
        <v>1193240</v>
      </c>
      <c r="IG28" s="181" t="s">
        <v>2255</v>
      </c>
      <c r="IH28" s="181" t="s">
        <v>2323</v>
      </c>
      <c r="II28" s="181">
        <v>12</v>
      </c>
      <c r="IJ28" s="181" t="s">
        <v>2140</v>
      </c>
      <c r="IK28" s="181" t="s">
        <v>2115</v>
      </c>
      <c r="IL28" s="181">
        <v>100</v>
      </c>
      <c r="IM28" s="181">
        <v>300000</v>
      </c>
      <c r="IN28" s="181">
        <v>200000</v>
      </c>
    </row>
    <row r="29" spans="1:248">
      <c r="A29" s="181" t="s">
        <v>235</v>
      </c>
      <c r="J29" s="181" t="s">
        <v>2195</v>
      </c>
      <c r="K29" s="181">
        <v>100</v>
      </c>
      <c r="L29" s="181" t="s">
        <v>933</v>
      </c>
      <c r="M29" s="181">
        <v>1</v>
      </c>
      <c r="N29" s="181" t="s">
        <v>2140</v>
      </c>
      <c r="O29" s="181" t="s">
        <v>2115</v>
      </c>
      <c r="P29" s="181">
        <v>25</v>
      </c>
      <c r="Q29" s="181">
        <v>50</v>
      </c>
      <c r="R29" s="181">
        <v>0</v>
      </c>
      <c r="S29" s="181">
        <v>0</v>
      </c>
      <c r="GR29" s="181" t="s">
        <v>1185</v>
      </c>
      <c r="GS29" s="181">
        <v>194358</v>
      </c>
      <c r="GT29" s="181">
        <v>394208</v>
      </c>
      <c r="IG29" s="181" t="s">
        <v>2255</v>
      </c>
      <c r="IH29" s="181" t="s">
        <v>2324</v>
      </c>
      <c r="II29" s="181">
        <v>6</v>
      </c>
      <c r="IJ29" s="181" t="s">
        <v>2114</v>
      </c>
      <c r="IK29" s="181" t="s">
        <v>2115</v>
      </c>
      <c r="IL29" s="181">
        <v>100</v>
      </c>
      <c r="IM29" s="181">
        <v>20000</v>
      </c>
      <c r="IN29" s="181">
        <v>0</v>
      </c>
    </row>
    <row r="30" spans="1:248">
      <c r="A30" s="181" t="s">
        <v>235</v>
      </c>
      <c r="GR30" s="181" t="s">
        <v>1189</v>
      </c>
      <c r="GS30" s="181">
        <v>0</v>
      </c>
      <c r="GT30" s="181">
        <v>0</v>
      </c>
      <c r="IG30" s="181" t="s">
        <v>2255</v>
      </c>
      <c r="IH30" s="181" t="s">
        <v>2317</v>
      </c>
      <c r="II30" s="181">
        <v>6</v>
      </c>
      <c r="IJ30" s="181" t="s">
        <v>2140</v>
      </c>
      <c r="IK30" s="181" t="s">
        <v>2041</v>
      </c>
      <c r="IL30" s="181">
        <v>100</v>
      </c>
      <c r="IM30" s="181">
        <v>15000</v>
      </c>
      <c r="IN30" s="181">
        <v>15000</v>
      </c>
    </row>
    <row r="31" spans="1:248">
      <c r="A31" s="181" t="s">
        <v>235</v>
      </c>
      <c r="GR31" s="181">
        <v>0</v>
      </c>
      <c r="GS31" s="181">
        <v>0</v>
      </c>
      <c r="GT31" s="181">
        <v>0</v>
      </c>
      <c r="IG31" s="181" t="s">
        <v>2255</v>
      </c>
      <c r="IH31" s="181" t="s">
        <v>2321</v>
      </c>
      <c r="II31" s="181">
        <v>6</v>
      </c>
      <c r="IJ31" s="181" t="s">
        <v>2114</v>
      </c>
      <c r="IK31" s="181" t="s">
        <v>2115</v>
      </c>
      <c r="IL31" s="181">
        <v>100</v>
      </c>
      <c r="IM31" s="181">
        <v>20000</v>
      </c>
      <c r="IN31" s="181">
        <v>0</v>
      </c>
    </row>
    <row r="32" spans="1:248">
      <c r="A32" s="181" t="s">
        <v>235</v>
      </c>
      <c r="GR32" s="181" t="s">
        <v>1194</v>
      </c>
      <c r="GS32" s="181">
        <v>136890</v>
      </c>
      <c r="GT32" s="181">
        <v>282540</v>
      </c>
      <c r="IG32" s="181" t="s">
        <v>2255</v>
      </c>
      <c r="IH32" s="181" t="s">
        <v>2319</v>
      </c>
      <c r="II32" s="181">
        <v>6</v>
      </c>
      <c r="IJ32" s="181" t="s">
        <v>2140</v>
      </c>
      <c r="IK32" s="181" t="s">
        <v>2041</v>
      </c>
      <c r="IL32" s="181">
        <v>100</v>
      </c>
      <c r="IM32" s="181">
        <v>5000</v>
      </c>
      <c r="IN32" s="181">
        <v>5000</v>
      </c>
    </row>
    <row r="33" spans="1:248">
      <c r="A33" s="181" t="s">
        <v>235</v>
      </c>
      <c r="GR33" s="181" t="s">
        <v>1197</v>
      </c>
      <c r="GS33" s="181">
        <v>189551</v>
      </c>
      <c r="GT33" s="181">
        <v>399115</v>
      </c>
      <c r="IG33" s="181" t="s">
        <v>2255</v>
      </c>
      <c r="IH33" s="181" t="s">
        <v>2325</v>
      </c>
      <c r="II33" s="181">
        <v>6</v>
      </c>
      <c r="IJ33" s="181" t="s">
        <v>2114</v>
      </c>
      <c r="IK33" s="181" t="s">
        <v>2115</v>
      </c>
      <c r="IL33" s="181">
        <v>100</v>
      </c>
      <c r="IM33" s="181">
        <v>500000</v>
      </c>
      <c r="IN33" s="181">
        <v>0</v>
      </c>
    </row>
    <row r="34" spans="1:248">
      <c r="A34" s="181" t="s">
        <v>235</v>
      </c>
      <c r="GR34" s="181" t="s">
        <v>1201</v>
      </c>
      <c r="GS34" s="181">
        <v>48560</v>
      </c>
      <c r="GT34" s="181">
        <v>101124</v>
      </c>
      <c r="IG34" s="181" t="s">
        <v>2256</v>
      </c>
      <c r="IH34" s="181" t="s">
        <v>2319</v>
      </c>
      <c r="II34" s="181">
        <v>6</v>
      </c>
      <c r="IJ34" s="181" t="s">
        <v>2140</v>
      </c>
      <c r="IK34" s="181" t="s">
        <v>2041</v>
      </c>
      <c r="IL34" s="181">
        <v>100</v>
      </c>
      <c r="IM34" s="181">
        <v>5000</v>
      </c>
      <c r="IN34" s="181">
        <v>5000</v>
      </c>
    </row>
    <row r="35" spans="1:248">
      <c r="A35" s="181" t="s">
        <v>235</v>
      </c>
      <c r="GR35" s="181" t="s">
        <v>1204</v>
      </c>
      <c r="GS35" s="181">
        <v>55689</v>
      </c>
      <c r="GT35" s="181">
        <v>117353</v>
      </c>
      <c r="IG35" s="181" t="s">
        <v>2256</v>
      </c>
      <c r="IH35" s="181" t="s">
        <v>2321</v>
      </c>
      <c r="II35" s="181">
        <v>6</v>
      </c>
      <c r="IJ35" s="181" t="s">
        <v>2140</v>
      </c>
      <c r="IK35" s="181" t="s">
        <v>2041</v>
      </c>
      <c r="IL35" s="181">
        <v>100</v>
      </c>
      <c r="IM35" s="181">
        <v>40000</v>
      </c>
      <c r="IN35" s="181">
        <v>40000</v>
      </c>
    </row>
    <row r="36" spans="1:248">
      <c r="A36" s="181" t="s">
        <v>235</v>
      </c>
      <c r="GR36" s="181" t="s">
        <v>1729</v>
      </c>
      <c r="GS36" s="181">
        <v>52460</v>
      </c>
      <c r="GT36" s="181">
        <v>108450</v>
      </c>
      <c r="IG36" s="181" t="s">
        <v>2257</v>
      </c>
      <c r="IH36" s="181" t="s">
        <v>2326</v>
      </c>
      <c r="II36" s="181">
        <v>6</v>
      </c>
      <c r="IJ36" s="181" t="s">
        <v>2114</v>
      </c>
      <c r="IK36" s="181" t="s">
        <v>2115</v>
      </c>
      <c r="IL36" s="181">
        <v>100</v>
      </c>
      <c r="IM36" s="181">
        <v>30000</v>
      </c>
      <c r="IN36" s="181">
        <v>0</v>
      </c>
    </row>
    <row r="37" spans="1:248">
      <c r="A37" s="181" t="s">
        <v>235</v>
      </c>
      <c r="GR37" s="181" t="s">
        <v>1206</v>
      </c>
      <c r="GS37" s="181">
        <v>178560</v>
      </c>
      <c r="GT37" s="181">
        <v>361010</v>
      </c>
      <c r="IG37" s="181" t="s">
        <v>2257</v>
      </c>
      <c r="IH37" s="181" t="s">
        <v>2327</v>
      </c>
      <c r="II37" s="181">
        <v>6</v>
      </c>
      <c r="IJ37" s="181" t="s">
        <v>2114</v>
      </c>
      <c r="IK37" s="181" t="s">
        <v>2115</v>
      </c>
      <c r="IL37" s="181">
        <v>100</v>
      </c>
      <c r="IM37" s="181">
        <v>20000</v>
      </c>
      <c r="IN37" s="181">
        <v>0</v>
      </c>
    </row>
    <row r="38" spans="1:248">
      <c r="A38" s="181" t="s">
        <v>235</v>
      </c>
      <c r="GR38" s="181" t="s">
        <v>1730</v>
      </c>
      <c r="GS38" s="181">
        <v>0</v>
      </c>
      <c r="GT38" s="181">
        <v>0</v>
      </c>
      <c r="IG38" s="181" t="s">
        <v>2257</v>
      </c>
      <c r="IH38" s="181" t="s">
        <v>2328</v>
      </c>
      <c r="II38" s="181">
        <v>6</v>
      </c>
      <c r="IJ38" s="181" t="s">
        <v>2114</v>
      </c>
      <c r="IK38" s="181" t="s">
        <v>2115</v>
      </c>
      <c r="IL38" s="181">
        <v>100</v>
      </c>
      <c r="IM38" s="181">
        <v>80000</v>
      </c>
      <c r="IN38" s="181">
        <v>0</v>
      </c>
    </row>
    <row r="39" spans="1:248">
      <c r="A39" s="181" t="s">
        <v>235</v>
      </c>
      <c r="GR39" s="181">
        <v>0</v>
      </c>
      <c r="GS39" s="181">
        <v>0</v>
      </c>
      <c r="GT39" s="181">
        <v>0</v>
      </c>
      <c r="IG39" s="181" t="s">
        <v>2257</v>
      </c>
      <c r="IH39" s="181" t="s">
        <v>2319</v>
      </c>
      <c r="II39" s="181">
        <v>6</v>
      </c>
      <c r="IJ39" s="181" t="s">
        <v>2140</v>
      </c>
      <c r="IK39" s="181" t="s">
        <v>2041</v>
      </c>
      <c r="IL39" s="181">
        <v>100</v>
      </c>
      <c r="IM39" s="181">
        <v>5000</v>
      </c>
      <c r="IN39" s="181">
        <v>5000</v>
      </c>
    </row>
    <row r="40" spans="1:248">
      <c r="A40" s="181" t="s">
        <v>235</v>
      </c>
      <c r="GR40" s="181">
        <v>0</v>
      </c>
      <c r="GS40" s="181">
        <v>0</v>
      </c>
      <c r="GT40" s="181">
        <v>0</v>
      </c>
      <c r="IG40" s="181" t="s">
        <v>2257</v>
      </c>
      <c r="IH40" s="181" t="s">
        <v>2321</v>
      </c>
      <c r="II40" s="181">
        <v>6</v>
      </c>
      <c r="IJ40" s="181" t="s">
        <v>2140</v>
      </c>
      <c r="IK40" s="181" t="s">
        <v>2041</v>
      </c>
      <c r="IL40" s="181">
        <v>100</v>
      </c>
      <c r="IM40" s="181">
        <v>20000</v>
      </c>
      <c r="IN40" s="181">
        <v>20000</v>
      </c>
    </row>
    <row r="41" spans="1:248">
      <c r="A41" s="181" t="s">
        <v>235</v>
      </c>
      <c r="GR41" s="181" t="s">
        <v>309</v>
      </c>
      <c r="GS41" s="181">
        <v>0</v>
      </c>
      <c r="GT41" s="181">
        <v>0</v>
      </c>
      <c r="IG41" s="181" t="s">
        <v>2257</v>
      </c>
      <c r="IH41" s="181" t="s">
        <v>2329</v>
      </c>
      <c r="II41" s="181">
        <v>6</v>
      </c>
      <c r="IJ41" s="181" t="s">
        <v>2140</v>
      </c>
      <c r="IK41" s="181" t="s">
        <v>2041</v>
      </c>
      <c r="IL41" s="181">
        <v>100</v>
      </c>
      <c r="IM41" s="181">
        <v>20000</v>
      </c>
      <c r="IN41" s="181">
        <v>20000</v>
      </c>
    </row>
    <row r="42" spans="1:248">
      <c r="A42" s="181" t="s">
        <v>235</v>
      </c>
      <c r="GR42" s="181" t="s">
        <v>309</v>
      </c>
      <c r="GS42" s="181">
        <v>0</v>
      </c>
      <c r="GT42" s="181">
        <v>0</v>
      </c>
      <c r="IG42" s="181" t="s">
        <v>2257</v>
      </c>
      <c r="IH42" s="181" t="s">
        <v>2330</v>
      </c>
      <c r="II42" s="181">
        <v>6</v>
      </c>
      <c r="IJ42" s="181" t="s">
        <v>2140</v>
      </c>
      <c r="IK42" s="181" t="s">
        <v>2041</v>
      </c>
      <c r="IL42" s="181">
        <v>100</v>
      </c>
      <c r="IM42" s="181">
        <v>30000</v>
      </c>
      <c r="IN42" s="181">
        <v>30000</v>
      </c>
    </row>
    <row r="43" spans="1:248">
      <c r="A43" s="181" t="s">
        <v>235</v>
      </c>
      <c r="GR43" s="181" t="s">
        <v>309</v>
      </c>
      <c r="GS43" s="181">
        <v>0</v>
      </c>
      <c r="GT43" s="181">
        <v>0</v>
      </c>
      <c r="IG43" s="181" t="s">
        <v>2257</v>
      </c>
      <c r="IH43" s="181" t="s">
        <v>2317</v>
      </c>
      <c r="II43" s="181">
        <v>6</v>
      </c>
      <c r="IJ43" s="181" t="s">
        <v>2140</v>
      </c>
      <c r="IK43" s="181" t="s">
        <v>2041</v>
      </c>
      <c r="IL43" s="181">
        <v>100</v>
      </c>
      <c r="IM43" s="181">
        <v>15000</v>
      </c>
      <c r="IN43" s="181">
        <v>15000</v>
      </c>
    </row>
    <row r="44" spans="1:248">
      <c r="A44" s="181" t="s">
        <v>235</v>
      </c>
      <c r="GS44" s="181">
        <v>16363278.5</v>
      </c>
      <c r="GT44" s="181">
        <v>32751706.5</v>
      </c>
      <c r="IG44" s="181" t="s">
        <v>2258</v>
      </c>
      <c r="IH44" s="181" t="s">
        <v>2319</v>
      </c>
      <c r="II44" s="181">
        <v>6</v>
      </c>
      <c r="IJ44" s="181" t="s">
        <v>2140</v>
      </c>
      <c r="IK44" s="181" t="s">
        <v>2041</v>
      </c>
      <c r="IL44" s="181">
        <v>100</v>
      </c>
      <c r="IM44" s="181">
        <v>5000</v>
      </c>
      <c r="IN44" s="181">
        <v>5000</v>
      </c>
    </row>
    <row r="45" spans="1:248">
      <c r="A45" s="181" t="s">
        <v>235</v>
      </c>
      <c r="GR45" s="181" t="s">
        <v>875</v>
      </c>
      <c r="GS45" s="181">
        <v>0</v>
      </c>
      <c r="GT45" s="181">
        <v>0</v>
      </c>
      <c r="IG45" s="181" t="s">
        <v>2258</v>
      </c>
      <c r="IH45" s="181" t="s">
        <v>2331</v>
      </c>
      <c r="II45" s="181">
        <v>6</v>
      </c>
      <c r="IJ45" s="181" t="s">
        <v>2114</v>
      </c>
      <c r="IK45" s="181" t="s">
        <v>2115</v>
      </c>
      <c r="IL45" s="181">
        <v>100</v>
      </c>
      <c r="IM45" s="181">
        <v>65000</v>
      </c>
      <c r="IN45" s="181">
        <v>0</v>
      </c>
    </row>
    <row r="46" spans="1:248">
      <c r="A46" s="181" t="s">
        <v>235</v>
      </c>
      <c r="GR46" s="181" t="s">
        <v>875</v>
      </c>
      <c r="GS46" s="181">
        <v>0</v>
      </c>
      <c r="GT46" s="181">
        <v>0</v>
      </c>
      <c r="IG46" s="181" t="s">
        <v>2259</v>
      </c>
      <c r="IH46" s="181" t="s">
        <v>2332</v>
      </c>
      <c r="II46" s="181">
        <v>18</v>
      </c>
      <c r="IJ46" s="181" t="s">
        <v>1283</v>
      </c>
      <c r="IK46" s="181" t="s">
        <v>2041</v>
      </c>
      <c r="IL46" s="181">
        <v>12</v>
      </c>
      <c r="IM46" s="181">
        <v>158000</v>
      </c>
      <c r="IN46" s="181">
        <v>19560</v>
      </c>
    </row>
    <row r="47" spans="1:248">
      <c r="A47" s="181" t="s">
        <v>235</v>
      </c>
      <c r="GR47" s="181" t="s">
        <v>875</v>
      </c>
      <c r="GS47" s="181">
        <v>0</v>
      </c>
      <c r="GT47" s="181">
        <v>0</v>
      </c>
      <c r="IG47" s="181" t="s">
        <v>2259</v>
      </c>
      <c r="IH47" s="181" t="s">
        <v>2333</v>
      </c>
      <c r="II47" s="181">
        <v>6</v>
      </c>
      <c r="IJ47" s="181" t="s">
        <v>2114</v>
      </c>
      <c r="IK47" s="181" t="s">
        <v>2115</v>
      </c>
      <c r="IL47" s="181">
        <v>100</v>
      </c>
      <c r="IM47" s="181">
        <v>270000</v>
      </c>
      <c r="IN47" s="181">
        <v>0</v>
      </c>
    </row>
    <row r="48" spans="1:248">
      <c r="A48" s="181" t="s">
        <v>235</v>
      </c>
      <c r="GR48" s="181" t="s">
        <v>875</v>
      </c>
      <c r="GS48" s="181">
        <v>0</v>
      </c>
      <c r="GT48" s="181">
        <v>0</v>
      </c>
      <c r="IG48" s="181" t="s">
        <v>2259</v>
      </c>
      <c r="IH48" s="181" t="s">
        <v>2334</v>
      </c>
      <c r="II48" s="181">
        <v>15</v>
      </c>
      <c r="IJ48" s="181" t="s">
        <v>1317</v>
      </c>
      <c r="IK48" s="181" t="s">
        <v>2115</v>
      </c>
      <c r="IL48" s="181">
        <v>50</v>
      </c>
      <c r="IM48" s="181">
        <v>150000</v>
      </c>
      <c r="IN48" s="181">
        <v>0</v>
      </c>
    </row>
    <row r="49" spans="1:248">
      <c r="A49" s="181" t="s">
        <v>235</v>
      </c>
      <c r="GR49" s="181" t="s">
        <v>875</v>
      </c>
      <c r="GS49" s="181">
        <v>0</v>
      </c>
      <c r="GT49" s="181">
        <v>0</v>
      </c>
      <c r="IG49" s="181" t="s">
        <v>2259</v>
      </c>
      <c r="IH49" s="181" t="s">
        <v>2335</v>
      </c>
      <c r="II49" s="181">
        <v>15</v>
      </c>
      <c r="IJ49" s="181" t="s">
        <v>1317</v>
      </c>
      <c r="IK49" s="181" t="s">
        <v>2115</v>
      </c>
      <c r="IL49" s="181">
        <v>60</v>
      </c>
      <c r="IM49" s="181">
        <v>50000</v>
      </c>
      <c r="IN49" s="181">
        <v>0</v>
      </c>
    </row>
    <row r="50" spans="1:248">
      <c r="A50" s="181" t="s">
        <v>235</v>
      </c>
      <c r="GR50" s="181" t="s">
        <v>875</v>
      </c>
      <c r="GS50" s="181">
        <v>0</v>
      </c>
      <c r="GT50" s="181">
        <v>0</v>
      </c>
      <c r="IG50" s="181" t="s">
        <v>2259</v>
      </c>
      <c r="IH50" s="181" t="s">
        <v>2336</v>
      </c>
      <c r="II50" s="181">
        <v>6</v>
      </c>
      <c r="IJ50" s="181" t="s">
        <v>2140</v>
      </c>
      <c r="IK50" s="181" t="s">
        <v>2041</v>
      </c>
      <c r="IL50" s="181">
        <v>100</v>
      </c>
      <c r="IM50" s="181">
        <v>100000</v>
      </c>
      <c r="IN50" s="181">
        <v>100000</v>
      </c>
    </row>
    <row r="51" spans="1:248">
      <c r="A51" s="181" t="s">
        <v>235</v>
      </c>
      <c r="GR51" s="181" t="s">
        <v>1731</v>
      </c>
      <c r="GS51" s="181">
        <v>0</v>
      </c>
      <c r="GT51" s="181">
        <v>19000000</v>
      </c>
      <c r="IG51" s="181" t="s">
        <v>2259</v>
      </c>
      <c r="IH51" s="181" t="s">
        <v>2337</v>
      </c>
      <c r="II51" s="181">
        <v>6</v>
      </c>
      <c r="IJ51" s="181" t="s">
        <v>2114</v>
      </c>
      <c r="IK51" s="181" t="s">
        <v>2115</v>
      </c>
      <c r="IL51" s="181">
        <v>100</v>
      </c>
      <c r="IM51" s="181">
        <v>50000</v>
      </c>
      <c r="IN51" s="181">
        <v>0</v>
      </c>
    </row>
    <row r="52" spans="1:248">
      <c r="A52" s="181" t="s">
        <v>235</v>
      </c>
      <c r="GR52" s="181" t="s">
        <v>310</v>
      </c>
      <c r="GS52" s="181">
        <v>0</v>
      </c>
      <c r="GT52" s="181">
        <v>0</v>
      </c>
      <c r="IG52" s="181" t="s">
        <v>2259</v>
      </c>
      <c r="IH52" s="181" t="s">
        <v>2338</v>
      </c>
      <c r="II52" s="181">
        <v>6</v>
      </c>
      <c r="IJ52" s="181" t="s">
        <v>2114</v>
      </c>
      <c r="IK52" s="181" t="s">
        <v>2115</v>
      </c>
      <c r="IL52" s="181">
        <v>100</v>
      </c>
      <c r="IM52" s="181">
        <v>300000</v>
      </c>
      <c r="IN52" s="181">
        <v>0</v>
      </c>
    </row>
    <row r="53" spans="1:248">
      <c r="A53" s="181" t="s">
        <v>235</v>
      </c>
      <c r="GR53" s="181" t="s">
        <v>310</v>
      </c>
      <c r="GS53" s="181">
        <v>0</v>
      </c>
      <c r="GT53" s="181">
        <v>0</v>
      </c>
      <c r="IG53" s="181" t="s">
        <v>2259</v>
      </c>
      <c r="IH53" s="181" t="s">
        <v>2339</v>
      </c>
      <c r="II53" s="181">
        <v>9</v>
      </c>
      <c r="IJ53" s="181" t="s">
        <v>1317</v>
      </c>
      <c r="IK53" s="181" t="s">
        <v>2041</v>
      </c>
      <c r="IL53" s="181">
        <v>71.428571428571431</v>
      </c>
      <c r="IM53" s="181">
        <v>210000</v>
      </c>
      <c r="IN53" s="181">
        <v>150000</v>
      </c>
    </row>
    <row r="54" spans="1:248">
      <c r="A54" s="181" t="s">
        <v>235</v>
      </c>
      <c r="GR54" s="181" t="s">
        <v>310</v>
      </c>
      <c r="GS54" s="181">
        <v>0</v>
      </c>
      <c r="GT54" s="181">
        <v>0</v>
      </c>
      <c r="IG54" s="181" t="s">
        <v>2259</v>
      </c>
      <c r="IH54" s="181" t="s">
        <v>2340</v>
      </c>
      <c r="II54" s="181">
        <v>15</v>
      </c>
      <c r="IJ54" s="181" t="s">
        <v>1317</v>
      </c>
      <c r="IK54" s="181" t="s">
        <v>2115</v>
      </c>
      <c r="IL54" s="181">
        <v>93.75</v>
      </c>
      <c r="IM54" s="181">
        <v>160000</v>
      </c>
      <c r="IN54" s="181">
        <v>0</v>
      </c>
    </row>
    <row r="55" spans="1:248">
      <c r="A55" s="181" t="s">
        <v>235</v>
      </c>
      <c r="GR55" s="181" t="s">
        <v>876</v>
      </c>
      <c r="GS55" s="181">
        <v>0</v>
      </c>
      <c r="GT55" s="181">
        <v>0</v>
      </c>
      <c r="IG55" s="181" t="s">
        <v>2259</v>
      </c>
      <c r="IH55" s="181" t="s">
        <v>2341</v>
      </c>
      <c r="II55" s="181">
        <v>15</v>
      </c>
      <c r="IJ55" s="181" t="s">
        <v>1317</v>
      </c>
      <c r="IK55" s="181" t="s">
        <v>2115</v>
      </c>
      <c r="IL55" s="181">
        <v>92.857142857142861</v>
      </c>
      <c r="IM55" s="181">
        <v>140000</v>
      </c>
      <c r="IN55" s="181">
        <v>0</v>
      </c>
    </row>
    <row r="56" spans="1:248">
      <c r="A56" s="181" t="s">
        <v>235</v>
      </c>
      <c r="GR56" s="181" t="s">
        <v>876</v>
      </c>
      <c r="GS56" s="181">
        <v>0</v>
      </c>
      <c r="GT56" s="181">
        <v>0</v>
      </c>
      <c r="IG56" s="181" t="s">
        <v>2259</v>
      </c>
      <c r="IH56" s="181" t="s">
        <v>2342</v>
      </c>
      <c r="II56" s="181">
        <v>9</v>
      </c>
      <c r="IJ56" s="181" t="s">
        <v>1317</v>
      </c>
      <c r="IK56" s="181" t="s">
        <v>2041</v>
      </c>
      <c r="IL56" s="181">
        <v>33</v>
      </c>
      <c r="IM56" s="181">
        <v>30000</v>
      </c>
      <c r="IN56" s="181">
        <v>10000</v>
      </c>
    </row>
    <row r="57" spans="1:248">
      <c r="A57" s="181" t="s">
        <v>235</v>
      </c>
      <c r="GR57" s="181" t="s">
        <v>876</v>
      </c>
      <c r="GS57" s="181">
        <v>0</v>
      </c>
      <c r="GT57" s="181">
        <v>0</v>
      </c>
      <c r="IG57" s="181" t="s">
        <v>2259</v>
      </c>
      <c r="IH57" s="181" t="s">
        <v>2343</v>
      </c>
      <c r="II57" s="181">
        <v>15</v>
      </c>
      <c r="IJ57" s="181" t="s">
        <v>1317</v>
      </c>
      <c r="IK57" s="181" t="s">
        <v>2115</v>
      </c>
      <c r="IL57" s="181">
        <v>80</v>
      </c>
      <c r="IM57" s="181">
        <v>50000</v>
      </c>
      <c r="IN57" s="181">
        <v>0</v>
      </c>
    </row>
    <row r="58" spans="1:248">
      <c r="A58" s="181" t="s">
        <v>235</v>
      </c>
      <c r="GR58" s="181" t="s">
        <v>876</v>
      </c>
      <c r="GS58" s="181">
        <v>0</v>
      </c>
      <c r="GT58" s="181">
        <v>0</v>
      </c>
      <c r="IG58" s="181" t="s">
        <v>2259</v>
      </c>
      <c r="IH58" s="181" t="s">
        <v>2344</v>
      </c>
      <c r="II58" s="181">
        <v>6</v>
      </c>
      <c r="IJ58" s="181" t="s">
        <v>2114</v>
      </c>
      <c r="IK58" s="181" t="s">
        <v>2115</v>
      </c>
      <c r="IL58" s="181">
        <v>100</v>
      </c>
      <c r="IM58" s="181">
        <v>170000</v>
      </c>
      <c r="IN58" s="181">
        <v>0</v>
      </c>
    </row>
    <row r="59" spans="1:248">
      <c r="A59" s="181" t="s">
        <v>235</v>
      </c>
      <c r="GR59" s="181" t="s">
        <v>876</v>
      </c>
      <c r="GS59" s="181">
        <v>0</v>
      </c>
      <c r="GT59" s="181">
        <v>0</v>
      </c>
      <c r="IG59" s="181" t="s">
        <v>2259</v>
      </c>
      <c r="IH59" s="181" t="s">
        <v>2345</v>
      </c>
      <c r="II59" s="181">
        <v>6</v>
      </c>
      <c r="IJ59" s="181" t="s">
        <v>2114</v>
      </c>
      <c r="IK59" s="181" t="s">
        <v>2115</v>
      </c>
      <c r="IL59" s="181">
        <v>100</v>
      </c>
      <c r="IM59" s="181">
        <v>20000</v>
      </c>
      <c r="IN59" s="181">
        <v>0</v>
      </c>
    </row>
    <row r="60" spans="1:248">
      <c r="A60" s="181" t="s">
        <v>235</v>
      </c>
      <c r="GR60" s="181" t="s">
        <v>1179</v>
      </c>
      <c r="GS60" s="181">
        <v>249353</v>
      </c>
      <c r="GT60" s="181">
        <v>498706</v>
      </c>
      <c r="IG60" s="181" t="s">
        <v>2259</v>
      </c>
      <c r="IH60" s="181" t="s">
        <v>2346</v>
      </c>
      <c r="II60" s="181">
        <v>6</v>
      </c>
      <c r="IJ60" s="181" t="s">
        <v>2114</v>
      </c>
      <c r="IK60" s="181" t="s">
        <v>2115</v>
      </c>
      <c r="IL60" s="181">
        <v>100</v>
      </c>
      <c r="IM60" s="181">
        <v>20000</v>
      </c>
      <c r="IN60" s="181">
        <v>0</v>
      </c>
    </row>
    <row r="61" spans="1:248">
      <c r="A61" s="181" t="s">
        <v>235</v>
      </c>
      <c r="GR61" s="181" t="s">
        <v>1182</v>
      </c>
      <c r="GS61" s="181">
        <v>77719</v>
      </c>
      <c r="GT61" s="181">
        <v>155438</v>
      </c>
      <c r="IG61" s="181" t="s">
        <v>2259</v>
      </c>
      <c r="IH61" s="181" t="s">
        <v>2347</v>
      </c>
      <c r="II61" s="181">
        <v>6</v>
      </c>
      <c r="IJ61" s="181" t="s">
        <v>2114</v>
      </c>
      <c r="IK61" s="181" t="s">
        <v>2115</v>
      </c>
      <c r="IL61" s="181">
        <v>100</v>
      </c>
      <c r="IM61" s="181">
        <v>20000</v>
      </c>
      <c r="IN61" s="181">
        <v>0</v>
      </c>
    </row>
    <row r="62" spans="1:248">
      <c r="A62" s="181" t="s">
        <v>235</v>
      </c>
      <c r="GR62" s="181" t="s">
        <v>1186</v>
      </c>
      <c r="GS62" s="181">
        <v>0</v>
      </c>
      <c r="GT62" s="181">
        <v>0</v>
      </c>
      <c r="IG62" s="181" t="s">
        <v>2260</v>
      </c>
      <c r="IH62" s="181" t="s">
        <v>2348</v>
      </c>
      <c r="II62" s="181">
        <v>12</v>
      </c>
      <c r="IJ62" s="181" t="s">
        <v>2140</v>
      </c>
      <c r="IK62" s="181" t="s">
        <v>2115</v>
      </c>
      <c r="IL62" s="181">
        <v>100</v>
      </c>
      <c r="IM62" s="181">
        <v>300000</v>
      </c>
      <c r="IN62" s="181">
        <v>150000</v>
      </c>
    </row>
    <row r="63" spans="1:248">
      <c r="A63" s="181" t="s">
        <v>235</v>
      </c>
      <c r="GR63" s="181" t="s">
        <v>667</v>
      </c>
      <c r="GS63" s="181">
        <v>0</v>
      </c>
      <c r="GT63" s="181">
        <v>0</v>
      </c>
      <c r="IG63" s="181" t="s">
        <v>2260</v>
      </c>
      <c r="IH63" s="181" t="s">
        <v>2319</v>
      </c>
      <c r="II63" s="181">
        <v>6</v>
      </c>
      <c r="IJ63" s="181" t="s">
        <v>2140</v>
      </c>
      <c r="IK63" s="181" t="s">
        <v>2041</v>
      </c>
      <c r="IL63" s="181">
        <v>100</v>
      </c>
      <c r="IM63" s="181">
        <v>5000</v>
      </c>
      <c r="IN63" s="181">
        <v>5000</v>
      </c>
    </row>
    <row r="64" spans="1:248">
      <c r="A64" s="181" t="s">
        <v>235</v>
      </c>
      <c r="GR64" s="181" t="s">
        <v>333</v>
      </c>
      <c r="GS64" s="181">
        <v>3000</v>
      </c>
      <c r="GT64" s="181">
        <v>6000</v>
      </c>
      <c r="IG64" s="181" t="s">
        <v>2260</v>
      </c>
      <c r="IH64" s="181" t="s">
        <v>2317</v>
      </c>
      <c r="II64" s="181">
        <v>6</v>
      </c>
      <c r="IJ64" s="181" t="s">
        <v>2140</v>
      </c>
      <c r="IK64" s="181" t="s">
        <v>2041</v>
      </c>
      <c r="IL64" s="181">
        <v>50</v>
      </c>
      <c r="IM64" s="181">
        <v>20000</v>
      </c>
      <c r="IN64" s="181">
        <v>10000</v>
      </c>
    </row>
    <row r="65" spans="1:248">
      <c r="A65" s="181" t="s">
        <v>235</v>
      </c>
      <c r="GR65" s="181">
        <v>0</v>
      </c>
      <c r="GS65" s="181">
        <v>0</v>
      </c>
      <c r="GT65" s="181">
        <v>0</v>
      </c>
      <c r="IG65" s="181" t="s">
        <v>2261</v>
      </c>
      <c r="IH65" s="181" t="s">
        <v>2349</v>
      </c>
      <c r="II65" s="181">
        <v>6</v>
      </c>
      <c r="IJ65" s="181" t="s">
        <v>2114</v>
      </c>
      <c r="IK65" s="181" t="s">
        <v>2115</v>
      </c>
      <c r="IL65" s="181">
        <v>100</v>
      </c>
      <c r="IM65" s="181">
        <v>120000</v>
      </c>
      <c r="IN65" s="181">
        <v>0</v>
      </c>
    </row>
    <row r="66" spans="1:248">
      <c r="A66" s="181" t="s">
        <v>235</v>
      </c>
      <c r="GR66" s="181">
        <v>0</v>
      </c>
      <c r="GS66" s="181">
        <v>0</v>
      </c>
      <c r="GT66" s="181">
        <v>0</v>
      </c>
      <c r="IG66" s="181" t="s">
        <v>2261</v>
      </c>
      <c r="IH66" s="181" t="s">
        <v>2350</v>
      </c>
      <c r="II66" s="181">
        <v>15</v>
      </c>
      <c r="IJ66" s="181" t="s">
        <v>1317</v>
      </c>
      <c r="IK66" s="181" t="s">
        <v>2115</v>
      </c>
      <c r="IL66" s="181">
        <v>71.428571428571431</v>
      </c>
      <c r="IM66" s="181">
        <v>70000</v>
      </c>
      <c r="IN66" s="181">
        <v>0</v>
      </c>
    </row>
    <row r="67" spans="1:248">
      <c r="A67" s="181" t="s">
        <v>235</v>
      </c>
      <c r="GR67" s="181">
        <v>0</v>
      </c>
      <c r="GS67" s="181">
        <v>0</v>
      </c>
      <c r="GT67" s="181">
        <v>0</v>
      </c>
      <c r="IG67" s="181" t="s">
        <v>2261</v>
      </c>
      <c r="IH67" s="181" t="s">
        <v>2319</v>
      </c>
      <c r="II67" s="181">
        <v>6</v>
      </c>
      <c r="IJ67" s="181" t="s">
        <v>2140</v>
      </c>
      <c r="IK67" s="181" t="s">
        <v>2041</v>
      </c>
      <c r="IL67" s="181">
        <v>100</v>
      </c>
      <c r="IM67" s="181">
        <v>5000</v>
      </c>
      <c r="IN67" s="181">
        <v>5000</v>
      </c>
    </row>
    <row r="68" spans="1:248">
      <c r="A68" s="181" t="s">
        <v>235</v>
      </c>
      <c r="GR68" s="181">
        <v>0</v>
      </c>
      <c r="GS68" s="181">
        <v>0</v>
      </c>
      <c r="GT68" s="181">
        <v>0</v>
      </c>
      <c r="IG68" s="181" t="s">
        <v>2261</v>
      </c>
      <c r="IH68" s="181" t="s">
        <v>2351</v>
      </c>
      <c r="II68" s="181">
        <v>6</v>
      </c>
      <c r="IJ68" s="181" t="s">
        <v>2114</v>
      </c>
      <c r="IK68" s="181" t="s">
        <v>2115</v>
      </c>
      <c r="IL68" s="181">
        <v>100</v>
      </c>
      <c r="IM68" s="181">
        <v>30000</v>
      </c>
      <c r="IN68" s="181">
        <v>0</v>
      </c>
    </row>
    <row r="69" spans="1:248">
      <c r="A69" s="181" t="s">
        <v>235</v>
      </c>
      <c r="GR69" s="181">
        <v>0</v>
      </c>
      <c r="GS69" s="181">
        <v>0</v>
      </c>
      <c r="GT69" s="181">
        <v>0</v>
      </c>
      <c r="IG69" s="181" t="s">
        <v>2262</v>
      </c>
      <c r="IH69" s="181" t="s">
        <v>2317</v>
      </c>
      <c r="II69" s="181">
        <v>9</v>
      </c>
      <c r="IJ69" s="181" t="s">
        <v>1317</v>
      </c>
      <c r="IK69" s="181" t="s">
        <v>2041</v>
      </c>
      <c r="IL69" s="181">
        <v>50</v>
      </c>
      <c r="IM69" s="181">
        <v>40000</v>
      </c>
      <c r="IN69" s="181">
        <v>20000</v>
      </c>
    </row>
    <row r="70" spans="1:248">
      <c r="A70" s="181" t="s">
        <v>235</v>
      </c>
      <c r="GR70" s="181">
        <v>0</v>
      </c>
      <c r="GS70" s="181">
        <v>0</v>
      </c>
      <c r="GT70" s="181">
        <v>0</v>
      </c>
      <c r="IG70" s="181" t="s">
        <v>2262</v>
      </c>
      <c r="IH70" s="181" t="s">
        <v>2319</v>
      </c>
      <c r="II70" s="181">
        <v>6</v>
      </c>
      <c r="IJ70" s="181" t="s">
        <v>2140</v>
      </c>
      <c r="IK70" s="181" t="s">
        <v>2041</v>
      </c>
      <c r="IL70" s="181">
        <v>100</v>
      </c>
      <c r="IM70" s="181">
        <v>5000</v>
      </c>
      <c r="IN70" s="181">
        <v>5000</v>
      </c>
    </row>
    <row r="71" spans="1:248">
      <c r="A71" s="181" t="s">
        <v>235</v>
      </c>
      <c r="GR71" s="181">
        <v>0</v>
      </c>
      <c r="GS71" s="181">
        <v>0</v>
      </c>
      <c r="GT71" s="181">
        <v>0</v>
      </c>
      <c r="IG71" s="181" t="s">
        <v>2262</v>
      </c>
      <c r="IH71" s="181" t="s">
        <v>2318</v>
      </c>
      <c r="II71" s="181">
        <v>12</v>
      </c>
      <c r="IJ71" s="181" t="s">
        <v>2140</v>
      </c>
      <c r="IK71" s="181" t="s">
        <v>2115</v>
      </c>
      <c r="IL71" s="181">
        <v>100</v>
      </c>
      <c r="IM71" s="181">
        <v>110000</v>
      </c>
      <c r="IN71" s="181">
        <v>20000</v>
      </c>
    </row>
    <row r="72" spans="1:248">
      <c r="A72" s="181" t="s">
        <v>235</v>
      </c>
      <c r="GR72" s="181">
        <v>0</v>
      </c>
      <c r="GS72" s="181">
        <v>0</v>
      </c>
      <c r="GT72" s="181">
        <v>0</v>
      </c>
      <c r="IG72" s="181" t="s">
        <v>2263</v>
      </c>
      <c r="IH72" s="181" t="s">
        <v>2318</v>
      </c>
      <c r="II72" s="181">
        <v>12</v>
      </c>
      <c r="IJ72" s="181" t="s">
        <v>2140</v>
      </c>
      <c r="IK72" s="181" t="s">
        <v>2041</v>
      </c>
      <c r="IL72" s="181">
        <v>100</v>
      </c>
      <c r="IM72" s="181">
        <v>110000</v>
      </c>
      <c r="IN72" s="181">
        <v>20000</v>
      </c>
    </row>
    <row r="73" spans="1:248">
      <c r="A73" s="181" t="s">
        <v>235</v>
      </c>
      <c r="GR73" s="181">
        <v>0</v>
      </c>
      <c r="GS73" s="181">
        <v>0</v>
      </c>
      <c r="GT73" s="181">
        <v>0</v>
      </c>
      <c r="IG73" s="181" t="s">
        <v>2263</v>
      </c>
      <c r="IH73" s="181" t="s">
        <v>2319</v>
      </c>
      <c r="II73" s="181">
        <v>6</v>
      </c>
      <c r="IJ73" s="181" t="s">
        <v>2140</v>
      </c>
      <c r="IK73" s="181" t="s">
        <v>2041</v>
      </c>
      <c r="IL73" s="181">
        <v>100</v>
      </c>
      <c r="IM73" s="181">
        <v>5000</v>
      </c>
      <c r="IN73" s="181">
        <v>5000</v>
      </c>
    </row>
    <row r="74" spans="1:248">
      <c r="A74" s="181" t="s">
        <v>235</v>
      </c>
      <c r="GR74" s="181">
        <v>0</v>
      </c>
      <c r="GS74" s="181">
        <v>0</v>
      </c>
      <c r="GT74" s="181">
        <v>0</v>
      </c>
      <c r="IG74" s="181" t="s">
        <v>2263</v>
      </c>
      <c r="IH74" s="181" t="s">
        <v>2317</v>
      </c>
      <c r="II74" s="181">
        <v>9</v>
      </c>
      <c r="IJ74" s="181" t="s">
        <v>1317</v>
      </c>
      <c r="IK74" s="181" t="s">
        <v>2041</v>
      </c>
      <c r="IL74" s="181">
        <v>50</v>
      </c>
      <c r="IM74" s="181">
        <v>10000</v>
      </c>
      <c r="IN74" s="181">
        <v>5000</v>
      </c>
    </row>
    <row r="75" spans="1:248">
      <c r="A75" s="181" t="s">
        <v>235</v>
      </c>
      <c r="GS75" s="181">
        <v>330072</v>
      </c>
      <c r="GT75" s="181">
        <v>19660144</v>
      </c>
      <c r="IG75" s="181" t="s">
        <v>2264</v>
      </c>
      <c r="IH75" s="181" t="s">
        <v>2319</v>
      </c>
      <c r="II75" s="181">
        <v>6</v>
      </c>
      <c r="IJ75" s="181" t="s">
        <v>2140</v>
      </c>
      <c r="IK75" s="181" t="s">
        <v>2041</v>
      </c>
      <c r="IL75" s="181">
        <v>100</v>
      </c>
      <c r="IM75" s="181">
        <v>5000</v>
      </c>
      <c r="IN75" s="181">
        <v>5000</v>
      </c>
    </row>
    <row r="76" spans="1:248">
      <c r="A76" s="181" t="s">
        <v>235</v>
      </c>
      <c r="GR76" s="181" t="s">
        <v>309</v>
      </c>
      <c r="GS76" s="181">
        <v>0</v>
      </c>
      <c r="GT76" s="181">
        <v>0</v>
      </c>
      <c r="IG76" s="181" t="s">
        <v>2265</v>
      </c>
      <c r="IH76" s="181" t="s">
        <v>2319</v>
      </c>
      <c r="II76" s="181">
        <v>6</v>
      </c>
      <c r="IJ76" s="181" t="s">
        <v>2140</v>
      </c>
      <c r="IK76" s="181" t="s">
        <v>2041</v>
      </c>
      <c r="IL76" s="181">
        <v>100</v>
      </c>
      <c r="IM76" s="181">
        <v>5000</v>
      </c>
      <c r="IN76" s="181">
        <v>5000</v>
      </c>
    </row>
    <row r="77" spans="1:248">
      <c r="A77" s="181" t="s">
        <v>235</v>
      </c>
      <c r="GS77" s="181">
        <v>16693350.5</v>
      </c>
      <c r="GT77" s="181">
        <v>52411850.5</v>
      </c>
      <c r="IG77" s="181" t="s">
        <v>2265</v>
      </c>
      <c r="IH77" s="181" t="s">
        <v>2351</v>
      </c>
      <c r="II77" s="181">
        <v>6</v>
      </c>
      <c r="IJ77" s="181" t="s">
        <v>2114</v>
      </c>
      <c r="IK77" s="181" t="s">
        <v>2115</v>
      </c>
      <c r="IL77" s="181">
        <v>100</v>
      </c>
      <c r="IM77" s="181">
        <v>30000</v>
      </c>
      <c r="IN77" s="181">
        <v>0</v>
      </c>
    </row>
    <row r="78" spans="1:248">
      <c r="A78" s="181" t="s">
        <v>235</v>
      </c>
      <c r="GR78" s="181" t="s">
        <v>312</v>
      </c>
      <c r="GS78" s="181">
        <v>0</v>
      </c>
      <c r="GT78" s="181">
        <v>0</v>
      </c>
      <c r="IG78" s="181" t="s">
        <v>2266</v>
      </c>
      <c r="IH78" s="181" t="s">
        <v>2317</v>
      </c>
      <c r="II78" s="181">
        <v>12</v>
      </c>
      <c r="IJ78" s="181" t="s">
        <v>2140</v>
      </c>
      <c r="IK78" s="181" t="s">
        <v>2041</v>
      </c>
      <c r="IL78" s="181">
        <v>50</v>
      </c>
      <c r="IM78" s="181">
        <v>10000</v>
      </c>
      <c r="IN78" s="181">
        <v>5000</v>
      </c>
    </row>
    <row r="79" spans="1:248">
      <c r="A79" s="181" t="s">
        <v>235</v>
      </c>
      <c r="GR79" s="181" t="s">
        <v>312</v>
      </c>
      <c r="GS79" s="181">
        <v>0</v>
      </c>
      <c r="GT79" s="181">
        <v>0</v>
      </c>
      <c r="IG79" s="181" t="s">
        <v>2266</v>
      </c>
      <c r="IH79" s="181" t="s">
        <v>2319</v>
      </c>
      <c r="II79" s="181">
        <v>6</v>
      </c>
      <c r="IJ79" s="181" t="s">
        <v>2140</v>
      </c>
      <c r="IK79" s="181" t="s">
        <v>2041</v>
      </c>
      <c r="IL79" s="181">
        <v>100</v>
      </c>
      <c r="IM79" s="181">
        <v>5000</v>
      </c>
      <c r="IN79" s="181">
        <v>5000</v>
      </c>
    </row>
    <row r="80" spans="1:248">
      <c r="A80" s="181" t="s">
        <v>235</v>
      </c>
      <c r="GR80" s="181" t="s">
        <v>312</v>
      </c>
      <c r="GS80" s="181">
        <v>0</v>
      </c>
      <c r="GT80" s="181">
        <v>0</v>
      </c>
      <c r="IG80" s="181" t="s">
        <v>2266</v>
      </c>
      <c r="IH80" s="181" t="s">
        <v>2321</v>
      </c>
      <c r="II80" s="181">
        <v>12</v>
      </c>
      <c r="IJ80" s="181" t="s">
        <v>2140</v>
      </c>
      <c r="IK80" s="181" t="s">
        <v>2041</v>
      </c>
      <c r="IL80" s="181">
        <v>100</v>
      </c>
      <c r="IM80" s="181">
        <v>15000</v>
      </c>
      <c r="IN80" s="181">
        <v>15000</v>
      </c>
    </row>
    <row r="81" spans="1:248">
      <c r="A81" s="181" t="s">
        <v>235</v>
      </c>
      <c r="GR81" s="181" t="s">
        <v>312</v>
      </c>
      <c r="GS81" s="181">
        <v>0</v>
      </c>
      <c r="GT81" s="181">
        <v>0</v>
      </c>
      <c r="IG81" s="181" t="s">
        <v>2267</v>
      </c>
      <c r="IH81" s="181" t="s">
        <v>2319</v>
      </c>
      <c r="II81" s="181">
        <v>6</v>
      </c>
      <c r="IJ81" s="181" t="s">
        <v>2140</v>
      </c>
      <c r="IK81" s="181" t="s">
        <v>2041</v>
      </c>
      <c r="IL81" s="181">
        <v>100</v>
      </c>
      <c r="IM81" s="181">
        <v>5000</v>
      </c>
      <c r="IN81" s="181">
        <v>5000</v>
      </c>
    </row>
    <row r="82" spans="1:248">
      <c r="A82" s="181" t="s">
        <v>235</v>
      </c>
      <c r="GR82" s="181" t="s">
        <v>312</v>
      </c>
      <c r="GS82" s="181">
        <v>0</v>
      </c>
      <c r="GT82" s="181">
        <v>0</v>
      </c>
      <c r="IG82" s="181" t="s">
        <v>2267</v>
      </c>
      <c r="IH82" s="181" t="s">
        <v>2317</v>
      </c>
      <c r="II82" s="181">
        <v>9</v>
      </c>
      <c r="IJ82" s="181" t="s">
        <v>1317</v>
      </c>
      <c r="IK82" s="181" t="s">
        <v>2041</v>
      </c>
      <c r="IL82" s="181">
        <v>50</v>
      </c>
      <c r="IM82" s="181">
        <v>10000</v>
      </c>
      <c r="IN82" s="181">
        <v>5000</v>
      </c>
    </row>
    <row r="83" spans="1:248">
      <c r="A83" s="181" t="s">
        <v>235</v>
      </c>
      <c r="GR83" s="181" t="s">
        <v>312</v>
      </c>
      <c r="GS83" s="181">
        <v>0</v>
      </c>
      <c r="GT83" s="181">
        <v>0</v>
      </c>
      <c r="IG83" s="181" t="s">
        <v>2268</v>
      </c>
      <c r="IH83" s="181" t="s">
        <v>2321</v>
      </c>
      <c r="II83" s="181">
        <v>6</v>
      </c>
      <c r="IJ83" s="181" t="s">
        <v>2140</v>
      </c>
      <c r="IK83" s="181" t="s">
        <v>2041</v>
      </c>
      <c r="IL83" s="181">
        <v>100</v>
      </c>
      <c r="IM83" s="181">
        <v>15000</v>
      </c>
      <c r="IN83" s="181">
        <v>15000</v>
      </c>
    </row>
    <row r="84" spans="1:248">
      <c r="A84" s="181" t="s">
        <v>235</v>
      </c>
      <c r="GR84" s="181" t="s">
        <v>312</v>
      </c>
      <c r="GS84" s="181">
        <v>0</v>
      </c>
      <c r="GT84" s="181">
        <v>0</v>
      </c>
      <c r="IG84" s="181" t="s">
        <v>2268</v>
      </c>
      <c r="IH84" s="181" t="s">
        <v>2352</v>
      </c>
      <c r="II84" s="181">
        <v>6</v>
      </c>
      <c r="IJ84" s="181" t="s">
        <v>2140</v>
      </c>
      <c r="IK84" s="181" t="s">
        <v>2041</v>
      </c>
      <c r="IL84" s="181">
        <v>100</v>
      </c>
      <c r="IM84" s="181">
        <v>24000</v>
      </c>
      <c r="IN84" s="181">
        <v>24000</v>
      </c>
    </row>
    <row r="85" spans="1:248">
      <c r="A85" s="181" t="s">
        <v>235</v>
      </c>
      <c r="GR85" s="181" t="s">
        <v>877</v>
      </c>
      <c r="GS85" s="181">
        <v>0</v>
      </c>
      <c r="GT85" s="181">
        <v>0</v>
      </c>
      <c r="IG85" s="181" t="s">
        <v>2268</v>
      </c>
      <c r="IH85" s="181" t="s">
        <v>2319</v>
      </c>
      <c r="II85" s="181">
        <v>6</v>
      </c>
      <c r="IJ85" s="181" t="s">
        <v>2140</v>
      </c>
      <c r="IK85" s="181" t="s">
        <v>2041</v>
      </c>
      <c r="IL85" s="181">
        <v>100</v>
      </c>
      <c r="IM85" s="181">
        <v>5000</v>
      </c>
      <c r="IN85" s="181">
        <v>5000</v>
      </c>
    </row>
    <row r="86" spans="1:248">
      <c r="A86" s="181" t="s">
        <v>235</v>
      </c>
      <c r="GR86" s="181" t="s">
        <v>878</v>
      </c>
      <c r="GS86" s="181">
        <v>0</v>
      </c>
      <c r="GT86" s="181">
        <v>0</v>
      </c>
      <c r="IG86" s="181" t="s">
        <v>2268</v>
      </c>
      <c r="IH86" s="181" t="s">
        <v>2353</v>
      </c>
      <c r="II86" s="181">
        <v>6</v>
      </c>
      <c r="IJ86" s="181" t="s">
        <v>2114</v>
      </c>
      <c r="IK86" s="181" t="s">
        <v>2115</v>
      </c>
      <c r="IL86" s="181">
        <v>100</v>
      </c>
      <c r="IM86" s="181">
        <v>20000</v>
      </c>
      <c r="IN86" s="181">
        <v>0</v>
      </c>
    </row>
    <row r="87" spans="1:248">
      <c r="A87" s="181" t="s">
        <v>235</v>
      </c>
      <c r="GR87" s="181" t="s">
        <v>878</v>
      </c>
      <c r="GS87" s="181">
        <v>0</v>
      </c>
      <c r="GT87" s="181">
        <v>0</v>
      </c>
      <c r="IG87" s="181" t="s">
        <v>2269</v>
      </c>
      <c r="IH87" s="181" t="s">
        <v>2321</v>
      </c>
      <c r="II87" s="181">
        <v>9</v>
      </c>
      <c r="IJ87" s="181" t="s">
        <v>1317</v>
      </c>
      <c r="IK87" s="181" t="s">
        <v>2041</v>
      </c>
      <c r="IL87" s="181">
        <v>50</v>
      </c>
      <c r="IM87" s="181">
        <v>10000</v>
      </c>
      <c r="IN87" s="181">
        <v>5000</v>
      </c>
    </row>
    <row r="88" spans="1:248">
      <c r="A88" s="181" t="s">
        <v>235</v>
      </c>
      <c r="GR88" s="181" t="s">
        <v>878</v>
      </c>
      <c r="GS88" s="181">
        <v>0</v>
      </c>
      <c r="GT88" s="181">
        <v>0</v>
      </c>
      <c r="IG88" s="181" t="s">
        <v>2269</v>
      </c>
      <c r="IH88" s="181" t="s">
        <v>2319</v>
      </c>
      <c r="II88" s="181">
        <v>6</v>
      </c>
      <c r="IJ88" s="181" t="s">
        <v>2140</v>
      </c>
      <c r="IK88" s="181" t="s">
        <v>2041</v>
      </c>
      <c r="IL88" s="181">
        <v>100</v>
      </c>
      <c r="IM88" s="181">
        <v>5000</v>
      </c>
      <c r="IN88" s="181">
        <v>5000</v>
      </c>
    </row>
    <row r="89" spans="1:248">
      <c r="A89" s="181" t="s">
        <v>235</v>
      </c>
      <c r="GR89" s="181" t="s">
        <v>878</v>
      </c>
      <c r="GS89" s="181">
        <v>0</v>
      </c>
      <c r="GT89" s="181">
        <v>0</v>
      </c>
      <c r="IG89" s="181" t="s">
        <v>2269</v>
      </c>
      <c r="IH89" s="181" t="s">
        <v>2352</v>
      </c>
      <c r="II89" s="181">
        <v>6</v>
      </c>
      <c r="IJ89" s="181" t="s">
        <v>2140</v>
      </c>
      <c r="IK89" s="181" t="s">
        <v>2041</v>
      </c>
      <c r="IL89" s="181">
        <v>100</v>
      </c>
      <c r="IM89" s="181">
        <v>24000</v>
      </c>
      <c r="IN89" s="181">
        <v>24000</v>
      </c>
    </row>
    <row r="90" spans="1:248">
      <c r="A90" s="181" t="s">
        <v>235</v>
      </c>
      <c r="GR90" s="181" t="s">
        <v>878</v>
      </c>
      <c r="GS90" s="181">
        <v>0</v>
      </c>
      <c r="GT90" s="181">
        <v>0</v>
      </c>
      <c r="IG90" s="181" t="s">
        <v>2270</v>
      </c>
      <c r="IH90" s="181" t="s">
        <v>2321</v>
      </c>
      <c r="II90" s="181">
        <v>9</v>
      </c>
      <c r="IJ90" s="181" t="s">
        <v>1317</v>
      </c>
      <c r="IK90" s="181" t="s">
        <v>2041</v>
      </c>
      <c r="IL90" s="181">
        <v>50</v>
      </c>
      <c r="IM90" s="181">
        <v>10000</v>
      </c>
      <c r="IN90" s="181">
        <v>5000</v>
      </c>
    </row>
    <row r="91" spans="1:248">
      <c r="A91" s="181" t="s">
        <v>235</v>
      </c>
      <c r="GR91" s="181" t="s">
        <v>878</v>
      </c>
      <c r="GS91" s="181">
        <v>0</v>
      </c>
      <c r="GT91" s="181">
        <v>0</v>
      </c>
      <c r="IG91" s="181" t="s">
        <v>2270</v>
      </c>
      <c r="IH91" s="181" t="s">
        <v>2318</v>
      </c>
      <c r="II91" s="181">
        <v>12</v>
      </c>
      <c r="IJ91" s="181" t="s">
        <v>2140</v>
      </c>
      <c r="IK91" s="181" t="s">
        <v>2115</v>
      </c>
      <c r="IL91" s="181">
        <v>100</v>
      </c>
      <c r="IM91" s="181">
        <v>110000</v>
      </c>
      <c r="IN91" s="181">
        <v>20000</v>
      </c>
    </row>
    <row r="92" spans="1:248">
      <c r="A92" s="181" t="s">
        <v>235</v>
      </c>
      <c r="GR92" s="181" t="s">
        <v>878</v>
      </c>
      <c r="GS92" s="181">
        <v>0</v>
      </c>
      <c r="GT92" s="181">
        <v>0</v>
      </c>
      <c r="IG92" s="181" t="s">
        <v>2270</v>
      </c>
      <c r="IH92" s="181" t="s">
        <v>2319</v>
      </c>
      <c r="II92" s="181">
        <v>6</v>
      </c>
      <c r="IJ92" s="181" t="s">
        <v>2140</v>
      </c>
      <c r="IK92" s="181" t="s">
        <v>2041</v>
      </c>
      <c r="IL92" s="181">
        <v>100</v>
      </c>
      <c r="IM92" s="181">
        <v>5000</v>
      </c>
      <c r="IN92" s="181">
        <v>5000</v>
      </c>
    </row>
    <row r="93" spans="1:248">
      <c r="A93" s="181" t="s">
        <v>235</v>
      </c>
      <c r="GR93" s="181" t="s">
        <v>878</v>
      </c>
      <c r="GS93" s="181">
        <v>0</v>
      </c>
      <c r="GT93" s="181">
        <v>0</v>
      </c>
      <c r="IG93" s="181" t="s">
        <v>2270</v>
      </c>
      <c r="IH93" s="181" t="s">
        <v>2352</v>
      </c>
      <c r="II93" s="181">
        <v>6</v>
      </c>
      <c r="IJ93" s="181" t="s">
        <v>2140</v>
      </c>
      <c r="IK93" s="181" t="s">
        <v>2041</v>
      </c>
      <c r="IL93" s="181">
        <v>100</v>
      </c>
      <c r="IM93" s="181">
        <v>24000</v>
      </c>
      <c r="IN93" s="181">
        <v>24000</v>
      </c>
    </row>
    <row r="94" spans="1:248">
      <c r="A94" s="181" t="s">
        <v>235</v>
      </c>
      <c r="GR94" s="181" t="s">
        <v>878</v>
      </c>
      <c r="GS94" s="181">
        <v>0</v>
      </c>
      <c r="GT94" s="181">
        <v>0</v>
      </c>
      <c r="IG94" s="181" t="s">
        <v>2271</v>
      </c>
      <c r="IH94" s="181" t="s">
        <v>2318</v>
      </c>
      <c r="II94" s="181">
        <v>12</v>
      </c>
      <c r="IJ94" s="181" t="s">
        <v>2140</v>
      </c>
      <c r="IK94" s="181" t="s">
        <v>2115</v>
      </c>
      <c r="IL94" s="181">
        <v>100</v>
      </c>
      <c r="IM94" s="181">
        <v>110000</v>
      </c>
      <c r="IN94" s="181">
        <v>20000</v>
      </c>
    </row>
    <row r="95" spans="1:248">
      <c r="A95" s="181" t="s">
        <v>235</v>
      </c>
      <c r="GR95" s="181" t="s">
        <v>879</v>
      </c>
      <c r="GS95" s="181">
        <v>0</v>
      </c>
      <c r="GT95" s="181">
        <v>0</v>
      </c>
      <c r="IG95" s="181" t="s">
        <v>2271</v>
      </c>
      <c r="IH95" s="181" t="s">
        <v>2319</v>
      </c>
      <c r="II95" s="181">
        <v>6</v>
      </c>
      <c r="IJ95" s="181" t="s">
        <v>2140</v>
      </c>
      <c r="IK95" s="181" t="s">
        <v>2041</v>
      </c>
      <c r="IL95" s="181">
        <v>100</v>
      </c>
      <c r="IM95" s="181">
        <v>5000</v>
      </c>
      <c r="IN95" s="181">
        <v>5000</v>
      </c>
    </row>
    <row r="96" spans="1:248">
      <c r="A96" s="181" t="s">
        <v>235</v>
      </c>
      <c r="GR96" s="181" t="s">
        <v>1715</v>
      </c>
      <c r="GS96" s="181">
        <v>1220119</v>
      </c>
      <c r="GT96" s="181">
        <v>2592537</v>
      </c>
      <c r="IG96" s="181" t="s">
        <v>2271</v>
      </c>
      <c r="IH96" s="181" t="s">
        <v>2352</v>
      </c>
      <c r="II96" s="181">
        <v>6</v>
      </c>
      <c r="IJ96" s="181" t="s">
        <v>2140</v>
      </c>
      <c r="IK96" s="181" t="s">
        <v>2041</v>
      </c>
      <c r="IL96" s="181">
        <v>100</v>
      </c>
      <c r="IM96" s="181">
        <v>24000</v>
      </c>
      <c r="IN96" s="181">
        <v>24000</v>
      </c>
    </row>
    <row r="97" spans="1:248">
      <c r="A97" s="181" t="s">
        <v>235</v>
      </c>
      <c r="GR97" s="181" t="s">
        <v>880</v>
      </c>
      <c r="GS97" s="181">
        <v>574878</v>
      </c>
      <c r="GT97" s="181">
        <v>1149756</v>
      </c>
      <c r="IG97" s="181" t="s">
        <v>2272</v>
      </c>
      <c r="IH97" s="181" t="s">
        <v>2319</v>
      </c>
      <c r="II97" s="181">
        <v>6</v>
      </c>
      <c r="IJ97" s="181" t="s">
        <v>2140</v>
      </c>
      <c r="IK97" s="181" t="s">
        <v>2041</v>
      </c>
      <c r="IL97" s="181">
        <v>100</v>
      </c>
      <c r="IM97" s="181">
        <v>5000</v>
      </c>
      <c r="IN97" s="181">
        <v>5000</v>
      </c>
    </row>
    <row r="98" spans="1:248">
      <c r="A98" s="181" t="s">
        <v>235</v>
      </c>
      <c r="GR98" s="181" t="s">
        <v>881</v>
      </c>
      <c r="GS98" s="181">
        <v>8137233.8999999994</v>
      </c>
      <c r="GT98" s="181">
        <v>16274467.800000001</v>
      </c>
      <c r="IG98" s="181" t="s">
        <v>2272</v>
      </c>
      <c r="IH98" s="181" t="s">
        <v>2352</v>
      </c>
      <c r="II98" s="181">
        <v>6</v>
      </c>
      <c r="IJ98" s="181" t="s">
        <v>2140</v>
      </c>
      <c r="IK98" s="181" t="s">
        <v>2041</v>
      </c>
      <c r="IL98" s="181">
        <v>100</v>
      </c>
      <c r="IM98" s="181">
        <v>24000</v>
      </c>
      <c r="IN98" s="181">
        <v>24000</v>
      </c>
    </row>
    <row r="99" spans="1:248">
      <c r="A99" s="181" t="s">
        <v>235</v>
      </c>
      <c r="GR99" s="181">
        <v>0</v>
      </c>
      <c r="GS99" s="181">
        <v>0</v>
      </c>
      <c r="GT99" s="181">
        <v>0</v>
      </c>
      <c r="IG99" s="181" t="s">
        <v>2273</v>
      </c>
      <c r="IH99" s="181" t="s">
        <v>2354</v>
      </c>
      <c r="II99" s="181">
        <v>9</v>
      </c>
      <c r="IJ99" s="181" t="s">
        <v>2140</v>
      </c>
      <c r="IK99" s="181" t="s">
        <v>2040</v>
      </c>
      <c r="IL99" s="181">
        <v>100</v>
      </c>
      <c r="IM99" s="181">
        <v>250000</v>
      </c>
      <c r="IN99" s="181">
        <v>150000</v>
      </c>
    </row>
    <row r="100" spans="1:248">
      <c r="A100" s="181" t="s">
        <v>235</v>
      </c>
      <c r="GR100" s="181" t="s">
        <v>1732</v>
      </c>
      <c r="GS100" s="181">
        <v>32569</v>
      </c>
      <c r="GT100" s="181">
        <v>67073</v>
      </c>
      <c r="IG100" s="181" t="s">
        <v>2273</v>
      </c>
      <c r="IH100" s="181" t="s">
        <v>2355</v>
      </c>
      <c r="II100" s="181">
        <v>9</v>
      </c>
      <c r="IJ100" s="181" t="s">
        <v>2140</v>
      </c>
      <c r="IK100" s="181" t="s">
        <v>2040</v>
      </c>
      <c r="IL100" s="181">
        <v>100</v>
      </c>
      <c r="IM100" s="181">
        <v>210000</v>
      </c>
      <c r="IN100" s="181">
        <v>105000</v>
      </c>
    </row>
    <row r="101" spans="1:248">
      <c r="A101" s="181" t="s">
        <v>235</v>
      </c>
      <c r="GR101" s="181">
        <v>0</v>
      </c>
      <c r="GS101" s="181">
        <v>0</v>
      </c>
      <c r="GT101" s="181">
        <v>0</v>
      </c>
      <c r="IG101" s="181" t="s">
        <v>2273</v>
      </c>
      <c r="IH101" s="181" t="s">
        <v>2356</v>
      </c>
      <c r="II101" s="181">
        <v>9</v>
      </c>
      <c r="IJ101" s="181" t="s">
        <v>2140</v>
      </c>
      <c r="IK101" s="181" t="s">
        <v>2040</v>
      </c>
      <c r="IL101" s="181">
        <v>100</v>
      </c>
      <c r="IM101" s="181">
        <v>530000</v>
      </c>
      <c r="IN101" s="181">
        <v>280000</v>
      </c>
    </row>
    <row r="102" spans="1:248">
      <c r="A102" s="181" t="s">
        <v>235</v>
      </c>
      <c r="GR102" s="181">
        <v>0</v>
      </c>
      <c r="GS102" s="181">
        <v>0</v>
      </c>
      <c r="GT102" s="181">
        <v>0</v>
      </c>
      <c r="IG102" s="181" t="s">
        <v>2273</v>
      </c>
      <c r="IH102" s="181" t="s">
        <v>2357</v>
      </c>
      <c r="II102" s="181">
        <v>6</v>
      </c>
      <c r="IJ102" s="181" t="s">
        <v>2140</v>
      </c>
      <c r="IK102" s="181" t="s">
        <v>2041</v>
      </c>
      <c r="IL102" s="181">
        <v>100</v>
      </c>
      <c r="IM102" s="181">
        <v>18000</v>
      </c>
      <c r="IN102" s="181">
        <v>18000</v>
      </c>
    </row>
    <row r="103" spans="1:248">
      <c r="A103" s="181" t="s">
        <v>235</v>
      </c>
      <c r="GR103" s="181">
        <v>0</v>
      </c>
      <c r="GS103" s="181">
        <v>0</v>
      </c>
      <c r="GT103" s="181">
        <v>0</v>
      </c>
      <c r="IG103" s="181" t="s">
        <v>2273</v>
      </c>
      <c r="IH103" s="181" t="s">
        <v>2358</v>
      </c>
      <c r="II103" s="181">
        <v>6</v>
      </c>
      <c r="IJ103" s="181" t="s">
        <v>2140</v>
      </c>
      <c r="IK103" s="181" t="s">
        <v>2041</v>
      </c>
      <c r="IL103" s="181">
        <v>100</v>
      </c>
      <c r="IM103" s="181">
        <v>43500</v>
      </c>
      <c r="IN103" s="181">
        <v>43500</v>
      </c>
    </row>
    <row r="104" spans="1:248">
      <c r="A104" s="181" t="s">
        <v>235</v>
      </c>
      <c r="GR104" s="181">
        <v>0</v>
      </c>
      <c r="GS104" s="181">
        <v>0</v>
      </c>
      <c r="GT104" s="181">
        <v>0</v>
      </c>
      <c r="IG104" s="181" t="s">
        <v>2273</v>
      </c>
      <c r="IH104" s="181" t="s">
        <v>2359</v>
      </c>
      <c r="II104" s="181">
        <v>6</v>
      </c>
      <c r="IJ104" s="181" t="s">
        <v>2140</v>
      </c>
      <c r="IK104" s="181" t="s">
        <v>2041</v>
      </c>
      <c r="IL104" s="181">
        <v>100</v>
      </c>
      <c r="IM104" s="181">
        <v>14500</v>
      </c>
      <c r="IN104" s="181">
        <v>14500</v>
      </c>
    </row>
    <row r="105" spans="1:248">
      <c r="A105" s="181" t="s">
        <v>235</v>
      </c>
      <c r="GR105" s="181" t="s">
        <v>1178</v>
      </c>
      <c r="GS105" s="181">
        <v>43470</v>
      </c>
      <c r="GT105" s="181">
        <v>86940</v>
      </c>
      <c r="IG105" s="181" t="s">
        <v>2273</v>
      </c>
      <c r="IH105" s="181" t="s">
        <v>2360</v>
      </c>
      <c r="II105" s="181">
        <v>6</v>
      </c>
      <c r="IJ105" s="181" t="s">
        <v>2140</v>
      </c>
      <c r="IK105" s="181" t="s">
        <v>2041</v>
      </c>
      <c r="IL105" s="181">
        <v>100</v>
      </c>
      <c r="IM105" s="181">
        <v>14500</v>
      </c>
      <c r="IN105" s="181">
        <v>14500</v>
      </c>
    </row>
    <row r="106" spans="1:248">
      <c r="A106" s="181" t="s">
        <v>235</v>
      </c>
      <c r="GR106" s="181" t="s">
        <v>1732</v>
      </c>
      <c r="GS106" s="181">
        <v>0</v>
      </c>
      <c r="GT106" s="181">
        <v>0</v>
      </c>
      <c r="IG106" s="181" t="s">
        <v>2273</v>
      </c>
      <c r="IH106" s="181" t="s">
        <v>2361</v>
      </c>
      <c r="II106" s="181">
        <v>6</v>
      </c>
      <c r="IJ106" s="181" t="s">
        <v>2140</v>
      </c>
      <c r="IK106" s="181" t="s">
        <v>2041</v>
      </c>
      <c r="IL106" s="181">
        <v>100</v>
      </c>
      <c r="IM106" s="181">
        <v>21750</v>
      </c>
      <c r="IN106" s="181">
        <v>21750</v>
      </c>
    </row>
    <row r="107" spans="1:248">
      <c r="A107" s="181" t="s">
        <v>235</v>
      </c>
      <c r="GR107" s="181">
        <v>0</v>
      </c>
      <c r="GS107" s="181">
        <v>0</v>
      </c>
      <c r="GT107" s="181">
        <v>0</v>
      </c>
      <c r="IG107" s="181" t="s">
        <v>2273</v>
      </c>
      <c r="IH107" s="181" t="s">
        <v>2362</v>
      </c>
      <c r="II107" s="181">
        <v>6</v>
      </c>
      <c r="IJ107" s="181" t="s">
        <v>2140</v>
      </c>
      <c r="IK107" s="181" t="s">
        <v>2041</v>
      </c>
      <c r="IL107" s="181">
        <v>100</v>
      </c>
      <c r="IM107" s="181">
        <v>7250</v>
      </c>
      <c r="IN107" s="181">
        <v>7250</v>
      </c>
    </row>
    <row r="108" spans="1:248">
      <c r="A108" s="181" t="s">
        <v>235</v>
      </c>
      <c r="GR108" s="181">
        <v>0</v>
      </c>
      <c r="GS108" s="181">
        <v>0</v>
      </c>
      <c r="GT108" s="181">
        <v>0</v>
      </c>
      <c r="IG108" s="181" t="s">
        <v>2273</v>
      </c>
      <c r="IH108" s="181" t="s">
        <v>2363</v>
      </c>
      <c r="II108" s="181">
        <v>6</v>
      </c>
      <c r="IJ108" s="181" t="s">
        <v>2140</v>
      </c>
      <c r="IK108" s="181" t="s">
        <v>2041</v>
      </c>
      <c r="IL108" s="181">
        <v>100</v>
      </c>
      <c r="IM108" s="181">
        <v>4350</v>
      </c>
      <c r="IN108" s="181">
        <v>4350</v>
      </c>
    </row>
    <row r="109" spans="1:248">
      <c r="A109" s="181" t="s">
        <v>235</v>
      </c>
      <c r="GR109" s="181">
        <v>0</v>
      </c>
      <c r="GS109" s="181">
        <v>0</v>
      </c>
      <c r="GT109" s="181">
        <v>0</v>
      </c>
      <c r="IG109" s="181" t="s">
        <v>2273</v>
      </c>
      <c r="IH109" s="181" t="s">
        <v>2364</v>
      </c>
      <c r="II109" s="181">
        <v>27</v>
      </c>
      <c r="IJ109" s="181" t="s">
        <v>2468</v>
      </c>
      <c r="IK109" s="181" t="s">
        <v>2115</v>
      </c>
      <c r="IL109" s="181">
        <v>50</v>
      </c>
      <c r="IM109" s="181">
        <v>67771</v>
      </c>
      <c r="IN109" s="181">
        <v>15000</v>
      </c>
    </row>
    <row r="110" spans="1:248">
      <c r="A110" s="181" t="s">
        <v>235</v>
      </c>
      <c r="GR110" s="181">
        <v>0</v>
      </c>
      <c r="GS110" s="181">
        <v>0</v>
      </c>
      <c r="GT110" s="181">
        <v>0</v>
      </c>
      <c r="IG110" s="181" t="s">
        <v>2273</v>
      </c>
      <c r="IH110" s="181" t="s">
        <v>2321</v>
      </c>
      <c r="II110" s="181">
        <v>21</v>
      </c>
      <c r="IJ110" s="181" t="s">
        <v>1283</v>
      </c>
      <c r="IK110" s="181" t="s">
        <v>2040</v>
      </c>
      <c r="IL110" s="181">
        <v>90</v>
      </c>
      <c r="IM110" s="181">
        <v>179057</v>
      </c>
      <c r="IN110" s="181">
        <v>100000</v>
      </c>
    </row>
    <row r="111" spans="1:248">
      <c r="A111" s="181" t="s">
        <v>235</v>
      </c>
      <c r="GR111" s="181">
        <v>0</v>
      </c>
      <c r="GS111" s="181">
        <v>0</v>
      </c>
      <c r="GT111" s="181">
        <v>0</v>
      </c>
      <c r="IG111" s="181" t="s">
        <v>2273</v>
      </c>
      <c r="IH111" s="181" t="s">
        <v>2365</v>
      </c>
      <c r="II111" s="181">
        <v>6</v>
      </c>
      <c r="IJ111" s="181" t="s">
        <v>2114</v>
      </c>
      <c r="IK111" s="181" t="s">
        <v>2115</v>
      </c>
      <c r="IL111" s="181">
        <v>100</v>
      </c>
      <c r="IM111" s="181">
        <v>30000</v>
      </c>
      <c r="IN111" s="181">
        <v>0</v>
      </c>
    </row>
    <row r="112" spans="1:248">
      <c r="A112" s="181" t="s">
        <v>235</v>
      </c>
      <c r="GR112" s="181">
        <v>0</v>
      </c>
      <c r="GS112" s="181">
        <v>0</v>
      </c>
      <c r="GT112" s="181">
        <v>0</v>
      </c>
      <c r="IG112" s="181" t="s">
        <v>2273</v>
      </c>
      <c r="IH112" s="181" t="s">
        <v>2366</v>
      </c>
      <c r="II112" s="181">
        <v>6</v>
      </c>
      <c r="IJ112" s="181" t="s">
        <v>2114</v>
      </c>
      <c r="IK112" s="181" t="s">
        <v>2115</v>
      </c>
      <c r="IL112" s="181">
        <v>100</v>
      </c>
      <c r="IM112" s="181">
        <v>2500</v>
      </c>
      <c r="IN112" s="181">
        <v>0</v>
      </c>
    </row>
    <row r="113" spans="1:248">
      <c r="A113" s="181" t="s">
        <v>235</v>
      </c>
      <c r="GR113" s="181">
        <v>0</v>
      </c>
      <c r="GS113" s="181">
        <v>0</v>
      </c>
      <c r="GT113" s="181">
        <v>0</v>
      </c>
      <c r="IG113" s="181" t="s">
        <v>2273</v>
      </c>
      <c r="IH113" s="181" t="s">
        <v>2367</v>
      </c>
      <c r="II113" s="181">
        <v>6</v>
      </c>
      <c r="IJ113" s="181" t="s">
        <v>2114</v>
      </c>
      <c r="IK113" s="181" t="s">
        <v>2115</v>
      </c>
      <c r="IL113" s="181">
        <v>100</v>
      </c>
      <c r="IM113" s="181">
        <v>90000</v>
      </c>
      <c r="IN113" s="181">
        <v>0</v>
      </c>
    </row>
    <row r="114" spans="1:248">
      <c r="A114" s="181" t="s">
        <v>235</v>
      </c>
      <c r="GR114" s="181" t="s">
        <v>1733</v>
      </c>
      <c r="GS114" s="181">
        <v>0</v>
      </c>
      <c r="GT114" s="181">
        <v>0</v>
      </c>
      <c r="IG114" s="181" t="s">
        <v>2273</v>
      </c>
      <c r="IH114" s="181" t="s">
        <v>2368</v>
      </c>
      <c r="II114" s="181">
        <v>6</v>
      </c>
      <c r="IJ114" s="181" t="s">
        <v>2114</v>
      </c>
      <c r="IK114" s="181" t="s">
        <v>2115</v>
      </c>
      <c r="IL114" s="181">
        <v>100</v>
      </c>
      <c r="IM114" s="181">
        <v>65000</v>
      </c>
      <c r="IN114" s="181">
        <v>0</v>
      </c>
    </row>
    <row r="115" spans="1:248">
      <c r="A115" s="181" t="s">
        <v>235</v>
      </c>
      <c r="GR115" s="181" t="s">
        <v>1734</v>
      </c>
      <c r="GS115" s="181">
        <v>0</v>
      </c>
      <c r="GT115" s="181">
        <v>0</v>
      </c>
      <c r="IG115" s="181" t="s">
        <v>2273</v>
      </c>
      <c r="IH115" s="181" t="s">
        <v>2369</v>
      </c>
      <c r="II115" s="181">
        <v>6</v>
      </c>
      <c r="IJ115" s="181" t="s">
        <v>2114</v>
      </c>
      <c r="IK115" s="181" t="s">
        <v>2115</v>
      </c>
      <c r="IL115" s="181">
        <v>100</v>
      </c>
      <c r="IM115" s="181">
        <v>40000</v>
      </c>
      <c r="IN115" s="181">
        <v>0</v>
      </c>
    </row>
    <row r="116" spans="1:248">
      <c r="A116" s="181" t="s">
        <v>235</v>
      </c>
      <c r="GR116" s="181" t="s">
        <v>1735</v>
      </c>
      <c r="GS116" s="181">
        <v>1030000</v>
      </c>
      <c r="GT116" s="181">
        <v>2150000</v>
      </c>
      <c r="IG116" s="181" t="s">
        <v>2273</v>
      </c>
      <c r="IH116" s="181" t="s">
        <v>2319</v>
      </c>
      <c r="II116" s="181">
        <v>6</v>
      </c>
      <c r="IJ116" s="181" t="s">
        <v>2140</v>
      </c>
      <c r="IK116" s="181" t="s">
        <v>2041</v>
      </c>
      <c r="IL116" s="181">
        <v>100</v>
      </c>
      <c r="IM116" s="181">
        <v>5000</v>
      </c>
      <c r="IN116" s="181">
        <v>5000</v>
      </c>
    </row>
    <row r="117" spans="1:248">
      <c r="A117" s="181" t="s">
        <v>235</v>
      </c>
      <c r="GR117" s="181" t="s">
        <v>882</v>
      </c>
      <c r="GS117" s="181">
        <v>0</v>
      </c>
      <c r="GT117" s="181">
        <v>0</v>
      </c>
      <c r="IG117" s="181" t="s">
        <v>2274</v>
      </c>
      <c r="IH117" s="181" t="s">
        <v>2370</v>
      </c>
      <c r="II117" s="181">
        <v>6</v>
      </c>
      <c r="IJ117" s="181" t="s">
        <v>2140</v>
      </c>
      <c r="IK117" s="181" t="s">
        <v>2041</v>
      </c>
      <c r="IL117" s="181">
        <v>100</v>
      </c>
      <c r="IM117" s="181">
        <v>10000</v>
      </c>
      <c r="IN117" s="181">
        <v>10000</v>
      </c>
    </row>
    <row r="118" spans="1:248">
      <c r="A118" s="181" t="s">
        <v>235</v>
      </c>
      <c r="GR118" s="181" t="s">
        <v>882</v>
      </c>
      <c r="GS118" s="181">
        <v>0</v>
      </c>
      <c r="GT118" s="181">
        <v>0</v>
      </c>
      <c r="IG118" s="181" t="s">
        <v>2274</v>
      </c>
      <c r="IH118" s="181" t="s">
        <v>2371</v>
      </c>
      <c r="II118" s="181">
        <v>6</v>
      </c>
      <c r="IJ118" s="181" t="s">
        <v>2140</v>
      </c>
      <c r="IK118" s="181" t="s">
        <v>2041</v>
      </c>
      <c r="IL118" s="181">
        <v>100</v>
      </c>
      <c r="IM118" s="181">
        <v>10000</v>
      </c>
      <c r="IN118" s="181">
        <v>10000</v>
      </c>
    </row>
    <row r="119" spans="1:248">
      <c r="A119" s="181" t="s">
        <v>235</v>
      </c>
      <c r="GR119" s="181" t="s">
        <v>882</v>
      </c>
      <c r="GS119" s="181">
        <v>0</v>
      </c>
      <c r="GT119" s="181">
        <v>0</v>
      </c>
      <c r="IG119" s="181" t="s">
        <v>2274</v>
      </c>
      <c r="IH119" s="181" t="s">
        <v>2372</v>
      </c>
      <c r="II119" s="181">
        <v>6</v>
      </c>
      <c r="IJ119" s="181" t="s">
        <v>2114</v>
      </c>
      <c r="IK119" s="181" t="s">
        <v>2115</v>
      </c>
      <c r="IL119" s="181">
        <v>100</v>
      </c>
      <c r="IM119" s="181">
        <v>90000</v>
      </c>
      <c r="IN119" s="181">
        <v>0</v>
      </c>
    </row>
    <row r="120" spans="1:248">
      <c r="A120" s="181" t="s">
        <v>235</v>
      </c>
      <c r="GR120" s="181" t="s">
        <v>882</v>
      </c>
      <c r="GS120" s="181">
        <v>0</v>
      </c>
      <c r="GT120" s="181">
        <v>0</v>
      </c>
      <c r="IG120" s="181" t="s">
        <v>2274</v>
      </c>
      <c r="IH120" s="181" t="s">
        <v>2373</v>
      </c>
      <c r="II120" s="181">
        <v>6</v>
      </c>
      <c r="IJ120" s="181" t="s">
        <v>2114</v>
      </c>
      <c r="IK120" s="181" t="s">
        <v>2115</v>
      </c>
      <c r="IL120" s="181">
        <v>100</v>
      </c>
      <c r="IM120" s="181">
        <v>35000</v>
      </c>
      <c r="IN120" s="181">
        <v>0</v>
      </c>
    </row>
    <row r="121" spans="1:248">
      <c r="A121" s="181" t="s">
        <v>235</v>
      </c>
      <c r="GR121" s="181" t="s">
        <v>882</v>
      </c>
      <c r="GS121" s="181">
        <v>0</v>
      </c>
      <c r="GT121" s="181">
        <v>0</v>
      </c>
      <c r="IG121" s="181" t="s">
        <v>2274</v>
      </c>
      <c r="IH121" s="181" t="s">
        <v>2305</v>
      </c>
      <c r="II121" s="181">
        <v>6</v>
      </c>
      <c r="IJ121" s="181" t="s">
        <v>2114</v>
      </c>
      <c r="IK121" s="181" t="s">
        <v>2115</v>
      </c>
      <c r="IL121" s="181">
        <v>100</v>
      </c>
      <c r="IM121" s="181">
        <v>800000</v>
      </c>
      <c r="IN121" s="181">
        <v>0</v>
      </c>
    </row>
    <row r="122" spans="1:248">
      <c r="A122" s="181" t="s">
        <v>235</v>
      </c>
      <c r="GR122" s="181" t="s">
        <v>882</v>
      </c>
      <c r="GS122" s="181">
        <v>0</v>
      </c>
      <c r="GT122" s="181">
        <v>0</v>
      </c>
      <c r="IG122" s="181" t="s">
        <v>2274</v>
      </c>
      <c r="IH122" s="181" t="s">
        <v>2374</v>
      </c>
      <c r="II122" s="181">
        <v>6</v>
      </c>
      <c r="IJ122" s="181" t="s">
        <v>2114</v>
      </c>
      <c r="IK122" s="181" t="s">
        <v>2115</v>
      </c>
      <c r="IL122" s="181">
        <v>100</v>
      </c>
      <c r="IM122" s="181">
        <v>100000</v>
      </c>
      <c r="IN122" s="181">
        <v>0</v>
      </c>
    </row>
    <row r="123" spans="1:248">
      <c r="A123" s="181" t="s">
        <v>235</v>
      </c>
      <c r="GR123" s="181" t="s">
        <v>882</v>
      </c>
      <c r="GS123" s="181">
        <v>0</v>
      </c>
      <c r="GT123" s="181">
        <v>0</v>
      </c>
      <c r="IG123" s="181" t="s">
        <v>2274</v>
      </c>
      <c r="IH123" s="181" t="s">
        <v>2375</v>
      </c>
      <c r="II123" s="181">
        <v>12</v>
      </c>
      <c r="IJ123" s="181" t="s">
        <v>2140</v>
      </c>
      <c r="IK123" s="181" t="s">
        <v>2115</v>
      </c>
      <c r="IL123" s="181">
        <v>100</v>
      </c>
      <c r="IM123" s="181">
        <v>800000</v>
      </c>
      <c r="IN123" s="181">
        <v>400000</v>
      </c>
    </row>
    <row r="124" spans="1:248">
      <c r="A124" s="181" t="s">
        <v>235</v>
      </c>
      <c r="GR124" s="181" t="s">
        <v>882</v>
      </c>
      <c r="GS124" s="181">
        <v>0</v>
      </c>
      <c r="GT124" s="181">
        <v>0</v>
      </c>
      <c r="IG124" s="181" t="s">
        <v>2275</v>
      </c>
      <c r="IH124" s="181" t="s">
        <v>2376</v>
      </c>
      <c r="II124" s="181">
        <v>6</v>
      </c>
      <c r="IJ124" s="181" t="s">
        <v>2114</v>
      </c>
      <c r="IK124" s="181" t="s">
        <v>2115</v>
      </c>
      <c r="IL124" s="181">
        <v>100</v>
      </c>
      <c r="IM124" s="181">
        <v>14000</v>
      </c>
      <c r="IN124" s="181">
        <v>0</v>
      </c>
    </row>
    <row r="125" spans="1:248">
      <c r="A125" s="181" t="s">
        <v>235</v>
      </c>
      <c r="GR125" s="181" t="s">
        <v>882</v>
      </c>
      <c r="GS125" s="181">
        <v>0</v>
      </c>
      <c r="GT125" s="181">
        <v>0</v>
      </c>
      <c r="IG125" s="181" t="s">
        <v>2276</v>
      </c>
      <c r="IH125" s="181" t="s">
        <v>2377</v>
      </c>
      <c r="II125" s="181">
        <v>6</v>
      </c>
      <c r="IJ125" s="181" t="s">
        <v>2114</v>
      </c>
      <c r="IK125" s="181" t="s">
        <v>2115</v>
      </c>
      <c r="IL125" s="181">
        <v>100</v>
      </c>
      <c r="IM125" s="181">
        <v>20000</v>
      </c>
      <c r="IN125" s="181">
        <v>0</v>
      </c>
    </row>
    <row r="126" spans="1:248">
      <c r="A126" s="181" t="s">
        <v>235</v>
      </c>
      <c r="GR126" s="181" t="s">
        <v>883</v>
      </c>
      <c r="GS126" s="181">
        <v>0</v>
      </c>
      <c r="GT126" s="181">
        <v>0</v>
      </c>
      <c r="IG126" s="181" t="s">
        <v>2277</v>
      </c>
      <c r="IH126" s="181" t="s">
        <v>2318</v>
      </c>
      <c r="II126" s="181">
        <v>12</v>
      </c>
      <c r="IJ126" s="181" t="s">
        <v>2140</v>
      </c>
      <c r="IK126" s="181" t="s">
        <v>2115</v>
      </c>
      <c r="IL126" s="181">
        <v>100</v>
      </c>
      <c r="IM126" s="181">
        <v>110000</v>
      </c>
      <c r="IN126" s="181">
        <v>20000</v>
      </c>
    </row>
    <row r="127" spans="1:248">
      <c r="A127" s="181" t="s">
        <v>235</v>
      </c>
      <c r="GR127" s="181" t="s">
        <v>1736</v>
      </c>
      <c r="GS127" s="181">
        <v>0</v>
      </c>
      <c r="GT127" s="181">
        <v>0</v>
      </c>
      <c r="IG127" s="181" t="s">
        <v>2277</v>
      </c>
      <c r="IH127" s="181" t="s">
        <v>2378</v>
      </c>
      <c r="II127" s="181">
        <v>6</v>
      </c>
      <c r="IJ127" s="181" t="s">
        <v>2114</v>
      </c>
      <c r="IK127" s="181" t="s">
        <v>2115</v>
      </c>
      <c r="IL127" s="181">
        <v>100</v>
      </c>
      <c r="IM127" s="181">
        <v>25000</v>
      </c>
      <c r="IN127" s="181">
        <v>0</v>
      </c>
    </row>
    <row r="128" spans="1:248">
      <c r="A128" s="181" t="s">
        <v>235</v>
      </c>
      <c r="GR128" s="181" t="s">
        <v>873</v>
      </c>
      <c r="GS128" s="181">
        <v>0</v>
      </c>
      <c r="GT128" s="181">
        <v>0</v>
      </c>
      <c r="IG128" s="181" t="s">
        <v>2277</v>
      </c>
      <c r="IH128" s="181" t="s">
        <v>2379</v>
      </c>
      <c r="II128" s="181">
        <v>6</v>
      </c>
      <c r="IJ128" s="181" t="s">
        <v>2114</v>
      </c>
      <c r="IK128" s="181" t="s">
        <v>2115</v>
      </c>
      <c r="IL128" s="181">
        <v>100</v>
      </c>
      <c r="IM128" s="181">
        <v>8000</v>
      </c>
      <c r="IN128" s="181">
        <v>0</v>
      </c>
    </row>
    <row r="129" spans="1:248">
      <c r="A129" s="181" t="s">
        <v>235</v>
      </c>
      <c r="GR129" s="181" t="s">
        <v>873</v>
      </c>
      <c r="GS129" s="181">
        <v>0</v>
      </c>
      <c r="GT129" s="181">
        <v>0</v>
      </c>
      <c r="IG129" s="181" t="s">
        <v>2277</v>
      </c>
      <c r="IH129" s="181" t="s">
        <v>2380</v>
      </c>
      <c r="II129" s="181">
        <v>6</v>
      </c>
      <c r="IJ129" s="181" t="s">
        <v>2114</v>
      </c>
      <c r="IK129" s="181" t="s">
        <v>2115</v>
      </c>
      <c r="IL129" s="181">
        <v>100</v>
      </c>
      <c r="IM129" s="181">
        <v>10000</v>
      </c>
      <c r="IN129" s="181">
        <v>0</v>
      </c>
    </row>
    <row r="130" spans="1:248">
      <c r="A130" s="181" t="s">
        <v>235</v>
      </c>
      <c r="GR130" s="181" t="s">
        <v>873</v>
      </c>
      <c r="GS130" s="181">
        <v>0</v>
      </c>
      <c r="GT130" s="181">
        <v>0</v>
      </c>
      <c r="IG130" s="181" t="s">
        <v>2277</v>
      </c>
      <c r="IH130" s="181" t="s">
        <v>2381</v>
      </c>
      <c r="II130" s="181">
        <v>6</v>
      </c>
      <c r="IJ130" s="181" t="s">
        <v>2114</v>
      </c>
      <c r="IK130" s="181" t="s">
        <v>2115</v>
      </c>
      <c r="IL130" s="181">
        <v>100</v>
      </c>
      <c r="IM130" s="181">
        <v>1000000</v>
      </c>
      <c r="IN130" s="181">
        <v>0</v>
      </c>
    </row>
    <row r="131" spans="1:248">
      <c r="A131" s="181" t="s">
        <v>235</v>
      </c>
      <c r="GR131" s="181" t="s">
        <v>308</v>
      </c>
      <c r="GS131" s="181">
        <v>0</v>
      </c>
      <c r="GT131" s="181">
        <v>0</v>
      </c>
      <c r="IG131" s="181" t="s">
        <v>2278</v>
      </c>
      <c r="IH131" s="181" t="s">
        <v>2319</v>
      </c>
      <c r="II131" s="181">
        <v>6</v>
      </c>
      <c r="IJ131" s="181" t="s">
        <v>2140</v>
      </c>
      <c r="IK131" s="181" t="s">
        <v>2041</v>
      </c>
      <c r="IL131" s="181">
        <v>100</v>
      </c>
      <c r="IM131" s="181">
        <v>5000</v>
      </c>
      <c r="IN131" s="181">
        <v>5000</v>
      </c>
    </row>
    <row r="132" spans="1:248">
      <c r="A132" s="181" t="s">
        <v>235</v>
      </c>
      <c r="GR132" s="181" t="s">
        <v>1727</v>
      </c>
      <c r="GS132" s="181">
        <v>0</v>
      </c>
      <c r="GT132" s="181">
        <v>0</v>
      </c>
      <c r="IG132" s="181" t="s">
        <v>2279</v>
      </c>
      <c r="IH132" s="181" t="s">
        <v>2382</v>
      </c>
      <c r="II132" s="181">
        <v>6</v>
      </c>
      <c r="IJ132" s="181" t="s">
        <v>2114</v>
      </c>
      <c r="IK132" s="181" t="s">
        <v>2115</v>
      </c>
      <c r="IL132" s="181">
        <v>100</v>
      </c>
      <c r="IM132" s="181">
        <v>1500000</v>
      </c>
      <c r="IN132" s="181">
        <v>0</v>
      </c>
    </row>
    <row r="133" spans="1:248">
      <c r="A133" s="181" t="s">
        <v>235</v>
      </c>
      <c r="GR133" s="181" t="s">
        <v>874</v>
      </c>
      <c r="GS133" s="181">
        <v>0</v>
      </c>
      <c r="GT133" s="181">
        <v>0</v>
      </c>
      <c r="IG133" s="181" t="s">
        <v>2279</v>
      </c>
      <c r="IH133" s="181" t="s">
        <v>2383</v>
      </c>
      <c r="II133" s="181">
        <v>6</v>
      </c>
      <c r="IJ133" s="181" t="s">
        <v>2114</v>
      </c>
      <c r="IK133" s="181" t="s">
        <v>2115</v>
      </c>
      <c r="IL133" s="181">
        <v>100</v>
      </c>
      <c r="IM133" s="181">
        <v>35000</v>
      </c>
      <c r="IN133" s="181">
        <v>0</v>
      </c>
    </row>
    <row r="134" spans="1:248">
      <c r="A134" s="181" t="s">
        <v>235</v>
      </c>
      <c r="GR134" s="181" t="s">
        <v>874</v>
      </c>
      <c r="GS134" s="181">
        <v>0</v>
      </c>
      <c r="GT134" s="181">
        <v>0</v>
      </c>
      <c r="IG134" s="181" t="s">
        <v>2279</v>
      </c>
      <c r="IH134" s="181" t="s">
        <v>2384</v>
      </c>
      <c r="II134" s="181">
        <v>6</v>
      </c>
      <c r="IJ134" s="181" t="s">
        <v>2114</v>
      </c>
      <c r="IK134" s="181" t="s">
        <v>2115</v>
      </c>
      <c r="IL134" s="181">
        <v>100</v>
      </c>
      <c r="IM134" s="181">
        <v>65000</v>
      </c>
      <c r="IN134" s="181">
        <v>0</v>
      </c>
    </row>
    <row r="135" spans="1:248">
      <c r="A135" s="181" t="s">
        <v>235</v>
      </c>
      <c r="GR135" s="181" t="s">
        <v>874</v>
      </c>
      <c r="GS135" s="181">
        <v>0</v>
      </c>
      <c r="GT135" s="181">
        <v>0</v>
      </c>
      <c r="IG135" s="181" t="s">
        <v>2279</v>
      </c>
      <c r="IH135" s="181" t="s">
        <v>2385</v>
      </c>
      <c r="II135" s="181">
        <v>6</v>
      </c>
      <c r="IJ135" s="181" t="s">
        <v>2114</v>
      </c>
      <c r="IK135" s="181" t="s">
        <v>2115</v>
      </c>
      <c r="IL135" s="181">
        <v>100</v>
      </c>
      <c r="IM135" s="181">
        <v>80000</v>
      </c>
      <c r="IN135" s="181">
        <v>0</v>
      </c>
    </row>
    <row r="136" spans="1:248">
      <c r="A136" s="181" t="s">
        <v>235</v>
      </c>
      <c r="GR136" s="181" t="s">
        <v>870</v>
      </c>
      <c r="GS136" s="181">
        <v>0</v>
      </c>
      <c r="GT136" s="181">
        <v>0</v>
      </c>
      <c r="IG136" s="181" t="s">
        <v>2279</v>
      </c>
      <c r="IH136" s="181" t="s">
        <v>2386</v>
      </c>
      <c r="II136" s="181">
        <v>6</v>
      </c>
      <c r="IJ136" s="181" t="s">
        <v>2140</v>
      </c>
      <c r="IK136" s="181" t="s">
        <v>2041</v>
      </c>
      <c r="IL136" s="181">
        <v>100</v>
      </c>
      <c r="IM136" s="181">
        <v>10000</v>
      </c>
      <c r="IN136" s="181">
        <v>10000</v>
      </c>
    </row>
    <row r="137" spans="1:248">
      <c r="A137" s="181" t="s">
        <v>235</v>
      </c>
      <c r="GR137" s="181" t="s">
        <v>309</v>
      </c>
      <c r="GS137" s="181">
        <v>0</v>
      </c>
      <c r="GT137" s="181">
        <v>0</v>
      </c>
      <c r="IG137" s="181" t="s">
        <v>2279</v>
      </c>
      <c r="IH137" s="181" t="s">
        <v>2387</v>
      </c>
      <c r="II137" s="181">
        <v>12</v>
      </c>
      <c r="IJ137" s="181" t="s">
        <v>2140</v>
      </c>
      <c r="IK137" s="181" t="s">
        <v>2115</v>
      </c>
      <c r="IL137" s="181">
        <v>100</v>
      </c>
      <c r="IM137" s="181">
        <v>700000</v>
      </c>
      <c r="IN137" s="181">
        <v>350000</v>
      </c>
    </row>
    <row r="138" spans="1:248">
      <c r="A138" s="181" t="s">
        <v>235</v>
      </c>
      <c r="GR138" s="181" t="s">
        <v>309</v>
      </c>
      <c r="GS138" s="181">
        <v>0</v>
      </c>
      <c r="GT138" s="181">
        <v>0</v>
      </c>
      <c r="IG138" s="181" t="s">
        <v>2279</v>
      </c>
      <c r="IH138" s="181" t="s">
        <v>2388</v>
      </c>
      <c r="II138" s="181">
        <v>6</v>
      </c>
      <c r="IJ138" s="181" t="s">
        <v>2114</v>
      </c>
      <c r="IK138" s="181" t="s">
        <v>2115</v>
      </c>
      <c r="IL138" s="181">
        <v>100</v>
      </c>
      <c r="IM138" s="181">
        <v>20000</v>
      </c>
      <c r="IN138" s="181">
        <v>0</v>
      </c>
    </row>
    <row r="139" spans="1:248">
      <c r="A139" s="181" t="s">
        <v>235</v>
      </c>
      <c r="GR139" s="181" t="s">
        <v>309</v>
      </c>
      <c r="GS139" s="181">
        <v>0</v>
      </c>
      <c r="GT139" s="181">
        <v>0</v>
      </c>
      <c r="IG139" s="181" t="s">
        <v>2279</v>
      </c>
      <c r="IH139" s="181" t="s">
        <v>2321</v>
      </c>
      <c r="II139" s="181">
        <v>12</v>
      </c>
      <c r="IJ139" s="181" t="s">
        <v>2140</v>
      </c>
      <c r="IK139" s="181" t="s">
        <v>2115</v>
      </c>
      <c r="IL139" s="181">
        <v>100</v>
      </c>
      <c r="IM139" s="181">
        <v>40000</v>
      </c>
      <c r="IN139" s="181">
        <v>20000</v>
      </c>
    </row>
    <row r="140" spans="1:248">
      <c r="A140" s="181" t="s">
        <v>235</v>
      </c>
      <c r="GS140" s="181">
        <v>11038269.899999999</v>
      </c>
      <c r="GT140" s="181">
        <v>22320773.800000001</v>
      </c>
      <c r="IG140" s="181" t="s">
        <v>2279</v>
      </c>
      <c r="IH140" s="181" t="s">
        <v>2389</v>
      </c>
      <c r="II140" s="181">
        <v>12</v>
      </c>
      <c r="IJ140" s="181" t="s">
        <v>2140</v>
      </c>
      <c r="IK140" s="181" t="s">
        <v>2115</v>
      </c>
      <c r="IL140" s="181">
        <v>100</v>
      </c>
      <c r="IM140" s="181">
        <v>120000</v>
      </c>
      <c r="IN140" s="181">
        <v>60000</v>
      </c>
    </row>
    <row r="141" spans="1:248">
      <c r="A141" s="181" t="s">
        <v>235</v>
      </c>
      <c r="GR141" s="181" t="s">
        <v>1737</v>
      </c>
      <c r="GS141" s="181">
        <v>0</v>
      </c>
      <c r="GT141" s="181">
        <v>12745410</v>
      </c>
      <c r="IG141" s="181" t="s">
        <v>2279</v>
      </c>
      <c r="IH141" s="181" t="s">
        <v>2390</v>
      </c>
      <c r="II141" s="181">
        <v>12</v>
      </c>
      <c r="IJ141" s="181" t="s">
        <v>2140</v>
      </c>
      <c r="IK141" s="181" t="s">
        <v>2115</v>
      </c>
      <c r="IL141" s="181">
        <v>100</v>
      </c>
      <c r="IM141" s="181">
        <v>150000</v>
      </c>
      <c r="IN141" s="181">
        <v>50000</v>
      </c>
    </row>
    <row r="142" spans="1:248">
      <c r="A142" s="181" t="s">
        <v>235</v>
      </c>
      <c r="GR142" s="181" t="s">
        <v>1738</v>
      </c>
      <c r="GS142" s="181">
        <v>0</v>
      </c>
      <c r="GT142" s="181">
        <v>3000</v>
      </c>
      <c r="IG142" s="181" t="s">
        <v>2280</v>
      </c>
      <c r="IH142" s="181" t="s">
        <v>2391</v>
      </c>
      <c r="II142" s="181">
        <v>27</v>
      </c>
      <c r="IJ142" s="181" t="s">
        <v>2468</v>
      </c>
      <c r="IK142" s="181" t="s">
        <v>2115</v>
      </c>
      <c r="IL142" s="181">
        <v>93.308171229825021</v>
      </c>
      <c r="IM142" s="181">
        <v>428687</v>
      </c>
      <c r="IN142" s="181">
        <v>0</v>
      </c>
    </row>
    <row r="143" spans="1:248">
      <c r="A143" s="181" t="s">
        <v>235</v>
      </c>
      <c r="GR143" s="181" t="s">
        <v>875</v>
      </c>
      <c r="GS143" s="181">
        <v>0</v>
      </c>
      <c r="GT143" s="181">
        <v>0</v>
      </c>
      <c r="IG143" s="181" t="s">
        <v>2280</v>
      </c>
      <c r="IH143" s="181" t="s">
        <v>2392</v>
      </c>
      <c r="II143" s="181">
        <v>6</v>
      </c>
      <c r="IJ143" s="181" t="s">
        <v>2114</v>
      </c>
      <c r="IK143" s="181" t="s">
        <v>2115</v>
      </c>
      <c r="IL143" s="181">
        <v>100</v>
      </c>
      <c r="IM143" s="181">
        <v>30000</v>
      </c>
      <c r="IN143" s="181">
        <v>0</v>
      </c>
    </row>
    <row r="144" spans="1:248">
      <c r="A144" s="181" t="s">
        <v>235</v>
      </c>
      <c r="GR144" s="181" t="s">
        <v>875</v>
      </c>
      <c r="GS144" s="181">
        <v>0</v>
      </c>
      <c r="GT144" s="181">
        <v>0</v>
      </c>
      <c r="IG144" s="181" t="s">
        <v>2280</v>
      </c>
      <c r="IH144" s="181" t="s">
        <v>2317</v>
      </c>
      <c r="II144" s="181">
        <v>6</v>
      </c>
      <c r="IJ144" s="181" t="s">
        <v>2140</v>
      </c>
      <c r="IK144" s="181" t="s">
        <v>2041</v>
      </c>
      <c r="IL144" s="181">
        <v>100</v>
      </c>
      <c r="IM144" s="181">
        <v>15000</v>
      </c>
      <c r="IN144" s="181">
        <v>15000</v>
      </c>
    </row>
    <row r="145" spans="1:248">
      <c r="A145" s="181" t="s">
        <v>235</v>
      </c>
      <c r="GR145" s="181" t="s">
        <v>875</v>
      </c>
      <c r="GS145" s="181">
        <v>0</v>
      </c>
      <c r="GT145" s="181">
        <v>0</v>
      </c>
      <c r="IG145" s="181" t="s">
        <v>2280</v>
      </c>
      <c r="IH145" s="181" t="s">
        <v>2393</v>
      </c>
      <c r="II145" s="181">
        <v>12</v>
      </c>
      <c r="IJ145" s="181" t="s">
        <v>2140</v>
      </c>
      <c r="IK145" s="181" t="s">
        <v>2115</v>
      </c>
      <c r="IL145" s="181">
        <v>100</v>
      </c>
      <c r="IM145" s="181">
        <v>110000</v>
      </c>
      <c r="IN145" s="181">
        <v>20000</v>
      </c>
    </row>
    <row r="146" spans="1:248">
      <c r="A146" s="181" t="s">
        <v>235</v>
      </c>
      <c r="GR146" s="181" t="s">
        <v>875</v>
      </c>
      <c r="GS146" s="181">
        <v>0</v>
      </c>
      <c r="GT146" s="181">
        <v>0</v>
      </c>
      <c r="IG146" s="181" t="s">
        <v>2280</v>
      </c>
      <c r="IH146" s="181" t="s">
        <v>2319</v>
      </c>
      <c r="II146" s="181">
        <v>6</v>
      </c>
      <c r="IJ146" s="181" t="s">
        <v>2140</v>
      </c>
      <c r="IK146" s="181" t="s">
        <v>2041</v>
      </c>
      <c r="IL146" s="181">
        <v>100</v>
      </c>
      <c r="IM146" s="181">
        <v>5000</v>
      </c>
      <c r="IN146" s="181">
        <v>5000</v>
      </c>
    </row>
    <row r="147" spans="1:248">
      <c r="A147" s="181" t="s">
        <v>235</v>
      </c>
      <c r="GR147" s="181" t="s">
        <v>1739</v>
      </c>
      <c r="GS147" s="181">
        <v>0</v>
      </c>
      <c r="GT147" s="181">
        <v>1710000</v>
      </c>
      <c r="IG147" s="181" t="s">
        <v>2280</v>
      </c>
      <c r="IH147" s="181" t="s">
        <v>2394</v>
      </c>
      <c r="II147" s="181">
        <v>6</v>
      </c>
      <c r="IJ147" s="181" t="s">
        <v>2114</v>
      </c>
      <c r="IK147" s="181" t="s">
        <v>2115</v>
      </c>
      <c r="IL147" s="181">
        <v>100</v>
      </c>
      <c r="IM147" s="181">
        <v>500000</v>
      </c>
      <c r="IN147" s="181">
        <v>0</v>
      </c>
    </row>
    <row r="148" spans="1:248">
      <c r="A148" s="181" t="s">
        <v>235</v>
      </c>
      <c r="GR148" s="181" t="s">
        <v>310</v>
      </c>
      <c r="GS148" s="181">
        <v>0</v>
      </c>
      <c r="GT148" s="181">
        <v>0</v>
      </c>
      <c r="IG148" s="181" t="s">
        <v>2281</v>
      </c>
      <c r="IH148" s="181" t="s">
        <v>2395</v>
      </c>
      <c r="II148" s="181">
        <v>6</v>
      </c>
      <c r="IJ148" s="181" t="s">
        <v>2114</v>
      </c>
      <c r="IK148" s="181" t="s">
        <v>2115</v>
      </c>
      <c r="IL148" s="181">
        <v>100</v>
      </c>
      <c r="IM148" s="181">
        <v>20000</v>
      </c>
      <c r="IN148" s="181">
        <v>0</v>
      </c>
    </row>
    <row r="149" spans="1:248">
      <c r="A149" s="181" t="s">
        <v>235</v>
      </c>
      <c r="GR149" s="181" t="s">
        <v>310</v>
      </c>
      <c r="GS149" s="181">
        <v>0</v>
      </c>
      <c r="GT149" s="181">
        <v>0</v>
      </c>
      <c r="IG149" s="181" t="s">
        <v>2281</v>
      </c>
      <c r="IH149" s="181" t="s">
        <v>2396</v>
      </c>
      <c r="II149" s="181">
        <v>6</v>
      </c>
      <c r="IJ149" s="181" t="s">
        <v>2114</v>
      </c>
      <c r="IK149" s="181" t="s">
        <v>2115</v>
      </c>
      <c r="IL149" s="181">
        <v>100</v>
      </c>
      <c r="IM149" s="181">
        <v>2000</v>
      </c>
      <c r="IN149" s="181">
        <v>0</v>
      </c>
    </row>
    <row r="150" spans="1:248">
      <c r="A150" s="181" t="s">
        <v>235</v>
      </c>
      <c r="GR150" s="181" t="s">
        <v>310</v>
      </c>
      <c r="GS150" s="181">
        <v>0</v>
      </c>
      <c r="GT150" s="181">
        <v>0</v>
      </c>
      <c r="IG150" s="181" t="s">
        <v>2281</v>
      </c>
      <c r="IH150" s="181" t="s">
        <v>2397</v>
      </c>
      <c r="II150" s="181">
        <v>12</v>
      </c>
      <c r="IJ150" s="181" t="s">
        <v>2140</v>
      </c>
      <c r="IK150" s="181" t="s">
        <v>2115</v>
      </c>
      <c r="IL150" s="181">
        <v>100</v>
      </c>
      <c r="IM150" s="181">
        <v>1000000</v>
      </c>
      <c r="IN150" s="181">
        <v>500000</v>
      </c>
    </row>
    <row r="151" spans="1:248">
      <c r="A151" s="181" t="s">
        <v>235</v>
      </c>
      <c r="GR151" s="181" t="s">
        <v>310</v>
      </c>
      <c r="GS151" s="181">
        <v>0</v>
      </c>
      <c r="GT151" s="181">
        <v>0</v>
      </c>
      <c r="IG151" s="181" t="s">
        <v>2281</v>
      </c>
      <c r="IH151" s="181" t="s">
        <v>2319</v>
      </c>
      <c r="II151" s="181">
        <v>6</v>
      </c>
      <c r="IJ151" s="181" t="s">
        <v>2140</v>
      </c>
      <c r="IK151" s="181" t="s">
        <v>2041</v>
      </c>
      <c r="IL151" s="181">
        <v>100</v>
      </c>
      <c r="IM151" s="181">
        <v>5000</v>
      </c>
      <c r="IN151" s="181">
        <v>5000</v>
      </c>
    </row>
    <row r="152" spans="1:248">
      <c r="A152" s="181" t="s">
        <v>235</v>
      </c>
      <c r="GR152" s="181" t="s">
        <v>310</v>
      </c>
      <c r="GS152" s="181">
        <v>0</v>
      </c>
      <c r="GT152" s="181">
        <v>0</v>
      </c>
      <c r="IG152" s="181" t="s">
        <v>2281</v>
      </c>
      <c r="IH152" s="181" t="s">
        <v>2317</v>
      </c>
      <c r="II152" s="181">
        <v>6</v>
      </c>
      <c r="IJ152" s="181" t="s">
        <v>2140</v>
      </c>
      <c r="IK152" s="181" t="s">
        <v>2041</v>
      </c>
      <c r="IL152" s="181">
        <v>100</v>
      </c>
      <c r="IM152" s="181">
        <v>10000</v>
      </c>
      <c r="IN152" s="181">
        <v>10000</v>
      </c>
    </row>
    <row r="153" spans="1:248">
      <c r="A153" s="181" t="s">
        <v>235</v>
      </c>
      <c r="GR153" s="181" t="s">
        <v>310</v>
      </c>
      <c r="GS153" s="181">
        <v>0</v>
      </c>
      <c r="GT153" s="181">
        <v>0</v>
      </c>
      <c r="IG153" s="181" t="s">
        <v>2282</v>
      </c>
      <c r="IH153" s="181" t="s">
        <v>2319</v>
      </c>
      <c r="II153" s="181">
        <v>6</v>
      </c>
      <c r="IJ153" s="181" t="s">
        <v>2140</v>
      </c>
      <c r="IK153" s="181" t="s">
        <v>2041</v>
      </c>
      <c r="IL153" s="181">
        <v>100</v>
      </c>
      <c r="IM153" s="181">
        <v>5000</v>
      </c>
      <c r="IN153" s="181">
        <v>5000</v>
      </c>
    </row>
    <row r="154" spans="1:248">
      <c r="A154" s="181" t="s">
        <v>235</v>
      </c>
      <c r="GR154" s="181" t="s">
        <v>310</v>
      </c>
      <c r="GS154" s="181">
        <v>0</v>
      </c>
      <c r="GT154" s="181">
        <v>0</v>
      </c>
      <c r="IG154" s="181" t="s">
        <v>2283</v>
      </c>
      <c r="IH154" s="181" t="s">
        <v>2319</v>
      </c>
      <c r="II154" s="181">
        <v>6</v>
      </c>
      <c r="IJ154" s="181" t="s">
        <v>2140</v>
      </c>
      <c r="IK154" s="181" t="s">
        <v>2041</v>
      </c>
      <c r="IL154" s="181">
        <v>100</v>
      </c>
      <c r="IM154" s="181">
        <v>5000</v>
      </c>
      <c r="IN154" s="181">
        <v>5000</v>
      </c>
    </row>
    <row r="155" spans="1:248">
      <c r="A155" s="181" t="s">
        <v>235</v>
      </c>
      <c r="GR155" s="181" t="s">
        <v>1662</v>
      </c>
      <c r="GS155" s="181">
        <v>2000000</v>
      </c>
      <c r="GT155" s="181">
        <v>3281387</v>
      </c>
      <c r="IG155" s="181" t="s">
        <v>2284</v>
      </c>
      <c r="IH155" s="181" t="s">
        <v>2398</v>
      </c>
      <c r="II155" s="181">
        <v>27</v>
      </c>
      <c r="IJ155" s="181" t="s">
        <v>2468</v>
      </c>
      <c r="IK155" s="181" t="s">
        <v>2115</v>
      </c>
      <c r="IL155" s="181">
        <v>77.000641672013927</v>
      </c>
      <c r="IM155" s="181">
        <v>545450</v>
      </c>
      <c r="IN155" s="181">
        <v>210000</v>
      </c>
    </row>
    <row r="156" spans="1:248">
      <c r="A156" s="181" t="s">
        <v>235</v>
      </c>
      <c r="GR156" s="181" t="s">
        <v>876</v>
      </c>
      <c r="GS156" s="181">
        <v>0</v>
      </c>
      <c r="GT156" s="181">
        <v>0</v>
      </c>
      <c r="IG156" s="181" t="s">
        <v>2284</v>
      </c>
      <c r="IH156" s="181" t="s">
        <v>2303</v>
      </c>
      <c r="II156" s="181">
        <v>12</v>
      </c>
      <c r="IJ156" s="181" t="s">
        <v>2140</v>
      </c>
      <c r="IK156" s="181" t="s">
        <v>2115</v>
      </c>
      <c r="IL156" s="181">
        <v>100</v>
      </c>
      <c r="IM156" s="181">
        <v>600000</v>
      </c>
      <c r="IN156" s="181">
        <v>300000</v>
      </c>
    </row>
    <row r="157" spans="1:248">
      <c r="A157" s="181" t="s">
        <v>235</v>
      </c>
      <c r="GR157" s="181" t="s">
        <v>876</v>
      </c>
      <c r="GS157" s="181">
        <v>0</v>
      </c>
      <c r="GT157" s="181">
        <v>0</v>
      </c>
      <c r="IG157" s="181" t="s">
        <v>2284</v>
      </c>
      <c r="IH157" s="181" t="s">
        <v>2399</v>
      </c>
      <c r="II157" s="181">
        <v>21</v>
      </c>
      <c r="IJ157" s="181" t="s">
        <v>2468</v>
      </c>
      <c r="IK157" s="181" t="s">
        <v>2041</v>
      </c>
      <c r="IL157" s="181">
        <v>16.377199662629685</v>
      </c>
      <c r="IM157" s="181">
        <v>244242</v>
      </c>
      <c r="IN157" s="181">
        <v>40000</v>
      </c>
    </row>
    <row r="158" spans="1:248">
      <c r="A158" s="181" t="s">
        <v>235</v>
      </c>
      <c r="GR158" s="181" t="s">
        <v>876</v>
      </c>
      <c r="GS158" s="181">
        <v>0</v>
      </c>
      <c r="GT158" s="181">
        <v>0</v>
      </c>
      <c r="IG158" s="181" t="s">
        <v>2284</v>
      </c>
      <c r="IH158" s="181" t="s">
        <v>2400</v>
      </c>
      <c r="II158" s="181">
        <v>15</v>
      </c>
      <c r="IJ158" s="181" t="s">
        <v>1317</v>
      </c>
      <c r="IK158" s="181" t="s">
        <v>2115</v>
      </c>
      <c r="IL158" s="181">
        <v>89.552238805970148</v>
      </c>
      <c r="IM158" s="181">
        <v>670000</v>
      </c>
      <c r="IN158" s="181">
        <v>300000</v>
      </c>
    </row>
    <row r="159" spans="1:248">
      <c r="A159" s="181" t="s">
        <v>235</v>
      </c>
      <c r="GR159" s="181" t="s">
        <v>876</v>
      </c>
      <c r="GS159" s="181">
        <v>0</v>
      </c>
      <c r="GT159" s="181">
        <v>0</v>
      </c>
      <c r="IG159" s="181" t="s">
        <v>2284</v>
      </c>
      <c r="IH159" s="181" t="s">
        <v>2401</v>
      </c>
      <c r="II159" s="181">
        <v>6</v>
      </c>
      <c r="IJ159" s="181" t="s">
        <v>2140</v>
      </c>
      <c r="IK159" s="181" t="s">
        <v>2041</v>
      </c>
      <c r="IL159" s="181">
        <v>100</v>
      </c>
      <c r="IM159" s="181">
        <v>250000</v>
      </c>
      <c r="IN159" s="181">
        <v>250000</v>
      </c>
    </row>
    <row r="160" spans="1:248">
      <c r="A160" s="181" t="s">
        <v>235</v>
      </c>
      <c r="GR160" s="181" t="s">
        <v>1740</v>
      </c>
      <c r="GS160" s="181">
        <v>0</v>
      </c>
      <c r="GT160" s="181">
        <v>0</v>
      </c>
      <c r="IG160" s="181" t="s">
        <v>2284</v>
      </c>
      <c r="IH160" s="181" t="s">
        <v>2402</v>
      </c>
      <c r="II160" s="181">
        <v>24</v>
      </c>
      <c r="IJ160" s="181" t="s">
        <v>1283</v>
      </c>
      <c r="IK160" s="181" t="s">
        <v>2115</v>
      </c>
      <c r="IL160" s="181">
        <v>56.81818181818182</v>
      </c>
      <c r="IM160" s="181">
        <v>88000</v>
      </c>
      <c r="IN160" s="181">
        <v>25000</v>
      </c>
    </row>
    <row r="161" spans="1:248">
      <c r="A161" s="181" t="s">
        <v>235</v>
      </c>
      <c r="GR161" s="181">
        <v>0</v>
      </c>
      <c r="GS161" s="181">
        <v>0</v>
      </c>
      <c r="GT161" s="181">
        <v>0</v>
      </c>
      <c r="IG161" s="181" t="s">
        <v>2284</v>
      </c>
      <c r="IH161" s="181" t="s">
        <v>2403</v>
      </c>
      <c r="II161" s="181">
        <v>27</v>
      </c>
      <c r="IJ161" s="181" t="s">
        <v>2468</v>
      </c>
      <c r="IK161" s="181" t="s">
        <v>2115</v>
      </c>
      <c r="IL161" s="181">
        <v>97.465886939571149</v>
      </c>
      <c r="IM161" s="181">
        <v>102600</v>
      </c>
      <c r="IN161" s="181">
        <v>50000</v>
      </c>
    </row>
    <row r="162" spans="1:248">
      <c r="A162" s="181" t="s">
        <v>235</v>
      </c>
      <c r="GR162" s="181">
        <v>0</v>
      </c>
      <c r="GS162" s="181">
        <v>0</v>
      </c>
      <c r="GT162" s="181">
        <v>0</v>
      </c>
      <c r="IG162" s="181" t="s">
        <v>2284</v>
      </c>
      <c r="IH162" s="181" t="s">
        <v>2404</v>
      </c>
      <c r="II162" s="181">
        <v>6</v>
      </c>
      <c r="IJ162" s="181" t="s">
        <v>2114</v>
      </c>
      <c r="IK162" s="181" t="s">
        <v>2115</v>
      </c>
      <c r="IL162" s="181">
        <v>100</v>
      </c>
      <c r="IM162" s="181">
        <v>60000</v>
      </c>
      <c r="IN162" s="181">
        <v>0</v>
      </c>
    </row>
    <row r="163" spans="1:248">
      <c r="A163" s="181" t="s">
        <v>235</v>
      </c>
      <c r="GR163" s="181">
        <v>0</v>
      </c>
      <c r="GS163" s="181">
        <v>0</v>
      </c>
      <c r="GT163" s="181">
        <v>0</v>
      </c>
      <c r="IG163" s="181" t="s">
        <v>2284</v>
      </c>
      <c r="IH163" s="181" t="s">
        <v>2405</v>
      </c>
      <c r="II163" s="181">
        <v>24</v>
      </c>
      <c r="IJ163" s="181" t="s">
        <v>1283</v>
      </c>
      <c r="IK163" s="181" t="s">
        <v>2115</v>
      </c>
      <c r="IL163" s="181">
        <v>96.618357487922708</v>
      </c>
      <c r="IM163" s="181">
        <v>207000</v>
      </c>
      <c r="IN163" s="181">
        <v>100000</v>
      </c>
    </row>
    <row r="164" spans="1:248">
      <c r="A164" s="181" t="s">
        <v>235</v>
      </c>
      <c r="GR164" s="181">
        <v>0</v>
      </c>
      <c r="GS164" s="181">
        <v>0</v>
      </c>
      <c r="GT164" s="181">
        <v>0</v>
      </c>
      <c r="IG164" s="181" t="s">
        <v>2284</v>
      </c>
      <c r="IH164" s="181" t="s">
        <v>2406</v>
      </c>
      <c r="II164" s="181">
        <v>6</v>
      </c>
      <c r="IJ164" s="181" t="s">
        <v>2114</v>
      </c>
      <c r="IK164" s="181" t="s">
        <v>2115</v>
      </c>
      <c r="IL164" s="181">
        <v>100</v>
      </c>
      <c r="IM164" s="181">
        <v>50000</v>
      </c>
      <c r="IN164" s="181">
        <v>0</v>
      </c>
    </row>
    <row r="165" spans="1:248">
      <c r="A165" s="181" t="s">
        <v>235</v>
      </c>
      <c r="GR165" s="181">
        <v>0</v>
      </c>
      <c r="GS165" s="181">
        <v>0</v>
      </c>
      <c r="GT165" s="181">
        <v>0</v>
      </c>
      <c r="IG165" s="181" t="s">
        <v>2284</v>
      </c>
      <c r="IH165" s="181" t="s">
        <v>2407</v>
      </c>
      <c r="II165" s="181">
        <v>12</v>
      </c>
      <c r="IJ165" s="181" t="s">
        <v>2140</v>
      </c>
      <c r="IK165" s="181" t="s">
        <v>2115</v>
      </c>
      <c r="IL165" s="181">
        <v>100</v>
      </c>
      <c r="IM165" s="181">
        <v>200000</v>
      </c>
      <c r="IN165" s="181">
        <v>100000</v>
      </c>
    </row>
    <row r="166" spans="1:248">
      <c r="A166" s="181" t="s">
        <v>235</v>
      </c>
      <c r="GR166" s="181">
        <v>0</v>
      </c>
      <c r="GS166" s="181">
        <v>0</v>
      </c>
      <c r="GT166" s="181">
        <v>0</v>
      </c>
      <c r="IG166" s="181" t="s">
        <v>2284</v>
      </c>
      <c r="IH166" s="181" t="s">
        <v>2408</v>
      </c>
      <c r="II166" s="181">
        <v>6</v>
      </c>
      <c r="IJ166" s="181" t="s">
        <v>2114</v>
      </c>
      <c r="IK166" s="181" t="s">
        <v>2115</v>
      </c>
      <c r="IL166" s="181">
        <v>100</v>
      </c>
      <c r="IM166" s="181">
        <v>150000</v>
      </c>
      <c r="IN166" s="181">
        <v>0</v>
      </c>
    </row>
    <row r="167" spans="1:248">
      <c r="A167" s="181" t="s">
        <v>235</v>
      </c>
      <c r="GR167" s="181">
        <v>0</v>
      </c>
      <c r="GS167" s="181">
        <v>0</v>
      </c>
      <c r="GT167" s="181">
        <v>0</v>
      </c>
      <c r="IG167" s="181" t="s">
        <v>2284</v>
      </c>
      <c r="IH167" s="181" t="s">
        <v>2409</v>
      </c>
      <c r="II167" s="181">
        <v>12</v>
      </c>
      <c r="IJ167" s="181" t="s">
        <v>2140</v>
      </c>
      <c r="IK167" s="181" t="s">
        <v>2115</v>
      </c>
      <c r="IL167" s="181">
        <v>100</v>
      </c>
      <c r="IM167" s="181">
        <v>100000</v>
      </c>
      <c r="IN167" s="181">
        <v>50000</v>
      </c>
    </row>
    <row r="168" spans="1:248">
      <c r="A168" s="181" t="s">
        <v>235</v>
      </c>
      <c r="GR168" s="181">
        <v>0</v>
      </c>
      <c r="GS168" s="181">
        <v>0</v>
      </c>
      <c r="GT168" s="181">
        <v>0</v>
      </c>
      <c r="IG168" s="181" t="s">
        <v>2284</v>
      </c>
      <c r="IH168" s="181" t="s">
        <v>2410</v>
      </c>
      <c r="II168" s="181">
        <v>6</v>
      </c>
      <c r="IJ168" s="181" t="s">
        <v>2140</v>
      </c>
      <c r="IK168" s="181" t="s">
        <v>2041</v>
      </c>
      <c r="IL168" s="181">
        <v>100</v>
      </c>
      <c r="IM168" s="181">
        <v>100000</v>
      </c>
      <c r="IN168" s="181">
        <v>100000</v>
      </c>
    </row>
    <row r="169" spans="1:248">
      <c r="A169" s="181" t="s">
        <v>235</v>
      </c>
      <c r="GR169" s="181">
        <v>0</v>
      </c>
      <c r="GS169" s="181">
        <v>0</v>
      </c>
      <c r="GT169" s="181">
        <v>0</v>
      </c>
      <c r="IG169" s="181" t="s">
        <v>2284</v>
      </c>
      <c r="IH169" s="181" t="s">
        <v>2411</v>
      </c>
      <c r="II169" s="181">
        <v>6</v>
      </c>
      <c r="IJ169" s="181" t="s">
        <v>2114</v>
      </c>
      <c r="IK169" s="181" t="s">
        <v>2115</v>
      </c>
      <c r="IL169" s="181">
        <v>100</v>
      </c>
      <c r="IM169" s="181">
        <v>40000</v>
      </c>
      <c r="IN169" s="181">
        <v>0</v>
      </c>
    </row>
    <row r="170" spans="1:248">
      <c r="A170" s="181" t="s">
        <v>235</v>
      </c>
      <c r="GR170" s="181">
        <v>0</v>
      </c>
      <c r="GS170" s="181">
        <v>0</v>
      </c>
      <c r="GT170" s="181">
        <v>0</v>
      </c>
      <c r="IG170" s="181" t="s">
        <v>2285</v>
      </c>
      <c r="IH170" s="181" t="s">
        <v>2412</v>
      </c>
      <c r="II170" s="181">
        <v>27</v>
      </c>
      <c r="IJ170" s="181" t="s">
        <v>2468</v>
      </c>
      <c r="IK170" s="181" t="s">
        <v>2115</v>
      </c>
      <c r="IL170" s="181">
        <v>26.954177897574123</v>
      </c>
      <c r="IM170" s="181">
        <v>371000</v>
      </c>
      <c r="IN170" s="181">
        <v>50000</v>
      </c>
    </row>
    <row r="171" spans="1:248">
      <c r="A171" s="181" t="s">
        <v>235</v>
      </c>
      <c r="GR171" s="181">
        <v>0</v>
      </c>
      <c r="GS171" s="181">
        <v>0</v>
      </c>
      <c r="GT171" s="181">
        <v>0</v>
      </c>
      <c r="IG171" s="181" t="s">
        <v>2285</v>
      </c>
      <c r="IH171" s="181" t="s">
        <v>2413</v>
      </c>
      <c r="II171" s="181">
        <v>12</v>
      </c>
      <c r="IJ171" s="181" t="s">
        <v>2140</v>
      </c>
      <c r="IK171" s="181" t="s">
        <v>2115</v>
      </c>
      <c r="IL171" s="181">
        <v>100</v>
      </c>
      <c r="IM171" s="181">
        <v>270000</v>
      </c>
      <c r="IN171" s="181">
        <v>140000</v>
      </c>
    </row>
    <row r="172" spans="1:248">
      <c r="A172" s="181" t="s">
        <v>235</v>
      </c>
      <c r="GR172" s="181">
        <v>0</v>
      </c>
      <c r="GS172" s="181">
        <v>0</v>
      </c>
      <c r="GT172" s="181">
        <v>0</v>
      </c>
      <c r="IG172" s="181" t="s">
        <v>2285</v>
      </c>
      <c r="IH172" s="181" t="s">
        <v>2414</v>
      </c>
      <c r="II172" s="181">
        <v>15</v>
      </c>
      <c r="IJ172" s="181" t="s">
        <v>1317</v>
      </c>
      <c r="IK172" s="181" t="s">
        <v>2115</v>
      </c>
      <c r="IL172" s="181">
        <v>77.142857142857139</v>
      </c>
      <c r="IM172" s="181">
        <v>3500000</v>
      </c>
      <c r="IN172" s="181">
        <v>1400000</v>
      </c>
    </row>
    <row r="173" spans="1:248">
      <c r="A173" s="181" t="s">
        <v>235</v>
      </c>
      <c r="GR173" s="181">
        <v>0</v>
      </c>
      <c r="GS173" s="181">
        <v>0</v>
      </c>
      <c r="GT173" s="181">
        <v>0</v>
      </c>
      <c r="IG173" s="181" t="s">
        <v>2285</v>
      </c>
      <c r="IH173" s="181" t="s">
        <v>2415</v>
      </c>
      <c r="II173" s="181">
        <v>27</v>
      </c>
      <c r="IJ173" s="181" t="s">
        <v>2468</v>
      </c>
      <c r="IK173" s="181" t="s">
        <v>2115</v>
      </c>
      <c r="IL173" s="181">
        <v>58.732436554285414</v>
      </c>
      <c r="IM173" s="181">
        <v>510791</v>
      </c>
      <c r="IN173" s="181">
        <v>150000</v>
      </c>
    </row>
    <row r="174" spans="1:248">
      <c r="A174" s="181" t="s">
        <v>235</v>
      </c>
      <c r="GR174" s="181">
        <v>0</v>
      </c>
      <c r="GS174" s="181">
        <v>0</v>
      </c>
      <c r="GT174" s="181">
        <v>0</v>
      </c>
      <c r="IG174" s="181" t="s">
        <v>2285</v>
      </c>
      <c r="IH174" s="181" t="s">
        <v>2416</v>
      </c>
      <c r="II174" s="181">
        <v>12</v>
      </c>
      <c r="IJ174" s="181" t="s">
        <v>2140</v>
      </c>
      <c r="IK174" s="181" t="s">
        <v>2115</v>
      </c>
      <c r="IL174" s="181">
        <v>100</v>
      </c>
      <c r="IM174" s="181">
        <v>1000000</v>
      </c>
      <c r="IN174" s="181">
        <v>500000</v>
      </c>
    </row>
    <row r="175" spans="1:248">
      <c r="A175" s="181" t="s">
        <v>235</v>
      </c>
      <c r="GS175" s="181">
        <v>2000000</v>
      </c>
      <c r="GT175" s="181">
        <v>17739797</v>
      </c>
      <c r="IG175" s="181" t="s">
        <v>2285</v>
      </c>
      <c r="IH175" s="181" t="s">
        <v>2417</v>
      </c>
      <c r="II175" s="181">
        <v>6</v>
      </c>
      <c r="IJ175" s="181" t="s">
        <v>2114</v>
      </c>
      <c r="IK175" s="181" t="s">
        <v>2115</v>
      </c>
      <c r="IL175" s="181">
        <v>100</v>
      </c>
      <c r="IM175" s="181">
        <v>20000</v>
      </c>
      <c r="IN175" s="181">
        <v>0</v>
      </c>
    </row>
    <row r="176" spans="1:248">
      <c r="A176" s="181" t="s">
        <v>235</v>
      </c>
      <c r="GR176" s="181" t="s">
        <v>309</v>
      </c>
      <c r="GS176" s="181">
        <v>0</v>
      </c>
      <c r="GT176" s="181">
        <v>0</v>
      </c>
      <c r="IG176" s="181" t="s">
        <v>2286</v>
      </c>
      <c r="IH176" s="181" t="s">
        <v>2418</v>
      </c>
      <c r="II176" s="181">
        <v>12</v>
      </c>
      <c r="IJ176" s="181" t="s">
        <v>2469</v>
      </c>
      <c r="IK176" s="181" t="s">
        <v>2115</v>
      </c>
      <c r="IL176" s="181">
        <v>100</v>
      </c>
      <c r="IM176" s="181">
        <v>190000</v>
      </c>
      <c r="IN176" s="181">
        <v>150000</v>
      </c>
    </row>
    <row r="177" spans="1:248">
      <c r="A177" s="181" t="s">
        <v>235</v>
      </c>
      <c r="GS177" s="181">
        <v>13038269.899999999</v>
      </c>
      <c r="GT177" s="181">
        <v>40060570.799999997</v>
      </c>
      <c r="IG177" s="181" t="s">
        <v>2286</v>
      </c>
      <c r="IH177" s="181" t="s">
        <v>2321</v>
      </c>
      <c r="II177" s="181">
        <v>6</v>
      </c>
      <c r="IJ177" s="181" t="s">
        <v>2469</v>
      </c>
      <c r="IK177" s="181" t="s">
        <v>2041</v>
      </c>
      <c r="IL177" s="181">
        <v>100</v>
      </c>
      <c r="IM177" s="181">
        <v>59000</v>
      </c>
      <c r="IN177" s="181">
        <v>30000</v>
      </c>
    </row>
    <row r="178" spans="1:248">
      <c r="A178" s="181" t="s">
        <v>235</v>
      </c>
      <c r="GS178" s="181">
        <v>3655080.6000000006</v>
      </c>
      <c r="GT178" s="181">
        <v>12351279.699999999</v>
      </c>
      <c r="IG178" s="181" t="s">
        <v>2286</v>
      </c>
      <c r="IH178" s="181" t="s">
        <v>2419</v>
      </c>
      <c r="II178" s="181">
        <v>12</v>
      </c>
      <c r="IJ178" s="181" t="s">
        <v>2469</v>
      </c>
      <c r="IK178" s="181" t="s">
        <v>2115</v>
      </c>
      <c r="IL178" s="181">
        <v>100</v>
      </c>
      <c r="IM178" s="181">
        <v>700000</v>
      </c>
      <c r="IN178" s="181">
        <v>400000</v>
      </c>
    </row>
    <row r="179" spans="1:248">
      <c r="A179" s="181" t="s">
        <v>235</v>
      </c>
      <c r="GS179" s="181">
        <v>2639544</v>
      </c>
      <c r="GT179" s="181">
        <v>2639544</v>
      </c>
      <c r="IG179" s="181" t="s">
        <v>2286</v>
      </c>
      <c r="IH179" s="181" t="s">
        <v>2420</v>
      </c>
      <c r="II179" s="181">
        <v>6</v>
      </c>
      <c r="IJ179" s="181" t="s">
        <v>2469</v>
      </c>
      <c r="IK179" s="181" t="s">
        <v>2041</v>
      </c>
      <c r="IL179" s="181">
        <v>100</v>
      </c>
      <c r="IM179" s="181">
        <v>70000</v>
      </c>
      <c r="IN179" s="181">
        <v>70000</v>
      </c>
    </row>
    <row r="180" spans="1:248">
      <c r="A180" s="181" t="s">
        <v>235</v>
      </c>
      <c r="IG180" s="181" t="s">
        <v>2286</v>
      </c>
      <c r="IH180" s="181" t="s">
        <v>2421</v>
      </c>
      <c r="II180" s="181">
        <v>6</v>
      </c>
      <c r="IJ180" s="181" t="s">
        <v>2469</v>
      </c>
      <c r="IK180" s="181" t="s">
        <v>2041</v>
      </c>
      <c r="IL180" s="181">
        <v>100</v>
      </c>
      <c r="IM180" s="181">
        <v>30000</v>
      </c>
      <c r="IN180" s="181">
        <v>30000</v>
      </c>
    </row>
    <row r="181" spans="1:248">
      <c r="A181" s="181" t="s">
        <v>235</v>
      </c>
      <c r="IG181" s="181" t="s">
        <v>2286</v>
      </c>
      <c r="IH181" s="181" t="s">
        <v>2422</v>
      </c>
      <c r="II181" s="181">
        <v>12</v>
      </c>
      <c r="IJ181" s="181" t="s">
        <v>2469</v>
      </c>
      <c r="IK181" s="181" t="s">
        <v>2115</v>
      </c>
      <c r="IL181" s="181">
        <v>100</v>
      </c>
      <c r="IM181" s="181">
        <v>120000</v>
      </c>
      <c r="IN181" s="181">
        <v>20000</v>
      </c>
    </row>
    <row r="182" spans="1:248">
      <c r="A182" s="181" t="s">
        <v>235</v>
      </c>
      <c r="IG182" s="181" t="s">
        <v>2287</v>
      </c>
      <c r="IH182" s="181" t="s">
        <v>2423</v>
      </c>
      <c r="II182" s="181">
        <v>24</v>
      </c>
      <c r="IJ182" s="181" t="s">
        <v>2469</v>
      </c>
      <c r="IK182" s="181" t="s">
        <v>2115</v>
      </c>
      <c r="IL182" s="181">
        <v>100</v>
      </c>
      <c r="IM182" s="181">
        <v>120000</v>
      </c>
      <c r="IN182" s="181">
        <v>120000</v>
      </c>
    </row>
    <row r="183" spans="1:248">
      <c r="A183" s="181" t="s">
        <v>235</v>
      </c>
      <c r="IG183" s="181" t="s">
        <v>2287</v>
      </c>
      <c r="IH183" s="181" t="s">
        <v>2319</v>
      </c>
      <c r="II183" s="181">
        <v>6</v>
      </c>
      <c r="IJ183" s="181" t="s">
        <v>2469</v>
      </c>
      <c r="IK183" s="181" t="s">
        <v>2041</v>
      </c>
      <c r="IL183" s="181">
        <v>100</v>
      </c>
      <c r="IM183" s="181">
        <v>5000</v>
      </c>
      <c r="IN183" s="181">
        <v>5000</v>
      </c>
    </row>
    <row r="184" spans="1:248">
      <c r="A184" s="181" t="s">
        <v>235</v>
      </c>
      <c r="IG184" s="181" t="s">
        <v>2288</v>
      </c>
      <c r="IH184" s="181" t="s">
        <v>2319</v>
      </c>
      <c r="II184" s="181">
        <v>6</v>
      </c>
      <c r="IJ184" s="181" t="s">
        <v>2140</v>
      </c>
      <c r="IK184" s="181" t="s">
        <v>2041</v>
      </c>
      <c r="IL184" s="181">
        <v>100</v>
      </c>
      <c r="IM184" s="181">
        <v>5000</v>
      </c>
      <c r="IN184" s="181">
        <v>5000</v>
      </c>
    </row>
    <row r="185" spans="1:248">
      <c r="A185" s="181" t="s">
        <v>235</v>
      </c>
      <c r="IG185" s="181" t="s">
        <v>2288</v>
      </c>
      <c r="IH185" s="181" t="s">
        <v>2393</v>
      </c>
      <c r="II185" s="181">
        <v>12</v>
      </c>
      <c r="IJ185" s="181" t="s">
        <v>2469</v>
      </c>
      <c r="IK185" s="181" t="s">
        <v>2115</v>
      </c>
      <c r="IL185" s="181">
        <v>100</v>
      </c>
      <c r="IM185" s="181">
        <v>110000</v>
      </c>
      <c r="IN185" s="181">
        <v>20000</v>
      </c>
    </row>
    <row r="186" spans="1:248">
      <c r="A186" s="181" t="s">
        <v>235</v>
      </c>
      <c r="IG186" s="181" t="s">
        <v>2289</v>
      </c>
      <c r="IH186" s="181" t="s">
        <v>2424</v>
      </c>
      <c r="II186" s="181">
        <v>6</v>
      </c>
      <c r="IJ186" s="181" t="s">
        <v>2469</v>
      </c>
      <c r="IK186" s="181" t="s">
        <v>2470</v>
      </c>
      <c r="IL186" s="181">
        <v>100</v>
      </c>
      <c r="IM186" s="181">
        <v>35000</v>
      </c>
      <c r="IN186" s="181">
        <v>35000</v>
      </c>
    </row>
    <row r="187" spans="1:248">
      <c r="A187" s="181" t="s">
        <v>235</v>
      </c>
      <c r="IG187" s="181" t="s">
        <v>2289</v>
      </c>
      <c r="IH187" s="181" t="s">
        <v>2319</v>
      </c>
      <c r="II187" s="181">
        <v>6</v>
      </c>
      <c r="IJ187" s="181" t="s">
        <v>2140</v>
      </c>
      <c r="IK187" s="181" t="s">
        <v>2041</v>
      </c>
      <c r="IL187" s="181">
        <v>100</v>
      </c>
      <c r="IM187" s="181">
        <v>5000</v>
      </c>
      <c r="IN187" s="181">
        <v>5000</v>
      </c>
    </row>
    <row r="188" spans="1:248">
      <c r="A188" s="181" t="s">
        <v>235</v>
      </c>
      <c r="IG188" s="181" t="s">
        <v>2290</v>
      </c>
      <c r="IH188" s="181" t="s">
        <v>2319</v>
      </c>
      <c r="II188" s="181">
        <v>6</v>
      </c>
      <c r="IJ188" s="181" t="s">
        <v>2140</v>
      </c>
      <c r="IK188" s="181" t="s">
        <v>2041</v>
      </c>
      <c r="IL188" s="181">
        <v>100</v>
      </c>
      <c r="IM188" s="181">
        <v>5000</v>
      </c>
      <c r="IN188" s="181">
        <v>5000</v>
      </c>
    </row>
    <row r="189" spans="1:248">
      <c r="A189" s="181" t="s">
        <v>235</v>
      </c>
      <c r="IG189" s="181" t="s">
        <v>2291</v>
      </c>
      <c r="IH189" s="181" t="s">
        <v>2319</v>
      </c>
      <c r="II189" s="181">
        <v>6</v>
      </c>
      <c r="IJ189" s="181" t="s">
        <v>2140</v>
      </c>
      <c r="IK189" s="181" t="s">
        <v>2041</v>
      </c>
      <c r="IL189" s="181">
        <v>100</v>
      </c>
      <c r="IM189" s="181">
        <v>5000</v>
      </c>
      <c r="IN189" s="181">
        <v>5000</v>
      </c>
    </row>
    <row r="190" spans="1:248">
      <c r="A190" s="181" t="s">
        <v>235</v>
      </c>
      <c r="IG190" s="181" t="s">
        <v>2291</v>
      </c>
      <c r="IH190" s="181" t="s">
        <v>2425</v>
      </c>
      <c r="II190" s="181">
        <v>6</v>
      </c>
      <c r="IJ190" s="181" t="s">
        <v>2114</v>
      </c>
      <c r="IK190" s="181" t="s">
        <v>2115</v>
      </c>
      <c r="IL190" s="181">
        <v>100</v>
      </c>
      <c r="IM190" s="181">
        <v>130000</v>
      </c>
      <c r="IN190" s="181">
        <v>0</v>
      </c>
    </row>
    <row r="191" spans="1:248">
      <c r="A191" s="181" t="s">
        <v>235</v>
      </c>
      <c r="IG191" s="181" t="s">
        <v>2292</v>
      </c>
      <c r="IH191" s="181" t="s">
        <v>2426</v>
      </c>
      <c r="II191" s="181">
        <v>21</v>
      </c>
      <c r="IJ191" s="181" t="s">
        <v>2468</v>
      </c>
      <c r="IK191" s="181" t="s">
        <v>2041</v>
      </c>
      <c r="IL191" s="181">
        <v>61.37766554433221</v>
      </c>
      <c r="IM191" s="181">
        <v>57024</v>
      </c>
      <c r="IN191" s="181">
        <v>35000</v>
      </c>
    </row>
    <row r="192" spans="1:248">
      <c r="A192" s="181" t="s">
        <v>235</v>
      </c>
      <c r="IG192" s="181" t="s">
        <v>2292</v>
      </c>
      <c r="IH192" s="181" t="s">
        <v>2425</v>
      </c>
      <c r="II192" s="181">
        <v>12</v>
      </c>
      <c r="IJ192" s="181" t="s">
        <v>2140</v>
      </c>
      <c r="IK192" s="181" t="s">
        <v>2115</v>
      </c>
      <c r="IL192" s="181">
        <v>100</v>
      </c>
      <c r="IM192" s="181">
        <v>130000</v>
      </c>
      <c r="IN192" s="181">
        <v>30000</v>
      </c>
    </row>
    <row r="193" spans="1:248">
      <c r="A193" s="181" t="s">
        <v>235</v>
      </c>
      <c r="IG193" s="181" t="s">
        <v>2292</v>
      </c>
      <c r="IH193" s="181" t="s">
        <v>2427</v>
      </c>
      <c r="II193" s="181">
        <v>12</v>
      </c>
      <c r="IJ193" s="181" t="s">
        <v>2140</v>
      </c>
      <c r="IK193" s="181" t="s">
        <v>2115</v>
      </c>
      <c r="IL193" s="181">
        <v>100</v>
      </c>
      <c r="IM193" s="181">
        <v>80000</v>
      </c>
      <c r="IN193" s="181">
        <v>30000</v>
      </c>
    </row>
    <row r="194" spans="1:248">
      <c r="A194" s="181" t="s">
        <v>235</v>
      </c>
      <c r="IG194" s="181" t="s">
        <v>2292</v>
      </c>
      <c r="IH194" s="181" t="s">
        <v>2428</v>
      </c>
      <c r="II194" s="181">
        <v>6</v>
      </c>
      <c r="IJ194" s="181" t="s">
        <v>2140</v>
      </c>
      <c r="IK194" s="181" t="s">
        <v>2041</v>
      </c>
      <c r="IL194" s="181">
        <v>100</v>
      </c>
      <c r="IM194" s="181">
        <v>10000</v>
      </c>
      <c r="IN194" s="181">
        <v>10000</v>
      </c>
    </row>
    <row r="195" spans="1:248">
      <c r="A195" s="181" t="s">
        <v>235</v>
      </c>
      <c r="IG195" s="181" t="s">
        <v>2292</v>
      </c>
      <c r="IH195" s="181" t="s">
        <v>2429</v>
      </c>
      <c r="II195" s="181">
        <v>6</v>
      </c>
      <c r="IJ195" s="181" t="s">
        <v>2140</v>
      </c>
      <c r="IK195" s="181" t="s">
        <v>2041</v>
      </c>
      <c r="IL195" s="181">
        <v>100</v>
      </c>
      <c r="IM195" s="181">
        <v>30000</v>
      </c>
      <c r="IN195" s="181">
        <v>30000</v>
      </c>
    </row>
    <row r="196" spans="1:248">
      <c r="A196" s="181" t="s">
        <v>235</v>
      </c>
      <c r="IG196" s="181" t="s">
        <v>2292</v>
      </c>
      <c r="IH196" s="181" t="s">
        <v>2430</v>
      </c>
      <c r="II196" s="181">
        <v>6</v>
      </c>
      <c r="IJ196" s="181" t="s">
        <v>2140</v>
      </c>
      <c r="IK196" s="181" t="s">
        <v>2041</v>
      </c>
      <c r="IL196" s="181">
        <v>100</v>
      </c>
      <c r="IM196" s="181">
        <v>5000</v>
      </c>
      <c r="IN196" s="181">
        <v>5000</v>
      </c>
    </row>
    <row r="197" spans="1:248">
      <c r="A197" s="181" t="s">
        <v>235</v>
      </c>
      <c r="IG197" s="181" t="s">
        <v>2292</v>
      </c>
      <c r="IH197" s="181" t="s">
        <v>2431</v>
      </c>
      <c r="II197" s="181">
        <v>12</v>
      </c>
      <c r="IJ197" s="181" t="s">
        <v>2140</v>
      </c>
      <c r="IK197" s="181" t="s">
        <v>2115</v>
      </c>
      <c r="IL197" s="181">
        <v>100</v>
      </c>
      <c r="IM197" s="181">
        <v>6000</v>
      </c>
      <c r="IN197" s="181">
        <v>2500</v>
      </c>
    </row>
    <row r="198" spans="1:248">
      <c r="A198" s="181" t="s">
        <v>235</v>
      </c>
      <c r="IG198" s="181" t="s">
        <v>2292</v>
      </c>
      <c r="IH198" s="181" t="s">
        <v>2432</v>
      </c>
      <c r="II198" s="181">
        <v>6</v>
      </c>
      <c r="IJ198" s="181" t="s">
        <v>2140</v>
      </c>
      <c r="IK198" s="181" t="s">
        <v>2041</v>
      </c>
      <c r="IL198" s="181">
        <v>100</v>
      </c>
      <c r="IM198" s="181">
        <v>25000</v>
      </c>
      <c r="IN198" s="181">
        <v>25000</v>
      </c>
    </row>
    <row r="199" spans="1:248">
      <c r="A199" s="181" t="s">
        <v>235</v>
      </c>
      <c r="IG199" s="181" t="s">
        <v>2292</v>
      </c>
      <c r="IH199" s="181" t="s">
        <v>2433</v>
      </c>
      <c r="II199" s="181">
        <v>6</v>
      </c>
      <c r="IJ199" s="181" t="s">
        <v>2140</v>
      </c>
      <c r="IK199" s="181" t="s">
        <v>2041</v>
      </c>
      <c r="IL199" s="181">
        <v>100</v>
      </c>
      <c r="IM199" s="181">
        <v>60000</v>
      </c>
      <c r="IN199" s="181">
        <v>60000</v>
      </c>
    </row>
    <row r="200" spans="1:248">
      <c r="A200" s="181" t="s">
        <v>235</v>
      </c>
      <c r="IG200" s="181" t="s">
        <v>2292</v>
      </c>
      <c r="IH200" s="181" t="s">
        <v>2434</v>
      </c>
      <c r="II200" s="181">
        <v>6</v>
      </c>
      <c r="IJ200" s="181" t="s">
        <v>2140</v>
      </c>
      <c r="IK200" s="181" t="s">
        <v>2041</v>
      </c>
      <c r="IL200" s="181">
        <v>100</v>
      </c>
      <c r="IM200" s="181">
        <v>4000</v>
      </c>
      <c r="IN200" s="181">
        <v>4000</v>
      </c>
    </row>
    <row r="201" spans="1:248">
      <c r="A201" s="181" t="s">
        <v>235</v>
      </c>
      <c r="IG201" s="181" t="s">
        <v>2292</v>
      </c>
      <c r="IH201" s="181" t="s">
        <v>2435</v>
      </c>
      <c r="II201" s="181">
        <v>6</v>
      </c>
      <c r="IJ201" s="181" t="s">
        <v>2140</v>
      </c>
      <c r="IK201" s="181" t="s">
        <v>2041</v>
      </c>
      <c r="IL201" s="181">
        <v>100</v>
      </c>
      <c r="IM201" s="181">
        <v>15000</v>
      </c>
      <c r="IN201" s="181">
        <v>15000</v>
      </c>
    </row>
    <row r="202" spans="1:248">
      <c r="A202" s="181" t="s">
        <v>235</v>
      </c>
      <c r="IG202" s="181" t="s">
        <v>2292</v>
      </c>
      <c r="IH202" s="181" t="s">
        <v>2321</v>
      </c>
      <c r="II202" s="181">
        <v>6</v>
      </c>
      <c r="IJ202" s="181" t="s">
        <v>2140</v>
      </c>
      <c r="IK202" s="181" t="s">
        <v>2041</v>
      </c>
      <c r="IL202" s="181">
        <v>100</v>
      </c>
      <c r="IM202" s="181">
        <v>10000</v>
      </c>
      <c r="IN202" s="181">
        <v>10000</v>
      </c>
    </row>
    <row r="203" spans="1:248">
      <c r="A203" s="181" t="s">
        <v>235</v>
      </c>
      <c r="IG203" s="181" t="s">
        <v>2292</v>
      </c>
      <c r="IH203" s="181" t="s">
        <v>2436</v>
      </c>
      <c r="II203" s="181">
        <v>6</v>
      </c>
      <c r="IJ203" s="181" t="s">
        <v>2140</v>
      </c>
      <c r="IK203" s="181" t="s">
        <v>2041</v>
      </c>
      <c r="IL203" s="181">
        <v>100</v>
      </c>
      <c r="IM203" s="181">
        <v>2500</v>
      </c>
      <c r="IN203" s="181">
        <v>2500</v>
      </c>
    </row>
    <row r="204" spans="1:248">
      <c r="A204" s="181" t="s">
        <v>235</v>
      </c>
      <c r="IG204" s="181" t="s">
        <v>2292</v>
      </c>
      <c r="IH204" s="181" t="s">
        <v>2437</v>
      </c>
      <c r="II204" s="181">
        <v>6</v>
      </c>
      <c r="IJ204" s="181" t="s">
        <v>2140</v>
      </c>
      <c r="IK204" s="181" t="s">
        <v>2041</v>
      </c>
      <c r="IL204" s="181">
        <v>100</v>
      </c>
      <c r="IM204" s="181">
        <v>5000</v>
      </c>
      <c r="IN204" s="181">
        <v>5000</v>
      </c>
    </row>
    <row r="205" spans="1:248">
      <c r="A205" s="181" t="s">
        <v>235</v>
      </c>
      <c r="IG205" s="181" t="s">
        <v>2292</v>
      </c>
      <c r="IH205" s="181" t="s">
        <v>2438</v>
      </c>
      <c r="II205" s="181">
        <v>12</v>
      </c>
      <c r="IJ205" s="181" t="s">
        <v>2140</v>
      </c>
      <c r="IK205" s="181" t="s">
        <v>2115</v>
      </c>
      <c r="IL205" s="181">
        <v>100</v>
      </c>
      <c r="IM205" s="181">
        <v>10000</v>
      </c>
      <c r="IN205" s="181">
        <v>5000</v>
      </c>
    </row>
    <row r="206" spans="1:248">
      <c r="A206" s="181" t="s">
        <v>235</v>
      </c>
      <c r="IG206" s="181" t="s">
        <v>2292</v>
      </c>
      <c r="IH206" s="181" t="s">
        <v>2439</v>
      </c>
      <c r="II206" s="181">
        <v>6</v>
      </c>
      <c r="IJ206" s="181" t="s">
        <v>2140</v>
      </c>
      <c r="IK206" s="181" t="s">
        <v>2041</v>
      </c>
      <c r="IL206" s="181">
        <v>100</v>
      </c>
      <c r="IM206" s="181">
        <v>40000</v>
      </c>
      <c r="IN206" s="181">
        <v>40000</v>
      </c>
    </row>
    <row r="207" spans="1:248">
      <c r="A207" s="181" t="s">
        <v>235</v>
      </c>
      <c r="IG207" s="181" t="s">
        <v>2292</v>
      </c>
      <c r="IH207" s="181" t="s">
        <v>2440</v>
      </c>
      <c r="II207" s="181">
        <v>12</v>
      </c>
      <c r="IJ207" s="181" t="s">
        <v>2140</v>
      </c>
      <c r="IK207" s="181" t="s">
        <v>2115</v>
      </c>
      <c r="IL207" s="181">
        <v>100</v>
      </c>
      <c r="IM207" s="181">
        <v>150000</v>
      </c>
      <c r="IN207" s="181">
        <v>100000</v>
      </c>
    </row>
    <row r="208" spans="1:248">
      <c r="A208" s="181" t="s">
        <v>235</v>
      </c>
      <c r="IG208" s="181" t="s">
        <v>2293</v>
      </c>
      <c r="IH208" s="181" t="s">
        <v>2441</v>
      </c>
      <c r="II208" s="181">
        <v>12</v>
      </c>
      <c r="IJ208" s="181" t="s">
        <v>2140</v>
      </c>
      <c r="IK208" s="181" t="s">
        <v>2115</v>
      </c>
      <c r="IL208" s="181">
        <v>100</v>
      </c>
      <c r="IM208" s="181">
        <v>40000</v>
      </c>
      <c r="IN208" s="181">
        <v>20000</v>
      </c>
    </row>
    <row r="209" spans="1:248">
      <c r="A209" s="181" t="s">
        <v>235</v>
      </c>
      <c r="IG209" s="181" t="s">
        <v>2293</v>
      </c>
      <c r="IH209" s="181" t="s">
        <v>2442</v>
      </c>
      <c r="II209" s="181">
        <v>12</v>
      </c>
      <c r="IJ209" s="181" t="s">
        <v>2140</v>
      </c>
      <c r="IK209" s="181" t="s">
        <v>2115</v>
      </c>
      <c r="IL209" s="181">
        <v>100</v>
      </c>
      <c r="IM209" s="181">
        <v>10000</v>
      </c>
      <c r="IN209" s="181">
        <v>6000</v>
      </c>
    </row>
    <row r="210" spans="1:248">
      <c r="A210" s="181" t="s">
        <v>235</v>
      </c>
      <c r="IG210" s="181" t="s">
        <v>2293</v>
      </c>
      <c r="IH210" s="181" t="s">
        <v>2443</v>
      </c>
      <c r="II210" s="181">
        <v>12</v>
      </c>
      <c r="IJ210" s="181" t="s">
        <v>2140</v>
      </c>
      <c r="IK210" s="181" t="s">
        <v>2115</v>
      </c>
      <c r="IL210" s="181">
        <v>100</v>
      </c>
      <c r="IM210" s="181">
        <v>60000</v>
      </c>
      <c r="IN210" s="181">
        <v>20000</v>
      </c>
    </row>
    <row r="211" spans="1:248">
      <c r="A211" s="181" t="s">
        <v>235</v>
      </c>
      <c r="IG211" s="181" t="s">
        <v>2293</v>
      </c>
      <c r="IH211" s="181" t="s">
        <v>2444</v>
      </c>
      <c r="II211" s="181">
        <v>12</v>
      </c>
      <c r="IJ211" s="181" t="s">
        <v>2140</v>
      </c>
      <c r="IK211" s="181" t="s">
        <v>2115</v>
      </c>
      <c r="IL211" s="181">
        <v>100</v>
      </c>
      <c r="IM211" s="181">
        <v>60000</v>
      </c>
      <c r="IN211" s="181">
        <v>30000</v>
      </c>
    </row>
    <row r="212" spans="1:248">
      <c r="A212" s="181" t="s">
        <v>235</v>
      </c>
      <c r="IG212" s="181" t="s">
        <v>2293</v>
      </c>
      <c r="IH212" s="181" t="s">
        <v>2445</v>
      </c>
      <c r="II212" s="181">
        <v>12</v>
      </c>
      <c r="IJ212" s="181" t="s">
        <v>2140</v>
      </c>
      <c r="IK212" s="181" t="s">
        <v>2115</v>
      </c>
      <c r="IL212" s="181">
        <v>100</v>
      </c>
      <c r="IM212" s="181">
        <v>18000</v>
      </c>
      <c r="IN212" s="181">
        <v>8000</v>
      </c>
    </row>
    <row r="213" spans="1:248">
      <c r="A213" s="181" t="s">
        <v>235</v>
      </c>
      <c r="IG213" s="181" t="s">
        <v>2293</v>
      </c>
      <c r="IH213" s="181" t="s">
        <v>2446</v>
      </c>
      <c r="II213" s="181">
        <v>6</v>
      </c>
      <c r="IJ213" s="181" t="s">
        <v>2140</v>
      </c>
      <c r="IK213" s="181" t="s">
        <v>2041</v>
      </c>
      <c r="IL213" s="181">
        <v>100</v>
      </c>
      <c r="IM213" s="181">
        <v>20000</v>
      </c>
      <c r="IN213" s="181">
        <v>20000</v>
      </c>
    </row>
    <row r="214" spans="1:248">
      <c r="A214" s="181" t="s">
        <v>235</v>
      </c>
      <c r="IG214" s="181" t="s">
        <v>2293</v>
      </c>
      <c r="IH214" s="181" t="s">
        <v>2447</v>
      </c>
      <c r="II214" s="181">
        <v>6</v>
      </c>
      <c r="IJ214" s="181" t="s">
        <v>2140</v>
      </c>
      <c r="IK214" s="181" t="s">
        <v>2041</v>
      </c>
      <c r="IL214" s="181">
        <v>100</v>
      </c>
      <c r="IM214" s="181">
        <v>5000</v>
      </c>
      <c r="IN214" s="181">
        <v>5000</v>
      </c>
    </row>
    <row r="215" spans="1:248">
      <c r="A215" s="181" t="s">
        <v>235</v>
      </c>
      <c r="IG215" s="181" t="s">
        <v>2293</v>
      </c>
      <c r="IH215" s="181" t="s">
        <v>2448</v>
      </c>
      <c r="II215" s="181">
        <v>12</v>
      </c>
      <c r="IJ215" s="181" t="s">
        <v>2140</v>
      </c>
      <c r="IK215" s="181" t="s">
        <v>2115</v>
      </c>
      <c r="IL215" s="181">
        <v>100</v>
      </c>
      <c r="IM215" s="181">
        <v>40000</v>
      </c>
      <c r="IN215" s="181">
        <v>20000</v>
      </c>
    </row>
    <row r="216" spans="1:248">
      <c r="A216" s="181" t="s">
        <v>235</v>
      </c>
      <c r="IG216" s="181" t="s">
        <v>2294</v>
      </c>
      <c r="IH216" s="181" t="s">
        <v>2449</v>
      </c>
      <c r="II216" s="181">
        <v>6</v>
      </c>
      <c r="IJ216" s="181" t="s">
        <v>2114</v>
      </c>
      <c r="IK216" s="181" t="s">
        <v>2115</v>
      </c>
      <c r="IL216" s="181">
        <v>100</v>
      </c>
      <c r="IM216" s="181">
        <v>600000</v>
      </c>
      <c r="IN216" s="181">
        <v>0</v>
      </c>
    </row>
    <row r="217" spans="1:248">
      <c r="A217" s="181" t="s">
        <v>235</v>
      </c>
      <c r="IG217" s="181" t="s">
        <v>2294</v>
      </c>
      <c r="IH217" s="181" t="s">
        <v>2321</v>
      </c>
      <c r="II217" s="181">
        <v>15</v>
      </c>
      <c r="IJ217" s="181" t="s">
        <v>1317</v>
      </c>
      <c r="IK217" s="181" t="s">
        <v>2115</v>
      </c>
      <c r="IL217" s="181">
        <v>55.172413793103445</v>
      </c>
      <c r="IM217" s="181">
        <v>145000</v>
      </c>
      <c r="IN217" s="181">
        <v>0</v>
      </c>
    </row>
    <row r="218" spans="1:248">
      <c r="A218" s="181" t="s">
        <v>235</v>
      </c>
      <c r="IG218" s="181" t="s">
        <v>2294</v>
      </c>
      <c r="IH218" s="181" t="s">
        <v>2450</v>
      </c>
      <c r="II218" s="181">
        <v>12</v>
      </c>
      <c r="IJ218" s="181" t="s">
        <v>2140</v>
      </c>
      <c r="IK218" s="181" t="s">
        <v>2115</v>
      </c>
      <c r="IL218" s="181">
        <v>100</v>
      </c>
      <c r="IM218" s="181">
        <v>220000</v>
      </c>
      <c r="IN218" s="181">
        <v>40000</v>
      </c>
    </row>
    <row r="219" spans="1:248">
      <c r="A219" s="181" t="s">
        <v>235</v>
      </c>
      <c r="IG219" s="181" t="s">
        <v>2294</v>
      </c>
      <c r="IH219" s="181" t="s">
        <v>2451</v>
      </c>
      <c r="II219" s="181">
        <v>6</v>
      </c>
      <c r="IJ219" s="181" t="s">
        <v>2140</v>
      </c>
      <c r="IK219" s="181" t="s">
        <v>2041</v>
      </c>
      <c r="IL219" s="181">
        <v>100</v>
      </c>
      <c r="IM219" s="181">
        <v>20000</v>
      </c>
      <c r="IN219" s="181">
        <v>20000</v>
      </c>
    </row>
    <row r="220" spans="1:248">
      <c r="A220" s="181" t="s">
        <v>235</v>
      </c>
      <c r="IG220" s="181" t="s">
        <v>2295</v>
      </c>
      <c r="IH220" s="181" t="s">
        <v>2319</v>
      </c>
      <c r="II220" s="181">
        <v>6</v>
      </c>
      <c r="IJ220" s="181" t="s">
        <v>2140</v>
      </c>
      <c r="IK220" s="181" t="s">
        <v>2041</v>
      </c>
      <c r="IL220" s="181">
        <v>100</v>
      </c>
      <c r="IM220" s="181">
        <v>5000</v>
      </c>
      <c r="IN220" s="181">
        <v>5000</v>
      </c>
    </row>
    <row r="221" spans="1:248">
      <c r="A221" s="181" t="s">
        <v>235</v>
      </c>
      <c r="IG221" s="181" t="s">
        <v>2295</v>
      </c>
      <c r="IH221" s="181" t="s">
        <v>2393</v>
      </c>
      <c r="II221" s="181">
        <v>12</v>
      </c>
      <c r="IJ221" s="181" t="s">
        <v>2140</v>
      </c>
      <c r="IK221" s="181" t="s">
        <v>2115</v>
      </c>
      <c r="IL221" s="181">
        <v>100</v>
      </c>
      <c r="IM221" s="181">
        <v>110000</v>
      </c>
      <c r="IN221" s="181">
        <v>20000</v>
      </c>
    </row>
    <row r="222" spans="1:248">
      <c r="A222" s="181" t="s">
        <v>235</v>
      </c>
      <c r="IG222" s="181" t="s">
        <v>2296</v>
      </c>
      <c r="IH222" s="181" t="s">
        <v>2319</v>
      </c>
      <c r="II222" s="181">
        <v>6</v>
      </c>
      <c r="IJ222" s="181" t="s">
        <v>2140</v>
      </c>
      <c r="IK222" s="181" t="s">
        <v>2041</v>
      </c>
      <c r="IL222" s="181">
        <v>100</v>
      </c>
      <c r="IM222" s="181">
        <v>5000</v>
      </c>
      <c r="IN222" s="181">
        <v>5000</v>
      </c>
    </row>
    <row r="223" spans="1:248">
      <c r="A223" s="181" t="s">
        <v>235</v>
      </c>
      <c r="IG223" s="181" t="s">
        <v>2296</v>
      </c>
      <c r="IH223" s="181" t="s">
        <v>2393</v>
      </c>
      <c r="II223" s="181">
        <v>12</v>
      </c>
      <c r="IJ223" s="181" t="s">
        <v>2140</v>
      </c>
      <c r="IK223" s="181" t="s">
        <v>2115</v>
      </c>
      <c r="IL223" s="181">
        <v>100</v>
      </c>
      <c r="IM223" s="181">
        <v>110000</v>
      </c>
      <c r="IN223" s="181">
        <v>20000</v>
      </c>
    </row>
    <row r="224" spans="1:248">
      <c r="A224" s="181" t="s">
        <v>235</v>
      </c>
      <c r="IG224" s="181" t="s">
        <v>2297</v>
      </c>
      <c r="IH224" s="181" t="s">
        <v>2452</v>
      </c>
      <c r="II224" s="181">
        <v>12</v>
      </c>
      <c r="IJ224" s="181" t="s">
        <v>2140</v>
      </c>
      <c r="IK224" s="181" t="s">
        <v>2115</v>
      </c>
      <c r="IL224" s="181">
        <v>100</v>
      </c>
      <c r="IM224" s="181">
        <v>130000</v>
      </c>
      <c r="IN224" s="181">
        <v>30000</v>
      </c>
    </row>
    <row r="225" spans="1:248">
      <c r="A225" s="181" t="s">
        <v>235</v>
      </c>
      <c r="IG225" s="181" t="s">
        <v>2297</v>
      </c>
      <c r="IH225" s="181" t="s">
        <v>2453</v>
      </c>
      <c r="II225" s="181">
        <v>15</v>
      </c>
      <c r="IJ225" s="181" t="s">
        <v>1317</v>
      </c>
      <c r="IK225" s="181" t="s">
        <v>2115</v>
      </c>
      <c r="IL225" s="181">
        <v>50</v>
      </c>
      <c r="IM225" s="181">
        <v>130000</v>
      </c>
      <c r="IN225" s="181">
        <v>15000</v>
      </c>
    </row>
    <row r="226" spans="1:248">
      <c r="A226" s="181" t="s">
        <v>235</v>
      </c>
      <c r="IG226" s="181" t="s">
        <v>2297</v>
      </c>
      <c r="IH226" s="181" t="s">
        <v>2454</v>
      </c>
      <c r="II226" s="181">
        <v>12</v>
      </c>
      <c r="IJ226" s="181" t="s">
        <v>2140</v>
      </c>
      <c r="IK226" s="181" t="s">
        <v>2115</v>
      </c>
      <c r="IL226" s="181">
        <v>100</v>
      </c>
      <c r="IM226" s="181">
        <v>35000</v>
      </c>
      <c r="IN226" s="181">
        <v>10000</v>
      </c>
    </row>
    <row r="227" spans="1:248">
      <c r="A227" s="181" t="s">
        <v>235</v>
      </c>
      <c r="IG227" s="181" t="s">
        <v>2297</v>
      </c>
      <c r="IH227" s="181" t="s">
        <v>2455</v>
      </c>
      <c r="II227" s="181">
        <v>6</v>
      </c>
      <c r="IJ227" s="181" t="s">
        <v>2140</v>
      </c>
      <c r="IK227" s="181" t="s">
        <v>2041</v>
      </c>
      <c r="IL227" s="181">
        <v>100</v>
      </c>
      <c r="IM227" s="181">
        <v>75000</v>
      </c>
      <c r="IN227" s="181">
        <v>75000</v>
      </c>
    </row>
    <row r="228" spans="1:248">
      <c r="A228" s="181" t="s">
        <v>235</v>
      </c>
      <c r="IG228" s="181" t="s">
        <v>2297</v>
      </c>
      <c r="IH228" s="181" t="s">
        <v>2327</v>
      </c>
      <c r="II228" s="181">
        <v>6</v>
      </c>
      <c r="IJ228" s="181" t="s">
        <v>2114</v>
      </c>
      <c r="IK228" s="181" t="s">
        <v>2115</v>
      </c>
      <c r="IL228" s="181">
        <v>100</v>
      </c>
      <c r="IM228" s="181">
        <v>20000</v>
      </c>
      <c r="IN228" s="181">
        <v>0</v>
      </c>
    </row>
    <row r="229" spans="1:248">
      <c r="A229" s="181" t="s">
        <v>235</v>
      </c>
      <c r="IG229" s="181" t="s">
        <v>2297</v>
      </c>
      <c r="IH229" s="181" t="s">
        <v>2456</v>
      </c>
      <c r="II229" s="181">
        <v>6</v>
      </c>
      <c r="IJ229" s="181" t="s">
        <v>2114</v>
      </c>
      <c r="IK229" s="181" t="s">
        <v>2115</v>
      </c>
      <c r="IL229" s="181">
        <v>100</v>
      </c>
      <c r="IM229" s="181">
        <v>500000</v>
      </c>
      <c r="IN229" s="181">
        <v>0</v>
      </c>
    </row>
    <row r="230" spans="1:248">
      <c r="A230" s="181" t="s">
        <v>235</v>
      </c>
      <c r="IG230" s="181" t="s">
        <v>2297</v>
      </c>
      <c r="IH230" s="181" t="s">
        <v>2305</v>
      </c>
      <c r="II230" s="181">
        <v>6</v>
      </c>
      <c r="IJ230" s="181" t="s">
        <v>2140</v>
      </c>
      <c r="IK230" s="181" t="s">
        <v>2041</v>
      </c>
      <c r="IL230" s="181">
        <v>100</v>
      </c>
      <c r="IM230" s="181">
        <v>800000</v>
      </c>
      <c r="IN230" s="181">
        <v>800000</v>
      </c>
    </row>
    <row r="231" spans="1:248">
      <c r="A231" s="181" t="s">
        <v>235</v>
      </c>
      <c r="IG231" s="181" t="s">
        <v>2297</v>
      </c>
      <c r="IH231" s="181" t="s">
        <v>2321</v>
      </c>
      <c r="II231" s="181">
        <v>6</v>
      </c>
      <c r="IJ231" s="181" t="s">
        <v>2114</v>
      </c>
      <c r="IK231" s="181" t="s">
        <v>2115</v>
      </c>
      <c r="IL231" s="181">
        <v>100</v>
      </c>
      <c r="IM231" s="181">
        <v>25000</v>
      </c>
      <c r="IN231" s="181">
        <v>0</v>
      </c>
    </row>
    <row r="232" spans="1:248">
      <c r="A232" s="181" t="s">
        <v>235</v>
      </c>
      <c r="IG232" s="181" t="s">
        <v>2297</v>
      </c>
      <c r="IH232" s="181" t="s">
        <v>2381</v>
      </c>
      <c r="II232" s="181">
        <v>6</v>
      </c>
      <c r="IJ232" s="181" t="s">
        <v>2114</v>
      </c>
      <c r="IK232" s="181" t="s">
        <v>2115</v>
      </c>
      <c r="IL232" s="181">
        <v>100</v>
      </c>
      <c r="IM232" s="181">
        <v>1000000</v>
      </c>
      <c r="IN232" s="181">
        <v>0</v>
      </c>
    </row>
    <row r="233" spans="1:248">
      <c r="A233" s="181" t="s">
        <v>235</v>
      </c>
      <c r="IG233" s="181" t="s">
        <v>2298</v>
      </c>
      <c r="IH233" s="181" t="s">
        <v>2457</v>
      </c>
      <c r="II233" s="181">
        <v>12</v>
      </c>
      <c r="IJ233" s="181" t="s">
        <v>2140</v>
      </c>
      <c r="IK233" s="181" t="s">
        <v>2115</v>
      </c>
      <c r="IL233" s="181">
        <v>100</v>
      </c>
      <c r="IM233" s="181">
        <v>2700000</v>
      </c>
      <c r="IN233" s="181">
        <v>1350000</v>
      </c>
    </row>
    <row r="234" spans="1:248">
      <c r="A234" s="181" t="s">
        <v>235</v>
      </c>
      <c r="IG234" s="181" t="s">
        <v>2298</v>
      </c>
      <c r="IH234" s="181" t="s">
        <v>2458</v>
      </c>
      <c r="II234" s="181">
        <v>12</v>
      </c>
      <c r="IJ234" s="181" t="s">
        <v>2140</v>
      </c>
      <c r="IK234" s="181" t="s">
        <v>2115</v>
      </c>
      <c r="IL234" s="181">
        <v>100</v>
      </c>
      <c r="IM234" s="181">
        <v>660000</v>
      </c>
      <c r="IN234" s="181">
        <v>330000</v>
      </c>
    </row>
    <row r="235" spans="1:248">
      <c r="A235" s="181" t="s">
        <v>235</v>
      </c>
      <c r="IG235" s="181" t="s">
        <v>2298</v>
      </c>
      <c r="IH235" s="181" t="s">
        <v>2459</v>
      </c>
      <c r="II235" s="181">
        <v>12</v>
      </c>
      <c r="IJ235" s="181" t="s">
        <v>2140</v>
      </c>
      <c r="IK235" s="181" t="s">
        <v>2115</v>
      </c>
      <c r="IL235" s="181">
        <v>100</v>
      </c>
      <c r="IM235" s="181">
        <v>80000</v>
      </c>
      <c r="IN235" s="181">
        <v>40000</v>
      </c>
    </row>
    <row r="236" spans="1:248">
      <c r="A236" s="181" t="s">
        <v>235</v>
      </c>
      <c r="IG236" s="181" t="s">
        <v>2298</v>
      </c>
      <c r="IH236" s="181" t="s">
        <v>2460</v>
      </c>
      <c r="II236" s="181">
        <v>12</v>
      </c>
      <c r="IJ236" s="181" t="s">
        <v>2140</v>
      </c>
      <c r="IK236" s="181" t="s">
        <v>2115</v>
      </c>
      <c r="IL236" s="181">
        <v>100</v>
      </c>
      <c r="IM236" s="181">
        <v>200000</v>
      </c>
      <c r="IN236" s="181">
        <v>100000</v>
      </c>
    </row>
    <row r="237" spans="1:248">
      <c r="A237" s="181" t="s">
        <v>235</v>
      </c>
      <c r="IG237" s="181" t="s">
        <v>2298</v>
      </c>
      <c r="IH237" s="181" t="s">
        <v>2461</v>
      </c>
      <c r="II237" s="181">
        <v>6</v>
      </c>
      <c r="IJ237" s="181" t="s">
        <v>2140</v>
      </c>
      <c r="IK237" s="181" t="s">
        <v>2470</v>
      </c>
      <c r="IL237" s="181">
        <v>100</v>
      </c>
      <c r="IM237" s="181">
        <v>2000</v>
      </c>
      <c r="IN237" s="181">
        <v>2000</v>
      </c>
    </row>
    <row r="238" spans="1:248">
      <c r="A238" s="181" t="s">
        <v>235</v>
      </c>
      <c r="IG238" s="181" t="s">
        <v>2298</v>
      </c>
      <c r="IH238" s="181" t="s">
        <v>2462</v>
      </c>
      <c r="II238" s="181">
        <v>6</v>
      </c>
      <c r="IJ238" s="181" t="s">
        <v>2140</v>
      </c>
      <c r="IK238" s="181" t="s">
        <v>2470</v>
      </c>
      <c r="IL238" s="181">
        <v>100</v>
      </c>
      <c r="IM238" s="181">
        <v>20000</v>
      </c>
      <c r="IN238" s="181">
        <v>20000</v>
      </c>
    </row>
    <row r="239" spans="1:248">
      <c r="A239" s="181" t="s">
        <v>235</v>
      </c>
      <c r="IG239" s="181" t="s">
        <v>2298</v>
      </c>
      <c r="IH239" s="181" t="s">
        <v>2463</v>
      </c>
      <c r="II239" s="181">
        <v>6</v>
      </c>
      <c r="IJ239" s="181" t="s">
        <v>2140</v>
      </c>
      <c r="IK239" s="181" t="s">
        <v>2470</v>
      </c>
      <c r="IL239" s="181">
        <v>100</v>
      </c>
      <c r="IM239" s="181">
        <v>20000</v>
      </c>
      <c r="IN239" s="181">
        <v>20000</v>
      </c>
    </row>
    <row r="240" spans="1:248">
      <c r="A240" s="181" t="s">
        <v>235</v>
      </c>
      <c r="IG240" s="181" t="s">
        <v>2298</v>
      </c>
      <c r="IH240" s="181" t="s">
        <v>2464</v>
      </c>
      <c r="II240" s="181">
        <v>6</v>
      </c>
      <c r="IJ240" s="181" t="s">
        <v>2140</v>
      </c>
      <c r="IK240" s="181" t="s">
        <v>2470</v>
      </c>
      <c r="IL240" s="181">
        <v>100</v>
      </c>
      <c r="IM240" s="181">
        <v>20000</v>
      </c>
      <c r="IN240" s="181">
        <v>20000</v>
      </c>
    </row>
    <row r="241" spans="1:248">
      <c r="A241" s="181" t="s">
        <v>235</v>
      </c>
      <c r="IG241" s="181" t="s">
        <v>2298</v>
      </c>
      <c r="IH241" s="181" t="s">
        <v>2465</v>
      </c>
      <c r="II241" s="181">
        <v>12</v>
      </c>
      <c r="IJ241" s="181" t="s">
        <v>2140</v>
      </c>
      <c r="IK241" s="181" t="s">
        <v>2115</v>
      </c>
      <c r="IL241" s="181">
        <v>100</v>
      </c>
      <c r="IM241" s="181">
        <v>40000</v>
      </c>
      <c r="IN241" s="181">
        <v>20000</v>
      </c>
    </row>
    <row r="242" spans="1:248">
      <c r="A242" s="181" t="s">
        <v>235</v>
      </c>
      <c r="IG242" s="181" t="s">
        <v>2299</v>
      </c>
      <c r="IH242" s="181" t="s">
        <v>2466</v>
      </c>
      <c r="II242" s="181">
        <v>6</v>
      </c>
      <c r="IJ242" s="181" t="s">
        <v>2140</v>
      </c>
      <c r="IK242" s="181" t="s">
        <v>2470</v>
      </c>
      <c r="IL242" s="181">
        <v>100</v>
      </c>
      <c r="IM242" s="181">
        <v>20000</v>
      </c>
      <c r="IN242" s="181">
        <v>20000</v>
      </c>
    </row>
    <row r="243" spans="1:248">
      <c r="A243" s="181" t="s">
        <v>235</v>
      </c>
      <c r="IG243" s="181" t="s">
        <v>2300</v>
      </c>
      <c r="IH243" s="181" t="s">
        <v>2467</v>
      </c>
      <c r="II243" s="181">
        <v>6</v>
      </c>
      <c r="IJ243" s="181" t="s">
        <v>2140</v>
      </c>
      <c r="IK243" s="181" t="s">
        <v>2470</v>
      </c>
      <c r="IL243" s="181">
        <v>100</v>
      </c>
      <c r="IM243" s="181">
        <v>20000</v>
      </c>
      <c r="IN243" s="181">
        <v>20000</v>
      </c>
    </row>
    <row r="244" spans="1:248">
      <c r="A244" s="181" t="s">
        <v>235</v>
      </c>
    </row>
    <row r="245" spans="1:248">
      <c r="A245" s="181" t="s">
        <v>235</v>
      </c>
    </row>
    <row r="246" spans="1:248">
      <c r="A246" s="181" t="s">
        <v>235</v>
      </c>
    </row>
    <row r="247" spans="1:248">
      <c r="A247" s="181" t="s">
        <v>235</v>
      </c>
    </row>
    <row r="248" spans="1:248">
      <c r="A248" s="181" t="s">
        <v>235</v>
      </c>
    </row>
    <row r="249" spans="1:248" ht="18.75" customHeight="1">
      <c r="A249" s="181" t="s">
        <v>236</v>
      </c>
      <c r="B249" s="181" t="s">
        <v>897</v>
      </c>
      <c r="C249" s="181" t="s">
        <v>899</v>
      </c>
      <c r="F249" s="181" t="s">
        <v>636</v>
      </c>
      <c r="G249" s="181">
        <v>770425364</v>
      </c>
      <c r="H249" s="181">
        <v>24</v>
      </c>
      <c r="I249" s="183" t="s">
        <v>2001</v>
      </c>
      <c r="J249" s="181" t="s">
        <v>2025</v>
      </c>
      <c r="K249" s="181">
        <v>12</v>
      </c>
      <c r="L249" s="181" t="s">
        <v>896</v>
      </c>
      <c r="M249" s="181">
        <v>1</v>
      </c>
      <c r="N249" s="181" t="s">
        <v>2036</v>
      </c>
      <c r="O249" s="181" t="s">
        <v>2037</v>
      </c>
      <c r="P249" s="181">
        <v>100</v>
      </c>
      <c r="Q249" s="181">
        <v>100</v>
      </c>
      <c r="R249" s="181">
        <v>0</v>
      </c>
      <c r="S249" s="181">
        <v>358500</v>
      </c>
      <c r="V249" s="181">
        <v>15500000</v>
      </c>
      <c r="W249" s="181">
        <v>5000000</v>
      </c>
      <c r="X249" s="181">
        <v>1335900</v>
      </c>
      <c r="Y249" s="181">
        <v>3019600</v>
      </c>
      <c r="Z249" s="181">
        <v>2868574.8064254033</v>
      </c>
      <c r="AA249" s="181">
        <v>2912624.4031342966</v>
      </c>
      <c r="AP249" s="181" t="s">
        <v>2046</v>
      </c>
      <c r="AQ249" s="181" t="s">
        <v>899</v>
      </c>
      <c r="AR249" s="181" t="s">
        <v>1021</v>
      </c>
      <c r="AS249" s="181">
        <v>1600000</v>
      </c>
      <c r="AU249" s="181">
        <v>0</v>
      </c>
      <c r="AV249" s="181">
        <v>0</v>
      </c>
      <c r="AW249" s="181">
        <v>0</v>
      </c>
      <c r="AX249" s="181">
        <v>0</v>
      </c>
      <c r="AY249" s="181">
        <v>1335900.0000000002</v>
      </c>
      <c r="AZ249" s="181">
        <v>3019600</v>
      </c>
      <c r="BA249" s="181" t="s">
        <v>900</v>
      </c>
      <c r="BB249" s="181" t="s">
        <v>901</v>
      </c>
      <c r="BC249" s="181">
        <v>77316020.082059711</v>
      </c>
      <c r="BD249" s="181">
        <v>170272214.4885847</v>
      </c>
      <c r="BE249" s="181">
        <v>11803.43781912592</v>
      </c>
      <c r="BF249" s="181">
        <v>11803.437819125918</v>
      </c>
      <c r="BG249" s="181">
        <v>62996780.397779346</v>
      </c>
      <c r="BH249" s="181">
        <v>143111516.73991954</v>
      </c>
      <c r="BI249" s="181">
        <v>8000.1850952512714</v>
      </c>
      <c r="BJ249" s="181">
        <v>8781.8709034484546</v>
      </c>
      <c r="BK249" s="181" t="s">
        <v>1039</v>
      </c>
      <c r="BL249" s="181">
        <v>536395.63696849998</v>
      </c>
      <c r="BM249" s="181">
        <v>1072791.273937</v>
      </c>
      <c r="BP249" s="181" t="s">
        <v>1039</v>
      </c>
      <c r="BQ249" s="181">
        <v>564017.08906939998</v>
      </c>
      <c r="BR249" s="181">
        <v>1128034.1781388</v>
      </c>
      <c r="BU249" s="181" t="s">
        <v>1043</v>
      </c>
      <c r="BV249" s="181">
        <f>465259.13919342+14</f>
        <v>465273.13919342001</v>
      </c>
      <c r="BW249" s="181">
        <f>969289.873319625+28</f>
        <v>969317.87331962504</v>
      </c>
      <c r="BZ249" s="181">
        <v>2518147.3296249998</v>
      </c>
      <c r="CA249" s="181">
        <v>0</v>
      </c>
      <c r="CB249" s="181">
        <v>0</v>
      </c>
      <c r="CE249" s="181">
        <v>259040.22683100001</v>
      </c>
      <c r="CF249" s="181">
        <v>259040.22683100001</v>
      </c>
      <c r="CG249" s="181">
        <v>1576797.9299974011</v>
      </c>
      <c r="CH249" s="181">
        <v>1576797.9299974011</v>
      </c>
      <c r="CI249" s="181">
        <v>20.80631501684487</v>
      </c>
      <c r="CJ249" s="181">
        <v>25.786846507051695</v>
      </c>
      <c r="FY249" s="181">
        <v>0</v>
      </c>
      <c r="FZ249" s="181">
        <v>306</v>
      </c>
      <c r="GA249" s="181">
        <v>0</v>
      </c>
      <c r="GB249" s="181">
        <v>0</v>
      </c>
      <c r="GC249" s="181">
        <v>306</v>
      </c>
      <c r="GD249" s="181">
        <v>0</v>
      </c>
      <c r="GL249" s="181">
        <v>-906087.83125733351</v>
      </c>
      <c r="GR249" s="181" t="s">
        <v>176</v>
      </c>
      <c r="GS249" s="181">
        <v>6572635.4764009472</v>
      </c>
      <c r="GT249" s="181">
        <v>16987487.096315771</v>
      </c>
      <c r="HD249" s="181" t="s">
        <v>914</v>
      </c>
      <c r="HE249" s="181">
        <v>225012.30891799997</v>
      </c>
      <c r="HF249" s="181">
        <v>450024.61783599993</v>
      </c>
      <c r="HG249" s="181" t="s">
        <v>1634</v>
      </c>
      <c r="HH249" s="181">
        <v>0</v>
      </c>
      <c r="HI249" s="181">
        <v>0</v>
      </c>
      <c r="HL249" s="181" t="s">
        <v>932</v>
      </c>
      <c r="HS249" s="181" t="s">
        <v>1708</v>
      </c>
      <c r="HT249" s="181">
        <v>0</v>
      </c>
      <c r="HU249" s="181">
        <v>0</v>
      </c>
      <c r="HV249" s="181" t="s">
        <v>2105</v>
      </c>
      <c r="HW249" s="181">
        <v>83172.852398154733</v>
      </c>
      <c r="HX249" s="181">
        <v>166345.70479630947</v>
      </c>
      <c r="HY249" s="181" t="s">
        <v>2106</v>
      </c>
      <c r="HZ249" s="181">
        <v>14732.768345955503</v>
      </c>
      <c r="IA249" s="181">
        <v>29465.536691911006</v>
      </c>
      <c r="IB249" s="181" t="s">
        <v>911</v>
      </c>
      <c r="IC249" s="181">
        <v>2990678.2851337697</v>
      </c>
      <c r="ID249" s="181">
        <v>5981356.5702675395</v>
      </c>
    </row>
    <row r="250" spans="1:248" ht="18.75" customHeight="1">
      <c r="A250" s="181" t="s">
        <v>236</v>
      </c>
      <c r="B250" s="181" t="s">
        <v>898</v>
      </c>
      <c r="C250" s="181" t="s">
        <v>899</v>
      </c>
      <c r="F250" s="181" t="s">
        <v>747</v>
      </c>
      <c r="G250" s="181">
        <v>283352667</v>
      </c>
      <c r="I250" s="183" t="s">
        <v>2002</v>
      </c>
      <c r="J250" s="181" t="s">
        <v>2026</v>
      </c>
      <c r="K250" s="181">
        <v>2</v>
      </c>
      <c r="L250" s="181" t="s">
        <v>720</v>
      </c>
      <c r="M250" s="181">
        <v>1</v>
      </c>
      <c r="N250" s="181" t="s">
        <v>2038</v>
      </c>
      <c r="O250" s="181" t="s">
        <v>2039</v>
      </c>
      <c r="P250" s="181">
        <v>25</v>
      </c>
      <c r="Q250" s="181">
        <v>100</v>
      </c>
      <c r="S250" s="181">
        <v>80000</v>
      </c>
      <c r="V250" s="181">
        <v>10000000</v>
      </c>
      <c r="W250" s="181">
        <v>5000000</v>
      </c>
      <c r="X250" s="181">
        <v>1365100</v>
      </c>
      <c r="Y250" s="181">
        <v>3113400</v>
      </c>
      <c r="Z250" s="181">
        <v>2945914.6457317113</v>
      </c>
      <c r="AA250" s="181">
        <v>2991472.3317999183</v>
      </c>
      <c r="AP250" s="181" t="s">
        <v>2047</v>
      </c>
      <c r="AQ250" s="181" t="s">
        <v>899</v>
      </c>
      <c r="AR250" s="181" t="s">
        <v>1021</v>
      </c>
      <c r="AS250" s="181">
        <v>1600000</v>
      </c>
      <c r="AU250" s="181">
        <v>0</v>
      </c>
      <c r="AV250" s="181">
        <v>0</v>
      </c>
      <c r="AW250" s="181">
        <v>0</v>
      </c>
      <c r="AX250" s="181">
        <v>0</v>
      </c>
      <c r="AY250" s="181">
        <v>1365100.0000000002</v>
      </c>
      <c r="AZ250" s="181">
        <v>3113400</v>
      </c>
      <c r="BA250" s="181" t="s">
        <v>902</v>
      </c>
      <c r="BB250" s="181" t="s">
        <v>901</v>
      </c>
      <c r="BC250" s="181">
        <v>4000917.2149767913</v>
      </c>
      <c r="BD250" s="181">
        <v>8215473.5097878715</v>
      </c>
      <c r="BE250" s="181">
        <v>488089.83622756839</v>
      </c>
      <c r="BF250" s="181">
        <v>488089.83622756827</v>
      </c>
      <c r="BG250" s="181">
        <v>3111418.8395780008</v>
      </c>
      <c r="BH250" s="181">
        <v>7064303.1700565498</v>
      </c>
      <c r="BI250" s="181">
        <v>397804.12185718206</v>
      </c>
      <c r="BJ250" s="181">
        <v>426160.78793560894</v>
      </c>
      <c r="BK250" s="181" t="s">
        <v>1080</v>
      </c>
      <c r="BL250" s="181">
        <v>110661.08081756248</v>
      </c>
      <c r="BM250" s="181">
        <v>221322.16163512497</v>
      </c>
      <c r="BP250" s="181" t="s">
        <v>1080</v>
      </c>
      <c r="BQ250" s="181">
        <v>113930.3583124125</v>
      </c>
      <c r="BR250" s="181">
        <v>227860.716624825</v>
      </c>
      <c r="BU250" s="181" t="s">
        <v>2052</v>
      </c>
      <c r="BV250" s="181">
        <v>270395.47719216452</v>
      </c>
      <c r="BW250" s="181">
        <v>552547.27947964054</v>
      </c>
      <c r="CA250" s="181">
        <v>4108292.9932223968</v>
      </c>
      <c r="CB250" s="181">
        <v>5177757.7887792643</v>
      </c>
      <c r="CE250" s="181">
        <v>418000</v>
      </c>
      <c r="CF250" s="181">
        <v>425000</v>
      </c>
      <c r="CG250" s="181">
        <v>1655637.8264972712</v>
      </c>
      <c r="CH250" s="181">
        <v>1655637.8264972712</v>
      </c>
      <c r="CI250" s="181">
        <v>1.1743918206212201</v>
      </c>
      <c r="CJ250" s="181">
        <v>1.1299896025273699</v>
      </c>
      <c r="FY250" s="181">
        <v>1</v>
      </c>
      <c r="FZ250" s="181">
        <v>333</v>
      </c>
      <c r="GA250" s="181">
        <v>0</v>
      </c>
      <c r="GB250" s="181">
        <v>1</v>
      </c>
      <c r="GC250" s="181">
        <v>333</v>
      </c>
      <c r="GD250" s="181">
        <v>0</v>
      </c>
      <c r="GR250" s="181" t="s">
        <v>177</v>
      </c>
      <c r="GS250" s="181">
        <v>0</v>
      </c>
      <c r="GT250" s="181">
        <v>0</v>
      </c>
      <c r="HD250" s="181" t="s">
        <v>1080</v>
      </c>
      <c r="HE250" s="181">
        <v>44072.321466362497</v>
      </c>
      <c r="HF250" s="181">
        <v>88144.642932724993</v>
      </c>
      <c r="HG250" s="181" t="s">
        <v>2100</v>
      </c>
      <c r="HH250" s="181">
        <v>5107.2218291489999</v>
      </c>
      <c r="HI250" s="181">
        <v>11143.029445415999</v>
      </c>
      <c r="HL250" s="181" t="s">
        <v>1224</v>
      </c>
      <c r="HS250" s="181" t="s">
        <v>1334</v>
      </c>
      <c r="HT250" s="181">
        <v>14138.4</v>
      </c>
      <c r="HU250" s="181">
        <v>28276.799999999999</v>
      </c>
      <c r="HV250" s="181" t="s">
        <v>1717</v>
      </c>
      <c r="HY250" s="181" t="s">
        <v>2107</v>
      </c>
      <c r="HZ250" s="181">
        <v>3986.8935783333332</v>
      </c>
      <c r="IA250" s="181">
        <v>7973.7871566666663</v>
      </c>
    </row>
    <row r="251" spans="1:248" ht="18.75" customHeight="1">
      <c r="A251" s="181" t="s">
        <v>236</v>
      </c>
      <c r="F251" s="181" t="s">
        <v>646</v>
      </c>
      <c r="G251" s="181">
        <v>247770134</v>
      </c>
      <c r="I251" s="183" t="s">
        <v>2003</v>
      </c>
      <c r="J251" s="181" t="s">
        <v>2027</v>
      </c>
      <c r="K251" s="181">
        <v>8</v>
      </c>
      <c r="L251" s="181" t="s">
        <v>720</v>
      </c>
      <c r="M251" s="181">
        <v>1</v>
      </c>
      <c r="N251" s="181" t="s">
        <v>2036</v>
      </c>
      <c r="O251" s="181" t="s">
        <v>2040</v>
      </c>
      <c r="P251" s="181">
        <v>25</v>
      </c>
      <c r="Q251" s="181">
        <v>100</v>
      </c>
      <c r="R251" s="181">
        <v>0</v>
      </c>
      <c r="S251" s="181">
        <v>70000</v>
      </c>
      <c r="BA251" s="181" t="s">
        <v>903</v>
      </c>
      <c r="BB251" s="181" t="s">
        <v>901</v>
      </c>
      <c r="BC251" s="181">
        <v>1038134.9521425308</v>
      </c>
      <c r="BD251" s="181">
        <v>1929479.121297959</v>
      </c>
      <c r="BE251" s="181">
        <v>397860.13482438284</v>
      </c>
      <c r="BF251" s="181">
        <v>397860.1348243829</v>
      </c>
      <c r="BG251" s="181">
        <v>664697.90442914783</v>
      </c>
      <c r="BH251" s="181">
        <v>1510581.4919992224</v>
      </c>
      <c r="BI251" s="181">
        <v>388829.5573727942</v>
      </c>
      <c r="BJ251" s="181">
        <v>391926.86854157201</v>
      </c>
      <c r="BK251" s="181" t="s">
        <v>2049</v>
      </c>
      <c r="BL251" s="181">
        <v>78950.059895150014</v>
      </c>
      <c r="BM251" s="181">
        <v>157900.11979030003</v>
      </c>
      <c r="BP251" s="181" t="s">
        <v>2049</v>
      </c>
      <c r="BQ251" s="181">
        <v>92720.491388812487</v>
      </c>
      <c r="BR251" s="181">
        <v>185440.98277762497</v>
      </c>
      <c r="BU251" s="181" t="s">
        <v>1333</v>
      </c>
      <c r="BV251" s="181">
        <v>97222.374359779002</v>
      </c>
      <c r="BW251" s="181">
        <v>207125.92798387699</v>
      </c>
      <c r="CI251" s="181">
        <v>0.198616966739561</v>
      </c>
      <c r="CJ251" s="181">
        <v>0.292554024292556</v>
      </c>
      <c r="FY251" s="181">
        <v>0</v>
      </c>
      <c r="FZ251" s="181">
        <v>0</v>
      </c>
      <c r="GA251" s="181">
        <v>0</v>
      </c>
      <c r="GB251" s="181">
        <v>0</v>
      </c>
      <c r="GC251" s="181">
        <v>0</v>
      </c>
      <c r="GD251" s="181">
        <v>0</v>
      </c>
      <c r="GR251" s="181" t="s">
        <v>178</v>
      </c>
      <c r="GS251" s="181">
        <v>0</v>
      </c>
      <c r="GT251" s="181">
        <v>0</v>
      </c>
      <c r="HD251" s="181" t="s">
        <v>2049</v>
      </c>
      <c r="HE251" s="181">
        <v>31759.7335016875</v>
      </c>
      <c r="HF251" s="181">
        <v>63519.467003375001</v>
      </c>
      <c r="HG251" s="181" t="s">
        <v>887</v>
      </c>
      <c r="HH251" s="181">
        <v>6139.9769114624996</v>
      </c>
      <c r="HI251" s="181">
        <v>12279.953822924999</v>
      </c>
      <c r="HL251" s="181" t="s">
        <v>1670</v>
      </c>
      <c r="HS251" s="181" t="s">
        <v>910</v>
      </c>
      <c r="HT251" s="181">
        <v>0</v>
      </c>
      <c r="HU251" s="181">
        <v>0</v>
      </c>
      <c r="HV251" s="181" t="s">
        <v>1718</v>
      </c>
      <c r="HY251" s="181" t="s">
        <v>1335</v>
      </c>
      <c r="HZ251" s="181">
        <v>9877.9599999999991</v>
      </c>
      <c r="IA251" s="181">
        <v>19755.919999999998</v>
      </c>
    </row>
    <row r="252" spans="1:248" ht="18.75" customHeight="1">
      <c r="A252" s="181" t="s">
        <v>236</v>
      </c>
      <c r="F252" s="181" t="s">
        <v>1998</v>
      </c>
      <c r="G252" s="181">
        <v>29563322</v>
      </c>
      <c r="I252" s="183" t="s">
        <v>2004</v>
      </c>
      <c r="J252" s="181" t="s">
        <v>2028</v>
      </c>
      <c r="K252" s="181">
        <v>2</v>
      </c>
      <c r="L252" s="181" t="s">
        <v>720</v>
      </c>
      <c r="M252" s="181">
        <v>1</v>
      </c>
      <c r="N252" s="181" t="s">
        <v>2038</v>
      </c>
      <c r="O252" s="181" t="s">
        <v>2039</v>
      </c>
      <c r="P252" s="181">
        <v>25</v>
      </c>
      <c r="Q252" s="181">
        <v>100</v>
      </c>
      <c r="R252" s="181">
        <v>20000</v>
      </c>
      <c r="S252" s="181">
        <v>20000</v>
      </c>
      <c r="BA252" s="181" t="s">
        <v>904</v>
      </c>
      <c r="BB252" s="181" t="s">
        <v>901</v>
      </c>
      <c r="BC252" s="181">
        <v>6515.3704733458371</v>
      </c>
      <c r="BD252" s="181">
        <v>13116.664590898272</v>
      </c>
      <c r="BE252" s="181">
        <v>24736920.859489456</v>
      </c>
      <c r="BF252" s="181">
        <v>24736920.85948946</v>
      </c>
      <c r="BG252" s="181">
        <v>4872.2763796991749</v>
      </c>
      <c r="BH252" s="181">
        <v>11063.18809207517</v>
      </c>
      <c r="BI252" s="181">
        <v>21274833.036852367</v>
      </c>
      <c r="BJ252" s="181">
        <v>22362309.476651598</v>
      </c>
      <c r="BK252" s="181" t="s">
        <v>2050</v>
      </c>
      <c r="BL252" s="181">
        <v>3494.0707832500002</v>
      </c>
      <c r="BM252" s="181">
        <v>6988.1415665000004</v>
      </c>
      <c r="BP252" s="181" t="s">
        <v>2050</v>
      </c>
      <c r="BQ252" s="181">
        <v>4715.2796895624997</v>
      </c>
      <c r="BR252" s="181">
        <v>9430.5593791249994</v>
      </c>
      <c r="BU252" s="181" t="s">
        <v>916</v>
      </c>
      <c r="BV252" s="181">
        <v>97006.542461075995</v>
      </c>
      <c r="BW252" s="181">
        <v>198055.02419136348</v>
      </c>
      <c r="CI252" s="181">
        <v>1.8038787040722598E-3</v>
      </c>
      <c r="CJ252" s="181">
        <v>1.8038787040722598E-3</v>
      </c>
      <c r="FY252" s="181">
        <v>0</v>
      </c>
      <c r="FZ252" s="181">
        <v>0</v>
      </c>
      <c r="GA252" s="181">
        <v>0</v>
      </c>
      <c r="GB252" s="181">
        <v>0</v>
      </c>
      <c r="GC252" s="181">
        <v>0</v>
      </c>
      <c r="GD252" s="181">
        <v>0</v>
      </c>
      <c r="GR252" s="181" t="s">
        <v>1707</v>
      </c>
      <c r="GS252" s="181">
        <v>0</v>
      </c>
      <c r="GT252" s="181">
        <v>0</v>
      </c>
      <c r="HD252" s="181" t="s">
        <v>2050</v>
      </c>
      <c r="HE252" s="181">
        <v>1887.9318691624999</v>
      </c>
      <c r="HF252" s="181">
        <v>3775.8637383249998</v>
      </c>
      <c r="HG252" s="181" t="s">
        <v>1107</v>
      </c>
      <c r="HH252" s="181">
        <v>13244.197064903999</v>
      </c>
      <c r="HI252" s="181">
        <v>25469.609740200001</v>
      </c>
      <c r="HL252" s="181" t="s">
        <v>2120</v>
      </c>
      <c r="HM252" s="181">
        <v>1484683.28</v>
      </c>
      <c r="HN252" s="181">
        <v>1484683.28</v>
      </c>
      <c r="HQ252" s="181">
        <v>209215.30650400001</v>
      </c>
      <c r="HY252" s="181" t="s">
        <v>1711</v>
      </c>
      <c r="HZ252" s="181">
        <v>593</v>
      </c>
      <c r="IA252" s="181">
        <v>866.36</v>
      </c>
    </row>
    <row r="253" spans="1:248">
      <c r="A253" s="181" t="s">
        <v>236</v>
      </c>
      <c r="F253" s="181" t="s">
        <v>1999</v>
      </c>
      <c r="G253" s="181">
        <v>95801265</v>
      </c>
      <c r="I253" s="183" t="s">
        <v>2005</v>
      </c>
      <c r="J253" s="181" t="s">
        <v>2029</v>
      </c>
      <c r="K253" s="181">
        <v>100</v>
      </c>
      <c r="L253" s="181" t="s">
        <v>933</v>
      </c>
      <c r="M253" s="181">
        <v>1</v>
      </c>
      <c r="N253" s="181" t="s">
        <v>2036</v>
      </c>
      <c r="O253" s="181" t="s">
        <v>2039</v>
      </c>
      <c r="P253" s="181">
        <v>25</v>
      </c>
      <c r="Q253" s="181">
        <v>100</v>
      </c>
      <c r="R253" s="181">
        <v>100000</v>
      </c>
      <c r="S253" s="181">
        <v>200000</v>
      </c>
      <c r="BA253" s="181" t="s">
        <v>905</v>
      </c>
      <c r="BB253" s="181" t="s">
        <v>901</v>
      </c>
      <c r="BC253" s="181">
        <v>0</v>
      </c>
      <c r="BD253" s="181">
        <v>0</v>
      </c>
      <c r="BE253" s="181">
        <v>0</v>
      </c>
      <c r="BG253" s="181">
        <v>0</v>
      </c>
      <c r="BH253" s="181">
        <v>0</v>
      </c>
      <c r="BK253" s="181" t="s">
        <v>2051</v>
      </c>
      <c r="BL253" s="181">
        <v>160741.68073404999</v>
      </c>
      <c r="BM253" s="181">
        <v>321483.36146809999</v>
      </c>
      <c r="BP253" s="181" t="s">
        <v>2051</v>
      </c>
      <c r="BQ253" s="181">
        <v>162959.4798173375</v>
      </c>
      <c r="BR253" s="181">
        <v>325918.959634675</v>
      </c>
      <c r="BU253" s="181" t="s">
        <v>2053</v>
      </c>
      <c r="BV253" s="181">
        <v>249130.41579227999</v>
      </c>
      <c r="BW253" s="181">
        <v>541587.86041800003</v>
      </c>
      <c r="CI253" s="181">
        <v>0</v>
      </c>
      <c r="CJ253" s="181">
        <v>0</v>
      </c>
      <c r="FY253" s="181">
        <v>3</v>
      </c>
      <c r="FZ253" s="181">
        <v>84</v>
      </c>
      <c r="GA253" s="181">
        <v>0</v>
      </c>
      <c r="GB253" s="181">
        <v>3</v>
      </c>
      <c r="GC253" s="181">
        <v>84</v>
      </c>
      <c r="GD253" s="181">
        <v>0</v>
      </c>
      <c r="GR253" s="181" t="s">
        <v>175</v>
      </c>
      <c r="GS253" s="181">
        <v>0</v>
      </c>
      <c r="GT253" s="181">
        <v>0</v>
      </c>
      <c r="HD253" s="181" t="s">
        <v>915</v>
      </c>
      <c r="HE253" s="181">
        <v>51904.980634000007</v>
      </c>
      <c r="HF253" s="181">
        <v>103809.96126800001</v>
      </c>
      <c r="HG253" s="181" t="s">
        <v>2101</v>
      </c>
      <c r="HH253" s="181">
        <v>29208.191672624998</v>
      </c>
      <c r="HI253" s="181">
        <v>58416.383345249997</v>
      </c>
      <c r="HL253" s="181" t="s">
        <v>1742</v>
      </c>
      <c r="HM253" s="181">
        <v>220845.02499999999</v>
      </c>
      <c r="HN253" s="181">
        <v>220845.02499999999</v>
      </c>
      <c r="HY253" s="181" t="s">
        <v>1712</v>
      </c>
      <c r="HZ253" s="181">
        <v>0</v>
      </c>
      <c r="IA253" s="181">
        <v>0</v>
      </c>
    </row>
    <row r="254" spans="1:248">
      <c r="A254" s="181" t="s">
        <v>236</v>
      </c>
      <c r="F254" s="181" t="s">
        <v>2000</v>
      </c>
      <c r="G254" s="181">
        <v>29405094</v>
      </c>
      <c r="I254" s="183" t="s">
        <v>2006</v>
      </c>
      <c r="J254" s="181" t="s">
        <v>2030</v>
      </c>
      <c r="K254" s="181">
        <v>100</v>
      </c>
      <c r="L254" s="181" t="s">
        <v>933</v>
      </c>
      <c r="M254" s="181">
        <v>1</v>
      </c>
      <c r="N254" s="181" t="s">
        <v>2038</v>
      </c>
      <c r="O254" s="181" t="s">
        <v>2041</v>
      </c>
      <c r="P254" s="181">
        <v>20</v>
      </c>
      <c r="Q254" s="181">
        <v>100</v>
      </c>
      <c r="R254" s="181">
        <v>0</v>
      </c>
      <c r="S254" s="181">
        <v>0</v>
      </c>
      <c r="BA254" s="181" t="s">
        <v>906</v>
      </c>
      <c r="BB254" s="181" t="s">
        <v>901</v>
      </c>
      <c r="BC254" s="181">
        <v>28673.570027081736</v>
      </c>
      <c r="BD254" s="181">
        <v>78672.576822107018</v>
      </c>
      <c r="BE254" s="181">
        <v>1676952.3949279936</v>
      </c>
      <c r="BF254" s="181">
        <v>1676952.3949279936</v>
      </c>
      <c r="BG254" s="181">
        <v>20690.037181756492</v>
      </c>
      <c r="BH254" s="181">
        <v>46980.544491638138</v>
      </c>
      <c r="BI254" s="181">
        <v>329639.41929958237</v>
      </c>
      <c r="BJ254" s="181">
        <v>437978.17732069449</v>
      </c>
      <c r="BU254" s="181" t="s">
        <v>887</v>
      </c>
      <c r="BV254" s="181">
        <v>52630.585562599998</v>
      </c>
      <c r="BW254" s="181">
        <v>105261.1711252</v>
      </c>
      <c r="CI254" s="181">
        <v>7.6267594848387788E-3</v>
      </c>
      <c r="CJ254" s="181">
        <v>7.6928057914880691E-3</v>
      </c>
      <c r="GR254" s="181" t="s">
        <v>871</v>
      </c>
      <c r="GS254" s="181">
        <v>0</v>
      </c>
      <c r="GT254" s="181">
        <v>0</v>
      </c>
      <c r="HG254" s="181" t="s">
        <v>655</v>
      </c>
      <c r="HH254" s="181">
        <v>4960.4367020375003</v>
      </c>
      <c r="HI254" s="181">
        <v>9920.8734040750005</v>
      </c>
      <c r="HL254" s="181" t="s">
        <v>917</v>
      </c>
      <c r="HM254" s="181">
        <v>14921.138999999999</v>
      </c>
      <c r="HN254" s="181">
        <v>14921.138999999999</v>
      </c>
      <c r="HY254" s="181" t="s">
        <v>333</v>
      </c>
      <c r="HZ254" s="181">
        <v>20576.463909999999</v>
      </c>
      <c r="IA254" s="181">
        <v>20576.463909999999</v>
      </c>
    </row>
    <row r="255" spans="1:248">
      <c r="A255" s="181" t="s">
        <v>236</v>
      </c>
      <c r="F255" s="181" t="s">
        <v>760</v>
      </c>
      <c r="G255" s="181">
        <v>13936854</v>
      </c>
      <c r="I255" s="183" t="s">
        <v>2007</v>
      </c>
      <c r="J255" s="181" t="s">
        <v>2031</v>
      </c>
      <c r="K255" s="181">
        <v>100</v>
      </c>
      <c r="L255" s="181" t="s">
        <v>933</v>
      </c>
      <c r="M255" s="181">
        <v>1</v>
      </c>
      <c r="N255" s="181" t="s">
        <v>2036</v>
      </c>
      <c r="O255" s="181" t="s">
        <v>2042</v>
      </c>
      <c r="P255" s="181">
        <v>15</v>
      </c>
      <c r="Q255" s="181">
        <v>100</v>
      </c>
      <c r="R255" s="181">
        <v>100000</v>
      </c>
      <c r="S255" s="181">
        <v>200000</v>
      </c>
      <c r="BA255" s="181" t="s">
        <v>907</v>
      </c>
      <c r="BB255" s="181" t="s">
        <v>901</v>
      </c>
      <c r="BC255" s="181">
        <v>214036</v>
      </c>
      <c r="BD255" s="181">
        <v>376666</v>
      </c>
      <c r="BE255" s="181">
        <v>2390285.2059597857</v>
      </c>
      <c r="BF255" s="181">
        <v>2454787.3250529007</v>
      </c>
      <c r="BG255" s="181">
        <v>121545.00000000001</v>
      </c>
      <c r="BH255" s="181">
        <v>275985</v>
      </c>
      <c r="BI255" s="181">
        <v>2350251.6249161866</v>
      </c>
      <c r="BJ255" s="181">
        <v>2415160.4544718876</v>
      </c>
      <c r="BU255" s="181" t="s">
        <v>2054</v>
      </c>
      <c r="BV255" s="181">
        <v>3186.2546398625</v>
      </c>
      <c r="BW255" s="181">
        <v>6372.5092797249999</v>
      </c>
      <c r="CI255" s="181">
        <v>4.4999999999999998E-2</v>
      </c>
      <c r="CJ255" s="181">
        <v>4.4999999999999998E-2</v>
      </c>
      <c r="GR255" s="181" t="s">
        <v>871</v>
      </c>
      <c r="GS255" s="181">
        <v>0</v>
      </c>
      <c r="GT255" s="181">
        <v>0</v>
      </c>
      <c r="HG255" s="181" t="s">
        <v>2104</v>
      </c>
      <c r="HH255" s="181">
        <v>10614.155798739999</v>
      </c>
      <c r="HI255" s="181">
        <v>26535.389496849999</v>
      </c>
      <c r="HL255" s="181" t="s">
        <v>894</v>
      </c>
      <c r="HM255" s="181">
        <v>4983.1750000000002</v>
      </c>
      <c r="HN255" s="181">
        <v>4983.1750000000002</v>
      </c>
      <c r="HY255" s="181" t="s">
        <v>1713</v>
      </c>
      <c r="HZ255" s="181">
        <v>0</v>
      </c>
      <c r="IA255" s="181">
        <v>0</v>
      </c>
    </row>
    <row r="256" spans="1:248">
      <c r="A256" s="181" t="s">
        <v>236</v>
      </c>
      <c r="I256" s="183" t="s">
        <v>2008</v>
      </c>
      <c r="J256" s="181" t="s">
        <v>2032</v>
      </c>
      <c r="K256" s="181">
        <v>100</v>
      </c>
      <c r="L256" s="181" t="s">
        <v>933</v>
      </c>
      <c r="M256" s="181">
        <v>2</v>
      </c>
      <c r="N256" s="181" t="s">
        <v>2043</v>
      </c>
      <c r="O256" s="181" t="s">
        <v>2044</v>
      </c>
      <c r="P256" s="181">
        <v>0</v>
      </c>
      <c r="Q256" s="181">
        <v>50</v>
      </c>
      <c r="R256" s="181">
        <v>150000</v>
      </c>
      <c r="S256" s="181">
        <v>250000</v>
      </c>
      <c r="BA256" s="181" t="s">
        <v>2048</v>
      </c>
      <c r="BB256" s="181" t="s">
        <v>901</v>
      </c>
      <c r="BC256" s="181">
        <v>1667329.709958724</v>
      </c>
      <c r="BD256" s="181">
        <v>4728492.1863297047</v>
      </c>
      <c r="BE256" s="181">
        <v>568546.96317079174</v>
      </c>
      <c r="BF256" s="181">
        <v>590198.12111403048</v>
      </c>
      <c r="BG256" s="181">
        <v>2287825.0826447206</v>
      </c>
      <c r="BH256" s="181">
        <v>5194828.2976157237</v>
      </c>
      <c r="BI256" s="181">
        <v>419958.53432858828</v>
      </c>
      <c r="BJ256" s="181">
        <v>482333.72352258558</v>
      </c>
      <c r="BU256" s="181" t="s">
        <v>2055</v>
      </c>
      <c r="BV256" s="181">
        <v>25211.262724872002</v>
      </c>
      <c r="BW256" s="181">
        <v>52523.464010150004</v>
      </c>
      <c r="CI256" s="181">
        <v>0.84702890879108494</v>
      </c>
      <c r="CJ256" s="181">
        <v>0.84702890879108494</v>
      </c>
      <c r="GR256" s="181" t="s">
        <v>871</v>
      </c>
      <c r="GS256" s="181">
        <v>0</v>
      </c>
      <c r="GT256" s="181">
        <v>0</v>
      </c>
      <c r="HG256" s="181" t="s">
        <v>2102</v>
      </c>
      <c r="HH256" s="181">
        <v>2429.9454844169995</v>
      </c>
      <c r="HI256" s="181">
        <v>5301.6992387279988</v>
      </c>
      <c r="HL256" s="181" t="s">
        <v>2125</v>
      </c>
    </row>
    <row r="257" spans="1:226">
      <c r="A257" s="181" t="s">
        <v>236</v>
      </c>
      <c r="I257" s="183" t="s">
        <v>2009</v>
      </c>
      <c r="J257" s="181" t="s">
        <v>2033</v>
      </c>
      <c r="K257" s="181">
        <v>100</v>
      </c>
      <c r="L257" s="181" t="s">
        <v>933</v>
      </c>
      <c r="M257" s="181">
        <v>2</v>
      </c>
      <c r="N257" s="181" t="s">
        <v>2043</v>
      </c>
      <c r="O257" s="181" t="s">
        <v>2040</v>
      </c>
      <c r="P257" s="181">
        <v>0</v>
      </c>
      <c r="Q257" s="181">
        <v>30</v>
      </c>
      <c r="R257" s="181">
        <v>0</v>
      </c>
      <c r="S257" s="181">
        <v>90000</v>
      </c>
      <c r="GR257" s="181" t="s">
        <v>871</v>
      </c>
      <c r="GS257" s="181">
        <v>0</v>
      </c>
      <c r="GT257" s="181">
        <v>0</v>
      </c>
      <c r="HG257" s="181" t="s">
        <v>2103</v>
      </c>
      <c r="HH257" s="181">
        <v>1742.6054048249998</v>
      </c>
      <c r="HI257" s="181">
        <v>3485.2108096499996</v>
      </c>
      <c r="HL257" s="181" t="s">
        <v>2121</v>
      </c>
      <c r="HR257" s="181">
        <v>209215.30650400001</v>
      </c>
    </row>
    <row r="258" spans="1:226">
      <c r="A258" s="181" t="s">
        <v>236</v>
      </c>
      <c r="I258" s="181" t="s">
        <v>2010</v>
      </c>
      <c r="J258" s="181" t="s">
        <v>2034</v>
      </c>
      <c r="K258" s="181">
        <v>4</v>
      </c>
      <c r="L258" s="181" t="s">
        <v>720</v>
      </c>
      <c r="M258" s="181">
        <v>2</v>
      </c>
      <c r="N258" s="181" t="s">
        <v>2038</v>
      </c>
      <c r="O258" s="181" t="s">
        <v>2044</v>
      </c>
      <c r="P258" s="181">
        <v>20</v>
      </c>
      <c r="Q258" s="181">
        <v>60</v>
      </c>
      <c r="R258" s="181">
        <v>100000</v>
      </c>
      <c r="S258" s="181">
        <v>200000</v>
      </c>
      <c r="GR258" s="181" t="s">
        <v>871</v>
      </c>
      <c r="GS258" s="181">
        <v>0</v>
      </c>
      <c r="GT258" s="181">
        <v>0</v>
      </c>
      <c r="HG258" s="181" t="s">
        <v>333</v>
      </c>
      <c r="HH258" s="181">
        <v>155580.092923574</v>
      </c>
      <c r="HI258" s="181">
        <v>339447.47546961601</v>
      </c>
    </row>
    <row r="259" spans="1:226">
      <c r="A259" s="181" t="s">
        <v>236</v>
      </c>
      <c r="I259" s="181" t="s">
        <v>2011</v>
      </c>
      <c r="J259" s="181" t="s">
        <v>1285</v>
      </c>
      <c r="K259" s="181">
        <v>1</v>
      </c>
      <c r="L259" s="181" t="s">
        <v>720</v>
      </c>
      <c r="M259" s="181">
        <v>1</v>
      </c>
      <c r="N259" s="181" t="s">
        <v>2036</v>
      </c>
      <c r="O259" s="181" t="s">
        <v>2039</v>
      </c>
      <c r="P259" s="181">
        <v>80</v>
      </c>
      <c r="Q259" s="181">
        <v>100</v>
      </c>
      <c r="R259" s="181">
        <v>10000</v>
      </c>
      <c r="S259" s="181">
        <v>10000</v>
      </c>
      <c r="GR259" s="181" t="s">
        <v>871</v>
      </c>
      <c r="GS259" s="181">
        <v>0</v>
      </c>
      <c r="GT259" s="181">
        <v>0</v>
      </c>
    </row>
    <row r="260" spans="1:226">
      <c r="A260" s="181" t="s">
        <v>236</v>
      </c>
      <c r="I260" s="181" t="s">
        <v>2012</v>
      </c>
      <c r="J260" s="181" t="s">
        <v>2035</v>
      </c>
      <c r="K260" s="181">
        <v>2</v>
      </c>
      <c r="L260" s="181" t="s">
        <v>720</v>
      </c>
      <c r="M260" s="181">
        <v>1</v>
      </c>
      <c r="N260" s="181" t="s">
        <v>2036</v>
      </c>
      <c r="O260" s="181" t="s">
        <v>2045</v>
      </c>
      <c r="P260" s="181">
        <v>25</v>
      </c>
      <c r="Q260" s="181">
        <v>50</v>
      </c>
      <c r="R260" s="181">
        <v>0</v>
      </c>
      <c r="S260" s="181">
        <v>200000</v>
      </c>
      <c r="GR260" s="181" t="s">
        <v>871</v>
      </c>
      <c r="GS260" s="181">
        <v>0</v>
      </c>
      <c r="GT260" s="181">
        <v>0</v>
      </c>
    </row>
    <row r="261" spans="1:226">
      <c r="A261" s="181" t="s">
        <v>236</v>
      </c>
      <c r="I261" s="181" t="s">
        <v>2013</v>
      </c>
      <c r="GR261" s="181" t="s">
        <v>871</v>
      </c>
      <c r="GS261" s="181">
        <v>0</v>
      </c>
      <c r="GT261" s="181">
        <v>0</v>
      </c>
    </row>
    <row r="262" spans="1:226">
      <c r="A262" s="181" t="s">
        <v>236</v>
      </c>
      <c r="I262" s="181" t="s">
        <v>2014</v>
      </c>
      <c r="GR262" s="181" t="s">
        <v>871</v>
      </c>
      <c r="GS262" s="181">
        <v>0</v>
      </c>
      <c r="GT262" s="181">
        <v>0</v>
      </c>
    </row>
    <row r="263" spans="1:226">
      <c r="A263" s="181" t="s">
        <v>236</v>
      </c>
      <c r="I263" s="181" t="s">
        <v>2015</v>
      </c>
      <c r="GR263" s="181" t="s">
        <v>872</v>
      </c>
      <c r="GS263" s="181">
        <v>0</v>
      </c>
      <c r="GT263" s="181">
        <v>0</v>
      </c>
    </row>
    <row r="264" spans="1:226">
      <c r="A264" s="181" t="s">
        <v>236</v>
      </c>
      <c r="I264" s="181" t="s">
        <v>2016</v>
      </c>
      <c r="GR264" s="181" t="s">
        <v>873</v>
      </c>
      <c r="GS264" s="181">
        <v>0</v>
      </c>
      <c r="GT264" s="181">
        <v>0</v>
      </c>
    </row>
    <row r="265" spans="1:226">
      <c r="A265" s="181" t="s">
        <v>236</v>
      </c>
      <c r="I265" s="181" t="s">
        <v>2017</v>
      </c>
      <c r="GR265" s="181" t="s">
        <v>873</v>
      </c>
      <c r="GS265" s="181">
        <v>0</v>
      </c>
      <c r="GT265" s="181">
        <v>0</v>
      </c>
    </row>
    <row r="266" spans="1:226">
      <c r="A266" s="181" t="s">
        <v>236</v>
      </c>
      <c r="I266" s="181" t="s">
        <v>2018</v>
      </c>
      <c r="GR266" s="181" t="s">
        <v>873</v>
      </c>
      <c r="GS266" s="181">
        <v>0</v>
      </c>
      <c r="GT266" s="181">
        <v>0</v>
      </c>
    </row>
    <row r="267" spans="1:226">
      <c r="A267" s="181" t="s">
        <v>236</v>
      </c>
      <c r="I267" s="181" t="s">
        <v>2019</v>
      </c>
      <c r="GR267" s="181" t="s">
        <v>873</v>
      </c>
      <c r="GS267" s="181">
        <v>0</v>
      </c>
      <c r="GT267" s="181">
        <v>0</v>
      </c>
    </row>
    <row r="268" spans="1:226">
      <c r="A268" s="181" t="s">
        <v>236</v>
      </c>
      <c r="I268" s="181" t="s">
        <v>2024</v>
      </c>
      <c r="GR268" s="181" t="s">
        <v>308</v>
      </c>
      <c r="GS268" s="181">
        <v>0</v>
      </c>
      <c r="GT268" s="181">
        <v>0</v>
      </c>
    </row>
    <row r="269" spans="1:226">
      <c r="A269" s="181" t="s">
        <v>236</v>
      </c>
      <c r="I269" s="181" t="s">
        <v>2020</v>
      </c>
      <c r="GR269" s="181" t="s">
        <v>874</v>
      </c>
      <c r="GS269" s="181">
        <v>0</v>
      </c>
      <c r="GT269" s="181">
        <v>0</v>
      </c>
    </row>
    <row r="270" spans="1:226">
      <c r="A270" s="181" t="s">
        <v>236</v>
      </c>
      <c r="I270" s="181" t="s">
        <v>2021</v>
      </c>
      <c r="GR270" s="181" t="s">
        <v>874</v>
      </c>
      <c r="GS270" s="181">
        <v>0</v>
      </c>
      <c r="GT270" s="181">
        <v>0</v>
      </c>
    </row>
    <row r="271" spans="1:226">
      <c r="A271" s="181" t="s">
        <v>236</v>
      </c>
      <c r="I271" s="181" t="s">
        <v>2022</v>
      </c>
      <c r="GR271" s="181" t="s">
        <v>874</v>
      </c>
      <c r="GS271" s="181">
        <v>0</v>
      </c>
      <c r="GT271" s="181">
        <v>0</v>
      </c>
    </row>
    <row r="272" spans="1:226">
      <c r="A272" s="181" t="s">
        <v>236</v>
      </c>
      <c r="I272" s="181" t="s">
        <v>2023</v>
      </c>
      <c r="GR272" s="181" t="s">
        <v>874</v>
      </c>
      <c r="GS272" s="181">
        <v>0</v>
      </c>
      <c r="GT272" s="181">
        <v>0</v>
      </c>
    </row>
    <row r="273" spans="1:202">
      <c r="A273" s="181" t="s">
        <v>236</v>
      </c>
      <c r="GR273" s="181" t="s">
        <v>1708</v>
      </c>
      <c r="GS273" s="181">
        <v>0</v>
      </c>
      <c r="GT273" s="181">
        <v>0</v>
      </c>
    </row>
    <row r="274" spans="1:202">
      <c r="A274" s="181" t="s">
        <v>236</v>
      </c>
      <c r="GR274" s="181" t="s">
        <v>1334</v>
      </c>
      <c r="GS274" s="181">
        <v>14138.4</v>
      </c>
      <c r="GT274" s="181">
        <v>28276.799999999999</v>
      </c>
    </row>
    <row r="275" spans="1:202">
      <c r="A275" s="181" t="s">
        <v>236</v>
      </c>
      <c r="GR275" s="181" t="s">
        <v>910</v>
      </c>
      <c r="GS275" s="181">
        <v>0</v>
      </c>
      <c r="GT275" s="181">
        <v>0</v>
      </c>
    </row>
    <row r="276" spans="1:202">
      <c r="A276" s="181" t="s">
        <v>236</v>
      </c>
      <c r="GR276" s="181">
        <v>0</v>
      </c>
      <c r="GS276" s="181">
        <v>0</v>
      </c>
      <c r="GT276" s="181">
        <v>0</v>
      </c>
    </row>
    <row r="277" spans="1:202">
      <c r="A277" s="181" t="s">
        <v>236</v>
      </c>
      <c r="GR277" s="181">
        <v>0</v>
      </c>
      <c r="GS277" s="181">
        <v>0</v>
      </c>
      <c r="GT277" s="181">
        <v>0</v>
      </c>
    </row>
    <row r="278" spans="1:202">
      <c r="A278" s="181" t="s">
        <v>236</v>
      </c>
      <c r="GR278" s="181">
        <v>0</v>
      </c>
      <c r="GS278" s="181">
        <v>0</v>
      </c>
      <c r="GT278" s="181">
        <v>0</v>
      </c>
    </row>
    <row r="279" spans="1:202">
      <c r="A279" s="181" t="s">
        <v>236</v>
      </c>
      <c r="GR279" s="181">
        <v>0</v>
      </c>
      <c r="GS279" s="181">
        <v>0</v>
      </c>
      <c r="GT279" s="181">
        <v>0</v>
      </c>
    </row>
    <row r="280" spans="1:202">
      <c r="A280" s="181" t="s">
        <v>236</v>
      </c>
      <c r="GR280" s="181">
        <v>0</v>
      </c>
      <c r="GS280" s="181">
        <v>0</v>
      </c>
      <c r="GT280" s="181">
        <v>0</v>
      </c>
    </row>
    <row r="281" spans="1:202">
      <c r="A281" s="181" t="s">
        <v>236</v>
      </c>
      <c r="GR281" s="181">
        <v>0</v>
      </c>
      <c r="GS281" s="181">
        <v>0</v>
      </c>
      <c r="GT281" s="181">
        <v>0</v>
      </c>
    </row>
    <row r="282" spans="1:202">
      <c r="A282" s="181" t="s">
        <v>236</v>
      </c>
      <c r="GR282" s="181">
        <v>0</v>
      </c>
      <c r="GS282" s="181">
        <v>0</v>
      </c>
      <c r="GT282" s="181">
        <v>0</v>
      </c>
    </row>
    <row r="283" spans="1:202">
      <c r="A283" s="181" t="s">
        <v>236</v>
      </c>
      <c r="GR283" s="181">
        <v>0</v>
      </c>
      <c r="GS283" s="181">
        <v>0</v>
      </c>
      <c r="GT283" s="181">
        <v>0</v>
      </c>
    </row>
    <row r="284" spans="1:202">
      <c r="A284" s="181" t="s">
        <v>236</v>
      </c>
      <c r="GR284" s="181">
        <v>0</v>
      </c>
      <c r="GS284" s="181">
        <v>0</v>
      </c>
      <c r="GT284" s="181">
        <v>0</v>
      </c>
    </row>
    <row r="285" spans="1:202">
      <c r="A285" s="181" t="s">
        <v>236</v>
      </c>
      <c r="GR285" s="181">
        <v>0</v>
      </c>
      <c r="GS285" s="181">
        <v>0</v>
      </c>
      <c r="GT285" s="181">
        <v>0</v>
      </c>
    </row>
    <row r="286" spans="1:202">
      <c r="A286" s="181" t="s">
        <v>236</v>
      </c>
      <c r="GR286" s="181">
        <v>0</v>
      </c>
      <c r="GS286" s="181">
        <v>0</v>
      </c>
      <c r="GT286" s="181">
        <v>0</v>
      </c>
    </row>
    <row r="287" spans="1:202">
      <c r="A287" s="181" t="s">
        <v>236</v>
      </c>
      <c r="GR287" s="181">
        <v>0</v>
      </c>
      <c r="GS287" s="181">
        <v>0</v>
      </c>
      <c r="GT287" s="181">
        <v>0</v>
      </c>
    </row>
    <row r="288" spans="1:202">
      <c r="A288" s="181" t="s">
        <v>236</v>
      </c>
      <c r="GR288" s="181" t="s">
        <v>309</v>
      </c>
      <c r="GS288" s="181">
        <v>0</v>
      </c>
      <c r="GT288" s="181">
        <v>0</v>
      </c>
    </row>
    <row r="289" spans="1:202">
      <c r="A289" s="181" t="s">
        <v>236</v>
      </c>
      <c r="GR289" s="181" t="s">
        <v>309</v>
      </c>
      <c r="GS289" s="181">
        <v>0</v>
      </c>
      <c r="GT289" s="181">
        <v>0</v>
      </c>
    </row>
    <row r="290" spans="1:202">
      <c r="A290" s="181" t="s">
        <v>236</v>
      </c>
      <c r="GR290" s="181" t="s">
        <v>309</v>
      </c>
      <c r="GS290" s="181">
        <v>0</v>
      </c>
      <c r="GT290" s="181">
        <v>0</v>
      </c>
    </row>
    <row r="291" spans="1:202">
      <c r="A291" s="181" t="s">
        <v>236</v>
      </c>
      <c r="GS291" s="181">
        <v>6586773.8764009476</v>
      </c>
      <c r="GT291" s="181">
        <v>17015763.896315772</v>
      </c>
    </row>
    <row r="292" spans="1:202">
      <c r="A292" s="181" t="s">
        <v>236</v>
      </c>
      <c r="GR292" s="181" t="s">
        <v>875</v>
      </c>
      <c r="GS292" s="181">
        <v>0</v>
      </c>
      <c r="GT292" s="181">
        <v>0</v>
      </c>
    </row>
    <row r="293" spans="1:202">
      <c r="A293" s="181" t="s">
        <v>236</v>
      </c>
      <c r="GR293" s="181" t="s">
        <v>875</v>
      </c>
      <c r="GS293" s="181">
        <v>0</v>
      </c>
      <c r="GT293" s="181">
        <v>0</v>
      </c>
    </row>
    <row r="294" spans="1:202">
      <c r="A294" s="181" t="s">
        <v>236</v>
      </c>
      <c r="GR294" s="181" t="s">
        <v>875</v>
      </c>
      <c r="GS294" s="181">
        <v>0</v>
      </c>
      <c r="GT294" s="181">
        <v>0</v>
      </c>
    </row>
    <row r="295" spans="1:202">
      <c r="A295" s="181" t="s">
        <v>236</v>
      </c>
      <c r="GR295" s="181" t="s">
        <v>875</v>
      </c>
      <c r="GS295" s="181">
        <v>0</v>
      </c>
      <c r="GT295" s="181">
        <v>0</v>
      </c>
    </row>
    <row r="296" spans="1:202">
      <c r="A296" s="181" t="s">
        <v>236</v>
      </c>
      <c r="GR296" s="181" t="s">
        <v>875</v>
      </c>
      <c r="GS296" s="181">
        <v>0</v>
      </c>
      <c r="GT296" s="181">
        <v>0</v>
      </c>
    </row>
    <row r="297" spans="1:202">
      <c r="A297" s="181" t="s">
        <v>236</v>
      </c>
      <c r="GR297" s="181" t="s">
        <v>875</v>
      </c>
      <c r="GS297" s="181">
        <v>0</v>
      </c>
      <c r="GT297" s="181">
        <v>0</v>
      </c>
    </row>
    <row r="298" spans="1:202">
      <c r="A298" s="181" t="s">
        <v>236</v>
      </c>
      <c r="GR298" s="181" t="s">
        <v>310</v>
      </c>
      <c r="GS298" s="181">
        <v>0</v>
      </c>
      <c r="GT298" s="181">
        <v>0</v>
      </c>
    </row>
    <row r="299" spans="1:202">
      <c r="A299" s="181" t="s">
        <v>236</v>
      </c>
      <c r="GR299" s="181" t="s">
        <v>310</v>
      </c>
      <c r="GS299" s="181">
        <v>0</v>
      </c>
      <c r="GT299" s="181">
        <v>0</v>
      </c>
    </row>
    <row r="300" spans="1:202">
      <c r="A300" s="181" t="s">
        <v>236</v>
      </c>
      <c r="GR300" s="181" t="s">
        <v>310</v>
      </c>
      <c r="GS300" s="181">
        <v>0</v>
      </c>
      <c r="GT300" s="181">
        <v>0</v>
      </c>
    </row>
    <row r="301" spans="1:202">
      <c r="A301" s="181" t="s">
        <v>236</v>
      </c>
      <c r="GR301" s="181" t="s">
        <v>310</v>
      </c>
      <c r="GS301" s="181">
        <v>0</v>
      </c>
      <c r="GT301" s="181">
        <v>0</v>
      </c>
    </row>
    <row r="302" spans="1:202">
      <c r="A302" s="181" t="s">
        <v>236</v>
      </c>
      <c r="GR302" s="181" t="s">
        <v>876</v>
      </c>
      <c r="GS302" s="181">
        <v>0</v>
      </c>
      <c r="GT302" s="181">
        <v>0</v>
      </c>
    </row>
    <row r="303" spans="1:202">
      <c r="A303" s="181" t="s">
        <v>236</v>
      </c>
      <c r="GR303" s="181" t="s">
        <v>876</v>
      </c>
      <c r="GS303" s="181">
        <v>0</v>
      </c>
      <c r="GT303" s="181">
        <v>0</v>
      </c>
    </row>
    <row r="304" spans="1:202">
      <c r="A304" s="181" t="s">
        <v>236</v>
      </c>
      <c r="GR304" s="181" t="s">
        <v>876</v>
      </c>
      <c r="GS304" s="181">
        <v>0</v>
      </c>
      <c r="GT304" s="181">
        <v>0</v>
      </c>
    </row>
    <row r="305" spans="1:202">
      <c r="A305" s="181" t="s">
        <v>236</v>
      </c>
      <c r="GR305" s="181" t="s">
        <v>876</v>
      </c>
      <c r="GS305" s="181">
        <v>0</v>
      </c>
      <c r="GT305" s="181">
        <v>0</v>
      </c>
    </row>
    <row r="306" spans="1:202">
      <c r="A306" s="181" t="s">
        <v>236</v>
      </c>
      <c r="GR306" s="181" t="s">
        <v>876</v>
      </c>
      <c r="GS306" s="181">
        <v>0</v>
      </c>
      <c r="GT306" s="181">
        <v>0</v>
      </c>
    </row>
    <row r="307" spans="1:202">
      <c r="A307" s="181" t="s">
        <v>236</v>
      </c>
      <c r="GR307" s="181" t="s">
        <v>1709</v>
      </c>
      <c r="GS307" s="181">
        <v>0</v>
      </c>
      <c r="GT307" s="181">
        <v>0</v>
      </c>
    </row>
    <row r="308" spans="1:202">
      <c r="A308" s="181" t="s">
        <v>236</v>
      </c>
      <c r="GR308" s="181" t="s">
        <v>1710</v>
      </c>
      <c r="GS308" s="181">
        <v>3692.0095281818185</v>
      </c>
      <c r="GT308" s="181">
        <v>7777.3396854545454</v>
      </c>
    </row>
    <row r="309" spans="1:202">
      <c r="A309" s="181" t="s">
        <v>236</v>
      </c>
      <c r="GR309" s="181" t="s">
        <v>1335</v>
      </c>
      <c r="GS309" s="181">
        <v>9877.9599999999991</v>
      </c>
      <c r="GT309" s="181">
        <v>19755.919999999998</v>
      </c>
    </row>
    <row r="310" spans="1:202">
      <c r="A310" s="181" t="s">
        <v>236</v>
      </c>
      <c r="GR310" s="181" t="s">
        <v>1711</v>
      </c>
      <c r="GS310" s="181">
        <v>593.31999999999994</v>
      </c>
      <c r="GT310" s="181">
        <v>866.68</v>
      </c>
    </row>
    <row r="311" spans="1:202">
      <c r="A311" s="181" t="s">
        <v>236</v>
      </c>
      <c r="GR311" s="181" t="s">
        <v>1712</v>
      </c>
      <c r="GS311" s="181">
        <v>0</v>
      </c>
      <c r="GT311" s="181">
        <v>0</v>
      </c>
    </row>
    <row r="312" spans="1:202">
      <c r="A312" s="181" t="s">
        <v>236</v>
      </c>
      <c r="GR312" s="181" t="s">
        <v>333</v>
      </c>
      <c r="GS312" s="181">
        <v>20576.463909999999</v>
      </c>
      <c r="GT312" s="181">
        <v>20576.463909999999</v>
      </c>
    </row>
    <row r="313" spans="1:202">
      <c r="A313" s="181" t="s">
        <v>236</v>
      </c>
      <c r="GR313" s="181" t="s">
        <v>1713</v>
      </c>
      <c r="GS313" s="181">
        <v>0</v>
      </c>
      <c r="GT313" s="181">
        <v>0</v>
      </c>
    </row>
    <row r="314" spans="1:202">
      <c r="A314" s="181" t="s">
        <v>236</v>
      </c>
      <c r="GR314" s="181">
        <v>0</v>
      </c>
      <c r="GS314" s="181">
        <v>0</v>
      </c>
      <c r="GT314" s="181">
        <v>0</v>
      </c>
    </row>
    <row r="315" spans="1:202">
      <c r="A315" s="181" t="s">
        <v>236</v>
      </c>
      <c r="GR315" s="181">
        <v>0</v>
      </c>
      <c r="GS315" s="181">
        <v>0</v>
      </c>
      <c r="GT315" s="181">
        <v>0</v>
      </c>
    </row>
    <row r="316" spans="1:202">
      <c r="A316" s="181" t="s">
        <v>236</v>
      </c>
      <c r="GR316" s="181">
        <v>0</v>
      </c>
      <c r="GS316" s="181">
        <v>0</v>
      </c>
      <c r="GT316" s="181">
        <v>0</v>
      </c>
    </row>
    <row r="317" spans="1:202">
      <c r="A317" s="181" t="s">
        <v>236</v>
      </c>
      <c r="GR317" s="181">
        <v>0</v>
      </c>
      <c r="GS317" s="181">
        <v>0</v>
      </c>
      <c r="GT317" s="181">
        <v>0</v>
      </c>
    </row>
    <row r="318" spans="1:202">
      <c r="A318" s="181" t="s">
        <v>236</v>
      </c>
      <c r="GR318" s="181">
        <v>0</v>
      </c>
      <c r="GS318" s="181">
        <v>0</v>
      </c>
      <c r="GT318" s="181">
        <v>0</v>
      </c>
    </row>
    <row r="319" spans="1:202">
      <c r="A319" s="181" t="s">
        <v>236</v>
      </c>
      <c r="GR319" s="181">
        <v>0</v>
      </c>
      <c r="GS319" s="181">
        <v>0</v>
      </c>
      <c r="GT319" s="181">
        <v>0</v>
      </c>
    </row>
    <row r="320" spans="1:202">
      <c r="A320" s="181" t="s">
        <v>236</v>
      </c>
      <c r="GR320" s="181">
        <v>0</v>
      </c>
      <c r="GS320" s="181">
        <v>0</v>
      </c>
      <c r="GT320" s="181">
        <v>0</v>
      </c>
    </row>
    <row r="321" spans="1:202">
      <c r="A321" s="181" t="s">
        <v>236</v>
      </c>
      <c r="GR321" s="181">
        <v>0</v>
      </c>
      <c r="GS321" s="181">
        <v>0</v>
      </c>
      <c r="GT321" s="181">
        <v>0</v>
      </c>
    </row>
    <row r="322" spans="1:202">
      <c r="A322" s="181" t="s">
        <v>236</v>
      </c>
      <c r="GS322" s="181">
        <v>34739.753438181819</v>
      </c>
      <c r="GT322" s="181">
        <v>48976.403595454547</v>
      </c>
    </row>
    <row r="323" spans="1:202">
      <c r="A323" s="181" t="s">
        <v>236</v>
      </c>
      <c r="GR323" s="181" t="s">
        <v>309</v>
      </c>
      <c r="GS323" s="181">
        <v>0</v>
      </c>
      <c r="GT323" s="181">
        <v>0</v>
      </c>
    </row>
    <row r="324" spans="1:202">
      <c r="A324" s="181" t="s">
        <v>236</v>
      </c>
      <c r="GS324" s="181">
        <v>6621513.6298391297</v>
      </c>
      <c r="GT324" s="181">
        <v>17064740.299911223</v>
      </c>
    </row>
    <row r="325" spans="1:202">
      <c r="A325" s="181" t="s">
        <v>236</v>
      </c>
      <c r="GR325" s="181" t="s">
        <v>312</v>
      </c>
      <c r="GS325" s="181">
        <v>0</v>
      </c>
      <c r="GT325" s="181">
        <v>0</v>
      </c>
    </row>
    <row r="326" spans="1:202">
      <c r="A326" s="181" t="s">
        <v>236</v>
      </c>
      <c r="GR326" s="181" t="s">
        <v>312</v>
      </c>
      <c r="GS326" s="181">
        <v>0</v>
      </c>
      <c r="GT326" s="181">
        <v>0</v>
      </c>
    </row>
    <row r="327" spans="1:202">
      <c r="A327" s="181" t="s">
        <v>236</v>
      </c>
      <c r="GR327" s="181" t="s">
        <v>312</v>
      </c>
      <c r="GS327" s="181">
        <v>0</v>
      </c>
      <c r="GT327" s="181">
        <v>0</v>
      </c>
    </row>
    <row r="328" spans="1:202">
      <c r="A328" s="181" t="s">
        <v>236</v>
      </c>
      <c r="GR328" s="181" t="s">
        <v>312</v>
      </c>
      <c r="GS328" s="181">
        <v>0</v>
      </c>
      <c r="GT328" s="181">
        <v>0</v>
      </c>
    </row>
    <row r="329" spans="1:202">
      <c r="A329" s="181" t="s">
        <v>236</v>
      </c>
      <c r="GR329" s="181" t="s">
        <v>312</v>
      </c>
      <c r="GS329" s="181">
        <v>0</v>
      </c>
      <c r="GT329" s="181">
        <v>0</v>
      </c>
    </row>
    <row r="330" spans="1:202">
      <c r="A330" s="181" t="s">
        <v>236</v>
      </c>
      <c r="GR330" s="181" t="s">
        <v>312</v>
      </c>
      <c r="GS330" s="181">
        <v>0</v>
      </c>
      <c r="GT330" s="181">
        <v>0</v>
      </c>
    </row>
    <row r="331" spans="1:202">
      <c r="A331" s="181" t="s">
        <v>236</v>
      </c>
      <c r="GR331" s="181" t="s">
        <v>312</v>
      </c>
      <c r="GS331" s="181">
        <v>0</v>
      </c>
      <c r="GT331" s="181">
        <v>0</v>
      </c>
    </row>
    <row r="332" spans="1:202">
      <c r="A332" s="181" t="s">
        <v>236</v>
      </c>
      <c r="GR332" s="181" t="s">
        <v>877</v>
      </c>
      <c r="GS332" s="181">
        <v>0</v>
      </c>
      <c r="GT332" s="181">
        <v>0</v>
      </c>
    </row>
    <row r="333" spans="1:202">
      <c r="A333" s="181" t="s">
        <v>236</v>
      </c>
      <c r="GR333" s="181" t="s">
        <v>1714</v>
      </c>
      <c r="GS333" s="181">
        <v>3105282.6205598288</v>
      </c>
      <c r="GT333" s="181">
        <v>8958954.8185631298</v>
      </c>
    </row>
    <row r="334" spans="1:202">
      <c r="A334" s="181" t="s">
        <v>236</v>
      </c>
      <c r="GR334" s="181" t="s">
        <v>878</v>
      </c>
      <c r="GS334" s="181">
        <v>0</v>
      </c>
      <c r="GT334" s="181">
        <v>0</v>
      </c>
    </row>
    <row r="335" spans="1:202">
      <c r="A335" s="181" t="s">
        <v>236</v>
      </c>
      <c r="GR335" s="181" t="s">
        <v>878</v>
      </c>
      <c r="GS335" s="181">
        <v>0</v>
      </c>
      <c r="GT335" s="181">
        <v>0</v>
      </c>
    </row>
    <row r="336" spans="1:202">
      <c r="A336" s="181" t="s">
        <v>236</v>
      </c>
      <c r="GR336" s="181" t="s">
        <v>878</v>
      </c>
      <c r="GS336" s="181">
        <v>0</v>
      </c>
      <c r="GT336" s="181">
        <v>0</v>
      </c>
    </row>
    <row r="337" spans="1:202">
      <c r="A337" s="181" t="s">
        <v>236</v>
      </c>
      <c r="GR337" s="181" t="s">
        <v>878</v>
      </c>
      <c r="GS337" s="181">
        <v>0</v>
      </c>
      <c r="GT337" s="181">
        <v>0</v>
      </c>
    </row>
    <row r="338" spans="1:202">
      <c r="A338" s="181" t="s">
        <v>236</v>
      </c>
      <c r="GR338" s="181" t="s">
        <v>878</v>
      </c>
      <c r="GS338" s="181">
        <v>0</v>
      </c>
      <c r="GT338" s="181">
        <v>0</v>
      </c>
    </row>
    <row r="339" spans="1:202">
      <c r="A339" s="181" t="s">
        <v>236</v>
      </c>
      <c r="GR339" s="181" t="s">
        <v>878</v>
      </c>
      <c r="GS339" s="181">
        <v>0</v>
      </c>
      <c r="GT339" s="181">
        <v>0</v>
      </c>
    </row>
    <row r="340" spans="1:202">
      <c r="A340" s="181" t="s">
        <v>236</v>
      </c>
      <c r="GR340" s="181" t="s">
        <v>878</v>
      </c>
      <c r="GS340" s="181">
        <v>0</v>
      </c>
      <c r="GT340" s="181">
        <v>0</v>
      </c>
    </row>
    <row r="341" spans="1:202">
      <c r="A341" s="181" t="s">
        <v>236</v>
      </c>
      <c r="GR341" s="181" t="s">
        <v>878</v>
      </c>
      <c r="GS341" s="181">
        <v>0</v>
      </c>
      <c r="GT341" s="181">
        <v>0</v>
      </c>
    </row>
    <row r="342" spans="1:202">
      <c r="A342" s="181" t="s">
        <v>236</v>
      </c>
      <c r="GR342" s="181" t="s">
        <v>879</v>
      </c>
      <c r="GS342" s="181">
        <v>0</v>
      </c>
      <c r="GT342" s="181">
        <v>0</v>
      </c>
    </row>
    <row r="343" spans="1:202">
      <c r="A343" s="181" t="s">
        <v>236</v>
      </c>
      <c r="GR343" s="181" t="s">
        <v>1715</v>
      </c>
      <c r="GS343" s="181">
        <v>0</v>
      </c>
      <c r="GT343" s="181">
        <v>0</v>
      </c>
    </row>
    <row r="344" spans="1:202">
      <c r="A344" s="181" t="s">
        <v>236</v>
      </c>
      <c r="GR344" s="181" t="s">
        <v>880</v>
      </c>
      <c r="GS344" s="181">
        <v>0</v>
      </c>
      <c r="GT344" s="181">
        <v>0</v>
      </c>
    </row>
    <row r="345" spans="1:202">
      <c r="A345" s="181" t="s">
        <v>236</v>
      </c>
      <c r="GR345" s="181" t="s">
        <v>1677</v>
      </c>
      <c r="GS345" s="181">
        <v>951205.90514936787</v>
      </c>
      <c r="GT345" s="181">
        <v>2033184.2628734196</v>
      </c>
    </row>
    <row r="346" spans="1:202">
      <c r="A346" s="181" t="s">
        <v>236</v>
      </c>
      <c r="GR346" s="181" t="s">
        <v>1716</v>
      </c>
      <c r="GS346" s="181">
        <v>0</v>
      </c>
      <c r="GT346" s="181">
        <v>0</v>
      </c>
    </row>
    <row r="347" spans="1:202">
      <c r="A347" s="181" t="s">
        <v>236</v>
      </c>
      <c r="GR347" s="181" t="s">
        <v>1717</v>
      </c>
      <c r="GS347" s="181">
        <v>0</v>
      </c>
      <c r="GT347" s="181">
        <v>0</v>
      </c>
    </row>
    <row r="348" spans="1:202">
      <c r="A348" s="181" t="s">
        <v>236</v>
      </c>
      <c r="GR348" s="181" t="s">
        <v>1718</v>
      </c>
      <c r="GS348" s="181">
        <v>0</v>
      </c>
      <c r="GT348" s="181">
        <v>0</v>
      </c>
    </row>
    <row r="349" spans="1:202">
      <c r="A349" s="181" t="s">
        <v>236</v>
      </c>
      <c r="GR349" s="181">
        <v>0</v>
      </c>
      <c r="GS349" s="181">
        <v>0</v>
      </c>
      <c r="GT349" s="181">
        <v>0</v>
      </c>
    </row>
    <row r="350" spans="1:202">
      <c r="A350" s="181" t="s">
        <v>236</v>
      </c>
      <c r="GR350" s="181">
        <v>0</v>
      </c>
      <c r="GS350" s="181">
        <v>0</v>
      </c>
      <c r="GT350" s="181">
        <v>0</v>
      </c>
    </row>
    <row r="351" spans="1:202">
      <c r="A351" s="181" t="s">
        <v>236</v>
      </c>
      <c r="GR351" s="181">
        <v>0</v>
      </c>
      <c r="GS351" s="181">
        <v>0</v>
      </c>
      <c r="GT351" s="181">
        <v>0</v>
      </c>
    </row>
    <row r="352" spans="1:202">
      <c r="A352" s="181" t="s">
        <v>236</v>
      </c>
      <c r="GR352" s="181">
        <v>0</v>
      </c>
      <c r="GS352" s="181">
        <v>0</v>
      </c>
      <c r="GT352" s="181">
        <v>0</v>
      </c>
    </row>
    <row r="353" spans="1:202">
      <c r="A353" s="181" t="s">
        <v>236</v>
      </c>
      <c r="GR353" s="181">
        <v>0</v>
      </c>
      <c r="GS353" s="181">
        <v>0</v>
      </c>
      <c r="GT353" s="181">
        <v>0</v>
      </c>
    </row>
    <row r="354" spans="1:202">
      <c r="A354" s="181" t="s">
        <v>236</v>
      </c>
      <c r="GR354" s="181">
        <v>0</v>
      </c>
      <c r="GS354" s="181">
        <v>0</v>
      </c>
      <c r="GT354" s="181">
        <v>0</v>
      </c>
    </row>
    <row r="355" spans="1:202">
      <c r="A355" s="181" t="s">
        <v>236</v>
      </c>
      <c r="GR355" s="181">
        <v>0</v>
      </c>
      <c r="GS355" s="181">
        <v>0</v>
      </c>
      <c r="GT355" s="181">
        <v>0</v>
      </c>
    </row>
    <row r="356" spans="1:202">
      <c r="A356" s="181" t="s">
        <v>236</v>
      </c>
      <c r="GR356" s="181">
        <v>0</v>
      </c>
      <c r="GS356" s="181">
        <v>0</v>
      </c>
      <c r="GT356" s="181">
        <v>0</v>
      </c>
    </row>
    <row r="357" spans="1:202">
      <c r="A357" s="181" t="s">
        <v>236</v>
      </c>
      <c r="GR357" s="181">
        <v>0</v>
      </c>
      <c r="GS357" s="181">
        <v>0</v>
      </c>
      <c r="GT357" s="181">
        <v>0</v>
      </c>
    </row>
    <row r="358" spans="1:202">
      <c r="A358" s="181" t="s">
        <v>236</v>
      </c>
      <c r="GR358" s="181">
        <v>0</v>
      </c>
      <c r="GS358" s="181">
        <v>0</v>
      </c>
      <c r="GT358" s="181">
        <v>0</v>
      </c>
    </row>
    <row r="359" spans="1:202">
      <c r="A359" s="181" t="s">
        <v>236</v>
      </c>
      <c r="GR359" s="181">
        <v>0</v>
      </c>
      <c r="GS359" s="181">
        <v>0</v>
      </c>
      <c r="GT359" s="181">
        <v>0</v>
      </c>
    </row>
    <row r="360" spans="1:202">
      <c r="A360" s="181" t="s">
        <v>236</v>
      </c>
      <c r="GR360" s="181">
        <v>0</v>
      </c>
      <c r="GS360" s="181">
        <v>0</v>
      </c>
      <c r="GT360" s="181">
        <v>0</v>
      </c>
    </row>
    <row r="361" spans="1:202">
      <c r="A361" s="181" t="s">
        <v>236</v>
      </c>
      <c r="GR361" s="181" t="s">
        <v>1719</v>
      </c>
      <c r="GS361" s="181">
        <v>51244.574920977786</v>
      </c>
      <c r="GT361" s="181">
        <v>120711.93730244446</v>
      </c>
    </row>
    <row r="362" spans="1:202">
      <c r="A362" s="181" t="s">
        <v>236</v>
      </c>
      <c r="GR362" s="181" t="s">
        <v>876</v>
      </c>
      <c r="GS362" s="181">
        <v>0</v>
      </c>
      <c r="GT362" s="181">
        <v>0</v>
      </c>
    </row>
    <row r="363" spans="1:202">
      <c r="A363" s="181" t="s">
        <v>236</v>
      </c>
      <c r="GR363" s="181" t="s">
        <v>876</v>
      </c>
      <c r="GS363" s="181">
        <v>0</v>
      </c>
      <c r="GT363" s="181">
        <v>0</v>
      </c>
    </row>
    <row r="364" spans="1:202">
      <c r="A364" s="181" t="s">
        <v>236</v>
      </c>
      <c r="GR364" s="181" t="s">
        <v>882</v>
      </c>
      <c r="GS364" s="181">
        <v>0</v>
      </c>
      <c r="GT364" s="181">
        <v>0</v>
      </c>
    </row>
    <row r="365" spans="1:202">
      <c r="A365" s="181" t="s">
        <v>236</v>
      </c>
      <c r="GR365" s="181" t="s">
        <v>882</v>
      </c>
      <c r="GS365" s="181">
        <v>0</v>
      </c>
      <c r="GT365" s="181">
        <v>0</v>
      </c>
    </row>
    <row r="366" spans="1:202">
      <c r="A366" s="181" t="s">
        <v>236</v>
      </c>
      <c r="GR366" s="181" t="s">
        <v>882</v>
      </c>
      <c r="GS366" s="181">
        <v>0</v>
      </c>
      <c r="GT366" s="181">
        <v>0</v>
      </c>
    </row>
    <row r="367" spans="1:202">
      <c r="A367" s="181" t="s">
        <v>236</v>
      </c>
      <c r="GR367" s="181" t="s">
        <v>882</v>
      </c>
      <c r="GS367" s="181">
        <v>0</v>
      </c>
      <c r="GT367" s="181">
        <v>0</v>
      </c>
    </row>
    <row r="368" spans="1:202">
      <c r="A368" s="181" t="s">
        <v>236</v>
      </c>
      <c r="GR368" s="181" t="s">
        <v>882</v>
      </c>
      <c r="GS368" s="181">
        <v>0</v>
      </c>
      <c r="GT368" s="181">
        <v>0</v>
      </c>
    </row>
    <row r="369" spans="1:202">
      <c r="A369" s="181" t="s">
        <v>236</v>
      </c>
      <c r="GR369" s="181" t="s">
        <v>882</v>
      </c>
      <c r="GS369" s="181">
        <v>0</v>
      </c>
      <c r="GT369" s="181">
        <v>0</v>
      </c>
    </row>
    <row r="370" spans="1:202">
      <c r="A370" s="181" t="s">
        <v>236</v>
      </c>
      <c r="GR370" s="181" t="s">
        <v>882</v>
      </c>
      <c r="GS370" s="181">
        <v>0</v>
      </c>
      <c r="GT370" s="181">
        <v>0</v>
      </c>
    </row>
    <row r="371" spans="1:202">
      <c r="A371" s="181" t="s">
        <v>236</v>
      </c>
      <c r="GR371" s="181" t="s">
        <v>882</v>
      </c>
      <c r="GS371" s="181">
        <v>0</v>
      </c>
      <c r="GT371" s="181">
        <v>0</v>
      </c>
    </row>
    <row r="372" spans="1:202">
      <c r="A372" s="181" t="s">
        <v>236</v>
      </c>
      <c r="GR372" s="181" t="s">
        <v>882</v>
      </c>
      <c r="GS372" s="181">
        <v>0</v>
      </c>
      <c r="GT372" s="181">
        <v>0</v>
      </c>
    </row>
    <row r="373" spans="1:202">
      <c r="A373" s="181" t="s">
        <v>236</v>
      </c>
      <c r="GR373" s="181" t="s">
        <v>883</v>
      </c>
      <c r="GS373" s="181">
        <v>0</v>
      </c>
      <c r="GT373" s="181">
        <v>0</v>
      </c>
    </row>
    <row r="374" spans="1:202">
      <c r="A374" s="181" t="s">
        <v>236</v>
      </c>
      <c r="GR374" s="181" t="s">
        <v>873</v>
      </c>
      <c r="GS374" s="181">
        <v>0</v>
      </c>
      <c r="GT374" s="181">
        <v>0</v>
      </c>
    </row>
    <row r="375" spans="1:202">
      <c r="A375" s="181" t="s">
        <v>236</v>
      </c>
      <c r="GR375" s="181" t="s">
        <v>873</v>
      </c>
      <c r="GS375" s="181">
        <v>0</v>
      </c>
      <c r="GT375" s="181">
        <v>0</v>
      </c>
    </row>
    <row r="376" spans="1:202">
      <c r="A376" s="181" t="s">
        <v>236</v>
      </c>
      <c r="GR376" s="181" t="s">
        <v>873</v>
      </c>
      <c r="GS376" s="181">
        <v>0</v>
      </c>
      <c r="GT376" s="181">
        <v>0</v>
      </c>
    </row>
    <row r="377" spans="1:202">
      <c r="A377" s="181" t="s">
        <v>236</v>
      </c>
      <c r="GR377" s="181" t="s">
        <v>873</v>
      </c>
      <c r="GS377" s="181">
        <v>0</v>
      </c>
      <c r="GT377" s="181">
        <v>0</v>
      </c>
    </row>
    <row r="378" spans="1:202">
      <c r="A378" s="181" t="s">
        <v>236</v>
      </c>
      <c r="GR378" s="181" t="s">
        <v>308</v>
      </c>
      <c r="GS378" s="181">
        <v>0</v>
      </c>
      <c r="GT378" s="181">
        <v>0</v>
      </c>
    </row>
    <row r="379" spans="1:202">
      <c r="A379" s="181" t="s">
        <v>236</v>
      </c>
      <c r="GR379" s="181" t="s">
        <v>874</v>
      </c>
      <c r="GS379" s="181">
        <v>0</v>
      </c>
      <c r="GT379" s="181">
        <v>0</v>
      </c>
    </row>
    <row r="380" spans="1:202">
      <c r="A380" s="181" t="s">
        <v>236</v>
      </c>
      <c r="GR380" s="181" t="s">
        <v>874</v>
      </c>
      <c r="GS380" s="181">
        <v>0</v>
      </c>
      <c r="GT380" s="181">
        <v>0</v>
      </c>
    </row>
    <row r="381" spans="1:202">
      <c r="A381" s="181" t="s">
        <v>236</v>
      </c>
      <c r="GR381" s="181" t="s">
        <v>874</v>
      </c>
      <c r="GS381" s="181">
        <v>0</v>
      </c>
      <c r="GT381" s="181">
        <v>0</v>
      </c>
    </row>
    <row r="382" spans="1:202">
      <c r="A382" s="181" t="s">
        <v>236</v>
      </c>
      <c r="GR382" s="181" t="s">
        <v>874</v>
      </c>
      <c r="GS382" s="181">
        <v>0</v>
      </c>
      <c r="GT382" s="181">
        <v>0</v>
      </c>
    </row>
    <row r="383" spans="1:202">
      <c r="A383" s="181" t="s">
        <v>236</v>
      </c>
      <c r="GR383" s="181" t="s">
        <v>870</v>
      </c>
      <c r="GS383" s="181">
        <v>252437.66488912224</v>
      </c>
      <c r="GT383" s="181">
        <v>614613.66222280555</v>
      </c>
    </row>
    <row r="384" spans="1:202">
      <c r="A384" s="181" t="s">
        <v>236</v>
      </c>
      <c r="GR384" s="181" t="s">
        <v>482</v>
      </c>
      <c r="GS384" s="181">
        <v>316647.27695604437</v>
      </c>
      <c r="GT384" s="181">
        <v>656856.69239011093</v>
      </c>
    </row>
    <row r="385" spans="1:202">
      <c r="A385" s="181" t="s">
        <v>236</v>
      </c>
      <c r="GR385" s="181" t="s">
        <v>1720</v>
      </c>
      <c r="GS385" s="181">
        <v>551609.8326960667</v>
      </c>
      <c r="GT385" s="181">
        <v>1212619.0817401668</v>
      </c>
    </row>
    <row r="386" spans="1:202">
      <c r="A386" s="181" t="s">
        <v>236</v>
      </c>
      <c r="GR386" s="181" t="s">
        <v>1721</v>
      </c>
      <c r="GS386" s="181">
        <v>535807.74454525567</v>
      </c>
      <c r="GT386" s="181">
        <v>1324634.8613631392</v>
      </c>
    </row>
    <row r="387" spans="1:202">
      <c r="A387" s="181" t="s">
        <v>236</v>
      </c>
      <c r="GS387" s="181">
        <v>5764235.6197166638</v>
      </c>
      <c r="GT387" s="181">
        <v>14921575.316455215</v>
      </c>
    </row>
    <row r="388" spans="1:202">
      <c r="A388" s="181" t="s">
        <v>236</v>
      </c>
      <c r="GR388" s="181" t="s">
        <v>165</v>
      </c>
      <c r="GS388" s="181">
        <v>503468</v>
      </c>
      <c r="GT388" s="181">
        <v>1725433</v>
      </c>
    </row>
    <row r="389" spans="1:202">
      <c r="A389" s="181" t="s">
        <v>236</v>
      </c>
      <c r="GR389" s="181" t="s">
        <v>875</v>
      </c>
      <c r="GS389" s="181">
        <v>0</v>
      </c>
      <c r="GT389" s="181">
        <v>0</v>
      </c>
    </row>
    <row r="390" spans="1:202">
      <c r="A390" s="181" t="s">
        <v>236</v>
      </c>
      <c r="GR390" s="181" t="s">
        <v>875</v>
      </c>
      <c r="GS390" s="181">
        <v>0</v>
      </c>
      <c r="GT390" s="181">
        <v>0</v>
      </c>
    </row>
    <row r="391" spans="1:202">
      <c r="A391" s="181" t="s">
        <v>236</v>
      </c>
      <c r="GR391" s="181" t="s">
        <v>875</v>
      </c>
      <c r="GS391" s="181">
        <v>0</v>
      </c>
      <c r="GT391" s="181">
        <v>0</v>
      </c>
    </row>
    <row r="392" spans="1:202">
      <c r="A392" s="181" t="s">
        <v>236</v>
      </c>
      <c r="GR392" s="181" t="s">
        <v>875</v>
      </c>
      <c r="GS392" s="181">
        <v>0</v>
      </c>
      <c r="GT392" s="181">
        <v>0</v>
      </c>
    </row>
    <row r="393" spans="1:202">
      <c r="A393" s="181" t="s">
        <v>236</v>
      </c>
      <c r="GR393" s="181" t="s">
        <v>875</v>
      </c>
      <c r="GS393" s="181">
        <v>0</v>
      </c>
      <c r="GT393" s="181">
        <v>0</v>
      </c>
    </row>
    <row r="394" spans="1:202">
      <c r="A394" s="181" t="s">
        <v>236</v>
      </c>
      <c r="GR394" s="181" t="s">
        <v>310</v>
      </c>
      <c r="GS394" s="181">
        <v>0</v>
      </c>
      <c r="GT394" s="181">
        <v>0</v>
      </c>
    </row>
    <row r="395" spans="1:202">
      <c r="A395" s="181" t="s">
        <v>236</v>
      </c>
      <c r="GR395" s="181" t="s">
        <v>310</v>
      </c>
      <c r="GS395" s="181">
        <v>0</v>
      </c>
      <c r="GT395" s="181">
        <v>0</v>
      </c>
    </row>
    <row r="396" spans="1:202">
      <c r="A396" s="181" t="s">
        <v>236</v>
      </c>
      <c r="GR396" s="181" t="s">
        <v>310</v>
      </c>
      <c r="GS396" s="181">
        <v>0</v>
      </c>
      <c r="GT396" s="181">
        <v>0</v>
      </c>
    </row>
    <row r="397" spans="1:202">
      <c r="A397" s="181" t="s">
        <v>236</v>
      </c>
      <c r="GR397" s="181" t="s">
        <v>310</v>
      </c>
      <c r="GS397" s="181">
        <v>0</v>
      </c>
      <c r="GT397" s="181">
        <v>0</v>
      </c>
    </row>
    <row r="398" spans="1:202">
      <c r="A398" s="181" t="s">
        <v>236</v>
      </c>
      <c r="GR398" s="181" t="s">
        <v>310</v>
      </c>
      <c r="GS398" s="181">
        <v>0</v>
      </c>
      <c r="GT398" s="181">
        <v>0</v>
      </c>
    </row>
    <row r="399" spans="1:202">
      <c r="A399" s="181" t="s">
        <v>236</v>
      </c>
      <c r="GR399" s="181" t="s">
        <v>310</v>
      </c>
      <c r="GS399" s="181">
        <v>0</v>
      </c>
      <c r="GT399" s="181">
        <v>0</v>
      </c>
    </row>
    <row r="400" spans="1:202">
      <c r="A400" s="181" t="s">
        <v>236</v>
      </c>
      <c r="GR400" s="181" t="s">
        <v>310</v>
      </c>
      <c r="GS400" s="181">
        <v>0</v>
      </c>
      <c r="GT400" s="181">
        <v>0</v>
      </c>
    </row>
    <row r="401" spans="1:202">
      <c r="A401" s="181" t="s">
        <v>236</v>
      </c>
      <c r="GR401" s="181" t="s">
        <v>310</v>
      </c>
      <c r="GS401" s="181">
        <v>0</v>
      </c>
      <c r="GT401" s="181">
        <v>0</v>
      </c>
    </row>
    <row r="402" spans="1:202">
      <c r="A402" s="181" t="s">
        <v>236</v>
      </c>
      <c r="GR402" s="181" t="s">
        <v>876</v>
      </c>
      <c r="GS402" s="181">
        <v>0</v>
      </c>
      <c r="GT402" s="181">
        <v>0</v>
      </c>
    </row>
    <row r="403" spans="1:202">
      <c r="A403" s="181" t="s">
        <v>236</v>
      </c>
      <c r="GR403" s="181" t="s">
        <v>876</v>
      </c>
      <c r="GS403" s="181">
        <v>0</v>
      </c>
      <c r="GT403" s="181">
        <v>0</v>
      </c>
    </row>
    <row r="404" spans="1:202">
      <c r="A404" s="181" t="s">
        <v>236</v>
      </c>
      <c r="GR404" s="181" t="s">
        <v>876</v>
      </c>
      <c r="GS404" s="181">
        <v>0</v>
      </c>
      <c r="GT404" s="181">
        <v>0</v>
      </c>
    </row>
    <row r="405" spans="1:202">
      <c r="A405" s="181" t="s">
        <v>236</v>
      </c>
      <c r="GR405" s="181" t="s">
        <v>876</v>
      </c>
      <c r="GS405" s="181">
        <v>0</v>
      </c>
      <c r="GT405" s="181">
        <v>0</v>
      </c>
    </row>
    <row r="406" spans="1:202">
      <c r="A406" s="181" t="s">
        <v>236</v>
      </c>
      <c r="GR406" s="181" t="s">
        <v>876</v>
      </c>
      <c r="GS406" s="181">
        <v>0</v>
      </c>
      <c r="GT406" s="181">
        <v>0</v>
      </c>
    </row>
    <row r="407" spans="1:202">
      <c r="A407" s="181" t="s">
        <v>236</v>
      </c>
      <c r="GR407" s="181" t="s">
        <v>911</v>
      </c>
      <c r="GS407" s="181">
        <v>0</v>
      </c>
      <c r="GT407" s="181">
        <v>0</v>
      </c>
    </row>
    <row r="408" spans="1:202">
      <c r="A408" s="181" t="s">
        <v>236</v>
      </c>
      <c r="GR408" s="181" t="s">
        <v>912</v>
      </c>
      <c r="GS408" s="181">
        <v>0</v>
      </c>
      <c r="GT408" s="181">
        <v>0</v>
      </c>
    </row>
    <row r="409" spans="1:202">
      <c r="A409" s="181" t="s">
        <v>236</v>
      </c>
      <c r="GR409" s="181" t="s">
        <v>913</v>
      </c>
      <c r="GS409" s="181">
        <v>0</v>
      </c>
      <c r="GT409" s="181">
        <v>0</v>
      </c>
    </row>
    <row r="410" spans="1:202">
      <c r="A410" s="181" t="s">
        <v>236</v>
      </c>
      <c r="GR410" s="181" t="s">
        <v>885</v>
      </c>
      <c r="GS410" s="181">
        <v>0</v>
      </c>
      <c r="GT410" s="181">
        <v>0</v>
      </c>
    </row>
    <row r="411" spans="1:202">
      <c r="A411" s="181" t="s">
        <v>236</v>
      </c>
      <c r="GR411" s="181" t="s">
        <v>333</v>
      </c>
      <c r="GS411" s="181">
        <v>0</v>
      </c>
      <c r="GT411" s="181">
        <v>0</v>
      </c>
    </row>
    <row r="412" spans="1:202">
      <c r="A412" s="181" t="s">
        <v>236</v>
      </c>
      <c r="GR412" s="181">
        <v>0</v>
      </c>
      <c r="GS412" s="181">
        <v>0</v>
      </c>
      <c r="GT412" s="181">
        <v>0</v>
      </c>
    </row>
    <row r="413" spans="1:202">
      <c r="A413" s="181" t="s">
        <v>236</v>
      </c>
      <c r="GR413" s="181">
        <v>0</v>
      </c>
      <c r="GS413" s="181">
        <v>0</v>
      </c>
      <c r="GT413" s="181">
        <v>0</v>
      </c>
    </row>
    <row r="414" spans="1:202">
      <c r="A414" s="181" t="s">
        <v>236</v>
      </c>
      <c r="GR414" s="181">
        <v>0</v>
      </c>
      <c r="GS414" s="181">
        <v>0</v>
      </c>
      <c r="GT414" s="181">
        <v>0</v>
      </c>
    </row>
    <row r="415" spans="1:202">
      <c r="A415" s="181" t="s">
        <v>236</v>
      </c>
      <c r="GR415" s="181">
        <v>0</v>
      </c>
      <c r="GS415" s="181">
        <v>0</v>
      </c>
      <c r="GT415" s="181">
        <v>0</v>
      </c>
    </row>
    <row r="416" spans="1:202">
      <c r="A416" s="181" t="s">
        <v>236</v>
      </c>
      <c r="GR416" s="181">
        <v>0</v>
      </c>
      <c r="GS416" s="181">
        <v>0</v>
      </c>
      <c r="GT416" s="181">
        <v>0</v>
      </c>
    </row>
    <row r="417" spans="1:202">
      <c r="A417" s="181" t="s">
        <v>236</v>
      </c>
      <c r="GR417" s="181">
        <v>0</v>
      </c>
      <c r="GS417" s="181">
        <v>0</v>
      </c>
      <c r="GT417" s="181">
        <v>0</v>
      </c>
    </row>
    <row r="418" spans="1:202">
      <c r="A418" s="181" t="s">
        <v>236</v>
      </c>
      <c r="GR418" s="181">
        <v>0</v>
      </c>
      <c r="GS418" s="181">
        <v>0</v>
      </c>
      <c r="GT418" s="181">
        <v>0</v>
      </c>
    </row>
    <row r="419" spans="1:202">
      <c r="A419" s="181" t="s">
        <v>236</v>
      </c>
      <c r="GR419" s="181">
        <v>0</v>
      </c>
      <c r="GS419" s="181">
        <v>0</v>
      </c>
      <c r="GT419" s="181">
        <v>0</v>
      </c>
    </row>
    <row r="420" spans="1:202">
      <c r="A420" s="181" t="s">
        <v>236</v>
      </c>
      <c r="GR420" s="181">
        <v>0</v>
      </c>
      <c r="GS420" s="181">
        <v>0</v>
      </c>
      <c r="GT420" s="181">
        <v>0</v>
      </c>
    </row>
    <row r="421" spans="1:202">
      <c r="A421" s="181" t="s">
        <v>236</v>
      </c>
      <c r="GR421" s="181">
        <v>0</v>
      </c>
      <c r="GS421" s="181">
        <v>0</v>
      </c>
      <c r="GT421" s="181">
        <v>0</v>
      </c>
    </row>
    <row r="422" spans="1:202">
      <c r="A422" s="181" t="s">
        <v>236</v>
      </c>
      <c r="GS422" s="181">
        <v>503468</v>
      </c>
      <c r="GT422" s="181">
        <v>1725433</v>
      </c>
    </row>
    <row r="423" spans="1:202">
      <c r="A423" s="181" t="s">
        <v>236</v>
      </c>
      <c r="GR423" s="181" t="s">
        <v>1722</v>
      </c>
      <c r="GS423" s="181">
        <v>72007.537534000003</v>
      </c>
      <c r="GT423" s="181">
        <v>144015.07506800001</v>
      </c>
    </row>
    <row r="424" spans="1:202">
      <c r="A424" s="181" t="s">
        <v>236</v>
      </c>
      <c r="GS424" s="181">
        <v>6339711.1572506633</v>
      </c>
      <c r="GT424" s="181">
        <v>16791023.391523212</v>
      </c>
    </row>
    <row r="425" spans="1:202">
      <c r="A425" s="181" t="s">
        <v>236</v>
      </c>
      <c r="GS425" s="181">
        <v>281802.47258846543</v>
      </c>
      <c r="GT425" s="181">
        <v>273716.90838801104</v>
      </c>
    </row>
    <row r="426" spans="1:202">
      <c r="A426" s="181" t="s">
        <v>236</v>
      </c>
      <c r="GS426" s="181">
        <v>338655.77346700057</v>
      </c>
      <c r="GT426" s="181">
        <v>338655.77346700057</v>
      </c>
    </row>
    <row r="427" spans="1:202">
      <c r="A427" s="181" t="s">
        <v>236</v>
      </c>
      <c r="GS427" s="181">
        <v>0</v>
      </c>
    </row>
    <row r="428" spans="1:202">
      <c r="A428" s="181" t="s">
        <v>236</v>
      </c>
    </row>
    <row r="429" spans="1:202">
      <c r="A429" s="181" t="s">
        <v>236</v>
      </c>
    </row>
    <row r="430" spans="1:202">
      <c r="A430" s="181" t="s">
        <v>236</v>
      </c>
    </row>
    <row r="431" spans="1:202">
      <c r="A431" s="181" t="s">
        <v>236</v>
      </c>
    </row>
    <row r="432" spans="1:202">
      <c r="A432" s="181" t="s">
        <v>236</v>
      </c>
    </row>
    <row r="433" spans="1:1">
      <c r="A433" s="181" t="s">
        <v>236</v>
      </c>
    </row>
    <row r="434" spans="1:1">
      <c r="A434" s="181" t="s">
        <v>236</v>
      </c>
    </row>
    <row r="435" spans="1:1">
      <c r="A435" s="181" t="s">
        <v>236</v>
      </c>
    </row>
    <row r="436" spans="1:1">
      <c r="A436" s="181" t="s">
        <v>236</v>
      </c>
    </row>
    <row r="437" spans="1:1">
      <c r="A437" s="181" t="s">
        <v>236</v>
      </c>
    </row>
    <row r="438" spans="1:1">
      <c r="A438" s="181" t="s">
        <v>236</v>
      </c>
    </row>
    <row r="439" spans="1:1">
      <c r="A439" s="181" t="s">
        <v>236</v>
      </c>
    </row>
    <row r="440" spans="1:1">
      <c r="A440" s="181" t="s">
        <v>236</v>
      </c>
    </row>
    <row r="441" spans="1:1">
      <c r="A441" s="181" t="s">
        <v>236</v>
      </c>
    </row>
    <row r="442" spans="1:1">
      <c r="A442" s="181" t="s">
        <v>236</v>
      </c>
    </row>
    <row r="443" spans="1:1">
      <c r="A443" s="181" t="s">
        <v>236</v>
      </c>
    </row>
    <row r="444" spans="1:1">
      <c r="A444" s="181" t="s">
        <v>236</v>
      </c>
    </row>
    <row r="445" spans="1:1">
      <c r="A445" s="181" t="s">
        <v>236</v>
      </c>
    </row>
    <row r="446" spans="1:1">
      <c r="A446" s="181" t="s">
        <v>236</v>
      </c>
    </row>
    <row r="447" spans="1:1">
      <c r="A447" s="181" t="s">
        <v>236</v>
      </c>
    </row>
    <row r="448" spans="1:1">
      <c r="A448" s="181" t="s">
        <v>236</v>
      </c>
    </row>
    <row r="449" spans="1:235">
      <c r="A449" s="181" t="s">
        <v>236</v>
      </c>
    </row>
    <row r="450" spans="1:235">
      <c r="A450" s="181" t="s">
        <v>236</v>
      </c>
    </row>
    <row r="451" spans="1:235">
      <c r="A451" s="181" t="s">
        <v>236</v>
      </c>
    </row>
    <row r="452" spans="1:235">
      <c r="A452" s="181" t="s">
        <v>236</v>
      </c>
    </row>
    <row r="453" spans="1:235">
      <c r="A453" s="181" t="s">
        <v>236</v>
      </c>
    </row>
    <row r="454" spans="1:235">
      <c r="A454" s="181" t="s">
        <v>236</v>
      </c>
    </row>
    <row r="455" spans="1:235">
      <c r="A455" s="181" t="s">
        <v>236</v>
      </c>
    </row>
    <row r="456" spans="1:235">
      <c r="A456" s="181" t="s">
        <v>236</v>
      </c>
    </row>
    <row r="457" spans="1:235">
      <c r="A457" s="181" t="s">
        <v>236</v>
      </c>
    </row>
    <row r="458" spans="1:235">
      <c r="A458" s="181" t="s">
        <v>236</v>
      </c>
    </row>
    <row r="459" spans="1:235">
      <c r="A459" s="181" t="s">
        <v>236</v>
      </c>
    </row>
    <row r="460" spans="1:235">
      <c r="A460" s="181" t="s">
        <v>236</v>
      </c>
    </row>
    <row r="461" spans="1:235">
      <c r="A461" s="181" t="s">
        <v>236</v>
      </c>
    </row>
    <row r="462" spans="1:235">
      <c r="A462" s="181" t="s">
        <v>236</v>
      </c>
    </row>
    <row r="463" spans="1:235">
      <c r="A463" s="181" t="s">
        <v>236</v>
      </c>
    </row>
    <row r="464" spans="1:235" ht="18.75" customHeight="1">
      <c r="A464" s="181" t="s">
        <v>237</v>
      </c>
      <c r="B464" s="181" t="s">
        <v>1158</v>
      </c>
      <c r="C464" s="181" t="s">
        <v>1110</v>
      </c>
      <c r="D464" s="181" t="s">
        <v>1305</v>
      </c>
      <c r="E464" s="181" t="s">
        <v>1151</v>
      </c>
      <c r="F464" s="181" t="s">
        <v>2118</v>
      </c>
      <c r="G464" s="181">
        <v>15999980</v>
      </c>
      <c r="H464" s="181">
        <v>9</v>
      </c>
      <c r="I464" s="183" t="s">
        <v>2108</v>
      </c>
      <c r="J464" s="181" t="s">
        <v>2112</v>
      </c>
      <c r="K464" s="181">
        <v>100</v>
      </c>
      <c r="L464" s="181" t="s">
        <v>933</v>
      </c>
      <c r="M464" s="181">
        <v>1</v>
      </c>
      <c r="N464" s="181" t="s">
        <v>2043</v>
      </c>
      <c r="O464" s="181" t="s">
        <v>2041</v>
      </c>
      <c r="P464" s="181">
        <v>0</v>
      </c>
      <c r="Q464" s="181">
        <v>100</v>
      </c>
      <c r="R464" s="181">
        <v>0</v>
      </c>
      <c r="S464" s="181">
        <v>0</v>
      </c>
      <c r="BA464" s="181" t="s">
        <v>1159</v>
      </c>
      <c r="BB464" s="181" t="s">
        <v>666</v>
      </c>
      <c r="BK464" s="181" t="s">
        <v>971</v>
      </c>
      <c r="BL464" s="181">
        <v>7357.7627990758556</v>
      </c>
      <c r="BM464" s="181">
        <v>14715.525598151711</v>
      </c>
      <c r="BU464" s="181" t="s">
        <v>1634</v>
      </c>
      <c r="BV464" s="181">
        <v>0</v>
      </c>
      <c r="BW464" s="181">
        <v>0</v>
      </c>
      <c r="BZ464" s="181">
        <v>69606.741215309594</v>
      </c>
      <c r="CA464" s="181">
        <v>0</v>
      </c>
      <c r="CB464" s="181">
        <v>0</v>
      </c>
      <c r="DE464" s="181" t="s">
        <v>1159</v>
      </c>
      <c r="DF464" s="181" t="s">
        <v>666</v>
      </c>
      <c r="DL464" s="181">
        <v>134320</v>
      </c>
      <c r="DM464" s="181">
        <v>120888</v>
      </c>
      <c r="DN464" s="181" t="s">
        <v>971</v>
      </c>
      <c r="DO464" s="181">
        <v>12629.214860009819</v>
      </c>
      <c r="DP464" s="181">
        <v>25258.429720019638</v>
      </c>
      <c r="DX464" s="181" t="s">
        <v>1634</v>
      </c>
      <c r="DY464" s="181">
        <v>0</v>
      </c>
      <c r="DZ464" s="181">
        <v>0</v>
      </c>
      <c r="EC464" s="181">
        <v>16485.01232395984</v>
      </c>
      <c r="ED464" s="181">
        <v>0</v>
      </c>
      <c r="EE464" s="181">
        <v>0</v>
      </c>
      <c r="FY464" s="181">
        <v>0</v>
      </c>
      <c r="FZ464" s="181">
        <v>5</v>
      </c>
      <c r="GA464" s="181">
        <v>0</v>
      </c>
      <c r="GB464" s="181">
        <v>0</v>
      </c>
      <c r="GC464" s="181">
        <v>5</v>
      </c>
      <c r="GD464" s="181">
        <v>0</v>
      </c>
      <c r="GR464" s="181" t="s">
        <v>176</v>
      </c>
      <c r="GS464" s="181">
        <v>0</v>
      </c>
      <c r="GT464" s="181">
        <v>0</v>
      </c>
      <c r="HD464" s="181" t="s">
        <v>971</v>
      </c>
      <c r="HE464" s="181">
        <v>17369.76147330246</v>
      </c>
      <c r="HF464" s="181">
        <v>34739.52294660492</v>
      </c>
      <c r="HG464" s="181" t="s">
        <v>1634</v>
      </c>
      <c r="HH464" s="181">
        <v>0</v>
      </c>
      <c r="HI464" s="181">
        <v>0</v>
      </c>
      <c r="HL464" s="181" t="s">
        <v>932</v>
      </c>
      <c r="HY464" s="181" t="s">
        <v>2124</v>
      </c>
      <c r="HZ464" s="181">
        <v>0</v>
      </c>
      <c r="IA464" s="181">
        <v>305851</v>
      </c>
    </row>
    <row r="465" spans="1:224">
      <c r="A465" s="181" t="s">
        <v>237</v>
      </c>
      <c r="B465" s="181" t="s">
        <v>1161</v>
      </c>
      <c r="C465" s="181" t="s">
        <v>1110</v>
      </c>
      <c r="D465" s="181" t="s">
        <v>1162</v>
      </c>
      <c r="E465" s="181" t="s">
        <v>200</v>
      </c>
      <c r="F465" s="181" t="s">
        <v>2117</v>
      </c>
      <c r="G465" s="181">
        <v>10</v>
      </c>
      <c r="I465" s="183" t="s">
        <v>2109</v>
      </c>
      <c r="J465" s="181" t="s">
        <v>2113</v>
      </c>
      <c r="K465" s="181">
        <v>100</v>
      </c>
      <c r="L465" s="181" t="s">
        <v>933</v>
      </c>
      <c r="M465" s="181">
        <v>1</v>
      </c>
      <c r="N465" s="181" t="s">
        <v>2114</v>
      </c>
      <c r="O465" s="181" t="s">
        <v>2115</v>
      </c>
      <c r="P465" s="181">
        <v>0</v>
      </c>
      <c r="Q465" s="181">
        <v>0</v>
      </c>
      <c r="R465" s="181">
        <v>0</v>
      </c>
      <c r="S465" s="181">
        <v>0</v>
      </c>
      <c r="BK465" s="181" t="s">
        <v>1164</v>
      </c>
      <c r="BL465" s="181">
        <v>1506.7780733193579</v>
      </c>
      <c r="BM465" s="181">
        <v>3013.5561466387157</v>
      </c>
      <c r="BU465" s="181" t="s">
        <v>916</v>
      </c>
      <c r="BV465" s="181">
        <v>411.85312433217263</v>
      </c>
      <c r="BW465" s="181">
        <v>741.33562379791067</v>
      </c>
      <c r="CA465" s="181">
        <v>69606.741215309594</v>
      </c>
      <c r="CB465" s="181">
        <v>69606.741215309594</v>
      </c>
      <c r="DL465" s="181">
        <v>19</v>
      </c>
      <c r="DM465" s="181">
        <v>19</v>
      </c>
      <c r="DN465" s="181" t="s">
        <v>1164</v>
      </c>
      <c r="DO465" s="181">
        <v>1869.0061296612728</v>
      </c>
      <c r="DP465" s="181">
        <v>3738.0122593225456</v>
      </c>
      <c r="DX465" s="181" t="s">
        <v>916</v>
      </c>
      <c r="DY465" s="181">
        <v>2096.9234793736132</v>
      </c>
      <c r="DZ465" s="181">
        <v>3774.4622628725037</v>
      </c>
      <c r="ED465" s="181">
        <v>16485.01232395984</v>
      </c>
      <c r="EE465" s="181">
        <v>16485.01232395984</v>
      </c>
      <c r="FY465" s="181">
        <v>0</v>
      </c>
      <c r="FZ465" s="181">
        <v>0</v>
      </c>
      <c r="GA465" s="181">
        <v>0</v>
      </c>
      <c r="GB465" s="181">
        <v>0</v>
      </c>
      <c r="GC465" s="181">
        <v>0</v>
      </c>
      <c r="GD465" s="181">
        <v>0</v>
      </c>
      <c r="GR465" s="181" t="s">
        <v>177</v>
      </c>
      <c r="GS465" s="181">
        <v>0</v>
      </c>
      <c r="GT465" s="181">
        <v>0</v>
      </c>
      <c r="HD465" s="181" t="s">
        <v>1164</v>
      </c>
      <c r="HE465" s="181">
        <v>1085.731749612622</v>
      </c>
      <c r="HF465" s="181">
        <v>2171.463499225244</v>
      </c>
      <c r="HG465" s="181" t="s">
        <v>1150</v>
      </c>
      <c r="HH465" s="181">
        <v>143.854330826405</v>
      </c>
      <c r="HI465" s="181">
        <v>258.937795487529</v>
      </c>
      <c r="HL465" s="181" t="s">
        <v>1224</v>
      </c>
      <c r="HM465" s="181">
        <v>100000</v>
      </c>
      <c r="HN465" s="181">
        <v>100000</v>
      </c>
      <c r="HO465" s="181">
        <v>184129</v>
      </c>
      <c r="HP465" s="181">
        <v>184129</v>
      </c>
    </row>
    <row r="466" spans="1:224" ht="19.5" customHeight="1">
      <c r="A466" s="181" t="s">
        <v>237</v>
      </c>
      <c r="B466" s="181" t="s">
        <v>2116</v>
      </c>
      <c r="C466" s="181" t="s">
        <v>919</v>
      </c>
      <c r="D466" s="181" t="s">
        <v>333</v>
      </c>
      <c r="E466" s="181" t="s">
        <v>200</v>
      </c>
      <c r="F466" s="181" t="s">
        <v>669</v>
      </c>
      <c r="G466" s="181">
        <v>10</v>
      </c>
      <c r="I466" s="183" t="s">
        <v>2110</v>
      </c>
      <c r="BK466" s="181" t="s">
        <v>922</v>
      </c>
      <c r="BL466" s="181">
        <v>1622.798788519088</v>
      </c>
      <c r="BM466" s="181">
        <v>3245.597577038176</v>
      </c>
      <c r="BU466" s="181" t="s">
        <v>887</v>
      </c>
      <c r="BV466" s="181">
        <v>766.13216271768692</v>
      </c>
      <c r="BW466" s="181">
        <v>1379.0378928918362</v>
      </c>
      <c r="DL466" s="181">
        <v>0</v>
      </c>
      <c r="DM466" s="181">
        <v>0</v>
      </c>
      <c r="DN466" s="181" t="s">
        <v>922</v>
      </c>
      <c r="DO466" s="181">
        <v>2754.8596305536448</v>
      </c>
      <c r="DP466" s="181">
        <v>5509.7192611072896</v>
      </c>
      <c r="DX466" s="181" t="s">
        <v>887</v>
      </c>
      <c r="DY466" s="181">
        <v>9707.7960228450156</v>
      </c>
      <c r="DZ466" s="181">
        <v>17474.032841121028</v>
      </c>
      <c r="FY466" s="181">
        <v>0</v>
      </c>
      <c r="FZ466" s="181">
        <v>9</v>
      </c>
      <c r="GA466" s="181">
        <v>0</v>
      </c>
      <c r="GB466" s="181">
        <v>0</v>
      </c>
      <c r="GC466" s="181">
        <v>9</v>
      </c>
      <c r="GD466" s="181">
        <v>0</v>
      </c>
      <c r="GR466" s="181" t="s">
        <v>178</v>
      </c>
      <c r="GS466" s="181">
        <v>0</v>
      </c>
      <c r="GT466" s="181">
        <v>0</v>
      </c>
      <c r="HD466" s="181" t="s">
        <v>972</v>
      </c>
      <c r="HE466" s="181">
        <v>3530.4751357062942</v>
      </c>
      <c r="HF466" s="181">
        <v>7060.9502714125883</v>
      </c>
      <c r="HG466" s="181" t="s">
        <v>887</v>
      </c>
      <c r="HH466" s="181">
        <v>2444.8046619706311</v>
      </c>
      <c r="HI466" s="181">
        <v>4400.6483915471363</v>
      </c>
      <c r="HL466" s="181" t="s">
        <v>1670</v>
      </c>
    </row>
    <row r="467" spans="1:224">
      <c r="A467" s="181" t="s">
        <v>237</v>
      </c>
      <c r="I467" s="183" t="s">
        <v>2111</v>
      </c>
      <c r="BK467" s="181" t="s">
        <v>1040</v>
      </c>
      <c r="BL467" s="181">
        <v>1052.6622124190101</v>
      </c>
      <c r="BM467" s="181">
        <v>2105.3244248380201</v>
      </c>
      <c r="BU467" s="181" t="s">
        <v>482</v>
      </c>
      <c r="BV467" s="181">
        <v>175.19249541499158</v>
      </c>
      <c r="BW467" s="181">
        <v>315.34649174698484</v>
      </c>
      <c r="DN467" s="181" t="s">
        <v>1040</v>
      </c>
      <c r="DO467" s="181">
        <v>2046.0234508151073</v>
      </c>
      <c r="DP467" s="181">
        <v>4092.0469016302145</v>
      </c>
      <c r="DX467" s="181" t="s">
        <v>482</v>
      </c>
      <c r="DY467" s="181">
        <v>1673.8727878914633</v>
      </c>
      <c r="DZ467" s="181">
        <v>3012.9710182046338</v>
      </c>
      <c r="FY467" s="181">
        <v>0</v>
      </c>
      <c r="FZ467" s="181">
        <v>0</v>
      </c>
      <c r="GA467" s="181">
        <v>0</v>
      </c>
      <c r="GB467" s="181">
        <v>0</v>
      </c>
      <c r="GC467" s="181">
        <v>0</v>
      </c>
      <c r="GD467" s="181">
        <v>0</v>
      </c>
      <c r="GR467" s="181" t="s">
        <v>1707</v>
      </c>
      <c r="GS467" s="181">
        <v>0</v>
      </c>
      <c r="GT467" s="181">
        <v>0</v>
      </c>
      <c r="HD467" s="181" t="s">
        <v>915</v>
      </c>
      <c r="HE467" s="181">
        <v>3073.2096859133003</v>
      </c>
      <c r="HF467" s="181">
        <v>6146.4193718266006</v>
      </c>
      <c r="HG467" s="181" t="s">
        <v>1163</v>
      </c>
      <c r="HH467" s="181">
        <v>1603.5146819509478</v>
      </c>
      <c r="HI467" s="181">
        <v>2886.3264275117062</v>
      </c>
      <c r="HL467" s="181" t="s">
        <v>2120</v>
      </c>
    </row>
    <row r="468" spans="1:224">
      <c r="A468" s="181" t="s">
        <v>237</v>
      </c>
      <c r="I468" s="183" t="s">
        <v>2024</v>
      </c>
      <c r="BK468" s="181" t="s">
        <v>915</v>
      </c>
      <c r="BL468" s="181">
        <v>786.63291669722616</v>
      </c>
      <c r="BM468" s="181">
        <v>1573.2658333944523</v>
      </c>
      <c r="BU468" s="181" t="s">
        <v>1160</v>
      </c>
      <c r="BV468" s="181">
        <v>607.2960806981896</v>
      </c>
      <c r="BW468" s="181">
        <v>1093.1329452567413</v>
      </c>
      <c r="DN468" s="181" t="s">
        <v>915</v>
      </c>
      <c r="DO468" s="181">
        <v>1249.1764959400086</v>
      </c>
      <c r="DP468" s="181">
        <v>2498.3529918800173</v>
      </c>
      <c r="DX468" s="181" t="s">
        <v>1160</v>
      </c>
      <c r="DY468" s="181">
        <v>5980.8637540785921</v>
      </c>
      <c r="DZ468" s="181">
        <v>10765.554757341466</v>
      </c>
      <c r="FY468" s="181">
        <v>0</v>
      </c>
      <c r="FZ468" s="181">
        <v>4</v>
      </c>
      <c r="GA468" s="181">
        <v>0</v>
      </c>
      <c r="GB468" s="181">
        <v>0</v>
      </c>
      <c r="GC468" s="181">
        <v>4</v>
      </c>
      <c r="GD468" s="181">
        <v>0</v>
      </c>
      <c r="GR468" s="181" t="s">
        <v>175</v>
      </c>
      <c r="GS468" s="181">
        <v>0</v>
      </c>
      <c r="GT468" s="181">
        <v>0</v>
      </c>
      <c r="HD468" s="181" t="s">
        <v>1040</v>
      </c>
      <c r="HE468" s="181">
        <v>1923.3504092102521</v>
      </c>
      <c r="HF468" s="181">
        <v>3846.7008184205042</v>
      </c>
      <c r="HG468" s="181" t="s">
        <v>929</v>
      </c>
      <c r="HH468" s="181">
        <v>2568.7743999999998</v>
      </c>
      <c r="HI468" s="181">
        <v>4623.7939200000001</v>
      </c>
      <c r="HL468" s="181" t="s">
        <v>1742</v>
      </c>
    </row>
    <row r="469" spans="1:224">
      <c r="A469" s="181" t="s">
        <v>237</v>
      </c>
      <c r="I469" s="181" t="s">
        <v>2020</v>
      </c>
      <c r="BK469" s="181" t="s">
        <v>927</v>
      </c>
      <c r="BL469" s="181">
        <v>454.63097085982969</v>
      </c>
      <c r="BM469" s="181">
        <v>909.26194171965938</v>
      </c>
      <c r="BU469" s="181" t="s">
        <v>333</v>
      </c>
      <c r="BW469" s="181">
        <v>0</v>
      </c>
      <c r="DN469" s="181" t="s">
        <v>927</v>
      </c>
      <c r="DO469" s="181">
        <v>817.15746923368397</v>
      </c>
      <c r="DP469" s="181">
        <v>1634.3149384673679</v>
      </c>
      <c r="DX469" s="181" t="s">
        <v>333</v>
      </c>
      <c r="DZ469" s="181">
        <v>0</v>
      </c>
      <c r="GR469" s="181" t="s">
        <v>871</v>
      </c>
      <c r="GS469" s="181">
        <v>0</v>
      </c>
      <c r="GT469" s="181">
        <v>0</v>
      </c>
      <c r="HD469" s="181" t="s">
        <v>927</v>
      </c>
      <c r="HE469" s="181">
        <v>777.57327598739755</v>
      </c>
      <c r="HF469" s="181">
        <v>1555.1465519747951</v>
      </c>
      <c r="HG469" s="181" t="s">
        <v>2119</v>
      </c>
      <c r="HH469" s="181">
        <v>5</v>
      </c>
      <c r="HI469" s="181">
        <v>9</v>
      </c>
      <c r="HL469" s="181" t="s">
        <v>917</v>
      </c>
      <c r="HM469" s="181">
        <v>102459.32400514209</v>
      </c>
      <c r="HN469" s="181">
        <v>102459.32400514209</v>
      </c>
    </row>
    <row r="470" spans="1:224">
      <c r="A470" s="181" t="s">
        <v>237</v>
      </c>
      <c r="I470" s="181" t="s">
        <v>2021</v>
      </c>
      <c r="GR470" s="181" t="s">
        <v>871</v>
      </c>
      <c r="GS470" s="181">
        <v>0</v>
      </c>
      <c r="GT470" s="181">
        <v>0</v>
      </c>
      <c r="HG470" s="181" t="s">
        <v>1160</v>
      </c>
      <c r="HH470" s="181">
        <v>2230.3284549298833</v>
      </c>
      <c r="HI470" s="181">
        <v>4014.5912188737898</v>
      </c>
      <c r="HL470" s="181" t="s">
        <v>2121</v>
      </c>
    </row>
    <row r="471" spans="1:224">
      <c r="A471" s="181" t="s">
        <v>237</v>
      </c>
      <c r="I471" s="181" t="s">
        <v>2022</v>
      </c>
      <c r="GR471" s="181" t="s">
        <v>871</v>
      </c>
      <c r="GS471" s="181">
        <v>0</v>
      </c>
      <c r="GT471" s="181">
        <v>0</v>
      </c>
      <c r="HG471" s="181" t="s">
        <v>482</v>
      </c>
      <c r="HH471" s="181">
        <v>649.53534819021206</v>
      </c>
      <c r="HI471" s="181">
        <v>1169.1636267423819</v>
      </c>
      <c r="HL471" s="181">
        <v>0</v>
      </c>
    </row>
    <row r="472" spans="1:224">
      <c r="A472" s="181" t="s">
        <v>237</v>
      </c>
      <c r="I472" s="181" t="s">
        <v>2023</v>
      </c>
      <c r="GR472" s="181" t="s">
        <v>871</v>
      </c>
      <c r="GS472" s="181">
        <v>0</v>
      </c>
      <c r="GT472" s="181">
        <v>0</v>
      </c>
      <c r="HG472" s="181" t="s">
        <v>916</v>
      </c>
      <c r="HH472" s="181">
        <v>302.39596955980863</v>
      </c>
      <c r="HI472" s="181">
        <v>544.31274520765555</v>
      </c>
      <c r="HL472" s="181">
        <v>0</v>
      </c>
    </row>
    <row r="473" spans="1:224">
      <c r="A473" s="181" t="s">
        <v>237</v>
      </c>
      <c r="GR473" s="181" t="s">
        <v>871</v>
      </c>
      <c r="GS473" s="181">
        <v>0</v>
      </c>
      <c r="GT473" s="181">
        <v>0</v>
      </c>
      <c r="HG473" s="181" t="s">
        <v>1142</v>
      </c>
      <c r="HH473" s="181">
        <v>2.5</v>
      </c>
      <c r="HI473" s="181">
        <v>4.5</v>
      </c>
      <c r="HL473" s="181">
        <v>0</v>
      </c>
    </row>
    <row r="474" spans="1:224">
      <c r="A474" s="181" t="s">
        <v>237</v>
      </c>
      <c r="GR474" s="181" t="s">
        <v>871</v>
      </c>
      <c r="GS474" s="181">
        <v>0</v>
      </c>
      <c r="GT474" s="181">
        <v>0</v>
      </c>
      <c r="HG474" s="181" t="s">
        <v>752</v>
      </c>
      <c r="HH474" s="181">
        <v>3.75</v>
      </c>
      <c r="HI474" s="181">
        <v>6.75</v>
      </c>
      <c r="HL474" s="181">
        <v>0</v>
      </c>
    </row>
    <row r="475" spans="1:224">
      <c r="A475" s="181" t="s">
        <v>237</v>
      </c>
      <c r="GR475" s="181" t="s">
        <v>871</v>
      </c>
      <c r="GS475" s="181">
        <v>0</v>
      </c>
      <c r="GT475" s="181">
        <v>0</v>
      </c>
      <c r="HG475" s="181" t="s">
        <v>333</v>
      </c>
      <c r="HI475" s="181">
        <v>0</v>
      </c>
      <c r="HL475" s="181">
        <v>0</v>
      </c>
    </row>
    <row r="476" spans="1:224">
      <c r="A476" s="181" t="s">
        <v>237</v>
      </c>
      <c r="GR476" s="181" t="s">
        <v>871</v>
      </c>
      <c r="GS476" s="181">
        <v>0</v>
      </c>
      <c r="GT476" s="181">
        <v>0</v>
      </c>
      <c r="HL476" s="181">
        <v>0</v>
      </c>
    </row>
    <row r="477" spans="1:224">
      <c r="A477" s="181" t="s">
        <v>237</v>
      </c>
      <c r="GR477" s="181" t="s">
        <v>871</v>
      </c>
      <c r="GS477" s="181">
        <v>0</v>
      </c>
      <c r="GT477" s="181">
        <v>0</v>
      </c>
      <c r="HL477" s="181">
        <v>0</v>
      </c>
    </row>
    <row r="478" spans="1:224">
      <c r="A478" s="181" t="s">
        <v>237</v>
      </c>
      <c r="GR478" s="181" t="s">
        <v>872</v>
      </c>
      <c r="GS478" s="181">
        <v>0</v>
      </c>
      <c r="GT478" s="181">
        <v>0</v>
      </c>
      <c r="HL478" s="181">
        <v>0</v>
      </c>
    </row>
    <row r="479" spans="1:224">
      <c r="A479" s="181" t="s">
        <v>237</v>
      </c>
      <c r="GR479" s="181" t="s">
        <v>873</v>
      </c>
      <c r="GS479" s="181">
        <v>0</v>
      </c>
      <c r="GT479" s="181">
        <v>0</v>
      </c>
      <c r="HL479" s="181">
        <v>0</v>
      </c>
    </row>
    <row r="480" spans="1:224">
      <c r="A480" s="181" t="s">
        <v>237</v>
      </c>
      <c r="GR480" s="181" t="s">
        <v>873</v>
      </c>
      <c r="GS480" s="181">
        <v>0</v>
      </c>
      <c r="GT480" s="181">
        <v>0</v>
      </c>
    </row>
    <row r="481" spans="1:202">
      <c r="A481" s="181" t="s">
        <v>237</v>
      </c>
      <c r="GR481" s="181" t="s">
        <v>873</v>
      </c>
      <c r="GS481" s="181">
        <v>0</v>
      </c>
      <c r="GT481" s="181">
        <v>0</v>
      </c>
    </row>
    <row r="482" spans="1:202">
      <c r="A482" s="181" t="s">
        <v>237</v>
      </c>
      <c r="GR482" s="181" t="s">
        <v>873</v>
      </c>
      <c r="GS482" s="181">
        <v>0</v>
      </c>
      <c r="GT482" s="181">
        <v>0</v>
      </c>
    </row>
    <row r="483" spans="1:202">
      <c r="A483" s="181" t="s">
        <v>237</v>
      </c>
      <c r="GR483" s="181" t="s">
        <v>308</v>
      </c>
      <c r="GS483" s="181">
        <v>0</v>
      </c>
      <c r="GT483" s="181">
        <v>0</v>
      </c>
    </row>
    <row r="484" spans="1:202">
      <c r="A484" s="181" t="s">
        <v>237</v>
      </c>
      <c r="GR484" s="181" t="s">
        <v>874</v>
      </c>
      <c r="GS484" s="181">
        <v>0</v>
      </c>
      <c r="GT484" s="181">
        <v>0</v>
      </c>
    </row>
    <row r="485" spans="1:202">
      <c r="A485" s="181" t="s">
        <v>237</v>
      </c>
      <c r="GR485" s="181" t="s">
        <v>874</v>
      </c>
      <c r="GS485" s="181">
        <v>0</v>
      </c>
      <c r="GT485" s="181">
        <v>0</v>
      </c>
    </row>
    <row r="486" spans="1:202">
      <c r="A486" s="181" t="s">
        <v>237</v>
      </c>
      <c r="GR486" s="181" t="s">
        <v>874</v>
      </c>
      <c r="GS486" s="181">
        <v>0</v>
      </c>
      <c r="GT486" s="181">
        <v>0</v>
      </c>
    </row>
    <row r="487" spans="1:202">
      <c r="A487" s="181" t="s">
        <v>237</v>
      </c>
      <c r="GR487" s="181" t="s">
        <v>874</v>
      </c>
      <c r="GS487" s="181">
        <v>0</v>
      </c>
      <c r="GT487" s="181">
        <v>0</v>
      </c>
    </row>
    <row r="488" spans="1:202">
      <c r="A488" s="181" t="s">
        <v>237</v>
      </c>
      <c r="GR488" s="181">
        <v>0</v>
      </c>
      <c r="GS488" s="181">
        <v>0</v>
      </c>
      <c r="GT488" s="181">
        <v>0</v>
      </c>
    </row>
    <row r="489" spans="1:202">
      <c r="A489" s="181" t="s">
        <v>237</v>
      </c>
      <c r="GR489" s="181">
        <v>0</v>
      </c>
      <c r="GS489" s="181">
        <v>0</v>
      </c>
      <c r="GT489" s="181">
        <v>0</v>
      </c>
    </row>
    <row r="490" spans="1:202">
      <c r="A490" s="181" t="s">
        <v>237</v>
      </c>
      <c r="GR490" s="181">
        <v>0</v>
      </c>
      <c r="GS490" s="181">
        <v>0</v>
      </c>
      <c r="GT490" s="181">
        <v>0</v>
      </c>
    </row>
    <row r="491" spans="1:202">
      <c r="A491" s="181" t="s">
        <v>237</v>
      </c>
      <c r="GR491" s="181">
        <v>0</v>
      </c>
      <c r="GS491" s="181">
        <v>0</v>
      </c>
      <c r="GT491" s="181">
        <v>0</v>
      </c>
    </row>
    <row r="492" spans="1:202">
      <c r="A492" s="181" t="s">
        <v>237</v>
      </c>
      <c r="GR492" s="181">
        <v>0</v>
      </c>
      <c r="GS492" s="181">
        <v>0</v>
      </c>
      <c r="GT492" s="181">
        <v>0</v>
      </c>
    </row>
    <row r="493" spans="1:202">
      <c r="A493" s="181" t="s">
        <v>237</v>
      </c>
      <c r="GR493" s="181">
        <v>0</v>
      </c>
      <c r="GS493" s="181">
        <v>0</v>
      </c>
      <c r="GT493" s="181">
        <v>0</v>
      </c>
    </row>
    <row r="494" spans="1:202">
      <c r="A494" s="181" t="s">
        <v>237</v>
      </c>
      <c r="GR494" s="181">
        <v>0</v>
      </c>
      <c r="GS494" s="181">
        <v>0</v>
      </c>
      <c r="GT494" s="181">
        <v>0</v>
      </c>
    </row>
    <row r="495" spans="1:202">
      <c r="A495" s="181" t="s">
        <v>237</v>
      </c>
      <c r="GR495" s="181">
        <v>0</v>
      </c>
      <c r="GS495" s="181">
        <v>0</v>
      </c>
      <c r="GT495" s="181">
        <v>0</v>
      </c>
    </row>
    <row r="496" spans="1:202">
      <c r="A496" s="181" t="s">
        <v>237</v>
      </c>
      <c r="GR496" s="181">
        <v>0</v>
      </c>
      <c r="GS496" s="181">
        <v>0</v>
      </c>
      <c r="GT496" s="181">
        <v>0</v>
      </c>
    </row>
    <row r="497" spans="1:202">
      <c r="A497" s="181" t="s">
        <v>237</v>
      </c>
      <c r="GR497" s="181">
        <v>0</v>
      </c>
      <c r="GS497" s="181">
        <v>0</v>
      </c>
      <c r="GT497" s="181">
        <v>0</v>
      </c>
    </row>
    <row r="498" spans="1:202">
      <c r="A498" s="181" t="s">
        <v>237</v>
      </c>
      <c r="GR498" s="181">
        <v>0</v>
      </c>
      <c r="GS498" s="181">
        <v>0</v>
      </c>
      <c r="GT498" s="181">
        <v>0</v>
      </c>
    </row>
    <row r="499" spans="1:202">
      <c r="A499" s="181" t="s">
        <v>237</v>
      </c>
      <c r="GR499" s="181">
        <v>0</v>
      </c>
      <c r="GS499" s="181">
        <v>0</v>
      </c>
      <c r="GT499" s="181">
        <v>0</v>
      </c>
    </row>
    <row r="500" spans="1:202">
      <c r="A500" s="181" t="s">
        <v>237</v>
      </c>
      <c r="GR500" s="181">
        <v>0</v>
      </c>
      <c r="GS500" s="181">
        <v>0</v>
      </c>
      <c r="GT500" s="181">
        <v>0</v>
      </c>
    </row>
    <row r="501" spans="1:202">
      <c r="A501" s="181" t="s">
        <v>237</v>
      </c>
      <c r="GR501" s="181">
        <v>0</v>
      </c>
      <c r="GS501" s="181">
        <v>0</v>
      </c>
      <c r="GT501" s="181">
        <v>0</v>
      </c>
    </row>
    <row r="502" spans="1:202">
      <c r="A502" s="181" t="s">
        <v>237</v>
      </c>
      <c r="GR502" s="181">
        <v>0</v>
      </c>
      <c r="GS502" s="181">
        <v>0</v>
      </c>
      <c r="GT502" s="181">
        <v>0</v>
      </c>
    </row>
    <row r="503" spans="1:202">
      <c r="A503" s="181" t="s">
        <v>237</v>
      </c>
      <c r="GR503" s="181" t="s">
        <v>309</v>
      </c>
      <c r="GS503" s="181">
        <v>0</v>
      </c>
      <c r="GT503" s="181">
        <v>0</v>
      </c>
    </row>
    <row r="504" spans="1:202">
      <c r="A504" s="181" t="s">
        <v>237</v>
      </c>
      <c r="GR504" s="181" t="s">
        <v>309</v>
      </c>
      <c r="GS504" s="181">
        <v>0</v>
      </c>
      <c r="GT504" s="181">
        <v>0</v>
      </c>
    </row>
    <row r="505" spans="1:202">
      <c r="A505" s="181" t="s">
        <v>237</v>
      </c>
      <c r="GR505" s="181" t="s">
        <v>309</v>
      </c>
      <c r="GS505" s="181">
        <v>0</v>
      </c>
      <c r="GT505" s="181">
        <v>0</v>
      </c>
    </row>
    <row r="506" spans="1:202">
      <c r="A506" s="181" t="s">
        <v>237</v>
      </c>
      <c r="GS506" s="181">
        <v>0</v>
      </c>
      <c r="GT506" s="181">
        <v>0</v>
      </c>
    </row>
    <row r="507" spans="1:202">
      <c r="A507" s="181" t="s">
        <v>237</v>
      </c>
      <c r="GR507" s="181" t="s">
        <v>875</v>
      </c>
      <c r="GS507" s="181">
        <v>0</v>
      </c>
      <c r="GT507" s="181">
        <v>0</v>
      </c>
    </row>
    <row r="508" spans="1:202">
      <c r="A508" s="181" t="s">
        <v>237</v>
      </c>
      <c r="GR508" s="181" t="s">
        <v>875</v>
      </c>
      <c r="GS508" s="181">
        <v>0</v>
      </c>
      <c r="GT508" s="181">
        <v>0</v>
      </c>
    </row>
    <row r="509" spans="1:202">
      <c r="A509" s="181" t="s">
        <v>237</v>
      </c>
      <c r="GR509" s="181" t="s">
        <v>875</v>
      </c>
      <c r="GS509" s="181">
        <v>0</v>
      </c>
      <c r="GT509" s="181">
        <v>0</v>
      </c>
    </row>
    <row r="510" spans="1:202">
      <c r="A510" s="181" t="s">
        <v>237</v>
      </c>
      <c r="GR510" s="181" t="s">
        <v>875</v>
      </c>
      <c r="GS510" s="181">
        <v>0</v>
      </c>
      <c r="GT510" s="181">
        <v>0</v>
      </c>
    </row>
    <row r="511" spans="1:202">
      <c r="A511" s="181" t="s">
        <v>237</v>
      </c>
      <c r="GR511" s="181" t="s">
        <v>875</v>
      </c>
      <c r="GS511" s="181">
        <v>0</v>
      </c>
      <c r="GT511" s="181">
        <v>0</v>
      </c>
    </row>
    <row r="512" spans="1:202">
      <c r="A512" s="181" t="s">
        <v>237</v>
      </c>
      <c r="GR512" s="181" t="s">
        <v>875</v>
      </c>
      <c r="GS512" s="181">
        <v>0</v>
      </c>
      <c r="GT512" s="181">
        <v>0</v>
      </c>
    </row>
    <row r="513" spans="1:202">
      <c r="A513" s="181" t="s">
        <v>237</v>
      </c>
      <c r="GR513" s="181" t="s">
        <v>310</v>
      </c>
      <c r="GS513" s="181">
        <v>0</v>
      </c>
      <c r="GT513" s="181">
        <v>0</v>
      </c>
    </row>
    <row r="514" spans="1:202">
      <c r="A514" s="181" t="s">
        <v>237</v>
      </c>
      <c r="GR514" s="181" t="s">
        <v>310</v>
      </c>
      <c r="GS514" s="181">
        <v>0</v>
      </c>
      <c r="GT514" s="181">
        <v>0</v>
      </c>
    </row>
    <row r="515" spans="1:202">
      <c r="A515" s="181" t="s">
        <v>237</v>
      </c>
      <c r="GR515" s="181" t="s">
        <v>310</v>
      </c>
      <c r="GS515" s="181">
        <v>0</v>
      </c>
      <c r="GT515" s="181">
        <v>0</v>
      </c>
    </row>
    <row r="516" spans="1:202">
      <c r="A516" s="181" t="s">
        <v>237</v>
      </c>
      <c r="GR516" s="181" t="s">
        <v>310</v>
      </c>
      <c r="GS516" s="181">
        <v>0</v>
      </c>
      <c r="GT516" s="181">
        <v>0</v>
      </c>
    </row>
    <row r="517" spans="1:202">
      <c r="A517" s="181" t="s">
        <v>237</v>
      </c>
      <c r="GR517" s="181" t="s">
        <v>876</v>
      </c>
      <c r="GS517" s="181">
        <v>150000</v>
      </c>
      <c r="GT517" s="181">
        <v>150000</v>
      </c>
    </row>
    <row r="518" spans="1:202">
      <c r="A518" s="181" t="s">
        <v>237</v>
      </c>
      <c r="GR518" s="181" t="s">
        <v>876</v>
      </c>
      <c r="GS518" s="181">
        <v>0</v>
      </c>
      <c r="GT518" s="181">
        <v>0</v>
      </c>
    </row>
    <row r="519" spans="1:202">
      <c r="A519" s="181" t="s">
        <v>237</v>
      </c>
      <c r="GR519" s="181" t="s">
        <v>876</v>
      </c>
      <c r="GS519" s="181">
        <v>0</v>
      </c>
      <c r="GT519" s="181">
        <v>0</v>
      </c>
    </row>
    <row r="520" spans="1:202">
      <c r="A520" s="181" t="s">
        <v>237</v>
      </c>
      <c r="GR520" s="181" t="s">
        <v>876</v>
      </c>
      <c r="GS520" s="181">
        <v>0</v>
      </c>
      <c r="GT520" s="181">
        <v>0</v>
      </c>
    </row>
    <row r="521" spans="1:202">
      <c r="A521" s="181" t="s">
        <v>237</v>
      </c>
      <c r="GR521" s="181" t="s">
        <v>876</v>
      </c>
      <c r="GS521" s="181">
        <v>0</v>
      </c>
      <c r="GT521" s="181">
        <v>0</v>
      </c>
    </row>
    <row r="522" spans="1:202">
      <c r="A522" s="181" t="s">
        <v>237</v>
      </c>
      <c r="GR522" s="181" t="s">
        <v>1724</v>
      </c>
      <c r="GS522" s="181">
        <v>0</v>
      </c>
      <c r="GT522" s="181">
        <v>338490</v>
      </c>
    </row>
    <row r="523" spans="1:202">
      <c r="A523" s="181" t="s">
        <v>237</v>
      </c>
      <c r="GR523" s="181" t="s">
        <v>1725</v>
      </c>
      <c r="GS523" s="181">
        <v>0</v>
      </c>
      <c r="GT523" s="181">
        <v>0</v>
      </c>
    </row>
    <row r="524" spans="1:202">
      <c r="A524" s="181" t="s">
        <v>237</v>
      </c>
      <c r="GR524" s="181" t="s">
        <v>333</v>
      </c>
      <c r="GS524" s="181">
        <v>0</v>
      </c>
      <c r="GT524" s="181">
        <v>0</v>
      </c>
    </row>
    <row r="525" spans="1:202">
      <c r="A525" s="181" t="s">
        <v>237</v>
      </c>
      <c r="GR525" s="181">
        <v>0</v>
      </c>
      <c r="GS525" s="181">
        <v>0</v>
      </c>
      <c r="GT525" s="181">
        <v>0</v>
      </c>
    </row>
    <row r="526" spans="1:202">
      <c r="A526" s="181" t="s">
        <v>237</v>
      </c>
      <c r="GR526" s="181">
        <v>0</v>
      </c>
      <c r="GS526" s="181">
        <v>0</v>
      </c>
      <c r="GT526" s="181">
        <v>0</v>
      </c>
    </row>
    <row r="527" spans="1:202">
      <c r="A527" s="181" t="s">
        <v>237</v>
      </c>
      <c r="GR527" s="181">
        <v>0</v>
      </c>
      <c r="GS527" s="181">
        <v>0</v>
      </c>
      <c r="GT527" s="181">
        <v>0</v>
      </c>
    </row>
    <row r="528" spans="1:202">
      <c r="A528" s="181" t="s">
        <v>237</v>
      </c>
      <c r="GR528" s="181">
        <v>0</v>
      </c>
      <c r="GS528" s="181">
        <v>0</v>
      </c>
      <c r="GT528" s="181">
        <v>0</v>
      </c>
    </row>
    <row r="529" spans="1:202">
      <c r="A529" s="181" t="s">
        <v>237</v>
      </c>
      <c r="GR529" s="181">
        <v>0</v>
      </c>
      <c r="GS529" s="181">
        <v>0</v>
      </c>
      <c r="GT529" s="181">
        <v>0</v>
      </c>
    </row>
    <row r="530" spans="1:202">
      <c r="A530" s="181" t="s">
        <v>237</v>
      </c>
      <c r="GR530" s="181">
        <v>0</v>
      </c>
      <c r="GS530" s="181">
        <v>0</v>
      </c>
      <c r="GT530" s="181">
        <v>0</v>
      </c>
    </row>
    <row r="531" spans="1:202">
      <c r="A531" s="181" t="s">
        <v>237</v>
      </c>
      <c r="GR531" s="181">
        <v>0</v>
      </c>
      <c r="GS531" s="181">
        <v>0</v>
      </c>
      <c r="GT531" s="181">
        <v>0</v>
      </c>
    </row>
    <row r="532" spans="1:202">
      <c r="A532" s="181" t="s">
        <v>237</v>
      </c>
      <c r="GR532" s="181">
        <v>0</v>
      </c>
      <c r="GS532" s="181">
        <v>0</v>
      </c>
      <c r="GT532" s="181">
        <v>0</v>
      </c>
    </row>
    <row r="533" spans="1:202">
      <c r="A533" s="181" t="s">
        <v>237</v>
      </c>
      <c r="GR533" s="181">
        <v>0</v>
      </c>
      <c r="GS533" s="181">
        <v>0</v>
      </c>
      <c r="GT533" s="181">
        <v>0</v>
      </c>
    </row>
    <row r="534" spans="1:202">
      <c r="A534" s="181" t="s">
        <v>237</v>
      </c>
      <c r="GR534" s="181">
        <v>0</v>
      </c>
      <c r="GS534" s="181">
        <v>0</v>
      </c>
      <c r="GT534" s="181">
        <v>0</v>
      </c>
    </row>
    <row r="535" spans="1:202">
      <c r="A535" s="181" t="s">
        <v>237</v>
      </c>
      <c r="GR535" s="181">
        <v>0</v>
      </c>
      <c r="GS535" s="181">
        <v>0</v>
      </c>
      <c r="GT535" s="181">
        <v>0</v>
      </c>
    </row>
    <row r="536" spans="1:202">
      <c r="A536" s="181" t="s">
        <v>237</v>
      </c>
      <c r="GR536" s="181">
        <v>0</v>
      </c>
      <c r="GS536" s="181">
        <v>0</v>
      </c>
      <c r="GT536" s="181">
        <v>0</v>
      </c>
    </row>
    <row r="537" spans="1:202">
      <c r="A537" s="181" t="s">
        <v>237</v>
      </c>
      <c r="GS537" s="181">
        <v>150000</v>
      </c>
      <c r="GT537" s="181">
        <v>488490</v>
      </c>
    </row>
    <row r="538" spans="1:202">
      <c r="A538" s="181" t="s">
        <v>237</v>
      </c>
      <c r="GR538" s="181" t="s">
        <v>309</v>
      </c>
      <c r="GS538" s="181">
        <v>0</v>
      </c>
      <c r="GT538" s="181">
        <v>0</v>
      </c>
    </row>
    <row r="539" spans="1:202">
      <c r="A539" s="181" t="s">
        <v>237</v>
      </c>
      <c r="GS539" s="181">
        <v>150000</v>
      </c>
      <c r="GT539" s="181">
        <v>488490</v>
      </c>
    </row>
    <row r="540" spans="1:202">
      <c r="A540" s="181" t="s">
        <v>237</v>
      </c>
      <c r="GR540" s="181" t="s">
        <v>312</v>
      </c>
      <c r="GS540" s="181">
        <v>0</v>
      </c>
      <c r="GT540" s="181">
        <v>0</v>
      </c>
    </row>
    <row r="541" spans="1:202">
      <c r="A541" s="181" t="s">
        <v>237</v>
      </c>
      <c r="GR541" s="181" t="s">
        <v>312</v>
      </c>
      <c r="GS541" s="181">
        <v>0</v>
      </c>
      <c r="GT541" s="181">
        <v>0</v>
      </c>
    </row>
    <row r="542" spans="1:202">
      <c r="A542" s="181" t="s">
        <v>237</v>
      </c>
      <c r="GR542" s="181" t="s">
        <v>312</v>
      </c>
      <c r="GS542" s="181">
        <v>0</v>
      </c>
      <c r="GT542" s="181">
        <v>0</v>
      </c>
    </row>
    <row r="543" spans="1:202">
      <c r="A543" s="181" t="s">
        <v>237</v>
      </c>
      <c r="GR543" s="181" t="s">
        <v>312</v>
      </c>
      <c r="GS543" s="181">
        <v>0</v>
      </c>
      <c r="GT543" s="181">
        <v>0</v>
      </c>
    </row>
    <row r="544" spans="1:202">
      <c r="A544" s="181" t="s">
        <v>237</v>
      </c>
      <c r="GR544" s="181" t="s">
        <v>312</v>
      </c>
      <c r="GS544" s="181">
        <v>0</v>
      </c>
      <c r="GT544" s="181">
        <v>0</v>
      </c>
    </row>
    <row r="545" spans="1:202">
      <c r="A545" s="181" t="s">
        <v>237</v>
      </c>
      <c r="GR545" s="181" t="s">
        <v>312</v>
      </c>
      <c r="GS545" s="181">
        <v>0</v>
      </c>
      <c r="GT545" s="181">
        <v>0</v>
      </c>
    </row>
    <row r="546" spans="1:202">
      <c r="A546" s="181" t="s">
        <v>237</v>
      </c>
      <c r="GR546" s="181" t="s">
        <v>312</v>
      </c>
      <c r="GS546" s="181">
        <v>0</v>
      </c>
      <c r="GT546" s="181">
        <v>0</v>
      </c>
    </row>
    <row r="547" spans="1:202">
      <c r="A547" s="181" t="s">
        <v>237</v>
      </c>
      <c r="GR547" s="181" t="s">
        <v>877</v>
      </c>
      <c r="GS547" s="181">
        <v>0</v>
      </c>
      <c r="GT547" s="181">
        <v>0</v>
      </c>
    </row>
    <row r="548" spans="1:202">
      <c r="A548" s="181" t="s">
        <v>237</v>
      </c>
      <c r="GR548" s="181" t="s">
        <v>878</v>
      </c>
      <c r="GS548" s="181">
        <v>0</v>
      </c>
      <c r="GT548" s="181">
        <v>0</v>
      </c>
    </row>
    <row r="549" spans="1:202">
      <c r="A549" s="181" t="s">
        <v>237</v>
      </c>
      <c r="GR549" s="181" t="s">
        <v>878</v>
      </c>
      <c r="GS549" s="181">
        <v>0</v>
      </c>
      <c r="GT549" s="181">
        <v>0</v>
      </c>
    </row>
    <row r="550" spans="1:202">
      <c r="A550" s="181" t="s">
        <v>237</v>
      </c>
      <c r="GR550" s="181" t="s">
        <v>878</v>
      </c>
      <c r="GS550" s="181">
        <v>0</v>
      </c>
      <c r="GT550" s="181">
        <v>0</v>
      </c>
    </row>
    <row r="551" spans="1:202">
      <c r="A551" s="181" t="s">
        <v>237</v>
      </c>
      <c r="GR551" s="181" t="s">
        <v>878</v>
      </c>
      <c r="GS551" s="181">
        <v>0</v>
      </c>
      <c r="GT551" s="181">
        <v>0</v>
      </c>
    </row>
    <row r="552" spans="1:202">
      <c r="A552" s="181" t="s">
        <v>237</v>
      </c>
      <c r="GR552" s="181" t="s">
        <v>878</v>
      </c>
      <c r="GS552" s="181">
        <v>0</v>
      </c>
      <c r="GT552" s="181">
        <v>0</v>
      </c>
    </row>
    <row r="553" spans="1:202">
      <c r="A553" s="181" t="s">
        <v>237</v>
      </c>
      <c r="GR553" s="181" t="s">
        <v>878</v>
      </c>
      <c r="GS553" s="181">
        <v>0</v>
      </c>
      <c r="GT553" s="181">
        <v>0</v>
      </c>
    </row>
    <row r="554" spans="1:202">
      <c r="A554" s="181" t="s">
        <v>237</v>
      </c>
      <c r="GR554" s="181" t="s">
        <v>878</v>
      </c>
      <c r="GS554" s="181">
        <v>0</v>
      </c>
      <c r="GT554" s="181">
        <v>0</v>
      </c>
    </row>
    <row r="555" spans="1:202">
      <c r="A555" s="181" t="s">
        <v>237</v>
      </c>
      <c r="GR555" s="181" t="s">
        <v>878</v>
      </c>
      <c r="GS555" s="181">
        <v>0</v>
      </c>
      <c r="GT555" s="181">
        <v>0</v>
      </c>
    </row>
    <row r="556" spans="1:202">
      <c r="A556" s="181" t="s">
        <v>237</v>
      </c>
      <c r="GR556" s="181" t="s">
        <v>878</v>
      </c>
      <c r="GS556" s="181">
        <v>0</v>
      </c>
      <c r="GT556" s="181">
        <v>0</v>
      </c>
    </row>
    <row r="557" spans="1:202">
      <c r="A557" s="181" t="s">
        <v>237</v>
      </c>
      <c r="GR557" s="181" t="s">
        <v>879</v>
      </c>
      <c r="GS557" s="181">
        <v>0</v>
      </c>
      <c r="GT557" s="181">
        <v>0</v>
      </c>
    </row>
    <row r="558" spans="1:202">
      <c r="A558" s="181" t="s">
        <v>237</v>
      </c>
      <c r="GR558" s="181" t="s">
        <v>1715</v>
      </c>
      <c r="GS558" s="181">
        <v>0</v>
      </c>
      <c r="GT558" s="181">
        <v>0</v>
      </c>
    </row>
    <row r="559" spans="1:202">
      <c r="A559" s="181" t="s">
        <v>237</v>
      </c>
      <c r="GR559" s="181" t="s">
        <v>880</v>
      </c>
      <c r="GS559" s="181">
        <v>10306.276764570941</v>
      </c>
      <c r="GT559" s="181">
        <v>18551.29817622769</v>
      </c>
    </row>
    <row r="560" spans="1:202">
      <c r="A560" s="181" t="s">
        <v>237</v>
      </c>
      <c r="GR560" s="181" t="s">
        <v>881</v>
      </c>
      <c r="GS560" s="181">
        <v>61906.805526836237</v>
      </c>
      <c r="GT560" s="181">
        <v>123813.61105367247</v>
      </c>
    </row>
    <row r="561" spans="1:202">
      <c r="A561" s="181" t="s">
        <v>237</v>
      </c>
      <c r="GR561" s="181">
        <v>0</v>
      </c>
      <c r="GS561" s="181">
        <v>0</v>
      </c>
      <c r="GT561" s="181">
        <v>0</v>
      </c>
    </row>
    <row r="562" spans="1:202">
      <c r="A562" s="181" t="s">
        <v>237</v>
      </c>
      <c r="GR562" s="181">
        <v>0</v>
      </c>
      <c r="GS562" s="181">
        <v>0</v>
      </c>
      <c r="GT562" s="181">
        <v>0</v>
      </c>
    </row>
    <row r="563" spans="1:202">
      <c r="A563" s="181" t="s">
        <v>237</v>
      </c>
      <c r="GR563" s="181">
        <v>0</v>
      </c>
      <c r="GS563" s="181">
        <v>0</v>
      </c>
      <c r="GT563" s="181">
        <v>0</v>
      </c>
    </row>
    <row r="564" spans="1:202">
      <c r="A564" s="181" t="s">
        <v>237</v>
      </c>
      <c r="GR564" s="181">
        <v>0</v>
      </c>
      <c r="GS564" s="181">
        <v>0</v>
      </c>
      <c r="GT564" s="181">
        <v>0</v>
      </c>
    </row>
    <row r="565" spans="1:202">
      <c r="A565" s="181" t="s">
        <v>237</v>
      </c>
      <c r="GR565" s="181">
        <v>0</v>
      </c>
      <c r="GS565" s="181">
        <v>0</v>
      </c>
      <c r="GT565" s="181">
        <v>0</v>
      </c>
    </row>
    <row r="566" spans="1:202">
      <c r="A566" s="181" t="s">
        <v>237</v>
      </c>
      <c r="GR566" s="181">
        <v>0</v>
      </c>
      <c r="GS566" s="181">
        <v>0</v>
      </c>
      <c r="GT566" s="181">
        <v>0</v>
      </c>
    </row>
    <row r="567" spans="1:202">
      <c r="A567" s="181" t="s">
        <v>237</v>
      </c>
      <c r="GR567" s="181">
        <v>0</v>
      </c>
      <c r="GS567" s="181">
        <v>0</v>
      </c>
      <c r="GT567" s="181">
        <v>0</v>
      </c>
    </row>
    <row r="568" spans="1:202">
      <c r="A568" s="181" t="s">
        <v>237</v>
      </c>
      <c r="GR568" s="181">
        <v>0</v>
      </c>
      <c r="GS568" s="181">
        <v>0</v>
      </c>
      <c r="GT568" s="181">
        <v>0</v>
      </c>
    </row>
    <row r="569" spans="1:202">
      <c r="A569" s="181" t="s">
        <v>237</v>
      </c>
      <c r="GR569" s="181">
        <v>0</v>
      </c>
      <c r="GS569" s="181">
        <v>0</v>
      </c>
      <c r="GT569" s="181">
        <v>0</v>
      </c>
    </row>
    <row r="570" spans="1:202">
      <c r="A570" s="181" t="s">
        <v>237</v>
      </c>
      <c r="GR570" s="181">
        <v>0</v>
      </c>
      <c r="GS570" s="181">
        <v>0</v>
      </c>
      <c r="GT570" s="181">
        <v>0</v>
      </c>
    </row>
    <row r="571" spans="1:202">
      <c r="A571" s="181" t="s">
        <v>237</v>
      </c>
      <c r="GR571" s="181">
        <v>0</v>
      </c>
      <c r="GS571" s="181">
        <v>0</v>
      </c>
      <c r="GT571" s="181">
        <v>0</v>
      </c>
    </row>
    <row r="572" spans="1:202">
      <c r="A572" s="181" t="s">
        <v>237</v>
      </c>
      <c r="GR572" s="181">
        <v>0</v>
      </c>
      <c r="GS572" s="181">
        <v>0</v>
      </c>
      <c r="GT572" s="181">
        <v>0</v>
      </c>
    </row>
    <row r="573" spans="1:202">
      <c r="A573" s="181" t="s">
        <v>237</v>
      </c>
      <c r="GR573" s="181">
        <v>0</v>
      </c>
      <c r="GS573" s="181">
        <v>0</v>
      </c>
      <c r="GT573" s="181">
        <v>0</v>
      </c>
    </row>
    <row r="574" spans="1:202">
      <c r="A574" s="181" t="s">
        <v>237</v>
      </c>
      <c r="GR574" s="181">
        <v>0</v>
      </c>
      <c r="GS574" s="181">
        <v>0</v>
      </c>
      <c r="GT574" s="181">
        <v>0</v>
      </c>
    </row>
    <row r="575" spans="1:202">
      <c r="A575" s="181" t="s">
        <v>237</v>
      </c>
      <c r="GR575" s="181">
        <v>0</v>
      </c>
      <c r="GS575" s="181">
        <v>0</v>
      </c>
      <c r="GT575" s="181">
        <v>0</v>
      </c>
    </row>
    <row r="576" spans="1:202">
      <c r="A576" s="181" t="s">
        <v>237</v>
      </c>
      <c r="GR576" s="181" t="s">
        <v>876</v>
      </c>
      <c r="GS576" s="181">
        <v>0</v>
      </c>
      <c r="GT576" s="181">
        <v>0</v>
      </c>
    </row>
    <row r="577" spans="1:202">
      <c r="A577" s="181" t="s">
        <v>237</v>
      </c>
      <c r="GR577" s="181" t="s">
        <v>876</v>
      </c>
      <c r="GS577" s="181">
        <v>0</v>
      </c>
      <c r="GT577" s="181">
        <v>0</v>
      </c>
    </row>
    <row r="578" spans="1:202">
      <c r="A578" s="181" t="s">
        <v>237</v>
      </c>
      <c r="GR578" s="181" t="s">
        <v>876</v>
      </c>
      <c r="GS578" s="181">
        <v>0</v>
      </c>
      <c r="GT578" s="181">
        <v>0</v>
      </c>
    </row>
    <row r="579" spans="1:202">
      <c r="A579" s="181" t="s">
        <v>237</v>
      </c>
      <c r="GR579" s="181" t="s">
        <v>882</v>
      </c>
      <c r="GS579" s="181">
        <v>0</v>
      </c>
      <c r="GT579" s="181">
        <v>0</v>
      </c>
    </row>
    <row r="580" spans="1:202">
      <c r="A580" s="181" t="s">
        <v>237</v>
      </c>
      <c r="GR580" s="181" t="s">
        <v>882</v>
      </c>
      <c r="GS580" s="181">
        <v>0</v>
      </c>
      <c r="GT580" s="181">
        <v>0</v>
      </c>
    </row>
    <row r="581" spans="1:202">
      <c r="A581" s="181" t="s">
        <v>237</v>
      </c>
      <c r="GR581" s="181" t="s">
        <v>882</v>
      </c>
      <c r="GS581" s="181">
        <v>0</v>
      </c>
      <c r="GT581" s="181">
        <v>0</v>
      </c>
    </row>
    <row r="582" spans="1:202">
      <c r="A582" s="181" t="s">
        <v>237</v>
      </c>
      <c r="GR582" s="181" t="s">
        <v>882</v>
      </c>
      <c r="GS582" s="181">
        <v>0</v>
      </c>
      <c r="GT582" s="181">
        <v>0</v>
      </c>
    </row>
    <row r="583" spans="1:202">
      <c r="A583" s="181" t="s">
        <v>237</v>
      </c>
      <c r="GR583" s="181" t="s">
        <v>882</v>
      </c>
      <c r="GS583" s="181">
        <v>0</v>
      </c>
      <c r="GT583" s="181">
        <v>0</v>
      </c>
    </row>
    <row r="584" spans="1:202">
      <c r="A584" s="181" t="s">
        <v>237</v>
      </c>
      <c r="GR584" s="181" t="s">
        <v>882</v>
      </c>
      <c r="GS584" s="181">
        <v>0</v>
      </c>
      <c r="GT584" s="181">
        <v>0</v>
      </c>
    </row>
    <row r="585" spans="1:202">
      <c r="A585" s="181" t="s">
        <v>237</v>
      </c>
      <c r="GR585" s="181" t="s">
        <v>882</v>
      </c>
      <c r="GS585" s="181">
        <v>0</v>
      </c>
      <c r="GT585" s="181">
        <v>0</v>
      </c>
    </row>
    <row r="586" spans="1:202">
      <c r="A586" s="181" t="s">
        <v>237</v>
      </c>
      <c r="GR586" s="181" t="s">
        <v>882</v>
      </c>
      <c r="GS586" s="181">
        <v>0</v>
      </c>
      <c r="GT586" s="181">
        <v>0</v>
      </c>
    </row>
    <row r="587" spans="1:202">
      <c r="A587" s="181" t="s">
        <v>237</v>
      </c>
      <c r="GR587" s="181" t="s">
        <v>882</v>
      </c>
      <c r="GS587" s="181">
        <v>0</v>
      </c>
      <c r="GT587" s="181">
        <v>0</v>
      </c>
    </row>
    <row r="588" spans="1:202">
      <c r="A588" s="181" t="s">
        <v>237</v>
      </c>
      <c r="GR588" s="181" t="s">
        <v>883</v>
      </c>
      <c r="GS588" s="181">
        <v>0</v>
      </c>
      <c r="GT588" s="181">
        <v>0</v>
      </c>
    </row>
    <row r="589" spans="1:202">
      <c r="A589" s="181" t="s">
        <v>237</v>
      </c>
      <c r="GR589" s="181" t="s">
        <v>873</v>
      </c>
      <c r="GS589" s="181">
        <v>0</v>
      </c>
      <c r="GT589" s="181">
        <v>0</v>
      </c>
    </row>
    <row r="590" spans="1:202">
      <c r="A590" s="181" t="s">
        <v>237</v>
      </c>
      <c r="GR590" s="181" t="s">
        <v>873</v>
      </c>
      <c r="GS590" s="181">
        <v>0</v>
      </c>
      <c r="GT590" s="181">
        <v>0</v>
      </c>
    </row>
    <row r="591" spans="1:202">
      <c r="A591" s="181" t="s">
        <v>237</v>
      </c>
      <c r="GR591" s="181" t="s">
        <v>873</v>
      </c>
      <c r="GS591" s="181">
        <v>0</v>
      </c>
      <c r="GT591" s="181">
        <v>0</v>
      </c>
    </row>
    <row r="592" spans="1:202">
      <c r="A592" s="181" t="s">
        <v>237</v>
      </c>
      <c r="GR592" s="181" t="s">
        <v>873</v>
      </c>
      <c r="GS592" s="181">
        <v>0</v>
      </c>
      <c r="GT592" s="181">
        <v>0</v>
      </c>
    </row>
    <row r="593" spans="1:202">
      <c r="A593" s="181" t="s">
        <v>237</v>
      </c>
      <c r="GR593" s="181" t="s">
        <v>308</v>
      </c>
      <c r="GS593" s="181">
        <v>0</v>
      </c>
      <c r="GT593" s="181">
        <v>0</v>
      </c>
    </row>
    <row r="594" spans="1:202">
      <c r="A594" s="181" t="s">
        <v>237</v>
      </c>
      <c r="GR594" s="181" t="s">
        <v>874</v>
      </c>
      <c r="GS594" s="181">
        <v>0</v>
      </c>
      <c r="GT594" s="181">
        <v>0</v>
      </c>
    </row>
    <row r="595" spans="1:202">
      <c r="A595" s="181" t="s">
        <v>237</v>
      </c>
      <c r="GR595" s="181" t="s">
        <v>874</v>
      </c>
      <c r="GS595" s="181">
        <v>0</v>
      </c>
      <c r="GT595" s="181">
        <v>0</v>
      </c>
    </row>
    <row r="596" spans="1:202">
      <c r="A596" s="181" t="s">
        <v>237</v>
      </c>
      <c r="GR596" s="181" t="s">
        <v>874</v>
      </c>
      <c r="GS596" s="181">
        <v>0</v>
      </c>
      <c r="GT596" s="181">
        <v>0</v>
      </c>
    </row>
    <row r="597" spans="1:202">
      <c r="A597" s="181" t="s">
        <v>237</v>
      </c>
      <c r="GR597" s="181" t="s">
        <v>874</v>
      </c>
      <c r="GS597" s="181">
        <v>0</v>
      </c>
      <c r="GT597" s="181">
        <v>0</v>
      </c>
    </row>
    <row r="598" spans="1:202">
      <c r="A598" s="181" t="s">
        <v>237</v>
      </c>
      <c r="GR598" s="181" t="s">
        <v>870</v>
      </c>
      <c r="GS598" s="181">
        <v>0</v>
      </c>
      <c r="GT598" s="181">
        <v>0</v>
      </c>
    </row>
    <row r="599" spans="1:202">
      <c r="A599" s="181" t="s">
        <v>237</v>
      </c>
      <c r="GR599" s="181" t="s">
        <v>309</v>
      </c>
      <c r="GS599" s="181">
        <v>0</v>
      </c>
      <c r="GT599" s="181">
        <v>0</v>
      </c>
    </row>
    <row r="600" spans="1:202">
      <c r="A600" s="181" t="s">
        <v>237</v>
      </c>
      <c r="GR600" s="181" t="s">
        <v>309</v>
      </c>
      <c r="GS600" s="181">
        <v>0</v>
      </c>
      <c r="GT600" s="181">
        <v>0</v>
      </c>
    </row>
    <row r="601" spans="1:202">
      <c r="A601" s="181" t="s">
        <v>237</v>
      </c>
      <c r="GR601" s="181" t="s">
        <v>309</v>
      </c>
      <c r="GS601" s="181">
        <v>0</v>
      </c>
      <c r="GT601" s="181">
        <v>0</v>
      </c>
    </row>
    <row r="602" spans="1:202">
      <c r="A602" s="181" t="s">
        <v>237</v>
      </c>
      <c r="GS602" s="181">
        <v>72213.08229140719</v>
      </c>
      <c r="GT602" s="181">
        <v>142364.90922990019</v>
      </c>
    </row>
    <row r="603" spans="1:202">
      <c r="A603" s="181" t="s">
        <v>237</v>
      </c>
      <c r="GR603" s="181" t="s">
        <v>875</v>
      </c>
      <c r="GS603" s="181">
        <v>0</v>
      </c>
      <c r="GT603" s="181">
        <v>0</v>
      </c>
    </row>
    <row r="604" spans="1:202">
      <c r="A604" s="181" t="s">
        <v>237</v>
      </c>
      <c r="GR604" s="181" t="s">
        <v>875</v>
      </c>
      <c r="GS604" s="181">
        <v>0</v>
      </c>
      <c r="GT604" s="181">
        <v>0</v>
      </c>
    </row>
    <row r="605" spans="1:202">
      <c r="A605" s="181" t="s">
        <v>237</v>
      </c>
      <c r="GR605" s="181" t="s">
        <v>875</v>
      </c>
      <c r="GS605" s="181">
        <v>0</v>
      </c>
      <c r="GT605" s="181">
        <v>0</v>
      </c>
    </row>
    <row r="606" spans="1:202">
      <c r="A606" s="181" t="s">
        <v>237</v>
      </c>
      <c r="GR606" s="181" t="s">
        <v>875</v>
      </c>
      <c r="GS606" s="181">
        <v>0</v>
      </c>
      <c r="GT606" s="181">
        <v>0</v>
      </c>
    </row>
    <row r="607" spans="1:202">
      <c r="A607" s="181" t="s">
        <v>237</v>
      </c>
      <c r="GR607" s="181" t="s">
        <v>875</v>
      </c>
      <c r="GS607" s="181">
        <v>0</v>
      </c>
      <c r="GT607" s="181">
        <v>0</v>
      </c>
    </row>
    <row r="608" spans="1:202">
      <c r="A608" s="181" t="s">
        <v>237</v>
      </c>
      <c r="GR608" s="181" t="s">
        <v>875</v>
      </c>
      <c r="GS608" s="181">
        <v>0</v>
      </c>
      <c r="GT608" s="181">
        <v>0</v>
      </c>
    </row>
    <row r="609" spans="1:202">
      <c r="A609" s="181" t="s">
        <v>237</v>
      </c>
      <c r="GR609" s="181" t="s">
        <v>310</v>
      </c>
      <c r="GS609" s="181">
        <v>0</v>
      </c>
      <c r="GT609" s="181">
        <v>0</v>
      </c>
    </row>
    <row r="610" spans="1:202">
      <c r="A610" s="181" t="s">
        <v>237</v>
      </c>
      <c r="GR610" s="181" t="s">
        <v>310</v>
      </c>
      <c r="GS610" s="181">
        <v>0</v>
      </c>
      <c r="GT610" s="181">
        <v>0</v>
      </c>
    </row>
    <row r="611" spans="1:202">
      <c r="A611" s="181" t="s">
        <v>237</v>
      </c>
      <c r="GR611" s="181" t="s">
        <v>310</v>
      </c>
      <c r="GS611" s="181">
        <v>0</v>
      </c>
      <c r="GT611" s="181">
        <v>0</v>
      </c>
    </row>
    <row r="612" spans="1:202">
      <c r="A612" s="181" t="s">
        <v>237</v>
      </c>
      <c r="GR612" s="181" t="s">
        <v>310</v>
      </c>
      <c r="GS612" s="181">
        <v>0</v>
      </c>
      <c r="GT612" s="181">
        <v>0</v>
      </c>
    </row>
    <row r="613" spans="1:202">
      <c r="A613" s="181" t="s">
        <v>237</v>
      </c>
      <c r="GR613" s="181" t="s">
        <v>310</v>
      </c>
      <c r="GS613" s="181">
        <v>0</v>
      </c>
      <c r="GT613" s="181">
        <v>0</v>
      </c>
    </row>
    <row r="614" spans="1:202">
      <c r="A614" s="181" t="s">
        <v>237</v>
      </c>
      <c r="GR614" s="181" t="s">
        <v>310</v>
      </c>
      <c r="GS614" s="181">
        <v>0</v>
      </c>
      <c r="GT614" s="181">
        <v>0</v>
      </c>
    </row>
    <row r="615" spans="1:202">
      <c r="A615" s="181" t="s">
        <v>237</v>
      </c>
      <c r="GR615" s="181" t="s">
        <v>310</v>
      </c>
      <c r="GS615" s="181">
        <v>0</v>
      </c>
      <c r="GT615" s="181">
        <v>0</v>
      </c>
    </row>
    <row r="616" spans="1:202">
      <c r="A616" s="181" t="s">
        <v>237</v>
      </c>
      <c r="GR616" s="181" t="s">
        <v>310</v>
      </c>
      <c r="GS616" s="181">
        <v>0</v>
      </c>
      <c r="GT616" s="181">
        <v>0</v>
      </c>
    </row>
    <row r="617" spans="1:202">
      <c r="A617" s="181" t="s">
        <v>237</v>
      </c>
      <c r="GR617" s="181" t="s">
        <v>876</v>
      </c>
      <c r="GS617" s="181">
        <v>0</v>
      </c>
      <c r="GT617" s="181">
        <v>0</v>
      </c>
    </row>
    <row r="618" spans="1:202">
      <c r="A618" s="181" t="s">
        <v>237</v>
      </c>
      <c r="GR618" s="181" t="s">
        <v>876</v>
      </c>
      <c r="GS618" s="181">
        <v>0</v>
      </c>
      <c r="GT618" s="181">
        <v>0</v>
      </c>
    </row>
    <row r="619" spans="1:202">
      <c r="A619" s="181" t="s">
        <v>237</v>
      </c>
      <c r="GR619" s="181" t="s">
        <v>876</v>
      </c>
      <c r="GS619" s="181">
        <v>0</v>
      </c>
      <c r="GT619" s="181">
        <v>0</v>
      </c>
    </row>
    <row r="620" spans="1:202">
      <c r="A620" s="181" t="s">
        <v>237</v>
      </c>
      <c r="GR620" s="181" t="s">
        <v>876</v>
      </c>
      <c r="GS620" s="181">
        <v>0</v>
      </c>
      <c r="GT620" s="181">
        <v>0</v>
      </c>
    </row>
    <row r="621" spans="1:202">
      <c r="A621" s="181" t="s">
        <v>237</v>
      </c>
      <c r="GR621" s="181" t="s">
        <v>876</v>
      </c>
      <c r="GS621" s="181">
        <v>0</v>
      </c>
      <c r="GT621" s="181">
        <v>0</v>
      </c>
    </row>
    <row r="622" spans="1:202">
      <c r="A622" s="181" t="s">
        <v>237</v>
      </c>
      <c r="GR622" s="181" t="s">
        <v>1726</v>
      </c>
      <c r="GS622" s="181">
        <v>0</v>
      </c>
      <c r="GT622" s="181">
        <v>0</v>
      </c>
    </row>
    <row r="623" spans="1:202">
      <c r="A623" s="181" t="s">
        <v>237</v>
      </c>
      <c r="GR623" s="181">
        <v>0</v>
      </c>
      <c r="GS623" s="181">
        <v>0</v>
      </c>
      <c r="GT623" s="181">
        <v>0</v>
      </c>
    </row>
    <row r="624" spans="1:202">
      <c r="A624" s="181" t="s">
        <v>237</v>
      </c>
      <c r="GR624" s="181">
        <v>0</v>
      </c>
      <c r="GS624" s="181">
        <v>0</v>
      </c>
      <c r="GT624" s="181">
        <v>0</v>
      </c>
    </row>
    <row r="625" spans="1:202">
      <c r="A625" s="181" t="s">
        <v>237</v>
      </c>
      <c r="GR625" s="181">
        <v>0</v>
      </c>
      <c r="GS625" s="181">
        <v>0</v>
      </c>
      <c r="GT625" s="181">
        <v>0</v>
      </c>
    </row>
    <row r="626" spans="1:202">
      <c r="A626" s="181" t="s">
        <v>237</v>
      </c>
      <c r="GR626" s="181">
        <v>0</v>
      </c>
      <c r="GS626" s="181">
        <v>0</v>
      </c>
      <c r="GT626" s="181">
        <v>0</v>
      </c>
    </row>
    <row r="627" spans="1:202">
      <c r="A627" s="181" t="s">
        <v>237</v>
      </c>
      <c r="GR627" s="181">
        <v>0</v>
      </c>
      <c r="GS627" s="181">
        <v>0</v>
      </c>
      <c r="GT627" s="181">
        <v>0</v>
      </c>
    </row>
    <row r="628" spans="1:202">
      <c r="A628" s="181" t="s">
        <v>237</v>
      </c>
      <c r="GR628" s="181">
        <v>0</v>
      </c>
      <c r="GS628" s="181">
        <v>0</v>
      </c>
      <c r="GT628" s="181">
        <v>0</v>
      </c>
    </row>
    <row r="629" spans="1:202">
      <c r="A629" s="181" t="s">
        <v>237</v>
      </c>
      <c r="GR629" s="181">
        <v>0</v>
      </c>
      <c r="GS629" s="181">
        <v>0</v>
      </c>
      <c r="GT629" s="181">
        <v>0</v>
      </c>
    </row>
    <row r="630" spans="1:202">
      <c r="A630" s="181" t="s">
        <v>237</v>
      </c>
      <c r="GR630" s="181">
        <v>0</v>
      </c>
      <c r="GS630" s="181">
        <v>0</v>
      </c>
      <c r="GT630" s="181">
        <v>0</v>
      </c>
    </row>
    <row r="631" spans="1:202">
      <c r="A631" s="181" t="s">
        <v>237</v>
      </c>
      <c r="GR631" s="181">
        <v>0</v>
      </c>
      <c r="GS631" s="181">
        <v>0</v>
      </c>
      <c r="GT631" s="181">
        <v>0</v>
      </c>
    </row>
    <row r="632" spans="1:202">
      <c r="A632" s="181" t="s">
        <v>237</v>
      </c>
      <c r="GR632" s="181">
        <v>0</v>
      </c>
      <c r="GS632" s="181">
        <v>0</v>
      </c>
      <c r="GT632" s="181">
        <v>0</v>
      </c>
    </row>
    <row r="633" spans="1:202">
      <c r="A633" s="181" t="s">
        <v>237</v>
      </c>
      <c r="GR633" s="181">
        <v>0</v>
      </c>
      <c r="GS633" s="181">
        <v>0</v>
      </c>
      <c r="GT633" s="181">
        <v>0</v>
      </c>
    </row>
    <row r="634" spans="1:202">
      <c r="A634" s="181" t="s">
        <v>237</v>
      </c>
      <c r="GR634" s="181">
        <v>0</v>
      </c>
      <c r="GS634" s="181">
        <v>0</v>
      </c>
      <c r="GT634" s="181">
        <v>0</v>
      </c>
    </row>
    <row r="635" spans="1:202">
      <c r="A635" s="181" t="s">
        <v>237</v>
      </c>
      <c r="GR635" s="181">
        <v>0</v>
      </c>
      <c r="GS635" s="181">
        <v>0</v>
      </c>
      <c r="GT635" s="181">
        <v>0</v>
      </c>
    </row>
    <row r="636" spans="1:202">
      <c r="A636" s="181" t="s">
        <v>237</v>
      </c>
      <c r="GR636" s="181">
        <v>0</v>
      </c>
      <c r="GS636" s="181">
        <v>0</v>
      </c>
      <c r="GT636" s="181">
        <v>0</v>
      </c>
    </row>
    <row r="637" spans="1:202">
      <c r="A637" s="181" t="s">
        <v>237</v>
      </c>
      <c r="GS637" s="181">
        <v>0</v>
      </c>
      <c r="GT637" s="181">
        <v>0</v>
      </c>
    </row>
    <row r="638" spans="1:202">
      <c r="A638" s="181" t="s">
        <v>237</v>
      </c>
      <c r="GR638" s="181" t="s">
        <v>309</v>
      </c>
      <c r="GS638" s="181">
        <v>0</v>
      </c>
      <c r="GT638" s="181">
        <v>0</v>
      </c>
    </row>
    <row r="639" spans="1:202">
      <c r="A639" s="181" t="s">
        <v>237</v>
      </c>
      <c r="GS639" s="181">
        <v>72213.08229140719</v>
      </c>
      <c r="GT639" s="181">
        <v>142364.90922990019</v>
      </c>
    </row>
    <row r="640" spans="1:202">
      <c r="A640" s="181" t="s">
        <v>237</v>
      </c>
      <c r="GS640" s="181">
        <v>77786.917708592839</v>
      </c>
      <c r="GT640" s="181">
        <v>346125.09077009984</v>
      </c>
    </row>
    <row r="641" spans="1:202">
      <c r="A641" s="181" t="s">
        <v>237</v>
      </c>
      <c r="GS641" s="181">
        <v>3959.625842400128</v>
      </c>
      <c r="GT641" s="181">
        <v>3959.625842400128</v>
      </c>
    </row>
    <row r="642" spans="1:202">
      <c r="A642" s="181" t="s">
        <v>237</v>
      </c>
    </row>
    <row r="643" spans="1:202">
      <c r="A643" s="181" t="s">
        <v>237</v>
      </c>
    </row>
    <row r="644" spans="1:202">
      <c r="A644" s="181" t="s">
        <v>237</v>
      </c>
    </row>
    <row r="645" spans="1:202">
      <c r="A645" s="181" t="s">
        <v>237</v>
      </c>
    </row>
    <row r="646" spans="1:202">
      <c r="A646" s="181" t="s">
        <v>237</v>
      </c>
    </row>
    <row r="647" spans="1:202">
      <c r="A647" s="181" t="s">
        <v>237</v>
      </c>
    </row>
    <row r="648" spans="1:202">
      <c r="A648" s="181" t="s">
        <v>237</v>
      </c>
    </row>
    <row r="649" spans="1:202">
      <c r="A649" s="181" t="s">
        <v>237</v>
      </c>
    </row>
    <row r="650" spans="1:202">
      <c r="A650" s="181" t="s">
        <v>237</v>
      </c>
    </row>
    <row r="651" spans="1:202">
      <c r="A651" s="181" t="s">
        <v>237</v>
      </c>
    </row>
    <row r="652" spans="1:202">
      <c r="A652" s="181" t="s">
        <v>237</v>
      </c>
    </row>
    <row r="653" spans="1:202">
      <c r="A653" s="181" t="s">
        <v>237</v>
      </c>
    </row>
    <row r="654" spans="1:202">
      <c r="A654" s="181" t="s">
        <v>237</v>
      </c>
    </row>
    <row r="655" spans="1:202">
      <c r="A655" s="181" t="s">
        <v>237</v>
      </c>
    </row>
    <row r="656" spans="1:202">
      <c r="A656" s="181" t="s">
        <v>237</v>
      </c>
    </row>
    <row r="657" spans="1:1">
      <c r="A657" s="181" t="s">
        <v>237</v>
      </c>
    </row>
    <row r="658" spans="1:1">
      <c r="A658" s="181" t="s">
        <v>237</v>
      </c>
    </row>
    <row r="659" spans="1:1">
      <c r="A659" s="181" t="s">
        <v>237</v>
      </c>
    </row>
    <row r="660" spans="1:1">
      <c r="A660" s="181" t="s">
        <v>237</v>
      </c>
    </row>
    <row r="661" spans="1:1">
      <c r="A661" s="181" t="s">
        <v>237</v>
      </c>
    </row>
    <row r="662" spans="1:1">
      <c r="A662" s="181" t="s">
        <v>237</v>
      </c>
    </row>
    <row r="663" spans="1:1">
      <c r="A663" s="181" t="s">
        <v>237</v>
      </c>
    </row>
    <row r="664" spans="1:1">
      <c r="A664" s="181" t="s">
        <v>237</v>
      </c>
    </row>
    <row r="665" spans="1:1">
      <c r="A665" s="181" t="s">
        <v>237</v>
      </c>
    </row>
    <row r="666" spans="1:1">
      <c r="A666" s="181" t="s">
        <v>237</v>
      </c>
    </row>
    <row r="667" spans="1:1">
      <c r="A667" s="181" t="s">
        <v>237</v>
      </c>
    </row>
    <row r="668" spans="1:1">
      <c r="A668" s="181" t="s">
        <v>237</v>
      </c>
    </row>
    <row r="669" spans="1:1">
      <c r="A669" s="181" t="s">
        <v>237</v>
      </c>
    </row>
    <row r="670" spans="1:1">
      <c r="A670" s="181" t="s">
        <v>237</v>
      </c>
    </row>
    <row r="671" spans="1:1">
      <c r="A671" s="181" t="s">
        <v>237</v>
      </c>
    </row>
    <row r="672" spans="1:1">
      <c r="A672" s="181" t="s">
        <v>237</v>
      </c>
    </row>
    <row r="673" spans="1:296">
      <c r="A673" s="181" t="s">
        <v>237</v>
      </c>
    </row>
    <row r="674" spans="1:296">
      <c r="A674" s="181" t="s">
        <v>1244</v>
      </c>
      <c r="F674" s="181" t="s">
        <v>2135</v>
      </c>
      <c r="G674" s="181">
        <v>599889</v>
      </c>
      <c r="H674" s="181">
        <v>11</v>
      </c>
      <c r="I674" s="183" t="s">
        <v>2126</v>
      </c>
      <c r="J674" s="181" t="s">
        <v>2139</v>
      </c>
      <c r="K674" s="181">
        <v>100</v>
      </c>
      <c r="L674" s="181" t="s">
        <v>933</v>
      </c>
      <c r="M674" s="181">
        <v>1</v>
      </c>
      <c r="N674" s="181" t="s">
        <v>2140</v>
      </c>
      <c r="O674" s="181" t="s">
        <v>2039</v>
      </c>
      <c r="P674" s="181">
        <f>300/4</f>
        <v>75</v>
      </c>
      <c r="Q674" s="181">
        <f>100</f>
        <v>100</v>
      </c>
      <c r="R674" s="181">
        <v>0</v>
      </c>
      <c r="S674" s="181">
        <v>0</v>
      </c>
      <c r="AF674" s="181" t="s">
        <v>920</v>
      </c>
      <c r="AG674" s="181" t="s">
        <v>919</v>
      </c>
      <c r="AH674" s="181">
        <v>375554.88</v>
      </c>
      <c r="AI674" s="181">
        <v>695472</v>
      </c>
      <c r="AJ674" s="181">
        <v>209633.01140997058</v>
      </c>
      <c r="AK674" s="181">
        <v>209633.01140997058</v>
      </c>
      <c r="EH674" s="181" t="s">
        <v>971</v>
      </c>
      <c r="EI674" s="181">
        <v>8040.25</v>
      </c>
      <c r="EJ674" s="181">
        <v>16080.5</v>
      </c>
      <c r="EK674" s="181" t="s">
        <v>1634</v>
      </c>
      <c r="EL674" s="181">
        <v>0</v>
      </c>
      <c r="EM674" s="181">
        <v>0</v>
      </c>
      <c r="FS674" s="181">
        <v>0</v>
      </c>
      <c r="FT674" s="181">
        <v>4</v>
      </c>
      <c r="FU674" s="181">
        <v>0</v>
      </c>
      <c r="FV674" s="181">
        <v>0</v>
      </c>
      <c r="FW674" s="181">
        <v>4</v>
      </c>
      <c r="FX674" s="181">
        <v>0</v>
      </c>
      <c r="GK674" s="181">
        <v>-3943</v>
      </c>
      <c r="GO674" s="181" t="s">
        <v>364</v>
      </c>
      <c r="GP674" s="181">
        <v>154528</v>
      </c>
      <c r="GQ674" s="181">
        <v>299628</v>
      </c>
      <c r="GU674" s="181" t="s">
        <v>971</v>
      </c>
      <c r="GV674" s="181">
        <v>21748.55</v>
      </c>
      <c r="GW674" s="181">
        <v>43497.1</v>
      </c>
      <c r="GX674" s="181" t="s">
        <v>1634</v>
      </c>
      <c r="GY674" s="181">
        <v>0</v>
      </c>
      <c r="GZ674" s="181">
        <v>0</v>
      </c>
      <c r="KH674" s="181">
        <v>-3943</v>
      </c>
      <c r="KJ674" s="181" t="s">
        <v>1742</v>
      </c>
    </row>
    <row r="675" spans="1:296">
      <c r="A675" s="181" t="s">
        <v>1244</v>
      </c>
      <c r="F675" s="181" t="s">
        <v>636</v>
      </c>
      <c r="G675" s="181">
        <v>599998</v>
      </c>
      <c r="I675" s="183" t="s">
        <v>2127</v>
      </c>
      <c r="AF675" s="181" t="s">
        <v>939</v>
      </c>
      <c r="AG675" s="181" t="s">
        <v>919</v>
      </c>
      <c r="AH675" s="181">
        <v>32150.880000000001</v>
      </c>
      <c r="AI675" s="181">
        <v>62962.14</v>
      </c>
      <c r="AJ675" s="181">
        <v>230555.10313835272</v>
      </c>
      <c r="AK675" s="181">
        <v>230555.10313835272</v>
      </c>
      <c r="EH675" s="181" t="s">
        <v>1350</v>
      </c>
      <c r="EI675" s="181">
        <v>1678.7375</v>
      </c>
      <c r="EJ675" s="181">
        <v>3357.4749999999999</v>
      </c>
      <c r="EK675" s="181" t="s">
        <v>916</v>
      </c>
      <c r="EL675" s="181">
        <f>1111.222+11.25</f>
        <v>1122.472</v>
      </c>
      <c r="EM675" s="181">
        <f>2222.444+22.5</f>
        <v>2244.944</v>
      </c>
      <c r="GO675" s="181" t="s">
        <v>365</v>
      </c>
      <c r="GP675" s="181">
        <v>0</v>
      </c>
      <c r="GQ675" s="181">
        <v>0</v>
      </c>
      <c r="GU675" s="181" t="s">
        <v>1350</v>
      </c>
      <c r="GV675" s="181">
        <v>8031.55</v>
      </c>
      <c r="GW675" s="181">
        <v>16063.1</v>
      </c>
      <c r="GX675" s="181" t="s">
        <v>2145</v>
      </c>
      <c r="GY675" s="181">
        <v>555.00199999999995</v>
      </c>
      <c r="GZ675" s="181">
        <v>1110.0039999999999</v>
      </c>
      <c r="KJ675" s="181" t="s">
        <v>917</v>
      </c>
    </row>
    <row r="676" spans="1:296">
      <c r="A676" s="181" t="s">
        <v>1244</v>
      </c>
      <c r="F676" s="181" t="s">
        <v>2136</v>
      </c>
      <c r="G676" s="181">
        <v>100</v>
      </c>
      <c r="I676" s="183" t="s">
        <v>2128</v>
      </c>
      <c r="AF676" s="181" t="s">
        <v>938</v>
      </c>
      <c r="AG676" s="181" t="s">
        <v>919</v>
      </c>
      <c r="AH676" s="181">
        <v>711.6</v>
      </c>
      <c r="AI676" s="181">
        <v>1223.0625</v>
      </c>
      <c r="AJ676" s="181">
        <v>179471.19351096119</v>
      </c>
      <c r="AK676" s="181">
        <v>179471.19351096119</v>
      </c>
      <c r="EH676" s="181" t="s">
        <v>972</v>
      </c>
      <c r="EI676" s="181">
        <v>1112.5125</v>
      </c>
      <c r="EJ676" s="181">
        <v>2225.0250000000001</v>
      </c>
      <c r="EK676" s="181" t="s">
        <v>887</v>
      </c>
      <c r="EL676" s="181">
        <v>0</v>
      </c>
      <c r="EM676" s="181">
        <v>0</v>
      </c>
      <c r="GO676" s="181" t="s">
        <v>871</v>
      </c>
      <c r="GP676" s="181">
        <v>0</v>
      </c>
      <c r="GQ676" s="181">
        <v>0</v>
      </c>
      <c r="GU676" s="181" t="s">
        <v>972</v>
      </c>
      <c r="GV676" s="181">
        <v>3525.3125</v>
      </c>
      <c r="GW676" s="181">
        <v>7050.625</v>
      </c>
      <c r="GX676" s="181" t="s">
        <v>2146</v>
      </c>
      <c r="GY676" s="181">
        <v>628.89400000000001</v>
      </c>
      <c r="GZ676" s="181">
        <v>1257.788</v>
      </c>
      <c r="KJ676" s="181" t="s">
        <v>894</v>
      </c>
    </row>
    <row r="677" spans="1:296">
      <c r="A677" s="181" t="s">
        <v>1244</v>
      </c>
      <c r="F677" s="181" t="s">
        <v>2117</v>
      </c>
      <c r="G677" s="181">
        <v>1</v>
      </c>
      <c r="I677" s="183" t="s">
        <v>2129</v>
      </c>
      <c r="AF677" s="181" t="s">
        <v>937</v>
      </c>
      <c r="AG677" s="181" t="s">
        <v>919</v>
      </c>
      <c r="AH677" s="181">
        <v>15386.76</v>
      </c>
      <c r="AI677" s="181">
        <v>30132.404999999999</v>
      </c>
      <c r="AJ677" s="181">
        <v>349112.05089562706</v>
      </c>
      <c r="AK677" s="181">
        <v>349112.05089562706</v>
      </c>
      <c r="EK677" s="181" t="s">
        <v>1119</v>
      </c>
      <c r="EL677" s="181">
        <v>1728.3420000000001</v>
      </c>
      <c r="EM677" s="181">
        <v>3456.6840000000002</v>
      </c>
      <c r="FS677" s="181">
        <v>2</v>
      </c>
      <c r="FT677" s="181">
        <v>9</v>
      </c>
      <c r="FU677" s="181">
        <v>0</v>
      </c>
      <c r="FV677" s="181">
        <v>2</v>
      </c>
      <c r="FW677" s="181">
        <v>9</v>
      </c>
      <c r="FX677" s="181">
        <v>0</v>
      </c>
      <c r="GO677" s="181" t="s">
        <v>871</v>
      </c>
      <c r="GP677" s="181">
        <v>0</v>
      </c>
      <c r="GQ677" s="181">
        <v>0</v>
      </c>
      <c r="GX677" s="181" t="s">
        <v>2147</v>
      </c>
      <c r="GY677" s="181">
        <v>352.40800000000002</v>
      </c>
      <c r="GZ677" s="181">
        <v>704.81600000000003</v>
      </c>
    </row>
    <row r="678" spans="1:296">
      <c r="A678" s="181" t="s">
        <v>1244</v>
      </c>
      <c r="F678" s="181" t="s">
        <v>1680</v>
      </c>
      <c r="G678" s="181">
        <v>1</v>
      </c>
      <c r="I678" s="183" t="s">
        <v>2130</v>
      </c>
      <c r="AF678" s="181" t="s">
        <v>934</v>
      </c>
      <c r="AG678" s="181" t="s">
        <v>919</v>
      </c>
      <c r="AH678" s="181">
        <v>4395.8175000000001</v>
      </c>
      <c r="AI678" s="181">
        <v>8600.5125000000007</v>
      </c>
      <c r="AJ678" s="181">
        <v>419017.15229761018</v>
      </c>
      <c r="AK678" s="181">
        <v>419017.15229761018</v>
      </c>
      <c r="EK678" s="181" t="s">
        <v>2141</v>
      </c>
      <c r="EL678" s="181">
        <v>131.54400000000001</v>
      </c>
      <c r="EM678" s="181">
        <v>263.08800000000002</v>
      </c>
      <c r="GO678" s="181" t="s">
        <v>871</v>
      </c>
      <c r="GP678" s="181">
        <v>0</v>
      </c>
      <c r="GQ678" s="181">
        <v>0</v>
      </c>
      <c r="GX678" s="181" t="s">
        <v>916</v>
      </c>
      <c r="GY678" s="181">
        <v>8.1199999999999992</v>
      </c>
      <c r="GZ678" s="181">
        <v>16.239999999999998</v>
      </c>
    </row>
    <row r="679" spans="1:296">
      <c r="A679" s="181" t="s">
        <v>1244</v>
      </c>
      <c r="F679" s="181" t="s">
        <v>2137</v>
      </c>
      <c r="G679" s="181">
        <v>1</v>
      </c>
      <c r="I679" s="183" t="s">
        <v>2131</v>
      </c>
      <c r="AF679" s="181" t="s">
        <v>1286</v>
      </c>
      <c r="AG679" s="181" t="s">
        <v>919</v>
      </c>
      <c r="AH679" s="181">
        <v>22396.185000000001</v>
      </c>
      <c r="AI679" s="181">
        <v>50124.794999999998</v>
      </c>
      <c r="AJ679" s="181">
        <v>450568.97670951782</v>
      </c>
      <c r="AK679" s="181">
        <v>450568.97670951782</v>
      </c>
      <c r="EK679" s="181" t="s">
        <v>2142</v>
      </c>
      <c r="EL679" s="181">
        <v>12.6</v>
      </c>
      <c r="EM679" s="181">
        <v>25.2</v>
      </c>
      <c r="GO679" s="181" t="s">
        <v>871</v>
      </c>
      <c r="GP679" s="181">
        <v>0</v>
      </c>
      <c r="GQ679" s="181">
        <v>0</v>
      </c>
      <c r="GX679" s="181" t="s">
        <v>929</v>
      </c>
      <c r="GY679" s="181">
        <v>3118.8919999999998</v>
      </c>
      <c r="GZ679" s="181">
        <v>6237.7839999999997</v>
      </c>
    </row>
    <row r="680" spans="1:296">
      <c r="A680" s="181" t="s">
        <v>1244</v>
      </c>
      <c r="F680" s="181" t="s">
        <v>2138</v>
      </c>
      <c r="G680" s="181">
        <v>10</v>
      </c>
      <c r="I680" s="183" t="s">
        <v>2132</v>
      </c>
      <c r="AF680" s="181" t="s">
        <v>1287</v>
      </c>
      <c r="AG680" s="181" t="s">
        <v>919</v>
      </c>
      <c r="AH680" s="181">
        <v>1130.2574999999999</v>
      </c>
      <c r="AI680" s="181">
        <v>1527.375</v>
      </c>
      <c r="AJ680" s="181">
        <v>678720.08028480236</v>
      </c>
      <c r="AK680" s="181">
        <v>678720.08028480236</v>
      </c>
      <c r="EK680" s="181" t="s">
        <v>333</v>
      </c>
      <c r="EL680" s="181">
        <v>2308.922</v>
      </c>
      <c r="EM680" s="181">
        <v>4617.8440000000001</v>
      </c>
      <c r="GO680" s="181" t="s">
        <v>871</v>
      </c>
      <c r="GP680" s="181">
        <v>0</v>
      </c>
      <c r="GQ680" s="181">
        <v>0</v>
      </c>
      <c r="GX680" s="181" t="s">
        <v>2148</v>
      </c>
      <c r="GY680" s="181">
        <v>226.142</v>
      </c>
      <c r="GZ680" s="181">
        <v>452.28399999999999</v>
      </c>
    </row>
    <row r="681" spans="1:296">
      <c r="A681" s="181" t="s">
        <v>1244</v>
      </c>
      <c r="I681" s="181" t="s">
        <v>2134</v>
      </c>
      <c r="AF681" s="181" t="s">
        <v>936</v>
      </c>
      <c r="AG681" s="181" t="s">
        <v>919</v>
      </c>
      <c r="AH681" s="181">
        <v>28900.567500000001</v>
      </c>
      <c r="AI681" s="181">
        <v>63885.464999999997</v>
      </c>
      <c r="AJ681" s="181">
        <v>913091.99496708764</v>
      </c>
      <c r="AK681" s="181">
        <v>913091.99496708764</v>
      </c>
      <c r="EK681" s="181" t="s">
        <v>2143</v>
      </c>
      <c r="EL681" s="181">
        <v>207.87200000000001</v>
      </c>
      <c r="EM681" s="181">
        <v>415.74400000000003</v>
      </c>
      <c r="GO681" s="181" t="s">
        <v>871</v>
      </c>
      <c r="GP681" s="181">
        <v>0</v>
      </c>
      <c r="GQ681" s="181">
        <v>0</v>
      </c>
      <c r="GX681" s="181" t="s">
        <v>887</v>
      </c>
      <c r="GY681" s="181">
        <v>862.96</v>
      </c>
      <c r="GZ681" s="181">
        <v>1725.92</v>
      </c>
    </row>
    <row r="682" spans="1:296">
      <c r="A682" s="181" t="s">
        <v>1244</v>
      </c>
      <c r="I682" s="181" t="s">
        <v>1344</v>
      </c>
      <c r="AF682" s="181" t="s">
        <v>333</v>
      </c>
      <c r="AG682" s="181" t="s">
        <v>666</v>
      </c>
      <c r="AH682" s="181">
        <v>23798.860799999999</v>
      </c>
      <c r="AI682" s="181">
        <v>43021.017599999999</v>
      </c>
      <c r="AJ682" s="181">
        <v>1000000</v>
      </c>
      <c r="AK682" s="181">
        <v>1000000</v>
      </c>
      <c r="EK682" s="181" t="s">
        <v>2144</v>
      </c>
      <c r="EL682" s="181">
        <f>6228.588+11.25</f>
        <v>6239.8379999999997</v>
      </c>
      <c r="EM682" s="181">
        <f>11211.4584+22.5</f>
        <v>11233.9584</v>
      </c>
      <c r="GO682" s="181" t="s">
        <v>871</v>
      </c>
      <c r="GP682" s="181">
        <v>0</v>
      </c>
      <c r="GQ682" s="181">
        <v>0</v>
      </c>
      <c r="GX682" s="181" t="s">
        <v>1119</v>
      </c>
      <c r="GY682" s="181">
        <v>2915.8919999999998</v>
      </c>
      <c r="GZ682" s="181">
        <v>5831.7839999999997</v>
      </c>
    </row>
    <row r="683" spans="1:296">
      <c r="A683" s="181" t="s">
        <v>1244</v>
      </c>
      <c r="I683" s="181" t="s">
        <v>1329</v>
      </c>
      <c r="GO683" s="181" t="s">
        <v>871</v>
      </c>
      <c r="GP683" s="181">
        <v>0</v>
      </c>
      <c r="GQ683" s="181">
        <v>0</v>
      </c>
      <c r="GX683" s="181" t="s">
        <v>2149</v>
      </c>
      <c r="GY683" s="181">
        <v>8484.9940000000006</v>
      </c>
      <c r="GZ683" s="181">
        <v>16969.988000000001</v>
      </c>
    </row>
    <row r="684" spans="1:296">
      <c r="A684" s="181" t="s">
        <v>1244</v>
      </c>
      <c r="I684" s="181" t="s">
        <v>2133</v>
      </c>
      <c r="GO684" s="181" t="s">
        <v>871</v>
      </c>
      <c r="GP684" s="181">
        <v>0</v>
      </c>
      <c r="GQ684" s="181">
        <v>0</v>
      </c>
      <c r="GX684" s="181" t="s">
        <v>333</v>
      </c>
      <c r="GY684" s="181">
        <f>1598.422+11.25</f>
        <v>1609.672</v>
      </c>
      <c r="GZ684" s="181">
        <f>3196.844+22.5</f>
        <v>3219.3440000000001</v>
      </c>
    </row>
    <row r="685" spans="1:296">
      <c r="A685" s="181" t="s">
        <v>1244</v>
      </c>
      <c r="GO685" s="181" t="s">
        <v>872</v>
      </c>
      <c r="GP685" s="181">
        <v>0</v>
      </c>
      <c r="GQ685" s="181">
        <v>0</v>
      </c>
    </row>
    <row r="686" spans="1:296">
      <c r="A686" s="181" t="s">
        <v>1244</v>
      </c>
      <c r="GO686" s="181" t="s">
        <v>1695</v>
      </c>
      <c r="GP686" s="181">
        <v>0</v>
      </c>
      <c r="GQ686" s="181">
        <v>0</v>
      </c>
    </row>
    <row r="687" spans="1:296">
      <c r="A687" s="181" t="s">
        <v>1244</v>
      </c>
      <c r="GO687" s="181" t="s">
        <v>873</v>
      </c>
      <c r="GP687" s="181">
        <v>0</v>
      </c>
      <c r="GQ687" s="181">
        <v>0</v>
      </c>
    </row>
    <row r="688" spans="1:296">
      <c r="A688" s="181" t="s">
        <v>1244</v>
      </c>
      <c r="GO688" s="181" t="s">
        <v>873</v>
      </c>
      <c r="GP688" s="181">
        <v>0</v>
      </c>
      <c r="GQ688" s="181">
        <v>0</v>
      </c>
    </row>
    <row r="689" spans="1:199">
      <c r="A689" s="181" t="s">
        <v>1244</v>
      </c>
      <c r="GO689" s="181" t="s">
        <v>873</v>
      </c>
      <c r="GP689" s="181">
        <v>0</v>
      </c>
      <c r="GQ689" s="181">
        <v>0</v>
      </c>
    </row>
    <row r="690" spans="1:199">
      <c r="A690" s="181" t="s">
        <v>1244</v>
      </c>
      <c r="GO690" s="181" t="s">
        <v>308</v>
      </c>
      <c r="GP690" s="181">
        <v>0</v>
      </c>
      <c r="GQ690" s="181">
        <v>0</v>
      </c>
    </row>
    <row r="691" spans="1:199">
      <c r="A691" s="181" t="s">
        <v>1244</v>
      </c>
      <c r="GO691" s="181" t="s">
        <v>1703</v>
      </c>
      <c r="GP691" s="181">
        <v>0</v>
      </c>
      <c r="GQ691" s="181">
        <v>0</v>
      </c>
    </row>
    <row r="692" spans="1:199">
      <c r="A692" s="181" t="s">
        <v>1244</v>
      </c>
      <c r="GO692" s="181" t="s">
        <v>874</v>
      </c>
      <c r="GP692" s="181">
        <v>0</v>
      </c>
      <c r="GQ692" s="181">
        <v>0</v>
      </c>
    </row>
    <row r="693" spans="1:199">
      <c r="A693" s="181" t="s">
        <v>1244</v>
      </c>
      <c r="GO693" s="181" t="s">
        <v>874</v>
      </c>
      <c r="GP693" s="181">
        <v>0</v>
      </c>
      <c r="GQ693" s="181">
        <v>0</v>
      </c>
    </row>
    <row r="694" spans="1:199">
      <c r="A694" s="181" t="s">
        <v>1244</v>
      </c>
      <c r="GO694" s="181" t="s">
        <v>874</v>
      </c>
      <c r="GP694" s="181">
        <v>0</v>
      </c>
      <c r="GQ694" s="181">
        <v>0</v>
      </c>
    </row>
    <row r="695" spans="1:199">
      <c r="A695" s="181" t="s">
        <v>1244</v>
      </c>
      <c r="GO695" s="181" t="s">
        <v>1696</v>
      </c>
      <c r="GP695" s="181">
        <v>0</v>
      </c>
      <c r="GQ695" s="181">
        <v>0</v>
      </c>
    </row>
    <row r="696" spans="1:199">
      <c r="A696" s="181" t="s">
        <v>1244</v>
      </c>
      <c r="GO696" s="181">
        <v>0</v>
      </c>
      <c r="GP696" s="181">
        <v>0</v>
      </c>
      <c r="GQ696" s="181">
        <v>0</v>
      </c>
    </row>
    <row r="697" spans="1:199">
      <c r="A697" s="181" t="s">
        <v>1244</v>
      </c>
      <c r="GO697" s="181">
        <v>0</v>
      </c>
      <c r="GP697" s="181">
        <v>0</v>
      </c>
      <c r="GQ697" s="181">
        <v>0</v>
      </c>
    </row>
    <row r="698" spans="1:199">
      <c r="A698" s="181" t="s">
        <v>1244</v>
      </c>
      <c r="GO698" s="181">
        <v>0</v>
      </c>
      <c r="GP698" s="181">
        <v>0</v>
      </c>
      <c r="GQ698" s="181">
        <v>0</v>
      </c>
    </row>
    <row r="699" spans="1:199">
      <c r="A699" s="181" t="s">
        <v>1244</v>
      </c>
      <c r="GO699" s="181">
        <v>0</v>
      </c>
      <c r="GP699" s="181">
        <v>0</v>
      </c>
      <c r="GQ699" s="181">
        <v>0</v>
      </c>
    </row>
    <row r="700" spans="1:199">
      <c r="A700" s="181" t="s">
        <v>1244</v>
      </c>
      <c r="GO700" s="181">
        <v>0</v>
      </c>
      <c r="GP700" s="181">
        <v>0</v>
      </c>
      <c r="GQ700" s="181">
        <v>0</v>
      </c>
    </row>
    <row r="701" spans="1:199">
      <c r="A701" s="181" t="s">
        <v>1244</v>
      </c>
      <c r="GO701" s="181">
        <v>0</v>
      </c>
      <c r="GP701" s="181">
        <v>0</v>
      </c>
      <c r="GQ701" s="181">
        <v>0</v>
      </c>
    </row>
    <row r="702" spans="1:199">
      <c r="A702" s="181" t="s">
        <v>1244</v>
      </c>
      <c r="GO702" s="181">
        <v>0</v>
      </c>
      <c r="GP702" s="181">
        <v>0</v>
      </c>
      <c r="GQ702" s="181">
        <v>0</v>
      </c>
    </row>
    <row r="703" spans="1:199">
      <c r="A703" s="181" t="s">
        <v>1244</v>
      </c>
      <c r="GO703" s="181">
        <v>0</v>
      </c>
      <c r="GP703" s="181">
        <v>0</v>
      </c>
      <c r="GQ703" s="181">
        <v>0</v>
      </c>
    </row>
    <row r="704" spans="1:199">
      <c r="A704" s="181" t="s">
        <v>1244</v>
      </c>
      <c r="GO704" s="181">
        <v>0</v>
      </c>
      <c r="GP704" s="181">
        <v>0</v>
      </c>
      <c r="GQ704" s="181">
        <v>0</v>
      </c>
    </row>
    <row r="705" spans="1:199">
      <c r="A705" s="181" t="s">
        <v>1244</v>
      </c>
      <c r="GO705" s="181">
        <v>0</v>
      </c>
      <c r="GP705" s="181">
        <v>0</v>
      </c>
      <c r="GQ705" s="181">
        <v>0</v>
      </c>
    </row>
    <row r="706" spans="1:199">
      <c r="A706" s="181" t="s">
        <v>1244</v>
      </c>
      <c r="GO706" s="181">
        <v>0</v>
      </c>
      <c r="GP706" s="181">
        <v>0</v>
      </c>
      <c r="GQ706" s="181">
        <v>0</v>
      </c>
    </row>
    <row r="707" spans="1:199">
      <c r="A707" s="181" t="s">
        <v>1244</v>
      </c>
      <c r="GO707" s="181">
        <v>0</v>
      </c>
      <c r="GP707" s="181">
        <v>0</v>
      </c>
      <c r="GQ707" s="181">
        <v>0</v>
      </c>
    </row>
    <row r="708" spans="1:199">
      <c r="A708" s="181" t="s">
        <v>1244</v>
      </c>
      <c r="GO708" s="181">
        <v>0</v>
      </c>
      <c r="GP708" s="181">
        <v>0</v>
      </c>
      <c r="GQ708" s="181">
        <v>0</v>
      </c>
    </row>
    <row r="709" spans="1:199">
      <c r="A709" s="181" t="s">
        <v>1244</v>
      </c>
      <c r="GO709" s="181">
        <v>0</v>
      </c>
      <c r="GP709" s="181">
        <v>0</v>
      </c>
      <c r="GQ709" s="181">
        <v>0</v>
      </c>
    </row>
    <row r="710" spans="1:199">
      <c r="A710" s="181" t="s">
        <v>1244</v>
      </c>
      <c r="GO710" s="181" t="s">
        <v>309</v>
      </c>
      <c r="GP710" s="181">
        <v>0</v>
      </c>
      <c r="GQ710" s="181">
        <v>0</v>
      </c>
    </row>
    <row r="711" spans="1:199">
      <c r="A711" s="181" t="s">
        <v>1244</v>
      </c>
      <c r="GO711" s="181" t="s">
        <v>309</v>
      </c>
      <c r="GP711" s="181">
        <v>0</v>
      </c>
      <c r="GQ711" s="181">
        <v>0</v>
      </c>
    </row>
    <row r="712" spans="1:199">
      <c r="A712" s="181" t="s">
        <v>1244</v>
      </c>
      <c r="GO712" s="181" t="s">
        <v>309</v>
      </c>
      <c r="GP712" s="181">
        <v>0</v>
      </c>
      <c r="GQ712" s="181">
        <v>0</v>
      </c>
    </row>
    <row r="713" spans="1:199">
      <c r="A713" s="181" t="s">
        <v>1244</v>
      </c>
      <c r="GP713" s="181">
        <v>154528</v>
      </c>
      <c r="GQ713" s="181">
        <v>299628</v>
      </c>
    </row>
    <row r="714" spans="1:199">
      <c r="A714" s="181" t="s">
        <v>1244</v>
      </c>
      <c r="GO714" s="181" t="s">
        <v>1697</v>
      </c>
      <c r="GP714" s="181">
        <v>0</v>
      </c>
      <c r="GQ714" s="181">
        <v>0</v>
      </c>
    </row>
    <row r="715" spans="1:199">
      <c r="A715" s="181" t="s">
        <v>1244</v>
      </c>
      <c r="GO715" s="181" t="s">
        <v>875</v>
      </c>
      <c r="GP715" s="181">
        <v>0</v>
      </c>
      <c r="GQ715" s="181">
        <v>0</v>
      </c>
    </row>
    <row r="716" spans="1:199">
      <c r="A716" s="181" t="s">
        <v>1244</v>
      </c>
      <c r="GO716" s="181" t="s">
        <v>875</v>
      </c>
      <c r="GP716" s="181">
        <v>0</v>
      </c>
      <c r="GQ716" s="181">
        <v>0</v>
      </c>
    </row>
    <row r="717" spans="1:199">
      <c r="A717" s="181" t="s">
        <v>1244</v>
      </c>
      <c r="GO717" s="181" t="s">
        <v>875</v>
      </c>
      <c r="GP717" s="181">
        <v>0</v>
      </c>
      <c r="GQ717" s="181">
        <v>0</v>
      </c>
    </row>
    <row r="718" spans="1:199">
      <c r="A718" s="181" t="s">
        <v>1244</v>
      </c>
      <c r="GO718" s="181" t="s">
        <v>875</v>
      </c>
      <c r="GP718" s="181">
        <v>0</v>
      </c>
      <c r="GQ718" s="181">
        <v>0</v>
      </c>
    </row>
    <row r="719" spans="1:199">
      <c r="A719" s="181" t="s">
        <v>1244</v>
      </c>
      <c r="GO719" s="181" t="s">
        <v>875</v>
      </c>
      <c r="GP719" s="181">
        <v>0</v>
      </c>
      <c r="GQ719" s="181">
        <v>0</v>
      </c>
    </row>
    <row r="720" spans="1:199">
      <c r="A720" s="181" t="s">
        <v>1244</v>
      </c>
      <c r="GO720" s="181" t="s">
        <v>310</v>
      </c>
      <c r="GP720" s="181">
        <v>0</v>
      </c>
      <c r="GQ720" s="181">
        <v>0</v>
      </c>
    </row>
    <row r="721" spans="1:199">
      <c r="A721" s="181" t="s">
        <v>1244</v>
      </c>
      <c r="GO721" s="181" t="s">
        <v>310</v>
      </c>
      <c r="GP721" s="181">
        <v>0</v>
      </c>
      <c r="GQ721" s="181">
        <v>0</v>
      </c>
    </row>
    <row r="722" spans="1:199">
      <c r="A722" s="181" t="s">
        <v>1244</v>
      </c>
      <c r="GO722" s="181" t="s">
        <v>310</v>
      </c>
      <c r="GP722" s="181">
        <v>0</v>
      </c>
      <c r="GQ722" s="181">
        <v>0</v>
      </c>
    </row>
    <row r="723" spans="1:199">
      <c r="A723" s="181" t="s">
        <v>1244</v>
      </c>
      <c r="GO723" s="181" t="s">
        <v>310</v>
      </c>
      <c r="GP723" s="181">
        <v>0</v>
      </c>
      <c r="GQ723" s="181">
        <v>0</v>
      </c>
    </row>
    <row r="724" spans="1:199">
      <c r="A724" s="181" t="s">
        <v>1244</v>
      </c>
      <c r="GO724" s="181" t="s">
        <v>876</v>
      </c>
      <c r="GP724" s="181">
        <v>0</v>
      </c>
      <c r="GQ724" s="181">
        <v>0</v>
      </c>
    </row>
    <row r="725" spans="1:199">
      <c r="A725" s="181" t="s">
        <v>1244</v>
      </c>
      <c r="GO725" s="181" t="s">
        <v>876</v>
      </c>
      <c r="GP725" s="181">
        <v>0</v>
      </c>
      <c r="GQ725" s="181">
        <v>0</v>
      </c>
    </row>
    <row r="726" spans="1:199">
      <c r="A726" s="181" t="s">
        <v>1244</v>
      </c>
      <c r="GO726" s="181" t="s">
        <v>876</v>
      </c>
      <c r="GP726" s="181">
        <v>0</v>
      </c>
      <c r="GQ726" s="181">
        <v>0</v>
      </c>
    </row>
    <row r="727" spans="1:199">
      <c r="A727" s="181" t="s">
        <v>1244</v>
      </c>
      <c r="GO727" s="181" t="s">
        <v>876</v>
      </c>
      <c r="GP727" s="181">
        <v>0</v>
      </c>
      <c r="GQ727" s="181">
        <v>0</v>
      </c>
    </row>
    <row r="728" spans="1:199">
      <c r="A728" s="181" t="s">
        <v>1244</v>
      </c>
      <c r="GO728" s="181" t="s">
        <v>876</v>
      </c>
      <c r="GP728" s="181">
        <v>0</v>
      </c>
      <c r="GQ728" s="181">
        <v>0</v>
      </c>
    </row>
    <row r="729" spans="1:199">
      <c r="A729" s="181" t="s">
        <v>1244</v>
      </c>
      <c r="GO729" s="181" t="s">
        <v>950</v>
      </c>
      <c r="GP729" s="181">
        <v>0</v>
      </c>
      <c r="GQ729" s="181">
        <v>0</v>
      </c>
    </row>
    <row r="730" spans="1:199">
      <c r="A730" s="181" t="s">
        <v>1244</v>
      </c>
      <c r="GO730" s="181" t="s">
        <v>1698</v>
      </c>
      <c r="GP730" s="181">
        <v>0</v>
      </c>
      <c r="GQ730" s="181">
        <v>0</v>
      </c>
    </row>
    <row r="731" spans="1:199">
      <c r="A731" s="181" t="s">
        <v>1244</v>
      </c>
      <c r="GO731" s="181" t="s">
        <v>1699</v>
      </c>
      <c r="GP731" s="181">
        <v>0</v>
      </c>
      <c r="GQ731" s="181">
        <v>0</v>
      </c>
    </row>
    <row r="732" spans="1:199">
      <c r="A732" s="181" t="s">
        <v>1244</v>
      </c>
      <c r="GO732" s="181" t="s">
        <v>1368</v>
      </c>
      <c r="GP732" s="181">
        <v>0</v>
      </c>
      <c r="GQ732" s="181">
        <v>0</v>
      </c>
    </row>
    <row r="733" spans="1:199">
      <c r="A733" s="181" t="s">
        <v>1244</v>
      </c>
      <c r="GO733" s="181">
        <v>0</v>
      </c>
      <c r="GP733" s="181">
        <v>0</v>
      </c>
      <c r="GQ733" s="181">
        <v>0</v>
      </c>
    </row>
    <row r="734" spans="1:199">
      <c r="A734" s="181" t="s">
        <v>1244</v>
      </c>
      <c r="GO734" s="181">
        <v>0</v>
      </c>
      <c r="GP734" s="181">
        <v>0</v>
      </c>
      <c r="GQ734" s="181">
        <v>0</v>
      </c>
    </row>
    <row r="735" spans="1:199">
      <c r="A735" s="181" t="s">
        <v>1244</v>
      </c>
      <c r="GO735" s="181">
        <v>0</v>
      </c>
      <c r="GP735" s="181">
        <v>0</v>
      </c>
      <c r="GQ735" s="181">
        <v>0</v>
      </c>
    </row>
    <row r="736" spans="1:199">
      <c r="A736" s="181" t="s">
        <v>1244</v>
      </c>
      <c r="GO736" s="181">
        <v>0</v>
      </c>
      <c r="GP736" s="181">
        <v>0</v>
      </c>
      <c r="GQ736" s="181">
        <v>0</v>
      </c>
    </row>
    <row r="737" spans="1:199">
      <c r="A737" s="181" t="s">
        <v>1244</v>
      </c>
      <c r="GO737" s="181">
        <v>0</v>
      </c>
      <c r="GP737" s="181">
        <v>0</v>
      </c>
      <c r="GQ737" s="181">
        <v>0</v>
      </c>
    </row>
    <row r="738" spans="1:199">
      <c r="A738" s="181" t="s">
        <v>1244</v>
      </c>
      <c r="GO738" s="181">
        <v>0</v>
      </c>
      <c r="GP738" s="181">
        <v>0</v>
      </c>
      <c r="GQ738" s="181">
        <v>0</v>
      </c>
    </row>
    <row r="739" spans="1:199">
      <c r="A739" s="181" t="s">
        <v>1244</v>
      </c>
      <c r="GO739" s="181">
        <v>0</v>
      </c>
      <c r="GP739" s="181">
        <v>0</v>
      </c>
      <c r="GQ739" s="181">
        <v>0</v>
      </c>
    </row>
    <row r="740" spans="1:199">
      <c r="A740" s="181" t="s">
        <v>1244</v>
      </c>
      <c r="GO740" s="181">
        <v>0</v>
      </c>
      <c r="GP740" s="181">
        <v>0</v>
      </c>
      <c r="GQ740" s="181">
        <v>0</v>
      </c>
    </row>
    <row r="741" spans="1:199">
      <c r="A741" s="181" t="s">
        <v>1244</v>
      </c>
      <c r="GO741" s="181">
        <v>0</v>
      </c>
      <c r="GP741" s="181">
        <v>0</v>
      </c>
      <c r="GQ741" s="181">
        <v>0</v>
      </c>
    </row>
    <row r="742" spans="1:199">
      <c r="A742" s="181" t="s">
        <v>1244</v>
      </c>
      <c r="GO742" s="181">
        <v>0</v>
      </c>
      <c r="GP742" s="181">
        <v>0</v>
      </c>
      <c r="GQ742" s="181">
        <v>0</v>
      </c>
    </row>
    <row r="743" spans="1:199">
      <c r="A743" s="181" t="s">
        <v>1244</v>
      </c>
      <c r="GO743" s="181">
        <v>0</v>
      </c>
      <c r="GP743" s="181">
        <v>0</v>
      </c>
      <c r="GQ743" s="181">
        <v>0</v>
      </c>
    </row>
    <row r="744" spans="1:199">
      <c r="A744" s="181" t="s">
        <v>1244</v>
      </c>
      <c r="GP744" s="181">
        <v>0</v>
      </c>
      <c r="GQ744" s="181">
        <v>0</v>
      </c>
    </row>
    <row r="745" spans="1:199">
      <c r="A745" s="181" t="s">
        <v>1244</v>
      </c>
      <c r="GO745" s="181" t="s">
        <v>309</v>
      </c>
      <c r="GP745" s="181">
        <v>0</v>
      </c>
      <c r="GQ745" s="181">
        <v>0</v>
      </c>
    </row>
    <row r="746" spans="1:199">
      <c r="A746" s="181" t="s">
        <v>1244</v>
      </c>
      <c r="GP746" s="181">
        <v>154528</v>
      </c>
      <c r="GQ746" s="181">
        <v>299628</v>
      </c>
    </row>
    <row r="747" spans="1:199">
      <c r="A747" s="181" t="s">
        <v>1244</v>
      </c>
      <c r="GO747" s="181" t="s">
        <v>312</v>
      </c>
      <c r="GP747" s="181">
        <v>0</v>
      </c>
      <c r="GQ747" s="181">
        <v>0</v>
      </c>
    </row>
    <row r="748" spans="1:199">
      <c r="A748" s="181" t="s">
        <v>1244</v>
      </c>
      <c r="GO748" s="181" t="s">
        <v>312</v>
      </c>
      <c r="GP748" s="181">
        <v>0</v>
      </c>
      <c r="GQ748" s="181">
        <v>0</v>
      </c>
    </row>
    <row r="749" spans="1:199">
      <c r="A749" s="181" t="s">
        <v>1244</v>
      </c>
      <c r="GO749" s="181" t="s">
        <v>312</v>
      </c>
      <c r="GP749" s="181">
        <v>0</v>
      </c>
      <c r="GQ749" s="181">
        <v>0</v>
      </c>
    </row>
    <row r="750" spans="1:199">
      <c r="A750" s="181" t="s">
        <v>1244</v>
      </c>
      <c r="GO750" s="181" t="s">
        <v>312</v>
      </c>
      <c r="GP750" s="181">
        <v>0</v>
      </c>
      <c r="GQ750" s="181">
        <v>0</v>
      </c>
    </row>
    <row r="751" spans="1:199">
      <c r="A751" s="181" t="s">
        <v>1244</v>
      </c>
      <c r="GO751" s="181" t="s">
        <v>312</v>
      </c>
      <c r="GP751" s="181">
        <v>0</v>
      </c>
      <c r="GQ751" s="181">
        <v>0</v>
      </c>
    </row>
    <row r="752" spans="1:199">
      <c r="A752" s="181" t="s">
        <v>1244</v>
      </c>
      <c r="GO752" s="181" t="s">
        <v>312</v>
      </c>
      <c r="GP752" s="181">
        <v>0</v>
      </c>
      <c r="GQ752" s="181">
        <v>0</v>
      </c>
    </row>
    <row r="753" spans="1:199">
      <c r="A753" s="181" t="s">
        <v>1244</v>
      </c>
      <c r="GO753" s="181" t="s">
        <v>312</v>
      </c>
      <c r="GP753" s="181">
        <v>0</v>
      </c>
      <c r="GQ753" s="181">
        <v>0</v>
      </c>
    </row>
    <row r="754" spans="1:199">
      <c r="A754" s="181" t="s">
        <v>1244</v>
      </c>
      <c r="GO754" s="181" t="s">
        <v>877</v>
      </c>
      <c r="GP754" s="181">
        <v>0</v>
      </c>
      <c r="GQ754" s="181">
        <v>0</v>
      </c>
    </row>
    <row r="755" spans="1:199">
      <c r="A755" s="181" t="s">
        <v>1244</v>
      </c>
      <c r="GO755" s="181" t="s">
        <v>878</v>
      </c>
      <c r="GP755" s="181">
        <v>0</v>
      </c>
      <c r="GQ755" s="181">
        <v>0</v>
      </c>
    </row>
    <row r="756" spans="1:199">
      <c r="A756" s="181" t="s">
        <v>1244</v>
      </c>
      <c r="GO756" s="181" t="s">
        <v>878</v>
      </c>
      <c r="GP756" s="181">
        <v>0</v>
      </c>
      <c r="GQ756" s="181">
        <v>0</v>
      </c>
    </row>
    <row r="757" spans="1:199">
      <c r="A757" s="181" t="s">
        <v>1244</v>
      </c>
      <c r="GO757" s="181" t="s">
        <v>878</v>
      </c>
      <c r="GP757" s="181">
        <v>0</v>
      </c>
      <c r="GQ757" s="181">
        <v>0</v>
      </c>
    </row>
    <row r="758" spans="1:199">
      <c r="A758" s="181" t="s">
        <v>1244</v>
      </c>
      <c r="GO758" s="181" t="s">
        <v>878</v>
      </c>
      <c r="GP758" s="181">
        <v>0</v>
      </c>
      <c r="GQ758" s="181">
        <v>0</v>
      </c>
    </row>
    <row r="759" spans="1:199">
      <c r="A759" s="181" t="s">
        <v>1244</v>
      </c>
      <c r="GO759" s="181" t="s">
        <v>878</v>
      </c>
      <c r="GP759" s="181">
        <v>0</v>
      </c>
      <c r="GQ759" s="181">
        <v>0</v>
      </c>
    </row>
    <row r="760" spans="1:199">
      <c r="A760" s="181" t="s">
        <v>1244</v>
      </c>
      <c r="GO760" s="181" t="s">
        <v>878</v>
      </c>
      <c r="GP760" s="181">
        <v>0</v>
      </c>
      <c r="GQ760" s="181">
        <v>0</v>
      </c>
    </row>
    <row r="761" spans="1:199">
      <c r="A761" s="181" t="s">
        <v>1244</v>
      </c>
      <c r="GO761" s="181" t="s">
        <v>878</v>
      </c>
      <c r="GP761" s="181">
        <v>0</v>
      </c>
      <c r="GQ761" s="181">
        <v>0</v>
      </c>
    </row>
    <row r="762" spans="1:199">
      <c r="A762" s="181" t="s">
        <v>1244</v>
      </c>
      <c r="GO762" s="181" t="s">
        <v>878</v>
      </c>
      <c r="GP762" s="181">
        <v>0</v>
      </c>
      <c r="GQ762" s="181">
        <v>0</v>
      </c>
    </row>
    <row r="763" spans="1:199">
      <c r="A763" s="181" t="s">
        <v>1244</v>
      </c>
      <c r="GO763" s="181" t="s">
        <v>878</v>
      </c>
      <c r="GP763" s="181">
        <v>0</v>
      </c>
      <c r="GQ763" s="181">
        <v>0</v>
      </c>
    </row>
    <row r="764" spans="1:199">
      <c r="A764" s="181" t="s">
        <v>1244</v>
      </c>
      <c r="GO764" s="181" t="s">
        <v>879</v>
      </c>
      <c r="GP764" s="181">
        <v>0</v>
      </c>
      <c r="GQ764" s="181">
        <v>0</v>
      </c>
    </row>
    <row r="765" spans="1:199">
      <c r="A765" s="181" t="s">
        <v>1244</v>
      </c>
      <c r="GO765" s="181" t="s">
        <v>368</v>
      </c>
      <c r="GP765" s="181">
        <v>0</v>
      </c>
      <c r="GQ765" s="181">
        <v>0</v>
      </c>
    </row>
    <row r="766" spans="1:199">
      <c r="A766" s="181" t="s">
        <v>1244</v>
      </c>
      <c r="GO766" s="181" t="s">
        <v>880</v>
      </c>
      <c r="GP766" s="181">
        <v>18762</v>
      </c>
      <c r="GQ766" s="181">
        <v>37524</v>
      </c>
    </row>
    <row r="767" spans="1:199">
      <c r="A767" s="181" t="s">
        <v>1244</v>
      </c>
      <c r="GO767" s="181" t="s">
        <v>369</v>
      </c>
      <c r="GP767" s="181">
        <v>16296</v>
      </c>
      <c r="GQ767" s="181">
        <v>32640</v>
      </c>
    </row>
    <row r="768" spans="1:199">
      <c r="A768" s="181" t="s">
        <v>1244</v>
      </c>
      <c r="GO768" s="181" t="s">
        <v>370</v>
      </c>
      <c r="GP768" s="181">
        <v>0</v>
      </c>
      <c r="GQ768" s="181">
        <v>0</v>
      </c>
    </row>
    <row r="769" spans="1:199">
      <c r="A769" s="181" t="s">
        <v>1244</v>
      </c>
      <c r="GO769" s="181" t="s">
        <v>371</v>
      </c>
      <c r="GP769" s="181">
        <v>0</v>
      </c>
      <c r="GQ769" s="181">
        <v>0</v>
      </c>
    </row>
    <row r="770" spans="1:199">
      <c r="A770" s="181" t="s">
        <v>1244</v>
      </c>
      <c r="GO770" s="181" t="s">
        <v>881</v>
      </c>
      <c r="GP770" s="181">
        <v>33303</v>
      </c>
      <c r="GQ770" s="181">
        <v>66606</v>
      </c>
    </row>
    <row r="771" spans="1:199">
      <c r="A771" s="181" t="s">
        <v>1244</v>
      </c>
      <c r="GO771" s="181">
        <v>0</v>
      </c>
      <c r="GP771" s="181">
        <v>0</v>
      </c>
      <c r="GQ771" s="181">
        <v>0</v>
      </c>
    </row>
    <row r="772" spans="1:199">
      <c r="A772" s="181" t="s">
        <v>1244</v>
      </c>
      <c r="GO772" s="181">
        <v>0</v>
      </c>
      <c r="GP772" s="181">
        <v>0</v>
      </c>
      <c r="GQ772" s="181">
        <v>0</v>
      </c>
    </row>
    <row r="773" spans="1:199">
      <c r="A773" s="181" t="s">
        <v>1244</v>
      </c>
      <c r="GO773" s="181">
        <v>0</v>
      </c>
      <c r="GP773" s="181">
        <v>0</v>
      </c>
      <c r="GQ773" s="181">
        <v>0</v>
      </c>
    </row>
    <row r="774" spans="1:199">
      <c r="A774" s="181" t="s">
        <v>1244</v>
      </c>
      <c r="GO774" s="181">
        <v>0</v>
      </c>
      <c r="GP774" s="181">
        <v>0</v>
      </c>
      <c r="GQ774" s="181">
        <v>0</v>
      </c>
    </row>
    <row r="775" spans="1:199">
      <c r="A775" s="181" t="s">
        <v>1244</v>
      </c>
      <c r="GO775" s="181">
        <v>0</v>
      </c>
      <c r="GP775" s="181">
        <v>0</v>
      </c>
      <c r="GQ775" s="181">
        <v>0</v>
      </c>
    </row>
    <row r="776" spans="1:199">
      <c r="A776" s="181" t="s">
        <v>1244</v>
      </c>
      <c r="GO776" s="181">
        <v>0</v>
      </c>
      <c r="GP776" s="181">
        <v>0</v>
      </c>
      <c r="GQ776" s="181">
        <v>0</v>
      </c>
    </row>
    <row r="777" spans="1:199">
      <c r="A777" s="181" t="s">
        <v>1244</v>
      </c>
      <c r="GO777" s="181">
        <v>0</v>
      </c>
      <c r="GP777" s="181">
        <v>0</v>
      </c>
      <c r="GQ777" s="181">
        <v>0</v>
      </c>
    </row>
    <row r="778" spans="1:199">
      <c r="A778" s="181" t="s">
        <v>1244</v>
      </c>
      <c r="GO778" s="181">
        <v>0</v>
      </c>
      <c r="GP778" s="181">
        <v>0</v>
      </c>
      <c r="GQ778" s="181">
        <v>0</v>
      </c>
    </row>
    <row r="779" spans="1:199">
      <c r="A779" s="181" t="s">
        <v>1244</v>
      </c>
      <c r="GO779" s="181">
        <v>0</v>
      </c>
      <c r="GP779" s="181">
        <v>0</v>
      </c>
      <c r="GQ779" s="181">
        <v>0</v>
      </c>
    </row>
    <row r="780" spans="1:199">
      <c r="A780" s="181" t="s">
        <v>1244</v>
      </c>
      <c r="GO780" s="181">
        <v>0</v>
      </c>
      <c r="GP780" s="181">
        <v>0</v>
      </c>
      <c r="GQ780" s="181">
        <v>0</v>
      </c>
    </row>
    <row r="781" spans="1:199">
      <c r="A781" s="181" t="s">
        <v>1244</v>
      </c>
      <c r="GO781" s="181">
        <v>0</v>
      </c>
      <c r="GP781" s="181">
        <v>0</v>
      </c>
      <c r="GQ781" s="181">
        <v>0</v>
      </c>
    </row>
    <row r="782" spans="1:199">
      <c r="A782" s="181" t="s">
        <v>1244</v>
      </c>
      <c r="GO782" s="181">
        <v>0</v>
      </c>
      <c r="GP782" s="181">
        <v>0</v>
      </c>
      <c r="GQ782" s="181">
        <v>0</v>
      </c>
    </row>
    <row r="783" spans="1:199">
      <c r="A783" s="181" t="s">
        <v>1244</v>
      </c>
      <c r="GO783" s="181">
        <v>0</v>
      </c>
      <c r="GP783" s="181">
        <v>0</v>
      </c>
      <c r="GQ783" s="181">
        <v>0</v>
      </c>
    </row>
    <row r="784" spans="1:199">
      <c r="A784" s="181" t="s">
        <v>1244</v>
      </c>
      <c r="GO784" s="181">
        <v>0</v>
      </c>
      <c r="GP784" s="181">
        <v>0</v>
      </c>
      <c r="GQ784" s="181">
        <v>0</v>
      </c>
    </row>
    <row r="785" spans="1:199">
      <c r="A785" s="181" t="s">
        <v>1244</v>
      </c>
      <c r="GO785" s="181">
        <v>0</v>
      </c>
      <c r="GP785" s="181">
        <v>0</v>
      </c>
      <c r="GQ785" s="181">
        <v>0</v>
      </c>
    </row>
    <row r="786" spans="1:199">
      <c r="A786" s="181" t="s">
        <v>1244</v>
      </c>
      <c r="GO786" s="181" t="s">
        <v>1700</v>
      </c>
      <c r="GP786" s="181">
        <v>57948</v>
      </c>
      <c r="GQ786" s="181">
        <v>102856.375</v>
      </c>
    </row>
    <row r="787" spans="1:199">
      <c r="A787" s="181" t="s">
        <v>1244</v>
      </c>
      <c r="GO787" s="181" t="s">
        <v>636</v>
      </c>
      <c r="GP787" s="181">
        <v>57948</v>
      </c>
      <c r="GQ787" s="181">
        <v>102856.375</v>
      </c>
    </row>
    <row r="788" spans="1:199">
      <c r="A788" s="181" t="s">
        <v>1244</v>
      </c>
      <c r="GO788" s="181" t="s">
        <v>876</v>
      </c>
      <c r="GP788" s="181">
        <v>0</v>
      </c>
      <c r="GQ788" s="181">
        <v>0</v>
      </c>
    </row>
    <row r="789" spans="1:199">
      <c r="A789" s="181" t="s">
        <v>1244</v>
      </c>
      <c r="GO789" s="181" t="s">
        <v>882</v>
      </c>
      <c r="GP789" s="181">
        <v>0</v>
      </c>
      <c r="GQ789" s="181">
        <v>0</v>
      </c>
    </row>
    <row r="790" spans="1:199">
      <c r="A790" s="181" t="s">
        <v>1244</v>
      </c>
      <c r="GO790" s="181" t="s">
        <v>882</v>
      </c>
      <c r="GP790" s="181">
        <v>0</v>
      </c>
      <c r="GQ790" s="181">
        <v>0</v>
      </c>
    </row>
    <row r="791" spans="1:199">
      <c r="A791" s="181" t="s">
        <v>1244</v>
      </c>
      <c r="GO791" s="181" t="s">
        <v>882</v>
      </c>
      <c r="GP791" s="181">
        <v>0</v>
      </c>
      <c r="GQ791" s="181">
        <v>0</v>
      </c>
    </row>
    <row r="792" spans="1:199">
      <c r="A792" s="181" t="s">
        <v>1244</v>
      </c>
      <c r="GO792" s="181" t="s">
        <v>882</v>
      </c>
      <c r="GP792" s="181">
        <v>0</v>
      </c>
      <c r="GQ792" s="181">
        <v>0</v>
      </c>
    </row>
    <row r="793" spans="1:199">
      <c r="A793" s="181" t="s">
        <v>1244</v>
      </c>
      <c r="GO793" s="181" t="s">
        <v>882</v>
      </c>
      <c r="GP793" s="181">
        <v>0</v>
      </c>
      <c r="GQ793" s="181">
        <v>0</v>
      </c>
    </row>
    <row r="794" spans="1:199">
      <c r="A794" s="181" t="s">
        <v>1244</v>
      </c>
      <c r="GO794" s="181" t="s">
        <v>882</v>
      </c>
      <c r="GP794" s="181">
        <v>0</v>
      </c>
      <c r="GQ794" s="181">
        <v>0</v>
      </c>
    </row>
    <row r="795" spans="1:199">
      <c r="A795" s="181" t="s">
        <v>1244</v>
      </c>
      <c r="GO795" s="181" t="s">
        <v>882</v>
      </c>
      <c r="GP795" s="181">
        <v>0</v>
      </c>
      <c r="GQ795" s="181">
        <v>0</v>
      </c>
    </row>
    <row r="796" spans="1:199">
      <c r="A796" s="181" t="s">
        <v>1244</v>
      </c>
      <c r="GO796" s="181" t="s">
        <v>882</v>
      </c>
      <c r="GP796" s="181">
        <v>0</v>
      </c>
      <c r="GQ796" s="181">
        <v>0</v>
      </c>
    </row>
    <row r="797" spans="1:199">
      <c r="A797" s="181" t="s">
        <v>1244</v>
      </c>
      <c r="GO797" s="181" t="s">
        <v>882</v>
      </c>
      <c r="GP797" s="181">
        <v>0</v>
      </c>
      <c r="GQ797" s="181">
        <v>0</v>
      </c>
    </row>
    <row r="798" spans="1:199">
      <c r="A798" s="181" t="s">
        <v>1244</v>
      </c>
      <c r="GO798" s="181" t="s">
        <v>883</v>
      </c>
      <c r="GP798" s="181">
        <v>0</v>
      </c>
      <c r="GQ798" s="181">
        <v>0</v>
      </c>
    </row>
    <row r="799" spans="1:199">
      <c r="A799" s="181" t="s">
        <v>1244</v>
      </c>
      <c r="GO799" s="181" t="s">
        <v>1701</v>
      </c>
      <c r="GP799" s="181">
        <v>0</v>
      </c>
      <c r="GQ799" s="181">
        <v>0</v>
      </c>
    </row>
    <row r="800" spans="1:199">
      <c r="A800" s="181" t="s">
        <v>1244</v>
      </c>
      <c r="GO800" s="181" t="s">
        <v>873</v>
      </c>
      <c r="GP800" s="181">
        <v>0</v>
      </c>
      <c r="GQ800" s="181">
        <v>0</v>
      </c>
    </row>
    <row r="801" spans="1:199">
      <c r="A801" s="181" t="s">
        <v>1244</v>
      </c>
      <c r="GO801" s="181" t="s">
        <v>873</v>
      </c>
      <c r="GP801" s="181">
        <v>0</v>
      </c>
      <c r="GQ801" s="181">
        <v>0</v>
      </c>
    </row>
    <row r="802" spans="1:199">
      <c r="A802" s="181" t="s">
        <v>1244</v>
      </c>
      <c r="GO802" s="181" t="s">
        <v>873</v>
      </c>
      <c r="GP802" s="181">
        <v>0</v>
      </c>
      <c r="GQ802" s="181">
        <v>0</v>
      </c>
    </row>
    <row r="803" spans="1:199">
      <c r="A803" s="181" t="s">
        <v>1244</v>
      </c>
      <c r="GO803" s="181" t="s">
        <v>308</v>
      </c>
      <c r="GP803" s="181">
        <v>0</v>
      </c>
      <c r="GQ803" s="181">
        <v>0</v>
      </c>
    </row>
    <row r="804" spans="1:199">
      <c r="A804" s="181" t="s">
        <v>1244</v>
      </c>
      <c r="GO804" s="181" t="s">
        <v>874</v>
      </c>
      <c r="GP804" s="181">
        <v>0</v>
      </c>
      <c r="GQ804" s="181">
        <v>0</v>
      </c>
    </row>
    <row r="805" spans="1:199">
      <c r="A805" s="181" t="s">
        <v>1244</v>
      </c>
      <c r="GO805" s="181" t="s">
        <v>874</v>
      </c>
      <c r="GP805" s="181">
        <v>0</v>
      </c>
      <c r="GQ805" s="181">
        <v>0</v>
      </c>
    </row>
    <row r="806" spans="1:199">
      <c r="A806" s="181" t="s">
        <v>1244</v>
      </c>
      <c r="GO806" s="181" t="s">
        <v>874</v>
      </c>
      <c r="GP806" s="181">
        <v>0</v>
      </c>
      <c r="GQ806" s="181">
        <v>0</v>
      </c>
    </row>
    <row r="807" spans="1:199">
      <c r="A807" s="181" t="s">
        <v>1244</v>
      </c>
      <c r="GO807" s="181" t="s">
        <v>874</v>
      </c>
      <c r="GP807" s="181">
        <v>0</v>
      </c>
      <c r="GQ807" s="181">
        <v>0</v>
      </c>
    </row>
    <row r="808" spans="1:199">
      <c r="A808" s="181" t="s">
        <v>1244</v>
      </c>
      <c r="GO808" s="181" t="s">
        <v>870</v>
      </c>
      <c r="GP808" s="181">
        <v>0</v>
      </c>
      <c r="GQ808" s="181">
        <v>0</v>
      </c>
    </row>
    <row r="809" spans="1:199">
      <c r="A809" s="181" t="s">
        <v>1244</v>
      </c>
      <c r="GO809" s="181" t="s">
        <v>309</v>
      </c>
      <c r="GP809" s="181">
        <v>0</v>
      </c>
      <c r="GQ809" s="181">
        <v>0</v>
      </c>
    </row>
    <row r="810" spans="1:199">
      <c r="A810" s="181" t="s">
        <v>1244</v>
      </c>
      <c r="GO810" s="181" t="s">
        <v>309</v>
      </c>
      <c r="GP810" s="181">
        <v>0</v>
      </c>
      <c r="GQ810" s="181">
        <v>0</v>
      </c>
    </row>
    <row r="811" spans="1:199">
      <c r="A811" s="181" t="s">
        <v>1244</v>
      </c>
      <c r="GO811" s="181" t="s">
        <v>309</v>
      </c>
      <c r="GP811" s="181">
        <v>0</v>
      </c>
      <c r="GQ811" s="181">
        <v>0</v>
      </c>
    </row>
    <row r="812" spans="1:199">
      <c r="A812" s="181" t="s">
        <v>1244</v>
      </c>
      <c r="GP812" s="181">
        <v>184257</v>
      </c>
      <c r="GQ812" s="181">
        <v>342482.75</v>
      </c>
    </row>
    <row r="813" spans="1:199">
      <c r="A813" s="181" t="s">
        <v>1244</v>
      </c>
      <c r="GO813" s="181" t="s">
        <v>875</v>
      </c>
      <c r="GP813" s="181">
        <v>0</v>
      </c>
      <c r="GQ813" s="181">
        <v>0</v>
      </c>
    </row>
    <row r="814" spans="1:199">
      <c r="A814" s="181" t="s">
        <v>1244</v>
      </c>
      <c r="GO814" s="181" t="s">
        <v>875</v>
      </c>
      <c r="GP814" s="181">
        <v>0</v>
      </c>
      <c r="GQ814" s="181">
        <v>0</v>
      </c>
    </row>
    <row r="815" spans="1:199">
      <c r="A815" s="181" t="s">
        <v>1244</v>
      </c>
      <c r="GO815" s="181" t="s">
        <v>875</v>
      </c>
      <c r="GP815" s="181">
        <v>0</v>
      </c>
      <c r="GQ815" s="181">
        <v>0</v>
      </c>
    </row>
    <row r="816" spans="1:199">
      <c r="A816" s="181" t="s">
        <v>1244</v>
      </c>
      <c r="GO816" s="181" t="s">
        <v>875</v>
      </c>
      <c r="GP816" s="181">
        <v>0</v>
      </c>
      <c r="GQ816" s="181">
        <v>0</v>
      </c>
    </row>
    <row r="817" spans="1:199">
      <c r="A817" s="181" t="s">
        <v>1244</v>
      </c>
      <c r="GO817" s="181" t="s">
        <v>875</v>
      </c>
      <c r="GP817" s="181">
        <v>0</v>
      </c>
      <c r="GQ817" s="181">
        <v>0</v>
      </c>
    </row>
    <row r="818" spans="1:199">
      <c r="A818" s="181" t="s">
        <v>1244</v>
      </c>
      <c r="GO818" s="181" t="s">
        <v>875</v>
      </c>
      <c r="GP818" s="181">
        <v>0</v>
      </c>
      <c r="GQ818" s="181">
        <v>0</v>
      </c>
    </row>
    <row r="819" spans="1:199">
      <c r="A819" s="181" t="s">
        <v>1244</v>
      </c>
      <c r="GO819" s="181" t="s">
        <v>310</v>
      </c>
      <c r="GP819" s="181">
        <v>0</v>
      </c>
      <c r="GQ819" s="181">
        <v>0</v>
      </c>
    </row>
    <row r="820" spans="1:199">
      <c r="A820" s="181" t="s">
        <v>1244</v>
      </c>
      <c r="GO820" s="181" t="s">
        <v>310</v>
      </c>
      <c r="GP820" s="181">
        <v>0</v>
      </c>
      <c r="GQ820" s="181">
        <v>0</v>
      </c>
    </row>
    <row r="821" spans="1:199">
      <c r="A821" s="181" t="s">
        <v>1244</v>
      </c>
      <c r="GO821" s="181" t="s">
        <v>310</v>
      </c>
      <c r="GP821" s="181">
        <v>0</v>
      </c>
      <c r="GQ821" s="181">
        <v>0</v>
      </c>
    </row>
    <row r="822" spans="1:199">
      <c r="A822" s="181" t="s">
        <v>1244</v>
      </c>
      <c r="GO822" s="181" t="s">
        <v>310</v>
      </c>
      <c r="GP822" s="181">
        <v>0</v>
      </c>
      <c r="GQ822" s="181">
        <v>0</v>
      </c>
    </row>
    <row r="823" spans="1:199">
      <c r="A823" s="181" t="s">
        <v>1244</v>
      </c>
      <c r="GO823" s="181" t="s">
        <v>310</v>
      </c>
      <c r="GP823" s="181">
        <v>0</v>
      </c>
      <c r="GQ823" s="181">
        <v>0</v>
      </c>
    </row>
    <row r="824" spans="1:199">
      <c r="A824" s="181" t="s">
        <v>1244</v>
      </c>
      <c r="GO824" s="181" t="s">
        <v>310</v>
      </c>
      <c r="GP824" s="181">
        <v>0</v>
      </c>
      <c r="GQ824" s="181">
        <v>0</v>
      </c>
    </row>
    <row r="825" spans="1:199">
      <c r="A825" s="181" t="s">
        <v>1244</v>
      </c>
      <c r="GO825" s="181" t="s">
        <v>310</v>
      </c>
      <c r="GP825" s="181">
        <v>0</v>
      </c>
      <c r="GQ825" s="181">
        <v>0</v>
      </c>
    </row>
    <row r="826" spans="1:199">
      <c r="A826" s="181" t="s">
        <v>1244</v>
      </c>
      <c r="GO826" s="181" t="s">
        <v>310</v>
      </c>
      <c r="GP826" s="181">
        <v>0</v>
      </c>
      <c r="GQ826" s="181">
        <v>0</v>
      </c>
    </row>
    <row r="827" spans="1:199">
      <c r="A827" s="181" t="s">
        <v>1244</v>
      </c>
      <c r="GO827" s="181" t="s">
        <v>876</v>
      </c>
      <c r="GP827" s="181">
        <v>0</v>
      </c>
      <c r="GQ827" s="181">
        <v>0</v>
      </c>
    </row>
    <row r="828" spans="1:199">
      <c r="A828" s="181" t="s">
        <v>1244</v>
      </c>
      <c r="GO828" s="181" t="s">
        <v>876</v>
      </c>
      <c r="GP828" s="181">
        <v>0</v>
      </c>
      <c r="GQ828" s="181">
        <v>0</v>
      </c>
    </row>
    <row r="829" spans="1:199">
      <c r="A829" s="181" t="s">
        <v>1244</v>
      </c>
      <c r="GO829" s="181" t="s">
        <v>876</v>
      </c>
      <c r="GP829" s="181">
        <v>0</v>
      </c>
      <c r="GQ829" s="181">
        <v>0</v>
      </c>
    </row>
    <row r="830" spans="1:199">
      <c r="A830" s="181" t="s">
        <v>1244</v>
      </c>
      <c r="GO830" s="181" t="s">
        <v>876</v>
      </c>
      <c r="GP830" s="181">
        <v>0</v>
      </c>
      <c r="GQ830" s="181">
        <v>0</v>
      </c>
    </row>
    <row r="831" spans="1:199">
      <c r="A831" s="181" t="s">
        <v>1244</v>
      </c>
      <c r="GO831" s="181" t="s">
        <v>876</v>
      </c>
      <c r="GP831" s="181">
        <v>0</v>
      </c>
      <c r="GQ831" s="181">
        <v>0</v>
      </c>
    </row>
    <row r="832" spans="1:199">
      <c r="A832" s="181" t="s">
        <v>1244</v>
      </c>
      <c r="GO832" s="181" t="s">
        <v>1702</v>
      </c>
      <c r="GP832" s="181">
        <v>0</v>
      </c>
      <c r="GQ832" s="181">
        <v>0</v>
      </c>
    </row>
    <row r="833" spans="1:199">
      <c r="A833" s="181" t="s">
        <v>1244</v>
      </c>
      <c r="GO833" s="181">
        <v>0</v>
      </c>
      <c r="GP833" s="181">
        <v>0</v>
      </c>
      <c r="GQ833" s="181">
        <v>0</v>
      </c>
    </row>
    <row r="834" spans="1:199">
      <c r="A834" s="181" t="s">
        <v>1244</v>
      </c>
      <c r="GO834" s="181">
        <v>0</v>
      </c>
      <c r="GP834" s="181">
        <v>0</v>
      </c>
      <c r="GQ834" s="181">
        <v>0</v>
      </c>
    </row>
    <row r="835" spans="1:199">
      <c r="A835" s="181" t="s">
        <v>1244</v>
      </c>
      <c r="GO835" s="181">
        <v>0</v>
      </c>
      <c r="GP835" s="181">
        <v>0</v>
      </c>
      <c r="GQ835" s="181">
        <v>0</v>
      </c>
    </row>
    <row r="836" spans="1:199">
      <c r="A836" s="181" t="s">
        <v>1244</v>
      </c>
      <c r="GO836" s="181">
        <v>0</v>
      </c>
      <c r="GP836" s="181">
        <v>0</v>
      </c>
      <c r="GQ836" s="181">
        <v>0</v>
      </c>
    </row>
    <row r="837" spans="1:199">
      <c r="A837" s="181" t="s">
        <v>1244</v>
      </c>
      <c r="GO837" s="181">
        <v>0</v>
      </c>
      <c r="GP837" s="181">
        <v>0</v>
      </c>
      <c r="GQ837" s="181">
        <v>0</v>
      </c>
    </row>
    <row r="838" spans="1:199">
      <c r="A838" s="181" t="s">
        <v>1244</v>
      </c>
      <c r="GO838" s="181">
        <v>0</v>
      </c>
      <c r="GP838" s="181">
        <v>0</v>
      </c>
      <c r="GQ838" s="181">
        <v>0</v>
      </c>
    </row>
    <row r="839" spans="1:199">
      <c r="A839" s="181" t="s">
        <v>1244</v>
      </c>
      <c r="GO839" s="181">
        <v>0</v>
      </c>
      <c r="GP839" s="181">
        <v>0</v>
      </c>
      <c r="GQ839" s="181">
        <v>0</v>
      </c>
    </row>
    <row r="840" spans="1:199">
      <c r="A840" s="181" t="s">
        <v>1244</v>
      </c>
      <c r="GO840" s="181">
        <v>0</v>
      </c>
      <c r="GP840" s="181">
        <v>0</v>
      </c>
      <c r="GQ840" s="181">
        <v>0</v>
      </c>
    </row>
    <row r="841" spans="1:199">
      <c r="A841" s="181" t="s">
        <v>1244</v>
      </c>
      <c r="GO841" s="181">
        <v>0</v>
      </c>
      <c r="GP841" s="181">
        <v>0</v>
      </c>
      <c r="GQ841" s="181">
        <v>0</v>
      </c>
    </row>
    <row r="842" spans="1:199">
      <c r="A842" s="181" t="s">
        <v>1244</v>
      </c>
      <c r="GO842" s="181">
        <v>0</v>
      </c>
      <c r="GP842" s="181">
        <v>0</v>
      </c>
      <c r="GQ842" s="181">
        <v>0</v>
      </c>
    </row>
    <row r="843" spans="1:199">
      <c r="A843" s="181" t="s">
        <v>1244</v>
      </c>
      <c r="GO843" s="181">
        <v>0</v>
      </c>
      <c r="GP843" s="181">
        <v>0</v>
      </c>
      <c r="GQ843" s="181">
        <v>0</v>
      </c>
    </row>
    <row r="844" spans="1:199">
      <c r="A844" s="181" t="s">
        <v>1244</v>
      </c>
      <c r="GO844" s="181">
        <v>0</v>
      </c>
      <c r="GP844" s="181">
        <v>0</v>
      </c>
      <c r="GQ844" s="181">
        <v>0</v>
      </c>
    </row>
    <row r="845" spans="1:199">
      <c r="A845" s="181" t="s">
        <v>1244</v>
      </c>
      <c r="GO845" s="181">
        <v>0</v>
      </c>
      <c r="GP845" s="181">
        <v>0</v>
      </c>
      <c r="GQ845" s="181">
        <v>0</v>
      </c>
    </row>
    <row r="846" spans="1:199">
      <c r="A846" s="181" t="s">
        <v>1244</v>
      </c>
      <c r="GO846" s="181">
        <v>0</v>
      </c>
      <c r="GP846" s="181">
        <v>0</v>
      </c>
      <c r="GQ846" s="181">
        <v>0</v>
      </c>
    </row>
    <row r="847" spans="1:199">
      <c r="A847" s="181" t="s">
        <v>1244</v>
      </c>
      <c r="GP847" s="181">
        <v>0</v>
      </c>
      <c r="GQ847" s="181">
        <v>0</v>
      </c>
    </row>
    <row r="848" spans="1:199">
      <c r="A848" s="181" t="s">
        <v>1244</v>
      </c>
      <c r="GO848" s="181" t="s">
        <v>309</v>
      </c>
      <c r="GP848" s="181">
        <v>0</v>
      </c>
      <c r="GQ848" s="181">
        <v>0</v>
      </c>
    </row>
    <row r="849" spans="1:199">
      <c r="A849" s="181" t="s">
        <v>1244</v>
      </c>
      <c r="GP849" s="181">
        <v>184257</v>
      </c>
      <c r="GQ849" s="181">
        <v>342482.75</v>
      </c>
    </row>
    <row r="850" spans="1:199">
      <c r="A850" s="181" t="s">
        <v>1244</v>
      </c>
      <c r="GP850" s="181">
        <v>-29729</v>
      </c>
      <c r="GQ850" s="181">
        <v>-42854.75</v>
      </c>
    </row>
    <row r="851" spans="1:199">
      <c r="A851" s="181" t="s">
        <v>1244</v>
      </c>
      <c r="GP851" s="181">
        <v>52806</v>
      </c>
    </row>
    <row r="852" spans="1:199">
      <c r="A852" s="181" t="s">
        <v>1244</v>
      </c>
    </row>
    <row r="853" spans="1:199">
      <c r="A853" s="181" t="s">
        <v>1244</v>
      </c>
    </row>
    <row r="854" spans="1:199">
      <c r="A854" s="181" t="s">
        <v>1244</v>
      </c>
    </row>
    <row r="855" spans="1:199">
      <c r="A855" s="181" t="s">
        <v>1244</v>
      </c>
    </row>
    <row r="856" spans="1:199">
      <c r="A856" s="181" t="s">
        <v>1244</v>
      </c>
    </row>
    <row r="857" spans="1:199">
      <c r="A857" s="181" t="s">
        <v>1244</v>
      </c>
    </row>
    <row r="858" spans="1:199">
      <c r="A858" s="181" t="s">
        <v>1244</v>
      </c>
    </row>
    <row r="859" spans="1:199">
      <c r="A859" s="181" t="s">
        <v>1244</v>
      </c>
    </row>
    <row r="860" spans="1:199">
      <c r="A860" s="181" t="s">
        <v>1244</v>
      </c>
    </row>
    <row r="861" spans="1:199">
      <c r="A861" s="181" t="s">
        <v>1244</v>
      </c>
    </row>
    <row r="862" spans="1:199">
      <c r="A862" s="181" t="s">
        <v>1244</v>
      </c>
    </row>
    <row r="863" spans="1:199">
      <c r="A863" s="181" t="s">
        <v>1244</v>
      </c>
    </row>
    <row r="864" spans="1:199">
      <c r="A864" s="181" t="s">
        <v>1244</v>
      </c>
    </row>
    <row r="865" spans="1:305">
      <c r="A865" s="181" t="s">
        <v>1244</v>
      </c>
    </row>
    <row r="866" spans="1:305">
      <c r="A866" s="181" t="s">
        <v>1244</v>
      </c>
    </row>
    <row r="867" spans="1:305">
      <c r="A867" s="181" t="s">
        <v>1244</v>
      </c>
    </row>
    <row r="868" spans="1:305">
      <c r="A868" s="181" t="s">
        <v>1244</v>
      </c>
    </row>
    <row r="869" spans="1:305">
      <c r="A869" s="181" t="s">
        <v>1244</v>
      </c>
    </row>
    <row r="870" spans="1:305">
      <c r="A870" s="181" t="s">
        <v>1244</v>
      </c>
    </row>
    <row r="871" spans="1:305">
      <c r="A871" s="181" t="s">
        <v>1244</v>
      </c>
    </row>
    <row r="872" spans="1:305">
      <c r="A872" s="181" t="s">
        <v>1244</v>
      </c>
    </row>
    <row r="873" spans="1:305">
      <c r="A873" s="181" t="s">
        <v>1244</v>
      </c>
    </row>
    <row r="874" spans="1:305">
      <c r="A874" s="181" t="s">
        <v>238</v>
      </c>
      <c r="F874" s="181" t="s">
        <v>1680</v>
      </c>
      <c r="G874" s="181">
        <v>9998</v>
      </c>
      <c r="H874" s="181">
        <v>11</v>
      </c>
      <c r="I874" s="183" t="s">
        <v>2150</v>
      </c>
      <c r="J874" s="181" t="s">
        <v>2159</v>
      </c>
      <c r="K874" s="181">
        <v>100</v>
      </c>
      <c r="L874" s="181" t="s">
        <v>933</v>
      </c>
      <c r="M874" s="181">
        <v>1</v>
      </c>
      <c r="N874" s="181" t="s">
        <v>2165</v>
      </c>
      <c r="O874" s="181" t="s">
        <v>2037</v>
      </c>
      <c r="P874" s="181">
        <v>100</v>
      </c>
      <c r="Q874" s="181">
        <v>100</v>
      </c>
      <c r="R874" s="181">
        <v>80000</v>
      </c>
      <c r="S874" s="181">
        <v>80000</v>
      </c>
      <c r="AF874" s="181" t="s">
        <v>934</v>
      </c>
      <c r="AG874" s="181" t="s">
        <v>720</v>
      </c>
      <c r="AH874" s="181">
        <v>11037.93</v>
      </c>
      <c r="AI874" s="181">
        <v>22075.86</v>
      </c>
      <c r="AJ874" s="181">
        <v>799982.8872</v>
      </c>
      <c r="AK874" s="181">
        <v>799982.8872</v>
      </c>
      <c r="EH874" s="181" t="s">
        <v>971</v>
      </c>
      <c r="EI874" s="181">
        <v>22835.828571428567</v>
      </c>
      <c r="EJ874" s="181">
        <v>45671.657142857133</v>
      </c>
      <c r="EK874" s="181" t="s">
        <v>1634</v>
      </c>
      <c r="EL874" s="181">
        <v>0</v>
      </c>
      <c r="EM874" s="181">
        <v>0</v>
      </c>
      <c r="ES874" s="181" t="s">
        <v>1634</v>
      </c>
      <c r="ET874" s="181">
        <v>0</v>
      </c>
      <c r="EU874" s="181">
        <v>0</v>
      </c>
      <c r="FS874" s="181">
        <v>0</v>
      </c>
      <c r="FT874" s="181">
        <v>15</v>
      </c>
      <c r="FU874" s="181">
        <v>0</v>
      </c>
      <c r="FV874" s="181">
        <v>0</v>
      </c>
      <c r="FW874" s="181">
        <v>15</v>
      </c>
      <c r="FX874" s="181">
        <v>0</v>
      </c>
      <c r="GK874" s="181">
        <v>-1278469</v>
      </c>
      <c r="GO874" s="181" t="s">
        <v>364</v>
      </c>
      <c r="GP874" s="181">
        <v>710350</v>
      </c>
      <c r="GQ874" s="181">
        <v>1761400</v>
      </c>
      <c r="GU874" s="181" t="s">
        <v>971</v>
      </c>
      <c r="GV874" s="181">
        <f>27065.12+13</f>
        <v>27078.12</v>
      </c>
      <c r="GW874" s="181">
        <v>54156.24</v>
      </c>
      <c r="GX874" s="181" t="s">
        <v>1634</v>
      </c>
      <c r="GY874" s="181">
        <v>0</v>
      </c>
      <c r="GZ874" s="181">
        <v>0</v>
      </c>
      <c r="KH874" s="181">
        <v>-2556938</v>
      </c>
      <c r="KJ874" s="181" t="s">
        <v>932</v>
      </c>
      <c r="KQ874" s="181" t="s">
        <v>1660</v>
      </c>
      <c r="KR874" s="181">
        <v>180000</v>
      </c>
      <c r="KS874" s="181">
        <v>180000</v>
      </c>
    </row>
    <row r="875" spans="1:305">
      <c r="A875" s="181" t="s">
        <v>238</v>
      </c>
      <c r="F875" s="181" t="s">
        <v>2117</v>
      </c>
      <c r="G875" s="181">
        <v>1</v>
      </c>
      <c r="I875" s="183" t="s">
        <v>2151</v>
      </c>
      <c r="J875" s="181" t="s">
        <v>2160</v>
      </c>
      <c r="K875" s="181">
        <v>100</v>
      </c>
      <c r="L875" s="181" t="s">
        <v>933</v>
      </c>
      <c r="M875" s="181">
        <v>1</v>
      </c>
      <c r="N875" s="181" t="s">
        <v>2165</v>
      </c>
      <c r="O875" s="181" t="s">
        <v>2041</v>
      </c>
      <c r="P875" s="181">
        <v>50</v>
      </c>
      <c r="Q875" s="181">
        <v>100</v>
      </c>
      <c r="R875" s="181">
        <v>50000</v>
      </c>
      <c r="S875" s="181">
        <v>150000</v>
      </c>
      <c r="AF875" s="181" t="s">
        <v>935</v>
      </c>
      <c r="AG875" s="181" t="s">
        <v>720</v>
      </c>
      <c r="AH875" s="181">
        <v>952612.68</v>
      </c>
      <c r="AI875" s="181">
        <v>1905225.36</v>
      </c>
      <c r="AJ875" s="181">
        <v>599821.41200000001</v>
      </c>
      <c r="AK875" s="181">
        <v>599821.41200000001</v>
      </c>
      <c r="EH875" s="181" t="s">
        <v>972</v>
      </c>
      <c r="EI875" s="181">
        <v>3736.4857142857149</v>
      </c>
      <c r="EJ875" s="181">
        <v>7472.9714285714299</v>
      </c>
      <c r="EK875" s="181" t="s">
        <v>2167</v>
      </c>
      <c r="EL875" s="181">
        <v>4962.07</v>
      </c>
      <c r="EM875" s="181">
        <v>9924.14</v>
      </c>
      <c r="ES875" s="181" t="s">
        <v>926</v>
      </c>
      <c r="ET875" s="181">
        <v>6682.3625000000002</v>
      </c>
      <c r="EU875" s="181">
        <v>13364.725</v>
      </c>
      <c r="GO875" s="181" t="s">
        <v>1679</v>
      </c>
      <c r="GP875" s="181">
        <v>0</v>
      </c>
      <c r="GQ875" s="181">
        <v>0</v>
      </c>
      <c r="GU875" s="181" t="s">
        <v>972</v>
      </c>
      <c r="GV875" s="181">
        <v>6807.5733333333337</v>
      </c>
      <c r="GW875" s="181">
        <v>13615.146666666667</v>
      </c>
      <c r="GX875" s="181" t="s">
        <v>948</v>
      </c>
      <c r="GY875" s="181">
        <v>403.54666666666662</v>
      </c>
      <c r="GZ875" s="181">
        <v>807.09333333333325</v>
      </c>
      <c r="KJ875" s="181" t="s">
        <v>2120</v>
      </c>
    </row>
    <row r="876" spans="1:305">
      <c r="A876" s="181" t="s">
        <v>238</v>
      </c>
      <c r="F876" s="181" t="s">
        <v>719</v>
      </c>
      <c r="G876" s="181">
        <v>1</v>
      </c>
      <c r="I876" s="183" t="s">
        <v>2152</v>
      </c>
      <c r="J876" s="181" t="s">
        <v>1288</v>
      </c>
      <c r="K876" s="181">
        <v>100</v>
      </c>
      <c r="L876" s="181" t="s">
        <v>933</v>
      </c>
      <c r="M876" s="181">
        <v>1</v>
      </c>
      <c r="N876" s="181" t="s">
        <v>2165</v>
      </c>
      <c r="O876" s="181" t="s">
        <v>2041</v>
      </c>
      <c r="P876" s="181">
        <v>50</v>
      </c>
      <c r="Q876" s="181">
        <v>100</v>
      </c>
      <c r="R876" s="181">
        <v>93000</v>
      </c>
      <c r="S876" s="181">
        <v>193000</v>
      </c>
      <c r="AF876" s="181" t="s">
        <v>936</v>
      </c>
      <c r="AG876" s="181" t="s">
        <v>720</v>
      </c>
      <c r="AH876" s="181">
        <v>96199.005000000005</v>
      </c>
      <c r="AI876" s="181">
        <v>192398.01</v>
      </c>
      <c r="AJ876" s="181">
        <v>1763511.75</v>
      </c>
      <c r="AK876" s="181">
        <v>1763511.75</v>
      </c>
      <c r="EH876" s="181" t="s">
        <v>1040</v>
      </c>
      <c r="EI876" s="181">
        <v>1953.7428571428575</v>
      </c>
      <c r="EJ876" s="181">
        <v>3907.4857142857149</v>
      </c>
      <c r="EK876" s="181" t="s">
        <v>2168</v>
      </c>
      <c r="EL876" s="181">
        <v>266.39999999999998</v>
      </c>
      <c r="EM876" s="181">
        <v>532.79999999999995</v>
      </c>
      <c r="GO876" s="181" t="s">
        <v>871</v>
      </c>
      <c r="GP876" s="181">
        <v>0</v>
      </c>
      <c r="GQ876" s="181">
        <v>0</v>
      </c>
      <c r="GU876" s="181" t="s">
        <v>944</v>
      </c>
      <c r="GV876" s="181">
        <v>1185.0933333333335</v>
      </c>
      <c r="GW876" s="181">
        <v>2370.186666666667</v>
      </c>
      <c r="GX876" s="181" t="s">
        <v>333</v>
      </c>
      <c r="GY876" s="181">
        <v>12247.493333333332</v>
      </c>
      <c r="GZ876" s="181">
        <v>24494.986666666664</v>
      </c>
      <c r="KJ876" s="181" t="s">
        <v>1742</v>
      </c>
    </row>
    <row r="877" spans="1:305">
      <c r="A877" s="181" t="s">
        <v>238</v>
      </c>
      <c r="I877" s="183" t="s">
        <v>2153</v>
      </c>
      <c r="J877" s="181" t="s">
        <v>1289</v>
      </c>
      <c r="K877" s="181">
        <v>100</v>
      </c>
      <c r="L877" s="181" t="s">
        <v>933</v>
      </c>
      <c r="M877" s="181">
        <v>1</v>
      </c>
      <c r="N877" s="181" t="s">
        <v>2165</v>
      </c>
      <c r="O877" s="181" t="s">
        <v>2041</v>
      </c>
      <c r="P877" s="181">
        <v>50</v>
      </c>
      <c r="Q877" s="181">
        <v>100</v>
      </c>
      <c r="R877" s="181">
        <v>50000</v>
      </c>
      <c r="S877" s="181">
        <v>110000</v>
      </c>
      <c r="AF877" s="181" t="s">
        <v>504</v>
      </c>
      <c r="AG877" s="181" t="s">
        <v>720</v>
      </c>
      <c r="AH877" s="181">
        <v>106985.76</v>
      </c>
      <c r="AI877" s="181">
        <v>213971.52</v>
      </c>
      <c r="AJ877" s="181">
        <v>1213828</v>
      </c>
      <c r="AK877" s="181">
        <v>1213828</v>
      </c>
      <c r="EH877" s="181" t="s">
        <v>333</v>
      </c>
      <c r="EI877" s="181">
        <v>16316.657142857141</v>
      </c>
      <c r="EJ877" s="181">
        <v>32633.314285714281</v>
      </c>
      <c r="EK877" s="181" t="s">
        <v>2169</v>
      </c>
      <c r="EL877" s="181">
        <v>1333.48</v>
      </c>
      <c r="EM877" s="181">
        <v>2666.96</v>
      </c>
      <c r="FS877" s="181">
        <v>0</v>
      </c>
      <c r="FT877" s="181">
        <v>9</v>
      </c>
      <c r="FU877" s="181">
        <v>0</v>
      </c>
      <c r="FV877" s="181">
        <v>0</v>
      </c>
      <c r="FW877" s="181">
        <v>9</v>
      </c>
      <c r="FX877" s="181">
        <v>0</v>
      </c>
      <c r="GO877" s="181" t="s">
        <v>871</v>
      </c>
      <c r="GP877" s="181">
        <v>0</v>
      </c>
      <c r="GQ877" s="181">
        <v>0</v>
      </c>
      <c r="GU877" s="181" t="s">
        <v>2170</v>
      </c>
      <c r="GV877" s="181">
        <v>1942.56</v>
      </c>
      <c r="GW877" s="181">
        <v>3885.12</v>
      </c>
      <c r="GX877" s="181" t="s">
        <v>2171</v>
      </c>
      <c r="GY877" s="181">
        <v>698.06666666666672</v>
      </c>
      <c r="GZ877" s="181">
        <v>1396.1333333333334</v>
      </c>
      <c r="KJ877" s="181" t="s">
        <v>917</v>
      </c>
    </row>
    <row r="878" spans="1:305">
      <c r="A878" s="181" t="s">
        <v>238</v>
      </c>
      <c r="I878" s="183" t="s">
        <v>2154</v>
      </c>
      <c r="J878" s="181" t="s">
        <v>2164</v>
      </c>
      <c r="K878" s="181">
        <v>100</v>
      </c>
      <c r="L878" s="181" t="s">
        <v>933</v>
      </c>
      <c r="M878" s="181">
        <v>1</v>
      </c>
      <c r="N878" s="181" t="s">
        <v>2165</v>
      </c>
      <c r="O878" s="181" t="s">
        <v>2115</v>
      </c>
      <c r="P878" s="181">
        <v>25</v>
      </c>
      <c r="Q878" s="181">
        <v>50</v>
      </c>
      <c r="R878" s="181">
        <v>150000</v>
      </c>
      <c r="S878" s="181">
        <v>350000</v>
      </c>
      <c r="AF878" s="181" t="s">
        <v>937</v>
      </c>
      <c r="AG878" s="181" t="s">
        <v>720</v>
      </c>
      <c r="AH878" s="181">
        <v>29316.33</v>
      </c>
      <c r="AI878" s="181">
        <v>58632.66</v>
      </c>
      <c r="AJ878" s="181">
        <v>906455.81999999983</v>
      </c>
      <c r="AK878" s="181">
        <v>906455.81999999983</v>
      </c>
      <c r="EK878" s="181" t="s">
        <v>942</v>
      </c>
      <c r="EL878" s="181">
        <v>7474.9866666666676</v>
      </c>
      <c r="EM878" s="181">
        <v>14949.973333333335</v>
      </c>
      <c r="GO878" s="181" t="s">
        <v>871</v>
      </c>
      <c r="GP878" s="181">
        <v>0</v>
      </c>
      <c r="GQ878" s="181">
        <v>0</v>
      </c>
      <c r="GU878" s="181" t="s">
        <v>1040</v>
      </c>
      <c r="GV878" s="181">
        <v>1172.4266666666665</v>
      </c>
      <c r="GW878" s="181">
        <v>2344.853333333333</v>
      </c>
      <c r="GX878" s="181" t="s">
        <v>929</v>
      </c>
      <c r="GY878" s="181">
        <v>2168.1999999999998</v>
      </c>
      <c r="GZ878" s="181">
        <v>4336.3999999999996</v>
      </c>
    </row>
    <row r="879" spans="1:305">
      <c r="A879" s="181" t="s">
        <v>238</v>
      </c>
      <c r="I879" s="183" t="s">
        <v>2155</v>
      </c>
      <c r="J879" s="181" t="s">
        <v>2161</v>
      </c>
      <c r="K879" s="181">
        <v>100</v>
      </c>
      <c r="L879" s="181" t="s">
        <v>933</v>
      </c>
      <c r="M879" s="181">
        <v>1</v>
      </c>
      <c r="N879" s="181" t="s">
        <v>2165</v>
      </c>
      <c r="O879" s="181" t="s">
        <v>2041</v>
      </c>
      <c r="P879" s="181">
        <v>50</v>
      </c>
      <c r="Q879" s="181">
        <v>100</v>
      </c>
      <c r="R879" s="181">
        <v>40000</v>
      </c>
      <c r="S879" s="181">
        <v>100000</v>
      </c>
      <c r="AF879" s="181" t="s">
        <v>938</v>
      </c>
      <c r="AG879" s="181" t="s">
        <v>720</v>
      </c>
      <c r="AH879" s="181">
        <v>730.06500000000005</v>
      </c>
      <c r="AI879" s="181">
        <v>1460.13</v>
      </c>
      <c r="AJ879" s="181">
        <v>706222.43999999983</v>
      </c>
      <c r="AK879" s="181">
        <v>706222.43999999983</v>
      </c>
      <c r="EK879" s="181" t="s">
        <v>890</v>
      </c>
      <c r="EL879" s="181">
        <v>4390.666666666667</v>
      </c>
      <c r="EM879" s="181">
        <v>8781.3333333333339</v>
      </c>
      <c r="GO879" s="181" t="s">
        <v>871</v>
      </c>
      <c r="GP879" s="181">
        <v>0</v>
      </c>
      <c r="GQ879" s="181">
        <v>0</v>
      </c>
    </row>
    <row r="880" spans="1:305">
      <c r="A880" s="181" t="s">
        <v>238</v>
      </c>
      <c r="I880" s="183" t="s">
        <v>2156</v>
      </c>
      <c r="J880" s="181" t="s">
        <v>2162</v>
      </c>
      <c r="K880" s="181">
        <v>100</v>
      </c>
      <c r="L880" s="181" t="s">
        <v>933</v>
      </c>
      <c r="M880" s="181">
        <v>1</v>
      </c>
      <c r="N880" s="181" t="s">
        <v>2165</v>
      </c>
      <c r="O880" s="181" t="s">
        <v>2041</v>
      </c>
      <c r="P880" s="181">
        <v>50</v>
      </c>
      <c r="Q880" s="181">
        <v>100</v>
      </c>
      <c r="R880" s="181">
        <v>50000</v>
      </c>
      <c r="S880" s="181">
        <v>150000</v>
      </c>
      <c r="AF880" s="181" t="s">
        <v>939</v>
      </c>
      <c r="AG880" s="181" t="s">
        <v>720</v>
      </c>
      <c r="AH880" s="181">
        <v>53344.724999999999</v>
      </c>
      <c r="AI880" s="181">
        <v>106689.45</v>
      </c>
      <c r="AJ880" s="181">
        <v>765532.12</v>
      </c>
      <c r="AK880" s="181">
        <v>765532.12</v>
      </c>
      <c r="EK880" s="181" t="s">
        <v>916</v>
      </c>
      <c r="EL880" s="181">
        <v>3055.7066666666665</v>
      </c>
      <c r="EM880" s="181">
        <v>6111.413333333333</v>
      </c>
      <c r="GO880" s="181" t="s">
        <v>871</v>
      </c>
      <c r="GP880" s="181">
        <v>0</v>
      </c>
      <c r="GQ880" s="181">
        <v>0</v>
      </c>
    </row>
    <row r="881" spans="1:199">
      <c r="A881" s="181" t="s">
        <v>238</v>
      </c>
      <c r="I881" s="183" t="s">
        <v>2134</v>
      </c>
      <c r="J881" s="181" t="s">
        <v>2163</v>
      </c>
      <c r="K881" s="181">
        <v>100</v>
      </c>
      <c r="L881" s="181" t="s">
        <v>933</v>
      </c>
      <c r="M881" s="181">
        <v>1</v>
      </c>
      <c r="N881" s="181" t="s">
        <v>2165</v>
      </c>
      <c r="O881" s="181" t="s">
        <v>2041</v>
      </c>
      <c r="P881" s="181">
        <v>50</v>
      </c>
      <c r="Q881" s="181">
        <v>100</v>
      </c>
      <c r="R881" s="181">
        <v>10000</v>
      </c>
      <c r="S881" s="181">
        <v>30000</v>
      </c>
      <c r="AF881" s="181" t="s">
        <v>2166</v>
      </c>
      <c r="AG881" s="181" t="s">
        <v>666</v>
      </c>
      <c r="AH881" s="181">
        <v>77858.25</v>
      </c>
      <c r="AI881" s="181">
        <v>155716.5</v>
      </c>
      <c r="AJ881" s="181">
        <v>1000000</v>
      </c>
      <c r="AK881" s="181">
        <v>1000000</v>
      </c>
      <c r="EK881" s="181" t="s">
        <v>1667</v>
      </c>
      <c r="EL881" s="181">
        <v>32507.706666666669</v>
      </c>
      <c r="EM881" s="181">
        <v>65015.413333333338</v>
      </c>
      <c r="GO881" s="181" t="s">
        <v>871</v>
      </c>
      <c r="GP881" s="181">
        <v>0</v>
      </c>
      <c r="GQ881" s="181">
        <v>0</v>
      </c>
    </row>
    <row r="882" spans="1:199">
      <c r="A882" s="181" t="s">
        <v>238</v>
      </c>
      <c r="I882" s="181" t="s">
        <v>2157</v>
      </c>
      <c r="Q882" s="181">
        <v>0</v>
      </c>
      <c r="EK882" s="181" t="s">
        <v>483</v>
      </c>
      <c r="EL882" s="181">
        <v>5366.9733333333334</v>
      </c>
      <c r="EM882" s="181">
        <v>10733.946666666667</v>
      </c>
      <c r="GO882" s="181" t="s">
        <v>871</v>
      </c>
      <c r="GP882" s="181">
        <v>0</v>
      </c>
      <c r="GQ882" s="181">
        <v>0</v>
      </c>
    </row>
    <row r="883" spans="1:199">
      <c r="A883" s="181" t="s">
        <v>238</v>
      </c>
      <c r="I883" s="181" t="s">
        <v>2158</v>
      </c>
      <c r="Q883" s="181">
        <v>0</v>
      </c>
      <c r="EK883" s="181" t="s">
        <v>1226</v>
      </c>
      <c r="EL883" s="181">
        <v>2509.0933333333332</v>
      </c>
      <c r="EM883" s="181">
        <v>5018.1866666666665</v>
      </c>
      <c r="GO883" s="181" t="s">
        <v>871</v>
      </c>
      <c r="GP883" s="181">
        <v>0</v>
      </c>
      <c r="GQ883" s="181">
        <v>0</v>
      </c>
    </row>
    <row r="884" spans="1:199">
      <c r="A884" s="181" t="s">
        <v>238</v>
      </c>
      <c r="I884" s="181" t="s">
        <v>1330</v>
      </c>
      <c r="Q884" s="181">
        <v>0</v>
      </c>
      <c r="EK884" s="181" t="s">
        <v>1109</v>
      </c>
      <c r="EL884" s="181">
        <v>1628.4933333333331</v>
      </c>
      <c r="EM884" s="181">
        <v>3256.9866666666662</v>
      </c>
      <c r="GO884" s="181" t="s">
        <v>871</v>
      </c>
      <c r="GP884" s="181">
        <v>0</v>
      </c>
      <c r="GQ884" s="181">
        <v>0</v>
      </c>
    </row>
    <row r="885" spans="1:199">
      <c r="A885" s="181" t="s">
        <v>238</v>
      </c>
      <c r="Q885" s="181">
        <v>0</v>
      </c>
      <c r="EK885" s="181" t="s">
        <v>333</v>
      </c>
      <c r="EL885" s="181">
        <v>65815.97</v>
      </c>
      <c r="EM885" s="181">
        <v>131631.94</v>
      </c>
      <c r="GO885" s="181" t="s">
        <v>872</v>
      </c>
      <c r="GP885" s="181">
        <v>0</v>
      </c>
      <c r="GQ885" s="181">
        <v>0</v>
      </c>
    </row>
    <row r="886" spans="1:199">
      <c r="A886" s="181" t="s">
        <v>238</v>
      </c>
      <c r="Q886" s="181">
        <v>0</v>
      </c>
      <c r="GO886" s="181" t="s">
        <v>873</v>
      </c>
      <c r="GP886" s="181">
        <v>0</v>
      </c>
      <c r="GQ886" s="181">
        <v>0</v>
      </c>
    </row>
    <row r="887" spans="1:199">
      <c r="A887" s="181" t="s">
        <v>238</v>
      </c>
      <c r="Q887" s="181">
        <v>0</v>
      </c>
      <c r="GO887" s="181" t="s">
        <v>873</v>
      </c>
      <c r="GP887" s="181">
        <v>0</v>
      </c>
      <c r="GQ887" s="181">
        <v>0</v>
      </c>
    </row>
    <row r="888" spans="1:199">
      <c r="A888" s="181" t="s">
        <v>238</v>
      </c>
      <c r="Q888" s="181">
        <v>0</v>
      </c>
      <c r="GO888" s="181" t="s">
        <v>873</v>
      </c>
      <c r="GP888" s="181">
        <v>0</v>
      </c>
      <c r="GQ888" s="181">
        <v>0</v>
      </c>
    </row>
    <row r="889" spans="1:199">
      <c r="A889" s="181" t="s">
        <v>238</v>
      </c>
      <c r="Q889" s="181">
        <v>0</v>
      </c>
      <c r="GO889" s="181" t="s">
        <v>873</v>
      </c>
      <c r="GP889" s="181">
        <v>0</v>
      </c>
      <c r="GQ889" s="181">
        <v>0</v>
      </c>
    </row>
    <row r="890" spans="1:199">
      <c r="A890" s="181" t="s">
        <v>238</v>
      </c>
      <c r="Q890" s="181">
        <v>0</v>
      </c>
      <c r="GO890" s="181" t="s">
        <v>308</v>
      </c>
      <c r="GP890" s="181">
        <v>0</v>
      </c>
      <c r="GQ890" s="181">
        <v>0</v>
      </c>
    </row>
    <row r="891" spans="1:199">
      <c r="A891" s="181" t="s">
        <v>238</v>
      </c>
      <c r="Q891" s="181">
        <v>0</v>
      </c>
      <c r="GO891" s="181" t="s">
        <v>1681</v>
      </c>
      <c r="GP891" s="181">
        <v>0</v>
      </c>
      <c r="GQ891" s="181">
        <v>0</v>
      </c>
    </row>
    <row r="892" spans="1:199">
      <c r="A892" s="181" t="s">
        <v>238</v>
      </c>
      <c r="Q892" s="181">
        <v>0</v>
      </c>
      <c r="GO892" s="181" t="s">
        <v>1681</v>
      </c>
      <c r="GP892" s="181">
        <v>0</v>
      </c>
      <c r="GQ892" s="181">
        <v>0</v>
      </c>
    </row>
    <row r="893" spans="1:199">
      <c r="A893" s="181" t="s">
        <v>238</v>
      </c>
      <c r="Q893" s="181">
        <v>0</v>
      </c>
      <c r="GO893" s="181" t="s">
        <v>1681</v>
      </c>
      <c r="GP893" s="181">
        <v>0</v>
      </c>
      <c r="GQ893" s="181">
        <v>0</v>
      </c>
    </row>
    <row r="894" spans="1:199">
      <c r="A894" s="181" t="s">
        <v>238</v>
      </c>
      <c r="Q894" s="181">
        <v>0</v>
      </c>
      <c r="GO894" s="181" t="s">
        <v>1681</v>
      </c>
      <c r="GP894" s="181">
        <v>0</v>
      </c>
      <c r="GQ894" s="181">
        <v>0</v>
      </c>
    </row>
    <row r="895" spans="1:199">
      <c r="A895" s="181" t="s">
        <v>238</v>
      </c>
      <c r="GO895" s="181" t="s">
        <v>1660</v>
      </c>
      <c r="GP895" s="181">
        <v>0</v>
      </c>
      <c r="GQ895" s="181">
        <v>0</v>
      </c>
    </row>
    <row r="896" spans="1:199">
      <c r="A896" s="181" t="s">
        <v>238</v>
      </c>
      <c r="GO896" s="181">
        <v>0</v>
      </c>
      <c r="GP896" s="181">
        <v>0</v>
      </c>
      <c r="GQ896" s="181">
        <v>0</v>
      </c>
    </row>
    <row r="897" spans="1:199">
      <c r="A897" s="181" t="s">
        <v>238</v>
      </c>
      <c r="GO897" s="181">
        <v>0</v>
      </c>
      <c r="GP897" s="181">
        <v>0</v>
      </c>
      <c r="GQ897" s="181">
        <v>0</v>
      </c>
    </row>
    <row r="898" spans="1:199">
      <c r="A898" s="181" t="s">
        <v>238</v>
      </c>
      <c r="GO898" s="181">
        <v>0</v>
      </c>
      <c r="GP898" s="181">
        <v>0</v>
      </c>
      <c r="GQ898" s="181">
        <v>0</v>
      </c>
    </row>
    <row r="899" spans="1:199">
      <c r="A899" s="181" t="s">
        <v>238</v>
      </c>
      <c r="GO899" s="181">
        <v>0</v>
      </c>
      <c r="GP899" s="181">
        <v>0</v>
      </c>
      <c r="GQ899" s="181">
        <v>0</v>
      </c>
    </row>
    <row r="900" spans="1:199">
      <c r="A900" s="181" t="s">
        <v>238</v>
      </c>
      <c r="GO900" s="181">
        <v>0</v>
      </c>
      <c r="GP900" s="181">
        <v>0</v>
      </c>
      <c r="GQ900" s="181">
        <v>0</v>
      </c>
    </row>
    <row r="901" spans="1:199">
      <c r="A901" s="181" t="s">
        <v>238</v>
      </c>
      <c r="GO901" s="181">
        <v>0</v>
      </c>
      <c r="GP901" s="181">
        <v>0</v>
      </c>
      <c r="GQ901" s="181">
        <v>0</v>
      </c>
    </row>
    <row r="902" spans="1:199">
      <c r="A902" s="181" t="s">
        <v>238</v>
      </c>
      <c r="GO902" s="181">
        <v>0</v>
      </c>
      <c r="GP902" s="181">
        <v>0</v>
      </c>
      <c r="GQ902" s="181">
        <v>0</v>
      </c>
    </row>
    <row r="903" spans="1:199">
      <c r="A903" s="181" t="s">
        <v>238</v>
      </c>
      <c r="GO903" s="181">
        <v>0</v>
      </c>
      <c r="GP903" s="181">
        <v>0</v>
      </c>
      <c r="GQ903" s="181">
        <v>0</v>
      </c>
    </row>
    <row r="904" spans="1:199">
      <c r="A904" s="181" t="s">
        <v>238</v>
      </c>
      <c r="GO904" s="181">
        <v>0</v>
      </c>
      <c r="GP904" s="181">
        <v>0</v>
      </c>
      <c r="GQ904" s="181">
        <v>0</v>
      </c>
    </row>
    <row r="905" spans="1:199">
      <c r="A905" s="181" t="s">
        <v>238</v>
      </c>
      <c r="GO905" s="181">
        <v>0</v>
      </c>
      <c r="GP905" s="181">
        <v>0</v>
      </c>
      <c r="GQ905" s="181">
        <v>0</v>
      </c>
    </row>
    <row r="906" spans="1:199">
      <c r="A906" s="181" t="s">
        <v>238</v>
      </c>
      <c r="GO906" s="181">
        <v>0</v>
      </c>
      <c r="GP906" s="181">
        <v>0</v>
      </c>
      <c r="GQ906" s="181">
        <v>0</v>
      </c>
    </row>
    <row r="907" spans="1:199">
      <c r="A907" s="181" t="s">
        <v>238</v>
      </c>
      <c r="GO907" s="181">
        <v>0</v>
      </c>
      <c r="GP907" s="181">
        <v>0</v>
      </c>
      <c r="GQ907" s="181">
        <v>0</v>
      </c>
    </row>
    <row r="908" spans="1:199">
      <c r="A908" s="181" t="s">
        <v>238</v>
      </c>
      <c r="GO908" s="181">
        <v>0</v>
      </c>
      <c r="GP908" s="181">
        <v>0</v>
      </c>
      <c r="GQ908" s="181">
        <v>0</v>
      </c>
    </row>
    <row r="909" spans="1:199">
      <c r="A909" s="181" t="s">
        <v>238</v>
      </c>
      <c r="GO909" s="181">
        <v>0</v>
      </c>
      <c r="GP909" s="181">
        <v>0</v>
      </c>
      <c r="GQ909" s="181">
        <v>0</v>
      </c>
    </row>
    <row r="910" spans="1:199">
      <c r="A910" s="181" t="s">
        <v>238</v>
      </c>
      <c r="GO910" s="181" t="s">
        <v>309</v>
      </c>
      <c r="GP910" s="181">
        <v>0</v>
      </c>
      <c r="GQ910" s="181">
        <v>0</v>
      </c>
    </row>
    <row r="911" spans="1:199">
      <c r="A911" s="181" t="s">
        <v>238</v>
      </c>
      <c r="GO911" s="181" t="s">
        <v>309</v>
      </c>
      <c r="GP911" s="181">
        <v>0</v>
      </c>
      <c r="GQ911" s="181">
        <v>0</v>
      </c>
    </row>
    <row r="912" spans="1:199">
      <c r="A912" s="181" t="s">
        <v>238</v>
      </c>
      <c r="GO912" s="181" t="s">
        <v>309</v>
      </c>
      <c r="GP912" s="181">
        <v>0</v>
      </c>
      <c r="GQ912" s="181">
        <v>0</v>
      </c>
    </row>
    <row r="913" spans="1:199">
      <c r="A913" s="181" t="s">
        <v>238</v>
      </c>
      <c r="GP913" s="181">
        <v>710350</v>
      </c>
      <c r="GQ913" s="181">
        <v>1761400</v>
      </c>
    </row>
    <row r="914" spans="1:199">
      <c r="A914" s="181" t="s">
        <v>238</v>
      </c>
      <c r="GO914" s="181" t="s">
        <v>875</v>
      </c>
      <c r="GP914" s="181">
        <v>0</v>
      </c>
      <c r="GQ914" s="181">
        <v>0</v>
      </c>
    </row>
    <row r="915" spans="1:199">
      <c r="A915" s="181" t="s">
        <v>238</v>
      </c>
      <c r="GO915" s="181" t="s">
        <v>875</v>
      </c>
      <c r="GP915" s="181">
        <v>0</v>
      </c>
      <c r="GQ915" s="181">
        <v>0</v>
      </c>
    </row>
    <row r="916" spans="1:199">
      <c r="A916" s="181" t="s">
        <v>238</v>
      </c>
      <c r="GO916" s="181" t="s">
        <v>875</v>
      </c>
      <c r="GP916" s="181">
        <v>0</v>
      </c>
      <c r="GQ916" s="181">
        <v>0</v>
      </c>
    </row>
    <row r="917" spans="1:199">
      <c r="A917" s="181" t="s">
        <v>238</v>
      </c>
      <c r="GO917" s="181" t="s">
        <v>875</v>
      </c>
      <c r="GP917" s="181">
        <v>0</v>
      </c>
      <c r="GQ917" s="181">
        <v>0</v>
      </c>
    </row>
    <row r="918" spans="1:199">
      <c r="A918" s="181" t="s">
        <v>238</v>
      </c>
      <c r="GO918" s="181" t="s">
        <v>875</v>
      </c>
      <c r="GP918" s="181">
        <v>0</v>
      </c>
      <c r="GQ918" s="181">
        <v>0</v>
      </c>
    </row>
    <row r="919" spans="1:199">
      <c r="A919" s="181" t="s">
        <v>238</v>
      </c>
      <c r="GO919" s="181" t="s">
        <v>875</v>
      </c>
      <c r="GP919" s="181">
        <v>0</v>
      </c>
      <c r="GQ919" s="181">
        <v>0</v>
      </c>
    </row>
    <row r="920" spans="1:199">
      <c r="A920" s="181" t="s">
        <v>238</v>
      </c>
      <c r="GO920" s="181" t="s">
        <v>1661</v>
      </c>
      <c r="GP920" s="181">
        <v>0</v>
      </c>
      <c r="GQ920" s="181">
        <v>0</v>
      </c>
    </row>
    <row r="921" spans="1:199">
      <c r="A921" s="181" t="s">
        <v>238</v>
      </c>
      <c r="GO921" s="181" t="s">
        <v>1662</v>
      </c>
      <c r="GP921" s="181">
        <v>350000</v>
      </c>
      <c r="GQ921" s="181">
        <v>650000</v>
      </c>
    </row>
    <row r="922" spans="1:199">
      <c r="A922" s="181" t="s">
        <v>238</v>
      </c>
      <c r="GO922" s="181" t="s">
        <v>1663</v>
      </c>
      <c r="GP922" s="181">
        <v>0</v>
      </c>
      <c r="GQ922" s="181">
        <v>0</v>
      </c>
    </row>
    <row r="923" spans="1:199">
      <c r="A923" s="181" t="s">
        <v>238</v>
      </c>
      <c r="GO923" s="181" t="s">
        <v>310</v>
      </c>
      <c r="GP923" s="181">
        <v>0</v>
      </c>
      <c r="GQ923" s="181">
        <v>0</v>
      </c>
    </row>
    <row r="924" spans="1:199">
      <c r="A924" s="181" t="s">
        <v>238</v>
      </c>
      <c r="GO924" s="181" t="s">
        <v>876</v>
      </c>
      <c r="GP924" s="181">
        <v>0</v>
      </c>
      <c r="GQ924" s="181">
        <v>0</v>
      </c>
    </row>
    <row r="925" spans="1:199">
      <c r="A925" s="181" t="s">
        <v>238</v>
      </c>
      <c r="GO925" s="181" t="s">
        <v>876</v>
      </c>
      <c r="GP925" s="181">
        <v>0</v>
      </c>
      <c r="GQ925" s="181">
        <v>0</v>
      </c>
    </row>
    <row r="926" spans="1:199">
      <c r="A926" s="181" t="s">
        <v>238</v>
      </c>
      <c r="GO926" s="181" t="s">
        <v>876</v>
      </c>
      <c r="GP926" s="181">
        <v>0</v>
      </c>
      <c r="GQ926" s="181">
        <v>0</v>
      </c>
    </row>
    <row r="927" spans="1:199">
      <c r="A927" s="181" t="s">
        <v>238</v>
      </c>
      <c r="GO927" s="181" t="s">
        <v>876</v>
      </c>
      <c r="GP927" s="181">
        <v>0</v>
      </c>
      <c r="GQ927" s="181">
        <v>0</v>
      </c>
    </row>
    <row r="928" spans="1:199">
      <c r="A928" s="181" t="s">
        <v>238</v>
      </c>
      <c r="GO928" s="181" t="s">
        <v>876</v>
      </c>
      <c r="GP928" s="181">
        <v>0</v>
      </c>
      <c r="GQ928" s="181">
        <v>0</v>
      </c>
    </row>
    <row r="929" spans="1:199">
      <c r="A929" s="181" t="s">
        <v>238</v>
      </c>
      <c r="GO929" s="181" t="s">
        <v>950</v>
      </c>
      <c r="GP929" s="181">
        <v>0</v>
      </c>
      <c r="GQ929" s="181">
        <v>0</v>
      </c>
    </row>
    <row r="930" spans="1:199">
      <c r="A930" s="181" t="s">
        <v>238</v>
      </c>
      <c r="GO930" s="181" t="s">
        <v>951</v>
      </c>
      <c r="GP930" s="181">
        <v>0</v>
      </c>
      <c r="GQ930" s="181">
        <v>0</v>
      </c>
    </row>
    <row r="931" spans="1:199">
      <c r="A931" s="181" t="s">
        <v>238</v>
      </c>
      <c r="GO931" s="181" t="s">
        <v>1664</v>
      </c>
      <c r="GP931" s="181">
        <v>0</v>
      </c>
      <c r="GQ931" s="181">
        <v>0</v>
      </c>
    </row>
    <row r="932" spans="1:199">
      <c r="A932" s="181" t="s">
        <v>238</v>
      </c>
      <c r="GO932" s="181">
        <v>0</v>
      </c>
      <c r="GP932" s="181">
        <v>0</v>
      </c>
      <c r="GQ932" s="181">
        <v>0</v>
      </c>
    </row>
    <row r="933" spans="1:199">
      <c r="A933" s="181" t="s">
        <v>238</v>
      </c>
      <c r="GO933" s="181">
        <v>0</v>
      </c>
      <c r="GP933" s="181">
        <v>0</v>
      </c>
      <c r="GQ933" s="181">
        <v>0</v>
      </c>
    </row>
    <row r="934" spans="1:199">
      <c r="A934" s="181" t="s">
        <v>238</v>
      </c>
      <c r="GO934" s="181">
        <v>0</v>
      </c>
      <c r="GP934" s="181">
        <v>0</v>
      </c>
      <c r="GQ934" s="181">
        <v>0</v>
      </c>
    </row>
    <row r="935" spans="1:199">
      <c r="A935" s="181" t="s">
        <v>238</v>
      </c>
      <c r="GO935" s="181">
        <v>0</v>
      </c>
      <c r="GP935" s="181">
        <v>0</v>
      </c>
      <c r="GQ935" s="181">
        <v>0</v>
      </c>
    </row>
    <row r="936" spans="1:199">
      <c r="A936" s="181" t="s">
        <v>238</v>
      </c>
      <c r="GO936" s="181">
        <v>0</v>
      </c>
      <c r="GP936" s="181">
        <v>0</v>
      </c>
      <c r="GQ936" s="181">
        <v>0</v>
      </c>
    </row>
    <row r="937" spans="1:199">
      <c r="A937" s="181" t="s">
        <v>238</v>
      </c>
      <c r="GO937" s="181">
        <v>0</v>
      </c>
      <c r="GP937" s="181">
        <v>0</v>
      </c>
      <c r="GQ937" s="181">
        <v>0</v>
      </c>
    </row>
    <row r="938" spans="1:199">
      <c r="A938" s="181" t="s">
        <v>238</v>
      </c>
      <c r="GO938" s="181">
        <v>0</v>
      </c>
      <c r="GP938" s="181">
        <v>0</v>
      </c>
      <c r="GQ938" s="181">
        <v>0</v>
      </c>
    </row>
    <row r="939" spans="1:199">
      <c r="A939" s="181" t="s">
        <v>238</v>
      </c>
      <c r="GO939" s="181">
        <v>0</v>
      </c>
      <c r="GP939" s="181">
        <v>0</v>
      </c>
      <c r="GQ939" s="181">
        <v>0</v>
      </c>
    </row>
    <row r="940" spans="1:199">
      <c r="A940" s="181" t="s">
        <v>238</v>
      </c>
      <c r="GO940" s="181">
        <v>0</v>
      </c>
      <c r="GP940" s="181">
        <v>0</v>
      </c>
      <c r="GQ940" s="181">
        <v>0</v>
      </c>
    </row>
    <row r="941" spans="1:199">
      <c r="A941" s="181" t="s">
        <v>238</v>
      </c>
      <c r="GO941" s="181">
        <v>0</v>
      </c>
      <c r="GP941" s="181">
        <v>0</v>
      </c>
      <c r="GQ941" s="181">
        <v>0</v>
      </c>
    </row>
    <row r="942" spans="1:199">
      <c r="A942" s="181" t="s">
        <v>238</v>
      </c>
      <c r="GO942" s="181">
        <v>0</v>
      </c>
      <c r="GP942" s="181">
        <v>0</v>
      </c>
      <c r="GQ942" s="181">
        <v>0</v>
      </c>
    </row>
    <row r="943" spans="1:199">
      <c r="A943" s="181" t="s">
        <v>238</v>
      </c>
      <c r="GO943" s="181">
        <v>0</v>
      </c>
      <c r="GP943" s="181">
        <v>0</v>
      </c>
      <c r="GQ943" s="181">
        <v>0</v>
      </c>
    </row>
    <row r="944" spans="1:199">
      <c r="A944" s="181" t="s">
        <v>238</v>
      </c>
      <c r="GP944" s="181">
        <v>350000</v>
      </c>
      <c r="GQ944" s="181">
        <v>650000</v>
      </c>
    </row>
    <row r="945" spans="1:199">
      <c r="A945" s="181" t="s">
        <v>238</v>
      </c>
      <c r="GO945" s="181" t="s">
        <v>309</v>
      </c>
      <c r="GP945" s="181">
        <v>0</v>
      </c>
      <c r="GQ945" s="181">
        <v>0</v>
      </c>
    </row>
    <row r="946" spans="1:199">
      <c r="A946" s="181" t="s">
        <v>238</v>
      </c>
      <c r="GP946" s="181">
        <v>1060350</v>
      </c>
      <c r="GQ946" s="181">
        <v>2411400</v>
      </c>
    </row>
    <row r="947" spans="1:199">
      <c r="A947" s="181" t="s">
        <v>238</v>
      </c>
      <c r="GO947" s="181" t="s">
        <v>312</v>
      </c>
      <c r="GP947" s="181">
        <v>0</v>
      </c>
      <c r="GQ947" s="181">
        <v>0</v>
      </c>
    </row>
    <row r="948" spans="1:199">
      <c r="A948" s="181" t="s">
        <v>238</v>
      </c>
      <c r="GO948" s="181" t="s">
        <v>312</v>
      </c>
      <c r="GP948" s="181">
        <v>0</v>
      </c>
      <c r="GQ948" s="181">
        <v>0</v>
      </c>
    </row>
    <row r="949" spans="1:199">
      <c r="A949" s="181" t="s">
        <v>238</v>
      </c>
      <c r="GO949" s="181" t="s">
        <v>312</v>
      </c>
      <c r="GP949" s="181">
        <v>0</v>
      </c>
      <c r="GQ949" s="181">
        <v>0</v>
      </c>
    </row>
    <row r="950" spans="1:199">
      <c r="A950" s="181" t="s">
        <v>238</v>
      </c>
      <c r="GO950" s="181" t="s">
        <v>312</v>
      </c>
      <c r="GP950" s="181">
        <v>0</v>
      </c>
      <c r="GQ950" s="181">
        <v>0</v>
      </c>
    </row>
    <row r="951" spans="1:199">
      <c r="A951" s="181" t="s">
        <v>238</v>
      </c>
      <c r="GO951" s="181" t="s">
        <v>312</v>
      </c>
      <c r="GP951" s="181">
        <v>0</v>
      </c>
      <c r="GQ951" s="181">
        <v>0</v>
      </c>
    </row>
    <row r="952" spans="1:199">
      <c r="A952" s="181" t="s">
        <v>238</v>
      </c>
      <c r="GO952" s="181" t="s">
        <v>312</v>
      </c>
      <c r="GP952" s="181">
        <v>0</v>
      </c>
      <c r="GQ952" s="181">
        <v>0</v>
      </c>
    </row>
    <row r="953" spans="1:199">
      <c r="A953" s="181" t="s">
        <v>238</v>
      </c>
      <c r="GO953" s="181" t="s">
        <v>312</v>
      </c>
      <c r="GP953" s="181">
        <v>0</v>
      </c>
      <c r="GQ953" s="181">
        <v>0</v>
      </c>
    </row>
    <row r="954" spans="1:199">
      <c r="A954" s="181" t="s">
        <v>238</v>
      </c>
      <c r="GO954" s="181" t="s">
        <v>877</v>
      </c>
      <c r="GP954" s="181">
        <v>0</v>
      </c>
      <c r="GQ954" s="181">
        <v>0</v>
      </c>
    </row>
    <row r="955" spans="1:199">
      <c r="A955" s="181" t="s">
        <v>238</v>
      </c>
      <c r="GO955" s="181" t="s">
        <v>878</v>
      </c>
      <c r="GP955" s="181">
        <v>0</v>
      </c>
      <c r="GQ955" s="181">
        <v>0</v>
      </c>
    </row>
    <row r="956" spans="1:199">
      <c r="A956" s="181" t="s">
        <v>238</v>
      </c>
      <c r="GO956" s="181" t="s">
        <v>878</v>
      </c>
      <c r="GP956" s="181">
        <v>0</v>
      </c>
      <c r="GQ956" s="181">
        <v>0</v>
      </c>
    </row>
    <row r="957" spans="1:199">
      <c r="A957" s="181" t="s">
        <v>238</v>
      </c>
      <c r="GO957" s="181" t="s">
        <v>878</v>
      </c>
      <c r="GP957" s="181">
        <v>0</v>
      </c>
      <c r="GQ957" s="181">
        <v>0</v>
      </c>
    </row>
    <row r="958" spans="1:199">
      <c r="A958" s="181" t="s">
        <v>238</v>
      </c>
      <c r="GO958" s="181" t="s">
        <v>878</v>
      </c>
      <c r="GP958" s="181">
        <v>0</v>
      </c>
      <c r="GQ958" s="181">
        <v>0</v>
      </c>
    </row>
    <row r="959" spans="1:199">
      <c r="A959" s="181" t="s">
        <v>238</v>
      </c>
      <c r="GO959" s="181" t="s">
        <v>878</v>
      </c>
      <c r="GP959" s="181">
        <v>0</v>
      </c>
      <c r="GQ959" s="181">
        <v>0</v>
      </c>
    </row>
    <row r="960" spans="1:199">
      <c r="A960" s="181" t="s">
        <v>238</v>
      </c>
      <c r="GO960" s="181" t="s">
        <v>878</v>
      </c>
      <c r="GP960" s="181">
        <v>0</v>
      </c>
      <c r="GQ960" s="181">
        <v>0</v>
      </c>
    </row>
    <row r="961" spans="1:199">
      <c r="A961" s="181" t="s">
        <v>238</v>
      </c>
      <c r="GO961" s="181" t="s">
        <v>878</v>
      </c>
      <c r="GP961" s="181">
        <v>0</v>
      </c>
      <c r="GQ961" s="181">
        <v>0</v>
      </c>
    </row>
    <row r="962" spans="1:199">
      <c r="A962" s="181" t="s">
        <v>238</v>
      </c>
      <c r="GO962" s="181" t="s">
        <v>878</v>
      </c>
      <c r="GP962" s="181">
        <v>0</v>
      </c>
      <c r="GQ962" s="181">
        <v>0</v>
      </c>
    </row>
    <row r="963" spans="1:199">
      <c r="A963" s="181" t="s">
        <v>238</v>
      </c>
      <c r="GO963" s="181" t="s">
        <v>878</v>
      </c>
      <c r="GP963" s="181">
        <v>0</v>
      </c>
      <c r="GQ963" s="181">
        <v>0</v>
      </c>
    </row>
    <row r="964" spans="1:199">
      <c r="A964" s="181" t="s">
        <v>238</v>
      </c>
      <c r="GO964" s="181" t="s">
        <v>879</v>
      </c>
      <c r="GP964" s="181">
        <v>0</v>
      </c>
      <c r="GQ964" s="181">
        <v>0</v>
      </c>
    </row>
    <row r="965" spans="1:199">
      <c r="A965" s="181" t="s">
        <v>238</v>
      </c>
      <c r="GO965" s="181" t="s">
        <v>368</v>
      </c>
      <c r="GP965" s="181">
        <v>0</v>
      </c>
      <c r="GQ965" s="181">
        <v>0</v>
      </c>
    </row>
    <row r="966" spans="1:199">
      <c r="A966" s="181" t="s">
        <v>238</v>
      </c>
      <c r="GO966" s="181" t="s">
        <v>880</v>
      </c>
      <c r="GP966" s="181">
        <v>16291.71333333333</v>
      </c>
      <c r="GQ966" s="181">
        <v>32970.62999999999</v>
      </c>
    </row>
    <row r="967" spans="1:199">
      <c r="A967" s="181" t="s">
        <v>238</v>
      </c>
      <c r="GO967" s="181" t="s">
        <v>369</v>
      </c>
      <c r="GP967" s="181">
        <v>100745.5711111111</v>
      </c>
      <c r="GQ967" s="181">
        <v>187208.15444444446</v>
      </c>
    </row>
    <row r="968" spans="1:199">
      <c r="A968" s="181" t="s">
        <v>238</v>
      </c>
      <c r="GO968" s="181" t="s">
        <v>1682</v>
      </c>
      <c r="GP968" s="181">
        <v>4744.6875</v>
      </c>
      <c r="GQ968" s="181">
        <v>8520.5375000000004</v>
      </c>
    </row>
    <row r="969" spans="1:199">
      <c r="A969" s="181" t="s">
        <v>238</v>
      </c>
      <c r="GO969" s="181" t="s">
        <v>371</v>
      </c>
      <c r="GP969" s="181">
        <v>0</v>
      </c>
      <c r="GQ969" s="181">
        <v>0</v>
      </c>
    </row>
    <row r="970" spans="1:199">
      <c r="A970" s="181" t="s">
        <v>238</v>
      </c>
      <c r="GO970" s="181" t="s">
        <v>1677</v>
      </c>
      <c r="GP970" s="181">
        <v>85197.091111111105</v>
      </c>
      <c r="GQ970" s="181">
        <v>171478.48396825398</v>
      </c>
    </row>
    <row r="971" spans="1:199">
      <c r="A971" s="181" t="s">
        <v>238</v>
      </c>
      <c r="GO971" s="181">
        <v>0</v>
      </c>
      <c r="GP971" s="181">
        <v>0</v>
      </c>
      <c r="GQ971" s="181">
        <v>0</v>
      </c>
    </row>
    <row r="972" spans="1:199">
      <c r="A972" s="181" t="s">
        <v>238</v>
      </c>
      <c r="GO972" s="181">
        <v>0</v>
      </c>
      <c r="GP972" s="181">
        <v>0</v>
      </c>
      <c r="GQ972" s="181">
        <v>0</v>
      </c>
    </row>
    <row r="973" spans="1:199">
      <c r="A973" s="181" t="s">
        <v>238</v>
      </c>
      <c r="GO973" s="181">
        <v>0</v>
      </c>
      <c r="GP973" s="181">
        <v>0</v>
      </c>
      <c r="GQ973" s="181">
        <v>0</v>
      </c>
    </row>
    <row r="974" spans="1:199">
      <c r="A974" s="181" t="s">
        <v>238</v>
      </c>
      <c r="GO974" s="181">
        <v>0</v>
      </c>
      <c r="GP974" s="181">
        <v>0</v>
      </c>
      <c r="GQ974" s="181">
        <v>0</v>
      </c>
    </row>
    <row r="975" spans="1:199">
      <c r="A975" s="181" t="s">
        <v>238</v>
      </c>
      <c r="GO975" s="181">
        <v>0</v>
      </c>
      <c r="GP975" s="181">
        <v>0</v>
      </c>
      <c r="GQ975" s="181">
        <v>0</v>
      </c>
    </row>
    <row r="976" spans="1:199">
      <c r="A976" s="181" t="s">
        <v>238</v>
      </c>
      <c r="GO976" s="181">
        <v>0</v>
      </c>
      <c r="GP976" s="181">
        <v>0</v>
      </c>
      <c r="GQ976" s="181">
        <v>0</v>
      </c>
    </row>
    <row r="977" spans="1:199">
      <c r="A977" s="181" t="s">
        <v>238</v>
      </c>
      <c r="GO977" s="181">
        <v>0</v>
      </c>
      <c r="GP977" s="181">
        <v>0</v>
      </c>
      <c r="GQ977" s="181">
        <v>0</v>
      </c>
    </row>
    <row r="978" spans="1:199">
      <c r="A978" s="181" t="s">
        <v>238</v>
      </c>
      <c r="GO978" s="181">
        <v>0</v>
      </c>
      <c r="GP978" s="181">
        <v>0</v>
      </c>
      <c r="GQ978" s="181">
        <v>0</v>
      </c>
    </row>
    <row r="979" spans="1:199">
      <c r="A979" s="181" t="s">
        <v>238</v>
      </c>
      <c r="GO979" s="181">
        <v>0</v>
      </c>
      <c r="GP979" s="181">
        <v>0</v>
      </c>
      <c r="GQ979" s="181">
        <v>0</v>
      </c>
    </row>
    <row r="980" spans="1:199">
      <c r="A980" s="181" t="s">
        <v>238</v>
      </c>
      <c r="GO980" s="181">
        <v>0</v>
      </c>
      <c r="GP980" s="181">
        <v>0</v>
      </c>
      <c r="GQ980" s="181">
        <v>0</v>
      </c>
    </row>
    <row r="981" spans="1:199">
      <c r="A981" s="181" t="s">
        <v>238</v>
      </c>
      <c r="GO981" s="181">
        <v>0</v>
      </c>
      <c r="GP981" s="181">
        <v>0</v>
      </c>
      <c r="GQ981" s="181">
        <v>0</v>
      </c>
    </row>
    <row r="982" spans="1:199">
      <c r="A982" s="181" t="s">
        <v>238</v>
      </c>
      <c r="GO982" s="181">
        <v>0</v>
      </c>
      <c r="GP982" s="181">
        <v>0</v>
      </c>
      <c r="GQ982" s="181">
        <v>0</v>
      </c>
    </row>
    <row r="983" spans="1:199">
      <c r="A983" s="181" t="s">
        <v>238</v>
      </c>
      <c r="GO983" s="181">
        <v>0</v>
      </c>
      <c r="GP983" s="181">
        <v>0</v>
      </c>
      <c r="GQ983" s="181">
        <v>0</v>
      </c>
    </row>
    <row r="984" spans="1:199">
      <c r="A984" s="181" t="s">
        <v>238</v>
      </c>
      <c r="GO984" s="181">
        <v>0</v>
      </c>
      <c r="GP984" s="181">
        <v>0</v>
      </c>
      <c r="GQ984" s="181">
        <v>0</v>
      </c>
    </row>
    <row r="985" spans="1:199">
      <c r="A985" s="181" t="s">
        <v>238</v>
      </c>
      <c r="GO985" s="181">
        <v>0</v>
      </c>
      <c r="GP985" s="181">
        <v>0</v>
      </c>
      <c r="GQ985" s="181">
        <v>0</v>
      </c>
    </row>
    <row r="986" spans="1:199">
      <c r="A986" s="181" t="s">
        <v>238</v>
      </c>
      <c r="GO986" s="181" t="s">
        <v>1665</v>
      </c>
      <c r="GP986" s="181">
        <v>150000</v>
      </c>
      <c r="GQ986" s="181">
        <v>300000</v>
      </c>
    </row>
    <row r="987" spans="1:199">
      <c r="A987" s="181" t="s">
        <v>238</v>
      </c>
      <c r="GO987" s="181" t="s">
        <v>1666</v>
      </c>
      <c r="GP987" s="181">
        <v>24582</v>
      </c>
      <c r="GQ987" s="181">
        <v>49164</v>
      </c>
    </row>
    <row r="988" spans="1:199">
      <c r="A988" s="181" t="s">
        <v>238</v>
      </c>
      <c r="GO988" s="181" t="s">
        <v>1667</v>
      </c>
      <c r="GP988" s="181">
        <v>100000</v>
      </c>
      <c r="GQ988" s="181">
        <v>100000</v>
      </c>
    </row>
    <row r="989" spans="1:199">
      <c r="A989" s="181" t="s">
        <v>238</v>
      </c>
      <c r="GO989" s="181" t="s">
        <v>1668</v>
      </c>
      <c r="GP989" s="181">
        <v>21000</v>
      </c>
      <c r="GQ989" s="181">
        <v>42000</v>
      </c>
    </row>
    <row r="990" spans="1:199">
      <c r="A990" s="181" t="s">
        <v>238</v>
      </c>
      <c r="GO990" s="181" t="s">
        <v>1669</v>
      </c>
      <c r="GP990" s="181">
        <v>40000</v>
      </c>
      <c r="GQ990" s="181">
        <v>40000</v>
      </c>
    </row>
    <row r="991" spans="1:199">
      <c r="A991" s="181" t="s">
        <v>238</v>
      </c>
      <c r="GO991" s="181" t="s">
        <v>1670</v>
      </c>
      <c r="GP991" s="181">
        <v>10000</v>
      </c>
      <c r="GQ991" s="181">
        <v>20000</v>
      </c>
    </row>
    <row r="992" spans="1:199">
      <c r="A992" s="181" t="s">
        <v>238</v>
      </c>
      <c r="GO992" s="181" t="s">
        <v>1671</v>
      </c>
      <c r="GP992" s="181">
        <v>3000</v>
      </c>
      <c r="GQ992" s="181">
        <v>6000</v>
      </c>
    </row>
    <row r="993" spans="1:199">
      <c r="A993" s="181" t="s">
        <v>238</v>
      </c>
      <c r="GO993" s="181" t="s">
        <v>1672</v>
      </c>
      <c r="GP993" s="181">
        <v>15000</v>
      </c>
      <c r="GQ993" s="181">
        <v>30000</v>
      </c>
    </row>
    <row r="994" spans="1:199">
      <c r="A994" s="181" t="s">
        <v>238</v>
      </c>
      <c r="GO994" s="181" t="s">
        <v>1683</v>
      </c>
      <c r="GP994" s="181">
        <v>530000</v>
      </c>
      <c r="GQ994" s="181">
        <v>1520000</v>
      </c>
    </row>
    <row r="995" spans="1:199">
      <c r="A995" s="181" t="s">
        <v>238</v>
      </c>
      <c r="GO995" s="181" t="s">
        <v>1678</v>
      </c>
      <c r="GP995" s="181">
        <v>0</v>
      </c>
      <c r="GQ995" s="181">
        <v>0</v>
      </c>
    </row>
    <row r="996" spans="1:199">
      <c r="A996" s="181" t="s">
        <v>238</v>
      </c>
      <c r="GO996" s="181" t="s">
        <v>1678</v>
      </c>
      <c r="GP996" s="181">
        <v>0</v>
      </c>
      <c r="GQ996" s="181">
        <v>0</v>
      </c>
    </row>
    <row r="997" spans="1:199">
      <c r="A997" s="181" t="s">
        <v>238</v>
      </c>
      <c r="GO997" s="181" t="s">
        <v>1678</v>
      </c>
      <c r="GP997" s="181">
        <v>0</v>
      </c>
      <c r="GQ997" s="181">
        <v>0</v>
      </c>
    </row>
    <row r="998" spans="1:199">
      <c r="A998" s="181" t="s">
        <v>238</v>
      </c>
      <c r="GO998" s="181" t="s">
        <v>1687</v>
      </c>
      <c r="GP998" s="181">
        <v>0</v>
      </c>
      <c r="GQ998" s="181">
        <v>0</v>
      </c>
    </row>
    <row r="999" spans="1:199">
      <c r="A999" s="181" t="s">
        <v>238</v>
      </c>
      <c r="GO999" s="181" t="s">
        <v>1673</v>
      </c>
      <c r="GP999" s="181">
        <v>0</v>
      </c>
      <c r="GQ999" s="181">
        <v>90000</v>
      </c>
    </row>
    <row r="1000" spans="1:199">
      <c r="A1000" s="181" t="s">
        <v>238</v>
      </c>
      <c r="GO1000" s="181" t="s">
        <v>873</v>
      </c>
      <c r="GP1000" s="181">
        <v>0</v>
      </c>
      <c r="GQ1000" s="181">
        <v>0</v>
      </c>
    </row>
    <row r="1001" spans="1:199">
      <c r="A1001" s="181" t="s">
        <v>238</v>
      </c>
      <c r="GO1001" s="181" t="s">
        <v>873</v>
      </c>
      <c r="GP1001" s="181">
        <v>0</v>
      </c>
      <c r="GQ1001" s="181">
        <v>0</v>
      </c>
    </row>
    <row r="1002" spans="1:199">
      <c r="A1002" s="181" t="s">
        <v>238</v>
      </c>
      <c r="GO1002" s="181" t="s">
        <v>873</v>
      </c>
      <c r="GP1002" s="181">
        <v>0</v>
      </c>
      <c r="GQ1002" s="181">
        <v>0</v>
      </c>
    </row>
    <row r="1003" spans="1:199">
      <c r="A1003" s="181" t="s">
        <v>238</v>
      </c>
      <c r="GO1003" s="181" t="s">
        <v>308</v>
      </c>
      <c r="GP1003" s="181">
        <v>0</v>
      </c>
      <c r="GQ1003" s="181">
        <v>0</v>
      </c>
    </row>
    <row r="1004" spans="1:199">
      <c r="A1004" s="181" t="s">
        <v>238</v>
      </c>
      <c r="GO1004" s="181" t="s">
        <v>1681</v>
      </c>
      <c r="GP1004" s="181">
        <v>0</v>
      </c>
      <c r="GQ1004" s="181">
        <v>0</v>
      </c>
    </row>
    <row r="1005" spans="1:199">
      <c r="A1005" s="181" t="s">
        <v>238</v>
      </c>
      <c r="GO1005" s="181" t="s">
        <v>1681</v>
      </c>
      <c r="GP1005" s="181">
        <v>0</v>
      </c>
      <c r="GQ1005" s="181">
        <v>0</v>
      </c>
    </row>
    <row r="1006" spans="1:199">
      <c r="A1006" s="181" t="s">
        <v>238</v>
      </c>
      <c r="GO1006" s="181" t="s">
        <v>1681</v>
      </c>
      <c r="GP1006" s="181">
        <v>0</v>
      </c>
      <c r="GQ1006" s="181">
        <v>0</v>
      </c>
    </row>
    <row r="1007" spans="1:199">
      <c r="A1007" s="181" t="s">
        <v>238</v>
      </c>
      <c r="GO1007" s="181" t="s">
        <v>1681</v>
      </c>
      <c r="GP1007" s="181">
        <v>0</v>
      </c>
      <c r="GQ1007" s="181">
        <v>0</v>
      </c>
    </row>
    <row r="1008" spans="1:199">
      <c r="A1008" s="181" t="s">
        <v>238</v>
      </c>
      <c r="GO1008" s="181" t="s">
        <v>870</v>
      </c>
      <c r="GP1008" s="181">
        <v>0</v>
      </c>
      <c r="GQ1008" s="181">
        <v>0</v>
      </c>
    </row>
    <row r="1009" spans="1:199">
      <c r="A1009" s="181" t="s">
        <v>238</v>
      </c>
      <c r="GO1009" s="181" t="s">
        <v>309</v>
      </c>
      <c r="GP1009" s="181">
        <v>0</v>
      </c>
      <c r="GQ1009" s="181">
        <v>0</v>
      </c>
    </row>
    <row r="1010" spans="1:199">
      <c r="A1010" s="181" t="s">
        <v>238</v>
      </c>
      <c r="GO1010" s="181" t="s">
        <v>309</v>
      </c>
      <c r="GP1010" s="181">
        <v>0</v>
      </c>
      <c r="GQ1010" s="181">
        <v>0</v>
      </c>
    </row>
    <row r="1011" spans="1:199">
      <c r="A1011" s="181" t="s">
        <v>238</v>
      </c>
      <c r="GO1011" s="181" t="s">
        <v>309</v>
      </c>
      <c r="GP1011" s="181">
        <v>0</v>
      </c>
      <c r="GQ1011" s="181">
        <v>0</v>
      </c>
    </row>
    <row r="1012" spans="1:199">
      <c r="A1012" s="181" t="s">
        <v>238</v>
      </c>
      <c r="GP1012" s="181">
        <v>1100561.0630555556</v>
      </c>
      <c r="GQ1012" s="181">
        <v>2597341.8059126982</v>
      </c>
    </row>
    <row r="1013" spans="1:199">
      <c r="A1013" s="181" t="s">
        <v>238</v>
      </c>
      <c r="GO1013" s="181" t="s">
        <v>1674</v>
      </c>
      <c r="GP1013" s="181">
        <v>0</v>
      </c>
      <c r="GQ1013" s="181">
        <v>0</v>
      </c>
    </row>
    <row r="1014" spans="1:199">
      <c r="A1014" s="181" t="s">
        <v>238</v>
      </c>
      <c r="GO1014" s="181" t="s">
        <v>1690</v>
      </c>
      <c r="GP1014" s="181">
        <v>0</v>
      </c>
      <c r="GQ1014" s="181">
        <v>0</v>
      </c>
    </row>
    <row r="1015" spans="1:199">
      <c r="A1015" s="181" t="s">
        <v>238</v>
      </c>
      <c r="GO1015" s="181" t="s">
        <v>875</v>
      </c>
      <c r="GP1015" s="181">
        <v>0</v>
      </c>
      <c r="GQ1015" s="181">
        <v>0</v>
      </c>
    </row>
    <row r="1016" spans="1:199">
      <c r="A1016" s="181" t="s">
        <v>238</v>
      </c>
      <c r="GO1016" s="181" t="s">
        <v>875</v>
      </c>
      <c r="GP1016" s="181">
        <v>0</v>
      </c>
      <c r="GQ1016" s="181">
        <v>0</v>
      </c>
    </row>
    <row r="1017" spans="1:199">
      <c r="A1017" s="181" t="s">
        <v>238</v>
      </c>
      <c r="GO1017" s="181" t="s">
        <v>875</v>
      </c>
      <c r="GP1017" s="181">
        <v>0</v>
      </c>
      <c r="GQ1017" s="181">
        <v>0</v>
      </c>
    </row>
    <row r="1018" spans="1:199">
      <c r="A1018" s="181" t="s">
        <v>238</v>
      </c>
      <c r="GO1018" s="181" t="s">
        <v>875</v>
      </c>
      <c r="GP1018" s="181">
        <v>0</v>
      </c>
      <c r="GQ1018" s="181">
        <v>0</v>
      </c>
    </row>
    <row r="1019" spans="1:199">
      <c r="A1019" s="181" t="s">
        <v>238</v>
      </c>
      <c r="GO1019" s="181" t="s">
        <v>310</v>
      </c>
      <c r="GP1019" s="181">
        <v>0</v>
      </c>
      <c r="GQ1019" s="181">
        <v>0</v>
      </c>
    </row>
    <row r="1020" spans="1:199">
      <c r="A1020" s="181" t="s">
        <v>238</v>
      </c>
      <c r="GO1020" s="181" t="s">
        <v>310</v>
      </c>
      <c r="GP1020" s="181">
        <v>0</v>
      </c>
      <c r="GQ1020" s="181">
        <v>0</v>
      </c>
    </row>
    <row r="1021" spans="1:199">
      <c r="A1021" s="181" t="s">
        <v>238</v>
      </c>
      <c r="GO1021" s="181" t="s">
        <v>310</v>
      </c>
      <c r="GP1021" s="181">
        <v>0</v>
      </c>
      <c r="GQ1021" s="181">
        <v>0</v>
      </c>
    </row>
    <row r="1022" spans="1:199">
      <c r="A1022" s="181" t="s">
        <v>238</v>
      </c>
      <c r="GO1022" s="181" t="s">
        <v>310</v>
      </c>
      <c r="GP1022" s="181">
        <v>0</v>
      </c>
      <c r="GQ1022" s="181">
        <v>0</v>
      </c>
    </row>
    <row r="1023" spans="1:199">
      <c r="A1023" s="181" t="s">
        <v>238</v>
      </c>
      <c r="GO1023" s="181" t="s">
        <v>310</v>
      </c>
      <c r="GP1023" s="181">
        <v>0</v>
      </c>
      <c r="GQ1023" s="181">
        <v>0</v>
      </c>
    </row>
    <row r="1024" spans="1:199">
      <c r="A1024" s="181" t="s">
        <v>238</v>
      </c>
      <c r="GO1024" s="181" t="s">
        <v>310</v>
      </c>
      <c r="GP1024" s="181">
        <v>0</v>
      </c>
      <c r="GQ1024" s="181">
        <v>0</v>
      </c>
    </row>
    <row r="1025" spans="1:199">
      <c r="A1025" s="181" t="s">
        <v>238</v>
      </c>
      <c r="GO1025" s="181" t="s">
        <v>310</v>
      </c>
      <c r="GP1025" s="181">
        <v>0</v>
      </c>
      <c r="GQ1025" s="181">
        <v>0</v>
      </c>
    </row>
    <row r="1026" spans="1:199">
      <c r="A1026" s="181" t="s">
        <v>238</v>
      </c>
      <c r="GO1026" s="181" t="s">
        <v>310</v>
      </c>
      <c r="GP1026" s="181">
        <v>0</v>
      </c>
      <c r="GQ1026" s="181">
        <v>0</v>
      </c>
    </row>
    <row r="1027" spans="1:199">
      <c r="A1027" s="181" t="s">
        <v>238</v>
      </c>
      <c r="GO1027" s="181" t="s">
        <v>876</v>
      </c>
      <c r="GP1027" s="181">
        <v>0</v>
      </c>
      <c r="GQ1027" s="181">
        <v>0</v>
      </c>
    </row>
    <row r="1028" spans="1:199">
      <c r="A1028" s="181" t="s">
        <v>238</v>
      </c>
      <c r="GO1028" s="181" t="s">
        <v>876</v>
      </c>
      <c r="GP1028" s="181">
        <v>0</v>
      </c>
      <c r="GQ1028" s="181">
        <v>0</v>
      </c>
    </row>
    <row r="1029" spans="1:199">
      <c r="A1029" s="181" t="s">
        <v>238</v>
      </c>
      <c r="GO1029" s="181" t="s">
        <v>876</v>
      </c>
      <c r="GP1029" s="181">
        <v>0</v>
      </c>
      <c r="GQ1029" s="181">
        <v>0</v>
      </c>
    </row>
    <row r="1030" spans="1:199">
      <c r="A1030" s="181" t="s">
        <v>238</v>
      </c>
      <c r="GO1030" s="181" t="s">
        <v>876</v>
      </c>
      <c r="GP1030" s="181">
        <v>0</v>
      </c>
      <c r="GQ1030" s="181">
        <v>0</v>
      </c>
    </row>
    <row r="1031" spans="1:199">
      <c r="A1031" s="181" t="s">
        <v>238</v>
      </c>
      <c r="GO1031" s="181" t="s">
        <v>876</v>
      </c>
      <c r="GP1031" s="181">
        <v>0</v>
      </c>
      <c r="GQ1031" s="181">
        <v>0</v>
      </c>
    </row>
    <row r="1032" spans="1:199">
      <c r="A1032" s="181" t="s">
        <v>238</v>
      </c>
      <c r="GO1032" s="181">
        <v>0</v>
      </c>
      <c r="GP1032" s="181">
        <v>0</v>
      </c>
      <c r="GQ1032" s="181">
        <v>0</v>
      </c>
    </row>
    <row r="1033" spans="1:199">
      <c r="A1033" s="181" t="s">
        <v>238</v>
      </c>
      <c r="GO1033" s="181">
        <v>0</v>
      </c>
      <c r="GP1033" s="181">
        <v>0</v>
      </c>
      <c r="GQ1033" s="181">
        <v>0</v>
      </c>
    </row>
    <row r="1034" spans="1:199">
      <c r="A1034" s="181" t="s">
        <v>238</v>
      </c>
      <c r="GO1034" s="181">
        <v>0</v>
      </c>
      <c r="GP1034" s="181">
        <v>0</v>
      </c>
      <c r="GQ1034" s="181">
        <v>0</v>
      </c>
    </row>
    <row r="1035" spans="1:199">
      <c r="A1035" s="181" t="s">
        <v>238</v>
      </c>
      <c r="GO1035" s="181">
        <v>0</v>
      </c>
      <c r="GP1035" s="181">
        <v>0</v>
      </c>
      <c r="GQ1035" s="181">
        <v>0</v>
      </c>
    </row>
    <row r="1036" spans="1:199">
      <c r="A1036" s="181" t="s">
        <v>238</v>
      </c>
      <c r="GO1036" s="181">
        <v>0</v>
      </c>
      <c r="GP1036" s="181">
        <v>0</v>
      </c>
      <c r="GQ1036" s="181">
        <v>0</v>
      </c>
    </row>
    <row r="1037" spans="1:199">
      <c r="A1037" s="181" t="s">
        <v>238</v>
      </c>
      <c r="GO1037" s="181">
        <v>0</v>
      </c>
      <c r="GP1037" s="181">
        <v>0</v>
      </c>
      <c r="GQ1037" s="181">
        <v>0</v>
      </c>
    </row>
    <row r="1038" spans="1:199">
      <c r="A1038" s="181" t="s">
        <v>238</v>
      </c>
      <c r="GO1038" s="181">
        <v>0</v>
      </c>
      <c r="GP1038" s="181">
        <v>0</v>
      </c>
      <c r="GQ1038" s="181">
        <v>0</v>
      </c>
    </row>
    <row r="1039" spans="1:199">
      <c r="A1039" s="181" t="s">
        <v>238</v>
      </c>
      <c r="GO1039" s="181">
        <v>0</v>
      </c>
      <c r="GP1039" s="181">
        <v>0</v>
      </c>
      <c r="GQ1039" s="181">
        <v>0</v>
      </c>
    </row>
    <row r="1040" spans="1:199">
      <c r="A1040" s="181" t="s">
        <v>238</v>
      </c>
      <c r="GO1040" s="181">
        <v>0</v>
      </c>
      <c r="GP1040" s="181">
        <v>0</v>
      </c>
      <c r="GQ1040" s="181">
        <v>0</v>
      </c>
    </row>
    <row r="1041" spans="1:199">
      <c r="A1041" s="181" t="s">
        <v>238</v>
      </c>
      <c r="GO1041" s="181">
        <v>0</v>
      </c>
      <c r="GP1041" s="181">
        <v>0</v>
      </c>
      <c r="GQ1041" s="181">
        <v>0</v>
      </c>
    </row>
    <row r="1042" spans="1:199">
      <c r="A1042" s="181" t="s">
        <v>238</v>
      </c>
      <c r="GO1042" s="181">
        <v>0</v>
      </c>
      <c r="GP1042" s="181">
        <v>0</v>
      </c>
      <c r="GQ1042" s="181">
        <v>0</v>
      </c>
    </row>
    <row r="1043" spans="1:199">
      <c r="A1043" s="181" t="s">
        <v>238</v>
      </c>
      <c r="GO1043" s="181">
        <v>0</v>
      </c>
      <c r="GP1043" s="181">
        <v>0</v>
      </c>
      <c r="GQ1043" s="181">
        <v>0</v>
      </c>
    </row>
    <row r="1044" spans="1:199">
      <c r="A1044" s="181" t="s">
        <v>238</v>
      </c>
      <c r="GO1044" s="181">
        <v>0</v>
      </c>
      <c r="GP1044" s="181">
        <v>0</v>
      </c>
      <c r="GQ1044" s="181">
        <v>0</v>
      </c>
    </row>
    <row r="1045" spans="1:199">
      <c r="A1045" s="181" t="s">
        <v>238</v>
      </c>
      <c r="GO1045" s="181">
        <v>0</v>
      </c>
      <c r="GP1045" s="181">
        <v>0</v>
      </c>
      <c r="GQ1045" s="181">
        <v>0</v>
      </c>
    </row>
    <row r="1046" spans="1:199">
      <c r="A1046" s="181" t="s">
        <v>238</v>
      </c>
      <c r="GO1046" s="181">
        <v>0</v>
      </c>
      <c r="GP1046" s="181">
        <v>0</v>
      </c>
      <c r="GQ1046" s="181">
        <v>0</v>
      </c>
    </row>
    <row r="1047" spans="1:199">
      <c r="A1047" s="181" t="s">
        <v>238</v>
      </c>
      <c r="GP1047" s="181">
        <v>0</v>
      </c>
      <c r="GQ1047" s="181">
        <v>0</v>
      </c>
    </row>
    <row r="1048" spans="1:199">
      <c r="A1048" s="181" t="s">
        <v>238</v>
      </c>
      <c r="GO1048" s="181" t="s">
        <v>309</v>
      </c>
      <c r="GP1048" s="181">
        <v>0</v>
      </c>
      <c r="GQ1048" s="181">
        <v>0</v>
      </c>
    </row>
    <row r="1049" spans="1:199">
      <c r="A1049" s="181" t="s">
        <v>238</v>
      </c>
      <c r="GP1049" s="181">
        <v>1100561.0630555556</v>
      </c>
      <c r="GQ1049" s="181">
        <v>2597341.8059126982</v>
      </c>
    </row>
    <row r="1050" spans="1:199">
      <c r="A1050" s="181" t="s">
        <v>238</v>
      </c>
      <c r="GP1050" s="181">
        <v>-40211.063055555627</v>
      </c>
      <c r="GQ1050" s="181">
        <v>-185941.80591269856</v>
      </c>
    </row>
    <row r="1051" spans="1:199">
      <c r="A1051" s="181" t="s">
        <v>238</v>
      </c>
      <c r="GP1051" s="181">
        <v>611366.84761299985</v>
      </c>
    </row>
    <row r="1052" spans="1:199">
      <c r="A1052" s="181" t="s">
        <v>238</v>
      </c>
    </row>
    <row r="1053" spans="1:199">
      <c r="A1053" s="181" t="s">
        <v>238</v>
      </c>
    </row>
    <row r="1054" spans="1:199">
      <c r="A1054" s="181" t="s">
        <v>238</v>
      </c>
    </row>
    <row r="1055" spans="1:199">
      <c r="A1055" s="181" t="s">
        <v>238</v>
      </c>
    </row>
    <row r="1056" spans="1:199">
      <c r="A1056" s="181" t="s">
        <v>238</v>
      </c>
    </row>
    <row r="1057" spans="1:1">
      <c r="A1057" s="181" t="s">
        <v>238</v>
      </c>
    </row>
    <row r="1058" spans="1:1">
      <c r="A1058" s="181" t="s">
        <v>238</v>
      </c>
    </row>
    <row r="1059" spans="1:1">
      <c r="A1059" s="181" t="s">
        <v>238</v>
      </c>
    </row>
    <row r="1060" spans="1:1">
      <c r="A1060" s="181" t="s">
        <v>238</v>
      </c>
    </row>
    <row r="1061" spans="1:1">
      <c r="A1061" s="181" t="s">
        <v>238</v>
      </c>
    </row>
    <row r="1062" spans="1:1">
      <c r="A1062" s="181" t="s">
        <v>238</v>
      </c>
    </row>
    <row r="1063" spans="1:1">
      <c r="A1063" s="181" t="s">
        <v>238</v>
      </c>
    </row>
    <row r="1064" spans="1:1">
      <c r="A1064" s="181" t="s">
        <v>238</v>
      </c>
    </row>
    <row r="1065" spans="1:1">
      <c r="A1065" s="181" t="s">
        <v>238</v>
      </c>
    </row>
    <row r="1066" spans="1:1">
      <c r="A1066" s="181" t="s">
        <v>238</v>
      </c>
    </row>
    <row r="1067" spans="1:1">
      <c r="A1067" s="181" t="s">
        <v>238</v>
      </c>
    </row>
    <row r="1068" spans="1:1">
      <c r="A1068" s="181" t="s">
        <v>238</v>
      </c>
    </row>
    <row r="1069" spans="1:1">
      <c r="A1069" s="181" t="s">
        <v>238</v>
      </c>
    </row>
    <row r="1070" spans="1:1">
      <c r="A1070" s="181" t="s">
        <v>238</v>
      </c>
    </row>
    <row r="1071" spans="1:1">
      <c r="A1071" s="181" t="s">
        <v>238</v>
      </c>
    </row>
    <row r="1072" spans="1:1">
      <c r="A1072" s="181" t="s">
        <v>238</v>
      </c>
    </row>
    <row r="1073" spans="1:235">
      <c r="A1073" s="181" t="s">
        <v>238</v>
      </c>
    </row>
    <row r="1074" spans="1:235" ht="18.75" customHeight="1">
      <c r="A1074" s="181" t="s">
        <v>239</v>
      </c>
      <c r="B1074" s="181" t="s">
        <v>3051</v>
      </c>
      <c r="C1074" s="181" t="s">
        <v>1130</v>
      </c>
      <c r="D1074" s="181" t="s">
        <v>3062</v>
      </c>
      <c r="E1074" s="181" t="s">
        <v>921</v>
      </c>
      <c r="F1074" s="181" t="s">
        <v>1680</v>
      </c>
      <c r="G1074" s="181">
        <v>13000000</v>
      </c>
      <c r="I1074" s="181" t="s">
        <v>2782</v>
      </c>
      <c r="J1074" s="181" t="s">
        <v>2782</v>
      </c>
      <c r="V1074" s="181">
        <v>45000000</v>
      </c>
      <c r="W1074" s="181">
        <v>8764999</v>
      </c>
      <c r="X1074" s="181" t="s">
        <v>1871</v>
      </c>
      <c r="Y1074" s="181" t="s">
        <v>1871</v>
      </c>
      <c r="Z1074" s="181" t="s">
        <v>1871</v>
      </c>
      <c r="AA1074" s="181" t="s">
        <v>1871</v>
      </c>
      <c r="AB1074" s="181" t="s">
        <v>1871</v>
      </c>
      <c r="AC1074" s="181" t="s">
        <v>1871</v>
      </c>
      <c r="AD1074" s="181" t="s">
        <v>1871</v>
      </c>
      <c r="AE1074" s="181" t="s">
        <v>1871</v>
      </c>
      <c r="AL1074" s="181" t="s">
        <v>1871</v>
      </c>
      <c r="AM1074" s="181" t="s">
        <v>1871</v>
      </c>
      <c r="AN1074" s="181" t="s">
        <v>1871</v>
      </c>
      <c r="AO1074" s="181" t="s">
        <v>1871</v>
      </c>
      <c r="AY1074" s="181" t="s">
        <v>1871</v>
      </c>
      <c r="AZ1074" s="181" t="s">
        <v>1871</v>
      </c>
      <c r="BA1074" s="181" t="s">
        <v>3066</v>
      </c>
      <c r="BB1074" s="181" t="s">
        <v>901</v>
      </c>
      <c r="BC1074" s="181" t="s">
        <v>1871</v>
      </c>
      <c r="BD1074" s="181" t="s">
        <v>1871</v>
      </c>
      <c r="BE1074" s="181" t="s">
        <v>1871</v>
      </c>
      <c r="BF1074" s="181" t="s">
        <v>1871</v>
      </c>
      <c r="BG1074" s="181" t="s">
        <v>1871</v>
      </c>
      <c r="BH1074" s="181" t="s">
        <v>1871</v>
      </c>
      <c r="BI1074" s="181" t="s">
        <v>1871</v>
      </c>
      <c r="BJ1074" s="181" t="s">
        <v>1871</v>
      </c>
      <c r="BK1074" s="181" t="s">
        <v>971</v>
      </c>
      <c r="BL1074" s="181" t="s">
        <v>1871</v>
      </c>
      <c r="BM1074" s="181" t="s">
        <v>1871</v>
      </c>
      <c r="BP1074" s="181" t="s">
        <v>971</v>
      </c>
      <c r="BQ1074" s="181" t="s">
        <v>1871</v>
      </c>
      <c r="BR1074" s="181" t="s">
        <v>1871</v>
      </c>
      <c r="BU1074" s="181" t="s">
        <v>1634</v>
      </c>
      <c r="BV1074" s="181" t="s">
        <v>1871</v>
      </c>
      <c r="BW1074" s="181" t="s">
        <v>1871</v>
      </c>
      <c r="DC1074" s="181" t="s">
        <v>1871</v>
      </c>
      <c r="DD1074" s="181" t="s">
        <v>1871</v>
      </c>
      <c r="DE1074" s="181" t="s">
        <v>1094</v>
      </c>
      <c r="DF1074" s="181" t="s">
        <v>919</v>
      </c>
      <c r="DG1074" s="181" t="s">
        <v>1871</v>
      </c>
      <c r="DH1074" s="181" t="s">
        <v>1871</v>
      </c>
      <c r="DI1074" s="181" t="s">
        <v>1871</v>
      </c>
      <c r="DJ1074" s="181" t="s">
        <v>1871</v>
      </c>
      <c r="DN1074" s="181" t="s">
        <v>971</v>
      </c>
      <c r="DO1074" s="181" t="s">
        <v>1871</v>
      </c>
      <c r="DP1074" s="181" t="s">
        <v>1871</v>
      </c>
      <c r="DS1074" s="181" t="s">
        <v>971</v>
      </c>
      <c r="DT1074" s="181" t="s">
        <v>1871</v>
      </c>
      <c r="DU1074" s="181" t="s">
        <v>1871</v>
      </c>
      <c r="DX1074" s="181" t="s">
        <v>1634</v>
      </c>
      <c r="DY1074" s="181" t="s">
        <v>1871</v>
      </c>
      <c r="DZ1074" s="181" t="s">
        <v>1871</v>
      </c>
      <c r="FF1074" s="181" t="s">
        <v>3061</v>
      </c>
      <c r="FG1074" s="181" t="s">
        <v>1130</v>
      </c>
      <c r="FH1074" s="181" t="s">
        <v>1871</v>
      </c>
      <c r="FI1074" s="181" t="s">
        <v>1871</v>
      </c>
      <c r="FJ1074" s="181" t="s">
        <v>1871</v>
      </c>
      <c r="FK1074" s="181" t="s">
        <v>1871</v>
      </c>
      <c r="FY1074" s="181" t="s">
        <v>1871</v>
      </c>
      <c r="FZ1074" s="181" t="s">
        <v>1871</v>
      </c>
      <c r="GA1074" s="181" t="s">
        <v>1871</v>
      </c>
      <c r="GB1074" s="181" t="s">
        <v>1871</v>
      </c>
      <c r="GC1074" s="181" t="s">
        <v>1871</v>
      </c>
      <c r="GD1074" s="181" t="s">
        <v>1871</v>
      </c>
      <c r="GR1074" s="181" t="s">
        <v>176</v>
      </c>
      <c r="GS1074" s="181" t="s">
        <v>1871</v>
      </c>
      <c r="GT1074" s="181" t="s">
        <v>1871</v>
      </c>
      <c r="HD1074" s="181" t="s">
        <v>971</v>
      </c>
      <c r="HE1074" s="181" t="s">
        <v>1871</v>
      </c>
      <c r="HF1074" s="181" t="s">
        <v>1871</v>
      </c>
      <c r="HG1074" s="181" t="s">
        <v>1634</v>
      </c>
      <c r="HH1074" s="181" t="s">
        <v>1871</v>
      </c>
      <c r="HI1074" s="181" t="s">
        <v>1871</v>
      </c>
      <c r="HL1074" s="181" t="s">
        <v>932</v>
      </c>
      <c r="HS1074" s="181" t="s">
        <v>3079</v>
      </c>
      <c r="HT1074" s="181" t="s">
        <v>1871</v>
      </c>
      <c r="HU1074" s="181" t="s">
        <v>1871</v>
      </c>
      <c r="HV1074" s="181" t="s">
        <v>3086</v>
      </c>
      <c r="HW1074" s="181" t="s">
        <v>1871</v>
      </c>
      <c r="HX1074" s="181" t="s">
        <v>1871</v>
      </c>
      <c r="HY1074" s="181" t="s">
        <v>884</v>
      </c>
      <c r="HZ1074" s="181" t="s">
        <v>1871</v>
      </c>
      <c r="IA1074" s="181" t="s">
        <v>1871</v>
      </c>
    </row>
    <row r="1075" spans="1:235">
      <c r="A1075" s="181" t="s">
        <v>239</v>
      </c>
      <c r="B1075" s="181" t="s">
        <v>3049</v>
      </c>
      <c r="C1075" s="181" t="s">
        <v>901</v>
      </c>
      <c r="D1075" s="181" t="s">
        <v>3063</v>
      </c>
      <c r="E1075" s="181" t="s">
        <v>901</v>
      </c>
      <c r="F1075" s="181" t="s">
        <v>3047</v>
      </c>
      <c r="G1075" s="181">
        <v>800000</v>
      </c>
      <c r="V1075" s="181">
        <v>1000000</v>
      </c>
      <c r="W1075" s="181">
        <v>34649</v>
      </c>
      <c r="X1075" s="181" t="s">
        <v>1871</v>
      </c>
      <c r="Y1075" s="181" t="s">
        <v>1871</v>
      </c>
      <c r="Z1075" s="181" t="s">
        <v>1871</v>
      </c>
      <c r="AA1075" s="181" t="s">
        <v>1871</v>
      </c>
      <c r="AB1075" s="181" t="s">
        <v>1871</v>
      </c>
      <c r="AC1075" s="181" t="s">
        <v>1871</v>
      </c>
      <c r="AD1075" s="181" t="s">
        <v>1871</v>
      </c>
      <c r="AE1075" s="181" t="s">
        <v>1871</v>
      </c>
      <c r="AL1075" s="181" t="s">
        <v>1871</v>
      </c>
      <c r="AM1075" s="181" t="s">
        <v>1871</v>
      </c>
      <c r="AN1075" s="181" t="s">
        <v>1871</v>
      </c>
      <c r="AO1075" s="181" t="s">
        <v>1871</v>
      </c>
      <c r="AY1075" s="181" t="s">
        <v>1871</v>
      </c>
      <c r="AZ1075" s="181" t="s">
        <v>1871</v>
      </c>
      <c r="BA1075" s="181" t="s">
        <v>3067</v>
      </c>
      <c r="BB1075" s="181" t="s">
        <v>901</v>
      </c>
      <c r="BC1075" s="181" t="s">
        <v>1871</v>
      </c>
      <c r="BD1075" s="181" t="s">
        <v>1871</v>
      </c>
      <c r="BE1075" s="181" t="s">
        <v>1871</v>
      </c>
      <c r="BF1075" s="181" t="s">
        <v>1871</v>
      </c>
      <c r="BG1075" s="181" t="s">
        <v>1871</v>
      </c>
      <c r="BH1075" s="181" t="s">
        <v>1871</v>
      </c>
      <c r="BI1075" s="181" t="s">
        <v>1871</v>
      </c>
      <c r="BJ1075" s="181" t="s">
        <v>1871</v>
      </c>
      <c r="BK1075" s="181" t="s">
        <v>1101</v>
      </c>
      <c r="BL1075" s="181" t="s">
        <v>1871</v>
      </c>
      <c r="BM1075" s="181" t="s">
        <v>1871</v>
      </c>
      <c r="BP1075" s="181" t="s">
        <v>1101</v>
      </c>
      <c r="BQ1075" s="181" t="s">
        <v>1871</v>
      </c>
      <c r="BR1075" s="181" t="s">
        <v>1871</v>
      </c>
      <c r="BU1075" s="181" t="s">
        <v>3072</v>
      </c>
      <c r="BV1075" s="181" t="s">
        <v>1871</v>
      </c>
      <c r="BW1075" s="181" t="s">
        <v>1871</v>
      </c>
      <c r="DC1075" s="181" t="s">
        <v>1871</v>
      </c>
      <c r="DD1075" s="181" t="s">
        <v>1871</v>
      </c>
      <c r="DE1075" s="181" t="s">
        <v>1139</v>
      </c>
      <c r="DF1075" s="181" t="s">
        <v>901</v>
      </c>
      <c r="DG1075" s="181" t="s">
        <v>1871</v>
      </c>
      <c r="DH1075" s="181" t="s">
        <v>1871</v>
      </c>
      <c r="DI1075" s="181" t="s">
        <v>1871</v>
      </c>
      <c r="DJ1075" s="181" t="s">
        <v>1871</v>
      </c>
      <c r="DL1075" s="181">
        <v>1550000</v>
      </c>
      <c r="DM1075" s="181">
        <v>1100000</v>
      </c>
      <c r="DN1075" s="181" t="s">
        <v>1101</v>
      </c>
      <c r="DO1075" s="181" t="s">
        <v>1871</v>
      </c>
      <c r="DP1075" s="181" t="s">
        <v>1871</v>
      </c>
      <c r="DS1075" s="181" t="s">
        <v>1101</v>
      </c>
      <c r="DT1075" s="181" t="s">
        <v>1871</v>
      </c>
      <c r="DU1075" s="181" t="s">
        <v>1871</v>
      </c>
      <c r="DX1075" s="181" t="s">
        <v>3072</v>
      </c>
      <c r="DY1075" s="181" t="s">
        <v>1871</v>
      </c>
      <c r="DZ1075" s="181" t="s">
        <v>1871</v>
      </c>
      <c r="FF1075" s="181" t="s">
        <v>1295</v>
      </c>
      <c r="FG1075" s="181" t="s">
        <v>901</v>
      </c>
      <c r="FH1075" s="181" t="s">
        <v>1871</v>
      </c>
      <c r="FI1075" s="181" t="s">
        <v>1871</v>
      </c>
      <c r="FJ1075" s="181" t="s">
        <v>1871</v>
      </c>
      <c r="FK1075" s="181" t="s">
        <v>1871</v>
      </c>
      <c r="FY1075" s="181" t="s">
        <v>1871</v>
      </c>
      <c r="FZ1075" s="181" t="s">
        <v>1871</v>
      </c>
      <c r="GA1075" s="181" t="s">
        <v>1871</v>
      </c>
      <c r="GB1075" s="181" t="s">
        <v>1871</v>
      </c>
      <c r="GC1075" s="181" t="s">
        <v>1871</v>
      </c>
      <c r="GD1075" s="181" t="s">
        <v>1871</v>
      </c>
      <c r="GR1075" s="181" t="s">
        <v>177</v>
      </c>
      <c r="GS1075" s="181" t="s">
        <v>1871</v>
      </c>
      <c r="GT1075" s="181" t="s">
        <v>1871</v>
      </c>
      <c r="HD1075" s="181" t="s">
        <v>1101</v>
      </c>
      <c r="HE1075" s="181" t="s">
        <v>1871</v>
      </c>
      <c r="HF1075" s="181" t="s">
        <v>1871</v>
      </c>
      <c r="HG1075" s="181" t="s">
        <v>886</v>
      </c>
      <c r="HH1075" s="181" t="s">
        <v>1871</v>
      </c>
      <c r="HI1075" s="181" t="s">
        <v>1871</v>
      </c>
      <c r="HL1075" s="181" t="s">
        <v>1224</v>
      </c>
      <c r="HS1075" s="181" t="s">
        <v>1290</v>
      </c>
      <c r="HT1075" s="181" t="s">
        <v>1871</v>
      </c>
      <c r="HU1075" s="181" t="s">
        <v>1871</v>
      </c>
      <c r="HV1075" s="181" t="s">
        <v>1341</v>
      </c>
      <c r="HW1075" s="181" t="s">
        <v>1871</v>
      </c>
      <c r="HX1075" s="181" t="s">
        <v>1871</v>
      </c>
      <c r="HY1075" s="181" t="s">
        <v>1342</v>
      </c>
      <c r="HZ1075" s="181" t="s">
        <v>1871</v>
      </c>
      <c r="IA1075" s="181" t="s">
        <v>1871</v>
      </c>
    </row>
    <row r="1076" spans="1:235" ht="18.75" customHeight="1">
      <c r="A1076" s="181" t="s">
        <v>239</v>
      </c>
      <c r="B1076" s="181" t="s">
        <v>3050</v>
      </c>
      <c r="C1076" s="181" t="s">
        <v>901</v>
      </c>
      <c r="D1076" s="181" t="s">
        <v>3064</v>
      </c>
      <c r="E1076" s="181" t="s">
        <v>901</v>
      </c>
      <c r="F1076" s="181" t="s">
        <v>721</v>
      </c>
      <c r="G1076" s="181">
        <v>600000</v>
      </c>
      <c r="V1076" s="181">
        <v>2000000</v>
      </c>
      <c r="W1076" s="181">
        <v>100880</v>
      </c>
      <c r="X1076" s="181" t="s">
        <v>1871</v>
      </c>
      <c r="Y1076" s="181" t="s">
        <v>1871</v>
      </c>
      <c r="Z1076" s="181" t="s">
        <v>1871</v>
      </c>
      <c r="AA1076" s="181" t="s">
        <v>1871</v>
      </c>
      <c r="AB1076" s="181" t="s">
        <v>1871</v>
      </c>
      <c r="AC1076" s="181" t="s">
        <v>1871</v>
      </c>
      <c r="AD1076" s="181" t="s">
        <v>1871</v>
      </c>
      <c r="AE1076" s="181" t="s">
        <v>1871</v>
      </c>
      <c r="AL1076" s="181" t="s">
        <v>1871</v>
      </c>
      <c r="AM1076" s="181" t="s">
        <v>1871</v>
      </c>
      <c r="AN1076" s="181" t="s">
        <v>1871</v>
      </c>
      <c r="AO1076" s="181" t="s">
        <v>1871</v>
      </c>
      <c r="AY1076" s="181" t="s">
        <v>1871</v>
      </c>
      <c r="AZ1076" s="181" t="s">
        <v>1871</v>
      </c>
      <c r="BA1076" s="181" t="s">
        <v>3068</v>
      </c>
      <c r="BB1076" s="181" t="s">
        <v>919</v>
      </c>
      <c r="BC1076" s="181" t="s">
        <v>1871</v>
      </c>
      <c r="BD1076" s="181" t="s">
        <v>1871</v>
      </c>
      <c r="BE1076" s="181" t="s">
        <v>1871</v>
      </c>
      <c r="BF1076" s="181" t="s">
        <v>1871</v>
      </c>
      <c r="BG1076" s="181" t="s">
        <v>1871</v>
      </c>
      <c r="BH1076" s="181" t="s">
        <v>1871</v>
      </c>
      <c r="BI1076" s="181" t="s">
        <v>1871</v>
      </c>
      <c r="BJ1076" s="181" t="s">
        <v>1871</v>
      </c>
      <c r="BK1076" s="181" t="s">
        <v>972</v>
      </c>
      <c r="BL1076" s="181" t="s">
        <v>1871</v>
      </c>
      <c r="BM1076" s="181" t="s">
        <v>1871</v>
      </c>
      <c r="BP1076" s="181" t="s">
        <v>972</v>
      </c>
      <c r="BQ1076" s="181" t="s">
        <v>1871</v>
      </c>
      <c r="BR1076" s="181" t="s">
        <v>1871</v>
      </c>
      <c r="BU1076" s="181" t="s">
        <v>887</v>
      </c>
      <c r="BV1076" s="181" t="s">
        <v>1871</v>
      </c>
      <c r="BW1076" s="181" t="s">
        <v>1871</v>
      </c>
      <c r="DC1076" s="181" t="s">
        <v>1871</v>
      </c>
      <c r="DD1076" s="181" t="s">
        <v>1871</v>
      </c>
      <c r="DE1076" s="181" t="s">
        <v>1338</v>
      </c>
      <c r="DF1076" s="181" t="s">
        <v>901</v>
      </c>
      <c r="DG1076" s="181" t="s">
        <v>1871</v>
      </c>
      <c r="DH1076" s="181" t="s">
        <v>1871</v>
      </c>
      <c r="DI1076" s="181" t="s">
        <v>1871</v>
      </c>
      <c r="DJ1076" s="181" t="s">
        <v>1871</v>
      </c>
      <c r="DL1076" s="181">
        <v>3200000</v>
      </c>
      <c r="DM1076" s="181">
        <v>900000</v>
      </c>
      <c r="DN1076" s="181" t="s">
        <v>972</v>
      </c>
      <c r="DO1076" s="181" t="s">
        <v>1871</v>
      </c>
      <c r="DP1076" s="181" t="s">
        <v>1871</v>
      </c>
      <c r="DS1076" s="181" t="s">
        <v>972</v>
      </c>
      <c r="DT1076" s="181" t="s">
        <v>1871</v>
      </c>
      <c r="DU1076" s="181" t="s">
        <v>1871</v>
      </c>
      <c r="DX1076" s="181" t="s">
        <v>887</v>
      </c>
      <c r="DY1076" s="181" t="s">
        <v>1871</v>
      </c>
      <c r="DZ1076" s="181" t="s">
        <v>1871</v>
      </c>
      <c r="FF1076" s="181" t="s">
        <v>1133</v>
      </c>
      <c r="FG1076" s="181" t="s">
        <v>901</v>
      </c>
      <c r="FH1076" s="181" t="s">
        <v>1871</v>
      </c>
      <c r="FI1076" s="181" t="s">
        <v>1871</v>
      </c>
      <c r="FJ1076" s="181" t="s">
        <v>1871</v>
      </c>
      <c r="FK1076" s="181" t="s">
        <v>1871</v>
      </c>
      <c r="FY1076" s="181" t="s">
        <v>1871</v>
      </c>
      <c r="FZ1076" s="181" t="s">
        <v>1871</v>
      </c>
      <c r="GA1076" s="181" t="s">
        <v>1871</v>
      </c>
      <c r="GB1076" s="181" t="s">
        <v>1871</v>
      </c>
      <c r="GC1076" s="181" t="s">
        <v>1871</v>
      </c>
      <c r="GD1076" s="181" t="s">
        <v>1871</v>
      </c>
      <c r="GR1076" s="181" t="s">
        <v>178</v>
      </c>
      <c r="GS1076" s="181" t="s">
        <v>1871</v>
      </c>
      <c r="GT1076" s="181" t="s">
        <v>1871</v>
      </c>
      <c r="HD1076" s="181" t="s">
        <v>972</v>
      </c>
      <c r="HE1076" s="181" t="s">
        <v>1871</v>
      </c>
      <c r="HF1076" s="181" t="s">
        <v>1871</v>
      </c>
      <c r="HG1076" s="181" t="s">
        <v>748</v>
      </c>
      <c r="HH1076" s="181" t="s">
        <v>1871</v>
      </c>
      <c r="HI1076" s="181" t="s">
        <v>1871</v>
      </c>
      <c r="HL1076" s="181" t="s">
        <v>1670</v>
      </c>
      <c r="HS1076" s="181" t="s">
        <v>3081</v>
      </c>
      <c r="HT1076" s="181" t="s">
        <v>1871</v>
      </c>
      <c r="HU1076" s="181" t="s">
        <v>1871</v>
      </c>
      <c r="HV1076" s="181" t="s">
        <v>3084</v>
      </c>
      <c r="HW1076" s="181" t="s">
        <v>1871</v>
      </c>
      <c r="HX1076" s="181" t="s">
        <v>1871</v>
      </c>
      <c r="HY1076" s="181" t="s">
        <v>1343</v>
      </c>
      <c r="HZ1076" s="181" t="s">
        <v>1871</v>
      </c>
      <c r="IA1076" s="181" t="s">
        <v>1871</v>
      </c>
    </row>
    <row r="1077" spans="1:235">
      <c r="A1077" s="181" t="s">
        <v>239</v>
      </c>
      <c r="B1077" s="181" t="s">
        <v>3053</v>
      </c>
      <c r="C1077" s="181" t="s">
        <v>1131</v>
      </c>
      <c r="D1077" s="181" t="s">
        <v>3065</v>
      </c>
      <c r="E1077" s="181" t="s">
        <v>901</v>
      </c>
      <c r="F1077" s="181" t="s">
        <v>722</v>
      </c>
      <c r="G1077" s="181">
        <v>600000</v>
      </c>
      <c r="V1077" s="181">
        <v>700000</v>
      </c>
      <c r="W1077" s="181">
        <v>10886</v>
      </c>
      <c r="X1077" s="181" t="s">
        <v>1871</v>
      </c>
      <c r="Y1077" s="181" t="s">
        <v>1871</v>
      </c>
      <c r="Z1077" s="181" t="s">
        <v>1871</v>
      </c>
      <c r="AA1077" s="181" t="s">
        <v>1871</v>
      </c>
      <c r="AB1077" s="181" t="s">
        <v>1871</v>
      </c>
      <c r="AC1077" s="181" t="s">
        <v>1871</v>
      </c>
      <c r="AD1077" s="181" t="s">
        <v>1871</v>
      </c>
      <c r="AE1077" s="181" t="s">
        <v>1871</v>
      </c>
      <c r="AL1077" s="181" t="s">
        <v>1871</v>
      </c>
      <c r="AM1077" s="181" t="s">
        <v>1871</v>
      </c>
      <c r="AN1077" s="181" t="s">
        <v>1871</v>
      </c>
      <c r="AO1077" s="181" t="s">
        <v>1871</v>
      </c>
      <c r="AY1077" s="181" t="s">
        <v>1871</v>
      </c>
      <c r="AZ1077" s="181" t="s">
        <v>1871</v>
      </c>
      <c r="BA1077" s="181" t="s">
        <v>1296</v>
      </c>
      <c r="BB1077" s="181" t="s">
        <v>901</v>
      </c>
      <c r="BC1077" s="181" t="s">
        <v>1871</v>
      </c>
      <c r="BD1077" s="181" t="s">
        <v>1871</v>
      </c>
      <c r="BE1077" s="181" t="s">
        <v>1871</v>
      </c>
      <c r="BF1077" s="181" t="s">
        <v>1871</v>
      </c>
      <c r="BG1077" s="181" t="s">
        <v>1871</v>
      </c>
      <c r="BH1077" s="181" t="s">
        <v>1871</v>
      </c>
      <c r="BI1077" s="181" t="s">
        <v>1871</v>
      </c>
      <c r="BJ1077" s="181" t="s">
        <v>1871</v>
      </c>
      <c r="BK1077" s="181" t="s">
        <v>3070</v>
      </c>
      <c r="BL1077" s="181" t="s">
        <v>1871</v>
      </c>
      <c r="BM1077" s="181" t="s">
        <v>1871</v>
      </c>
      <c r="BP1077" s="181" t="s">
        <v>3070</v>
      </c>
      <c r="BQ1077" s="181" t="s">
        <v>1871</v>
      </c>
      <c r="BR1077" s="181" t="s">
        <v>1871</v>
      </c>
      <c r="BU1077" s="181" t="s">
        <v>3073</v>
      </c>
      <c r="BV1077" s="181" t="s">
        <v>1871</v>
      </c>
      <c r="BW1077" s="181" t="s">
        <v>1871</v>
      </c>
      <c r="DC1077" s="181" t="s">
        <v>1871</v>
      </c>
      <c r="DD1077" s="181" t="s">
        <v>1871</v>
      </c>
      <c r="DE1077" s="181" t="s">
        <v>1140</v>
      </c>
      <c r="DF1077" s="181" t="s">
        <v>901</v>
      </c>
      <c r="DG1077" s="181" t="s">
        <v>1871</v>
      </c>
      <c r="DH1077" s="181" t="s">
        <v>1871</v>
      </c>
      <c r="DI1077" s="181" t="s">
        <v>1871</v>
      </c>
      <c r="DJ1077" s="181" t="s">
        <v>1871</v>
      </c>
      <c r="DN1077" s="181" t="s">
        <v>3070</v>
      </c>
      <c r="DO1077" s="181" t="s">
        <v>1871</v>
      </c>
      <c r="DP1077" s="181" t="s">
        <v>1871</v>
      </c>
      <c r="DS1077" s="181" t="s">
        <v>3070</v>
      </c>
      <c r="DT1077" s="181" t="s">
        <v>1871</v>
      </c>
      <c r="DU1077" s="181" t="s">
        <v>1871</v>
      </c>
      <c r="DX1077" s="181" t="s">
        <v>3073</v>
      </c>
      <c r="DY1077" s="181" t="s">
        <v>1871</v>
      </c>
      <c r="DZ1077" s="181" t="s">
        <v>1871</v>
      </c>
      <c r="FF1077" s="181" t="s">
        <v>1132</v>
      </c>
      <c r="FG1077" s="181" t="s">
        <v>1292</v>
      </c>
      <c r="FH1077" s="181" t="s">
        <v>1871</v>
      </c>
      <c r="FI1077" s="181" t="s">
        <v>1871</v>
      </c>
      <c r="FJ1077" s="181" t="s">
        <v>1871</v>
      </c>
      <c r="FK1077" s="181" t="s">
        <v>1871</v>
      </c>
      <c r="FY1077" s="181" t="s">
        <v>1871</v>
      </c>
      <c r="FZ1077" s="181" t="s">
        <v>1871</v>
      </c>
      <c r="GA1077" s="181" t="s">
        <v>1871</v>
      </c>
      <c r="GB1077" s="181" t="s">
        <v>1871</v>
      </c>
      <c r="GC1077" s="181" t="s">
        <v>1871</v>
      </c>
      <c r="GD1077" s="181" t="s">
        <v>1871</v>
      </c>
      <c r="GR1077" s="181" t="s">
        <v>1707</v>
      </c>
      <c r="GS1077" s="181" t="s">
        <v>1871</v>
      </c>
      <c r="GT1077" s="181" t="s">
        <v>1871</v>
      </c>
      <c r="HD1077" s="181" t="s">
        <v>3070</v>
      </c>
      <c r="HE1077" s="181" t="s">
        <v>1871</v>
      </c>
      <c r="HF1077" s="181" t="s">
        <v>1871</v>
      </c>
      <c r="HG1077" s="181" t="s">
        <v>887</v>
      </c>
      <c r="HH1077" s="181" t="s">
        <v>1871</v>
      </c>
      <c r="HI1077" s="181" t="s">
        <v>1871</v>
      </c>
      <c r="HL1077" s="181" t="s">
        <v>2120</v>
      </c>
      <c r="HS1077" s="181" t="s">
        <v>3082</v>
      </c>
      <c r="HT1077" s="181" t="s">
        <v>1871</v>
      </c>
      <c r="HU1077" s="181" t="s">
        <v>1871</v>
      </c>
      <c r="HV1077" s="181" t="s">
        <v>1718</v>
      </c>
      <c r="HW1077" s="181" t="s">
        <v>1871</v>
      </c>
      <c r="HX1077" s="181" t="s">
        <v>1871</v>
      </c>
      <c r="HY1077" s="181" t="s">
        <v>3087</v>
      </c>
      <c r="HZ1077" s="181" t="s">
        <v>1871</v>
      </c>
      <c r="IA1077" s="181" t="s">
        <v>1871</v>
      </c>
    </row>
    <row r="1078" spans="1:235">
      <c r="A1078" s="181" t="s">
        <v>239</v>
      </c>
      <c r="B1078" s="181" t="s">
        <v>3054</v>
      </c>
      <c r="C1078" s="181" t="s">
        <v>3048</v>
      </c>
      <c r="D1078" s="181" t="s">
        <v>3052</v>
      </c>
      <c r="E1078" s="181" t="s">
        <v>1130</v>
      </c>
      <c r="V1078" s="181">
        <v>34000000</v>
      </c>
      <c r="W1078" s="181">
        <v>13478400</v>
      </c>
      <c r="X1078" s="181" t="s">
        <v>1871</v>
      </c>
      <c r="Y1078" s="181" t="s">
        <v>1871</v>
      </c>
      <c r="Z1078" s="181" t="s">
        <v>1871</v>
      </c>
      <c r="AA1078" s="181" t="s">
        <v>1871</v>
      </c>
      <c r="AB1078" s="181" t="s">
        <v>1871</v>
      </c>
      <c r="AC1078" s="181" t="s">
        <v>1871</v>
      </c>
      <c r="AD1078" s="181" t="s">
        <v>1871</v>
      </c>
      <c r="AE1078" s="181" t="s">
        <v>1871</v>
      </c>
      <c r="AL1078" s="181" t="s">
        <v>1871</v>
      </c>
      <c r="AM1078" s="181" t="s">
        <v>1871</v>
      </c>
      <c r="AN1078" s="181" t="s">
        <v>1871</v>
      </c>
      <c r="AO1078" s="181" t="s">
        <v>1871</v>
      </c>
      <c r="AY1078" s="181" t="s">
        <v>1871</v>
      </c>
      <c r="AZ1078" s="181" t="s">
        <v>1871</v>
      </c>
      <c r="BA1078" s="181" t="s">
        <v>3069</v>
      </c>
      <c r="BB1078" s="181" t="s">
        <v>666</v>
      </c>
      <c r="BC1078" s="181" t="s">
        <v>1871</v>
      </c>
      <c r="BD1078" s="181" t="s">
        <v>1871</v>
      </c>
      <c r="BE1078" s="181" t="s">
        <v>1871</v>
      </c>
      <c r="BF1078" s="181" t="s">
        <v>1871</v>
      </c>
      <c r="BG1078" s="181" t="s">
        <v>1871</v>
      </c>
      <c r="BH1078" s="181" t="s">
        <v>1871</v>
      </c>
      <c r="BI1078" s="181" t="s">
        <v>1871</v>
      </c>
      <c r="BJ1078" s="181" t="s">
        <v>1871</v>
      </c>
      <c r="BK1078" s="181" t="s">
        <v>3071</v>
      </c>
      <c r="BL1078" s="181" t="s">
        <v>1871</v>
      </c>
      <c r="BM1078" s="181" t="s">
        <v>1871</v>
      </c>
      <c r="BP1078" s="181" t="s">
        <v>3071</v>
      </c>
      <c r="BQ1078" s="181" t="s">
        <v>1871</v>
      </c>
      <c r="BR1078" s="181" t="s">
        <v>1871</v>
      </c>
      <c r="BU1078" s="181" t="s">
        <v>1196</v>
      </c>
      <c r="BV1078" s="181" t="s">
        <v>1871</v>
      </c>
      <c r="BW1078" s="181" t="s">
        <v>1871</v>
      </c>
      <c r="DC1078" s="181" t="s">
        <v>1871</v>
      </c>
      <c r="DD1078" s="181" t="s">
        <v>1871</v>
      </c>
      <c r="DE1078" s="181" t="s">
        <v>1141</v>
      </c>
      <c r="DF1078" s="181" t="s">
        <v>919</v>
      </c>
      <c r="DG1078" s="181" t="s">
        <v>1871</v>
      </c>
      <c r="DH1078" s="181" t="s">
        <v>1871</v>
      </c>
      <c r="DI1078" s="181" t="s">
        <v>1871</v>
      </c>
      <c r="DJ1078" s="181" t="s">
        <v>1871</v>
      </c>
      <c r="DN1078" s="181" t="s">
        <v>333</v>
      </c>
      <c r="DO1078" s="181" t="s">
        <v>1871</v>
      </c>
      <c r="DP1078" s="181" t="s">
        <v>1871</v>
      </c>
      <c r="DS1078" s="181" t="s">
        <v>333</v>
      </c>
      <c r="DT1078" s="181" t="s">
        <v>1871</v>
      </c>
      <c r="DU1078" s="181" t="s">
        <v>1871</v>
      </c>
      <c r="DX1078" s="181" t="s">
        <v>1196</v>
      </c>
      <c r="DY1078" s="181" t="s">
        <v>1871</v>
      </c>
      <c r="DZ1078" s="181" t="s">
        <v>1871</v>
      </c>
      <c r="FF1078" s="181" t="s">
        <v>333</v>
      </c>
      <c r="FG1078" s="181" t="s">
        <v>901</v>
      </c>
      <c r="FH1078" s="181" t="s">
        <v>1871</v>
      </c>
      <c r="FI1078" s="181" t="s">
        <v>1871</v>
      </c>
      <c r="FJ1078" s="181" t="s">
        <v>1871</v>
      </c>
      <c r="FK1078" s="181" t="s">
        <v>1871</v>
      </c>
      <c r="FY1078" s="181" t="s">
        <v>1871</v>
      </c>
      <c r="FZ1078" s="181" t="s">
        <v>1871</v>
      </c>
      <c r="GA1078" s="181" t="s">
        <v>1871</v>
      </c>
      <c r="GB1078" s="181" t="s">
        <v>1871</v>
      </c>
      <c r="GC1078" s="181" t="s">
        <v>1871</v>
      </c>
      <c r="GD1078" s="181" t="s">
        <v>1871</v>
      </c>
      <c r="GR1078" s="181" t="s">
        <v>175</v>
      </c>
      <c r="GS1078" s="181" t="s">
        <v>1871</v>
      </c>
      <c r="GT1078" s="181" t="s">
        <v>1871</v>
      </c>
      <c r="HD1078" s="181" t="s">
        <v>333</v>
      </c>
      <c r="HE1078" s="181" t="s">
        <v>1871</v>
      </c>
      <c r="HF1078" s="181" t="s">
        <v>1871</v>
      </c>
      <c r="HG1078" s="181" t="s">
        <v>1119</v>
      </c>
      <c r="HH1078" s="181" t="s">
        <v>1871</v>
      </c>
      <c r="HI1078" s="181" t="s">
        <v>1871</v>
      </c>
      <c r="HL1078" s="181" t="s">
        <v>1742</v>
      </c>
      <c r="HS1078" s="181" t="s">
        <v>3083</v>
      </c>
      <c r="HT1078" s="181" t="s">
        <v>1871</v>
      </c>
      <c r="HU1078" s="181" t="s">
        <v>1871</v>
      </c>
      <c r="HV1078" s="181" t="s">
        <v>3085</v>
      </c>
      <c r="HW1078" s="181" t="s">
        <v>1871</v>
      </c>
      <c r="HX1078" s="181" t="s">
        <v>1871</v>
      </c>
      <c r="HY1078" s="181" t="s">
        <v>333</v>
      </c>
      <c r="HZ1078" s="181" t="s">
        <v>1871</v>
      </c>
      <c r="IA1078" s="181" t="s">
        <v>1871</v>
      </c>
    </row>
    <row r="1079" spans="1:235">
      <c r="A1079" s="181" t="s">
        <v>239</v>
      </c>
      <c r="B1079" s="181" t="s">
        <v>3055</v>
      </c>
      <c r="C1079" s="181" t="s">
        <v>475</v>
      </c>
      <c r="V1079" s="181">
        <v>38000</v>
      </c>
      <c r="W1079" s="181">
        <v>35000</v>
      </c>
      <c r="X1079" s="181" t="s">
        <v>1871</v>
      </c>
      <c r="Y1079" s="181" t="s">
        <v>1871</v>
      </c>
      <c r="Z1079" s="181" t="s">
        <v>1871</v>
      </c>
      <c r="AA1079" s="181" t="s">
        <v>1871</v>
      </c>
      <c r="AY1079" s="181" t="s">
        <v>1871</v>
      </c>
      <c r="AZ1079" s="181" t="s">
        <v>1871</v>
      </c>
      <c r="BK1079" s="181" t="s">
        <v>333</v>
      </c>
      <c r="BL1079" s="181" t="s">
        <v>1871</v>
      </c>
      <c r="BM1079" s="181" t="s">
        <v>1871</v>
      </c>
      <c r="BP1079" s="181" t="s">
        <v>333</v>
      </c>
      <c r="BQ1079" s="181" t="s">
        <v>1871</v>
      </c>
      <c r="BR1079" s="181" t="s">
        <v>1871</v>
      </c>
      <c r="BU1079" s="181" t="s">
        <v>3074</v>
      </c>
      <c r="BV1079" s="181" t="s">
        <v>1871</v>
      </c>
      <c r="BW1079" s="181" t="s">
        <v>1871</v>
      </c>
      <c r="DX1079" s="181" t="s">
        <v>3074</v>
      </c>
      <c r="DY1079" s="181" t="s">
        <v>1871</v>
      </c>
      <c r="DZ1079" s="181" t="s">
        <v>1871</v>
      </c>
      <c r="GR1079" s="181" t="s">
        <v>871</v>
      </c>
      <c r="GS1079" s="181" t="s">
        <v>1871</v>
      </c>
      <c r="GT1079" s="181" t="s">
        <v>1871</v>
      </c>
      <c r="HG1079" s="181" t="s">
        <v>3076</v>
      </c>
      <c r="HH1079" s="181" t="s">
        <v>1871</v>
      </c>
      <c r="HI1079" s="181" t="s">
        <v>1871</v>
      </c>
      <c r="HL1079" s="181" t="s">
        <v>917</v>
      </c>
      <c r="HS1079" s="181" t="s">
        <v>3080</v>
      </c>
      <c r="HT1079" s="181" t="s">
        <v>1871</v>
      </c>
      <c r="HU1079" s="181" t="s">
        <v>1871</v>
      </c>
      <c r="HY1079" s="181" t="s">
        <v>3088</v>
      </c>
      <c r="HZ1079" s="181" t="s">
        <v>1871</v>
      </c>
      <c r="IA1079" s="181" t="s">
        <v>1871</v>
      </c>
    </row>
    <row r="1080" spans="1:235">
      <c r="A1080" s="181" t="s">
        <v>239</v>
      </c>
      <c r="B1080" s="181" t="s">
        <v>3056</v>
      </c>
      <c r="C1080" s="181" t="s">
        <v>475</v>
      </c>
      <c r="V1080" s="181">
        <v>4000</v>
      </c>
      <c r="W1080" s="181">
        <v>2000</v>
      </c>
      <c r="X1080" s="181" t="s">
        <v>1871</v>
      </c>
      <c r="Y1080" s="181" t="s">
        <v>1871</v>
      </c>
      <c r="Z1080" s="181" t="s">
        <v>1871</v>
      </c>
      <c r="AA1080" s="181" t="s">
        <v>1871</v>
      </c>
      <c r="AY1080" s="181" t="s">
        <v>1871</v>
      </c>
      <c r="AZ1080" s="181" t="s">
        <v>1871</v>
      </c>
      <c r="BU1080" s="181" t="s">
        <v>890</v>
      </c>
      <c r="BV1080" s="181" t="s">
        <v>1871</v>
      </c>
      <c r="BW1080" s="181" t="s">
        <v>1871</v>
      </c>
      <c r="DX1080" s="181" t="s">
        <v>890</v>
      </c>
      <c r="DY1080" s="181" t="s">
        <v>1871</v>
      </c>
      <c r="DZ1080" s="181" t="s">
        <v>1871</v>
      </c>
      <c r="GR1080" s="181" t="s">
        <v>871</v>
      </c>
      <c r="GS1080" s="181" t="s">
        <v>1871</v>
      </c>
      <c r="GT1080" s="181" t="s">
        <v>1871</v>
      </c>
      <c r="HG1080" s="181" t="s">
        <v>3077</v>
      </c>
      <c r="HH1080" s="181" t="s">
        <v>1871</v>
      </c>
      <c r="HI1080" s="181" t="s">
        <v>1871</v>
      </c>
      <c r="HL1080" s="181" t="s">
        <v>894</v>
      </c>
      <c r="HS1080" s="181" t="s">
        <v>333</v>
      </c>
      <c r="HT1080" s="181" t="s">
        <v>1871</v>
      </c>
      <c r="HU1080" s="181" t="s">
        <v>1871</v>
      </c>
      <c r="HY1080" s="181" t="s">
        <v>3089</v>
      </c>
      <c r="HZ1080" s="181" t="s">
        <v>1871</v>
      </c>
      <c r="IA1080" s="181" t="s">
        <v>1871</v>
      </c>
    </row>
    <row r="1081" spans="1:235">
      <c r="A1081" s="181" t="s">
        <v>239</v>
      </c>
      <c r="B1081" s="181" t="s">
        <v>3057</v>
      </c>
      <c r="C1081" s="181" t="s">
        <v>475</v>
      </c>
      <c r="V1081" s="181">
        <v>38000</v>
      </c>
      <c r="X1081" s="181" t="s">
        <v>1871</v>
      </c>
      <c r="Y1081" s="181" t="s">
        <v>1871</v>
      </c>
      <c r="Z1081" s="181" t="s">
        <v>1871</v>
      </c>
      <c r="AA1081" s="181" t="s">
        <v>1871</v>
      </c>
      <c r="AY1081" s="181" t="s">
        <v>1871</v>
      </c>
      <c r="AZ1081" s="181" t="s">
        <v>1871</v>
      </c>
      <c r="BU1081" s="181" t="s">
        <v>3075</v>
      </c>
      <c r="BV1081" s="181" t="s">
        <v>1871</v>
      </c>
      <c r="BW1081" s="181" t="s">
        <v>1871</v>
      </c>
      <c r="DX1081" s="181" t="s">
        <v>3075</v>
      </c>
      <c r="DY1081" s="181" t="s">
        <v>1871</v>
      </c>
      <c r="DZ1081" s="181" t="s">
        <v>1871</v>
      </c>
      <c r="GR1081" s="181" t="s">
        <v>871</v>
      </c>
      <c r="GS1081" s="181" t="s">
        <v>1871</v>
      </c>
      <c r="GT1081" s="181" t="s">
        <v>1871</v>
      </c>
      <c r="HG1081" s="181" t="s">
        <v>1339</v>
      </c>
      <c r="HH1081" s="181" t="s">
        <v>1871</v>
      </c>
      <c r="HI1081" s="181" t="s">
        <v>1871</v>
      </c>
      <c r="HL1081" s="181" t="s">
        <v>2125</v>
      </c>
      <c r="HS1081" s="181" t="s">
        <v>333</v>
      </c>
      <c r="HT1081" s="181" t="s">
        <v>1871</v>
      </c>
      <c r="HU1081" s="181" t="s">
        <v>1871</v>
      </c>
      <c r="HY1081" s="181" t="s">
        <v>969</v>
      </c>
      <c r="HZ1081" s="181" t="s">
        <v>1871</v>
      </c>
      <c r="IA1081" s="181" t="s">
        <v>1871</v>
      </c>
    </row>
    <row r="1082" spans="1:235">
      <c r="A1082" s="181" t="s">
        <v>239</v>
      </c>
      <c r="B1082" s="181" t="s">
        <v>3058</v>
      </c>
      <c r="C1082" s="181" t="s">
        <v>475</v>
      </c>
      <c r="X1082" s="181" t="s">
        <v>1871</v>
      </c>
      <c r="Y1082" s="181" t="s">
        <v>1871</v>
      </c>
      <c r="Z1082" s="181" t="s">
        <v>1871</v>
      </c>
      <c r="AA1082" s="181" t="s">
        <v>1871</v>
      </c>
      <c r="AY1082" s="181" t="s">
        <v>1871</v>
      </c>
      <c r="AZ1082" s="181" t="s">
        <v>1871</v>
      </c>
      <c r="BU1082" s="181" t="s">
        <v>1336</v>
      </c>
      <c r="BV1082" s="181" t="s">
        <v>1871</v>
      </c>
      <c r="BW1082" s="181" t="s">
        <v>1871</v>
      </c>
      <c r="DX1082" s="181" t="s">
        <v>1336</v>
      </c>
      <c r="DY1082" s="181" t="s">
        <v>1871</v>
      </c>
      <c r="DZ1082" s="181" t="s">
        <v>1871</v>
      </c>
      <c r="GR1082" s="181" t="s">
        <v>871</v>
      </c>
      <c r="GS1082" s="181" t="s">
        <v>1871</v>
      </c>
      <c r="GT1082" s="181" t="s">
        <v>1871</v>
      </c>
      <c r="HG1082" s="181" t="s">
        <v>1340</v>
      </c>
      <c r="HH1082" s="181" t="s">
        <v>1871</v>
      </c>
      <c r="HI1082" s="181" t="s">
        <v>1871</v>
      </c>
      <c r="HL1082" s="181" t="s">
        <v>2121</v>
      </c>
      <c r="HY1082" s="181" t="s">
        <v>3090</v>
      </c>
      <c r="HZ1082" s="181" t="s">
        <v>1871</v>
      </c>
      <c r="IA1082" s="181" t="s">
        <v>1871</v>
      </c>
    </row>
    <row r="1083" spans="1:235">
      <c r="A1083" s="181" t="s">
        <v>239</v>
      </c>
      <c r="B1083" s="181" t="s">
        <v>3059</v>
      </c>
      <c r="C1083" s="181" t="s">
        <v>1130</v>
      </c>
      <c r="X1083" s="181" t="s">
        <v>1871</v>
      </c>
      <c r="Y1083" s="181" t="s">
        <v>1871</v>
      </c>
      <c r="Z1083" s="181" t="s">
        <v>1871</v>
      </c>
      <c r="AA1083" s="181" t="s">
        <v>1871</v>
      </c>
      <c r="AY1083" s="181" t="s">
        <v>1871</v>
      </c>
      <c r="AZ1083" s="181" t="s">
        <v>1871</v>
      </c>
      <c r="BU1083" s="181" t="s">
        <v>1337</v>
      </c>
      <c r="BV1083" s="181" t="s">
        <v>1871</v>
      </c>
      <c r="BW1083" s="181" t="s">
        <v>1871</v>
      </c>
      <c r="DX1083" s="181" t="s">
        <v>1337</v>
      </c>
      <c r="DY1083" s="181" t="s">
        <v>1871</v>
      </c>
      <c r="DZ1083" s="181" t="s">
        <v>1871</v>
      </c>
      <c r="GR1083" s="181" t="s">
        <v>871</v>
      </c>
      <c r="GS1083" s="181" t="s">
        <v>1871</v>
      </c>
      <c r="GT1083" s="181" t="s">
        <v>1871</v>
      </c>
      <c r="HG1083" s="181" t="s">
        <v>483</v>
      </c>
      <c r="HH1083" s="181" t="s">
        <v>1871</v>
      </c>
      <c r="HI1083" s="181" t="s">
        <v>1871</v>
      </c>
    </row>
    <row r="1084" spans="1:235">
      <c r="A1084" s="181" t="s">
        <v>239</v>
      </c>
      <c r="B1084" s="181" t="s">
        <v>3060</v>
      </c>
      <c r="C1084" s="181" t="s">
        <v>1130</v>
      </c>
      <c r="X1084" s="181" t="s">
        <v>1871</v>
      </c>
      <c r="Y1084" s="181" t="s">
        <v>1871</v>
      </c>
      <c r="Z1084" s="181" t="s">
        <v>1871</v>
      </c>
      <c r="AA1084" s="181" t="s">
        <v>1871</v>
      </c>
      <c r="AY1084" s="181" t="s">
        <v>1871</v>
      </c>
      <c r="AZ1084" s="181" t="s">
        <v>1871</v>
      </c>
      <c r="BU1084" s="181" t="s">
        <v>333</v>
      </c>
      <c r="BV1084" s="181" t="s">
        <v>1871</v>
      </c>
      <c r="BW1084" s="181" t="s">
        <v>1871</v>
      </c>
      <c r="DX1084" s="181" t="s">
        <v>333</v>
      </c>
      <c r="DY1084" s="181" t="s">
        <v>1871</v>
      </c>
      <c r="DZ1084" s="181" t="s">
        <v>1871</v>
      </c>
      <c r="GR1084" s="181" t="s">
        <v>871</v>
      </c>
      <c r="GS1084" s="181" t="s">
        <v>1871</v>
      </c>
      <c r="GT1084" s="181" t="s">
        <v>1871</v>
      </c>
      <c r="HG1084" s="181" t="s">
        <v>929</v>
      </c>
      <c r="HH1084" s="181" t="s">
        <v>1871</v>
      </c>
      <c r="HI1084" s="181" t="s">
        <v>1871</v>
      </c>
    </row>
    <row r="1085" spans="1:235">
      <c r="A1085" s="181" t="s">
        <v>239</v>
      </c>
      <c r="GR1085" s="181" t="s">
        <v>871</v>
      </c>
      <c r="GS1085" s="181" t="s">
        <v>1871</v>
      </c>
      <c r="GT1085" s="181" t="s">
        <v>1871</v>
      </c>
      <c r="HG1085" s="181" t="s">
        <v>3078</v>
      </c>
      <c r="HH1085" s="181" t="s">
        <v>1871</v>
      </c>
      <c r="HI1085" s="181" t="s">
        <v>1871</v>
      </c>
    </row>
    <row r="1086" spans="1:235">
      <c r="A1086" s="181" t="s">
        <v>239</v>
      </c>
      <c r="GR1086" s="181" t="s">
        <v>871</v>
      </c>
      <c r="GS1086" s="181" t="s">
        <v>1871</v>
      </c>
      <c r="GT1086" s="181" t="s">
        <v>1871</v>
      </c>
      <c r="HG1086" s="181" t="s">
        <v>916</v>
      </c>
      <c r="HH1086" s="181" t="s">
        <v>1871</v>
      </c>
      <c r="HI1086" s="181" t="s">
        <v>1871</v>
      </c>
    </row>
    <row r="1087" spans="1:235">
      <c r="A1087" s="181" t="s">
        <v>239</v>
      </c>
      <c r="GR1087" s="181" t="s">
        <v>871</v>
      </c>
      <c r="GS1087" s="181" t="s">
        <v>1871</v>
      </c>
      <c r="GT1087" s="181" t="s">
        <v>1871</v>
      </c>
      <c r="HG1087" s="181" t="s">
        <v>654</v>
      </c>
      <c r="HH1087" s="181" t="s">
        <v>1871</v>
      </c>
      <c r="HI1087" s="181" t="s">
        <v>1871</v>
      </c>
    </row>
    <row r="1088" spans="1:235">
      <c r="A1088" s="181" t="s">
        <v>239</v>
      </c>
      <c r="GR1088" s="181" t="s">
        <v>872</v>
      </c>
      <c r="GS1088" s="181" t="s">
        <v>1871</v>
      </c>
      <c r="GT1088" s="181" t="s">
        <v>1871</v>
      </c>
      <c r="HG1088" s="181" t="s">
        <v>333</v>
      </c>
      <c r="HH1088" s="181" t="s">
        <v>1871</v>
      </c>
      <c r="HI1088" s="181" t="s">
        <v>1871</v>
      </c>
    </row>
    <row r="1089" spans="1:202">
      <c r="A1089" s="181" t="s">
        <v>239</v>
      </c>
      <c r="GR1089" s="181" t="s">
        <v>873</v>
      </c>
      <c r="GS1089" s="181" t="s">
        <v>1871</v>
      </c>
      <c r="GT1089" s="181" t="s">
        <v>1871</v>
      </c>
    </row>
    <row r="1090" spans="1:202">
      <c r="A1090" s="181" t="s">
        <v>239</v>
      </c>
      <c r="GR1090" s="181" t="s">
        <v>873</v>
      </c>
      <c r="GS1090" s="181" t="s">
        <v>1871</v>
      </c>
      <c r="GT1090" s="181" t="s">
        <v>1871</v>
      </c>
    </row>
    <row r="1091" spans="1:202">
      <c r="A1091" s="181" t="s">
        <v>239</v>
      </c>
      <c r="GR1091" s="181" t="s">
        <v>873</v>
      </c>
      <c r="GS1091" s="181" t="s">
        <v>1871</v>
      </c>
      <c r="GT1091" s="181" t="s">
        <v>1871</v>
      </c>
    </row>
    <row r="1092" spans="1:202">
      <c r="A1092" s="181" t="s">
        <v>239</v>
      </c>
      <c r="GR1092" s="181" t="s">
        <v>873</v>
      </c>
      <c r="GS1092" s="181" t="s">
        <v>1871</v>
      </c>
      <c r="GT1092" s="181" t="s">
        <v>1871</v>
      </c>
    </row>
    <row r="1093" spans="1:202">
      <c r="A1093" s="181" t="s">
        <v>239</v>
      </c>
      <c r="GR1093" s="181" t="s">
        <v>308</v>
      </c>
      <c r="GS1093" s="181" t="s">
        <v>1871</v>
      </c>
      <c r="GT1093" s="181" t="s">
        <v>1871</v>
      </c>
    </row>
    <row r="1094" spans="1:202">
      <c r="A1094" s="181" t="s">
        <v>239</v>
      </c>
      <c r="GR1094" s="181" t="s">
        <v>874</v>
      </c>
      <c r="GS1094" s="181" t="s">
        <v>1871</v>
      </c>
      <c r="GT1094" s="181" t="s">
        <v>1871</v>
      </c>
    </row>
    <row r="1095" spans="1:202">
      <c r="A1095" s="181" t="s">
        <v>239</v>
      </c>
      <c r="GR1095" s="181" t="s">
        <v>874</v>
      </c>
      <c r="GS1095" s="181" t="s">
        <v>1871</v>
      </c>
      <c r="GT1095" s="181" t="s">
        <v>1871</v>
      </c>
    </row>
    <row r="1096" spans="1:202">
      <c r="A1096" s="181" t="s">
        <v>239</v>
      </c>
      <c r="GR1096" s="181" t="s">
        <v>874</v>
      </c>
      <c r="GS1096" s="181" t="s">
        <v>1871</v>
      </c>
      <c r="GT1096" s="181" t="s">
        <v>1871</v>
      </c>
    </row>
    <row r="1097" spans="1:202">
      <c r="A1097" s="181" t="s">
        <v>239</v>
      </c>
      <c r="GR1097" s="181" t="s">
        <v>874</v>
      </c>
      <c r="GS1097" s="181" t="s">
        <v>1871</v>
      </c>
      <c r="GT1097" s="181" t="s">
        <v>1871</v>
      </c>
    </row>
    <row r="1098" spans="1:202">
      <c r="A1098" s="181" t="s">
        <v>239</v>
      </c>
      <c r="GR1098" s="181">
        <v>0</v>
      </c>
      <c r="GS1098" s="181" t="s">
        <v>1871</v>
      </c>
      <c r="GT1098" s="181" t="s">
        <v>1871</v>
      </c>
    </row>
    <row r="1099" spans="1:202">
      <c r="A1099" s="181" t="s">
        <v>239</v>
      </c>
      <c r="GR1099" s="181">
        <v>0</v>
      </c>
      <c r="GS1099" s="181" t="s">
        <v>1871</v>
      </c>
      <c r="GT1099" s="181" t="s">
        <v>1871</v>
      </c>
    </row>
    <row r="1100" spans="1:202">
      <c r="A1100" s="181" t="s">
        <v>239</v>
      </c>
      <c r="GR1100" s="181">
        <v>0</v>
      </c>
      <c r="GS1100" s="181" t="s">
        <v>1871</v>
      </c>
      <c r="GT1100" s="181" t="s">
        <v>1871</v>
      </c>
    </row>
    <row r="1101" spans="1:202">
      <c r="A1101" s="181" t="s">
        <v>239</v>
      </c>
      <c r="GR1101" s="181">
        <v>0</v>
      </c>
      <c r="GS1101" s="181" t="s">
        <v>1871</v>
      </c>
      <c r="GT1101" s="181" t="s">
        <v>1871</v>
      </c>
    </row>
    <row r="1102" spans="1:202">
      <c r="A1102" s="181" t="s">
        <v>239</v>
      </c>
      <c r="GR1102" s="181">
        <v>0</v>
      </c>
      <c r="GS1102" s="181" t="s">
        <v>1871</v>
      </c>
      <c r="GT1102" s="181" t="s">
        <v>1871</v>
      </c>
    </row>
    <row r="1103" spans="1:202">
      <c r="A1103" s="181" t="s">
        <v>239</v>
      </c>
      <c r="GR1103" s="181">
        <v>0</v>
      </c>
      <c r="GS1103" s="181" t="s">
        <v>1871</v>
      </c>
      <c r="GT1103" s="181" t="s">
        <v>1871</v>
      </c>
    </row>
    <row r="1104" spans="1:202">
      <c r="A1104" s="181" t="s">
        <v>239</v>
      </c>
      <c r="GR1104" s="181">
        <v>0</v>
      </c>
      <c r="GS1104" s="181" t="s">
        <v>1871</v>
      </c>
      <c r="GT1104" s="181" t="s">
        <v>1871</v>
      </c>
    </row>
    <row r="1105" spans="1:202">
      <c r="A1105" s="181" t="s">
        <v>239</v>
      </c>
      <c r="GR1105" s="181">
        <v>0</v>
      </c>
      <c r="GS1105" s="181" t="s">
        <v>1871</v>
      </c>
      <c r="GT1105" s="181" t="s">
        <v>1871</v>
      </c>
    </row>
    <row r="1106" spans="1:202">
      <c r="A1106" s="181" t="s">
        <v>239</v>
      </c>
      <c r="GR1106" s="181">
        <v>0</v>
      </c>
      <c r="GS1106" s="181" t="s">
        <v>1871</v>
      </c>
      <c r="GT1106" s="181" t="s">
        <v>1871</v>
      </c>
    </row>
    <row r="1107" spans="1:202">
      <c r="A1107" s="181" t="s">
        <v>239</v>
      </c>
      <c r="GR1107" s="181">
        <v>0</v>
      </c>
      <c r="GS1107" s="181" t="s">
        <v>1871</v>
      </c>
      <c r="GT1107" s="181" t="s">
        <v>1871</v>
      </c>
    </row>
    <row r="1108" spans="1:202">
      <c r="A1108" s="181" t="s">
        <v>239</v>
      </c>
      <c r="GR1108" s="181">
        <v>0</v>
      </c>
      <c r="GS1108" s="181" t="s">
        <v>1871</v>
      </c>
      <c r="GT1108" s="181" t="s">
        <v>1871</v>
      </c>
    </row>
    <row r="1109" spans="1:202">
      <c r="A1109" s="181" t="s">
        <v>239</v>
      </c>
      <c r="GR1109" s="181">
        <v>0</v>
      </c>
      <c r="GS1109" s="181" t="s">
        <v>1871</v>
      </c>
      <c r="GT1109" s="181" t="s">
        <v>1871</v>
      </c>
    </row>
    <row r="1110" spans="1:202">
      <c r="A1110" s="181" t="s">
        <v>239</v>
      </c>
      <c r="GR1110" s="181">
        <v>0</v>
      </c>
      <c r="GS1110" s="181" t="s">
        <v>1871</v>
      </c>
      <c r="GT1110" s="181" t="s">
        <v>1871</v>
      </c>
    </row>
    <row r="1111" spans="1:202">
      <c r="A1111" s="181" t="s">
        <v>239</v>
      </c>
      <c r="GR1111" s="181">
        <v>0</v>
      </c>
      <c r="GS1111" s="181" t="s">
        <v>1871</v>
      </c>
      <c r="GT1111" s="181" t="s">
        <v>1871</v>
      </c>
    </row>
    <row r="1112" spans="1:202">
      <c r="A1112" s="181" t="s">
        <v>239</v>
      </c>
      <c r="GR1112" s="181">
        <v>0</v>
      </c>
      <c r="GS1112" s="181" t="s">
        <v>1871</v>
      </c>
      <c r="GT1112" s="181" t="s">
        <v>1871</v>
      </c>
    </row>
    <row r="1113" spans="1:202">
      <c r="A1113" s="181" t="s">
        <v>239</v>
      </c>
      <c r="GR1113" s="181" t="s">
        <v>309</v>
      </c>
      <c r="GS1113" s="181" t="s">
        <v>1871</v>
      </c>
      <c r="GT1113" s="181" t="s">
        <v>1871</v>
      </c>
    </row>
    <row r="1114" spans="1:202">
      <c r="A1114" s="181" t="s">
        <v>239</v>
      </c>
      <c r="GR1114" s="181" t="s">
        <v>309</v>
      </c>
      <c r="GS1114" s="181" t="s">
        <v>1871</v>
      </c>
      <c r="GT1114" s="181" t="s">
        <v>1871</v>
      </c>
    </row>
    <row r="1115" spans="1:202">
      <c r="A1115" s="181" t="s">
        <v>239</v>
      </c>
      <c r="GR1115" s="181" t="s">
        <v>309</v>
      </c>
      <c r="GS1115" s="181" t="s">
        <v>1871</v>
      </c>
      <c r="GT1115" s="181" t="s">
        <v>1871</v>
      </c>
    </row>
    <row r="1116" spans="1:202">
      <c r="A1116" s="181" t="s">
        <v>239</v>
      </c>
      <c r="GS1116" s="181" t="s">
        <v>1871</v>
      </c>
      <c r="GT1116" s="181" t="s">
        <v>1871</v>
      </c>
    </row>
    <row r="1117" spans="1:202">
      <c r="A1117" s="181" t="s">
        <v>239</v>
      </c>
      <c r="GR1117" s="181" t="s">
        <v>875</v>
      </c>
      <c r="GS1117" s="181" t="s">
        <v>1871</v>
      </c>
      <c r="GT1117" s="181" t="s">
        <v>1871</v>
      </c>
    </row>
    <row r="1118" spans="1:202">
      <c r="A1118" s="181" t="s">
        <v>239</v>
      </c>
      <c r="GR1118" s="181" t="s">
        <v>875</v>
      </c>
      <c r="GS1118" s="181" t="s">
        <v>1871</v>
      </c>
      <c r="GT1118" s="181" t="s">
        <v>1871</v>
      </c>
    </row>
    <row r="1119" spans="1:202">
      <c r="A1119" s="181" t="s">
        <v>239</v>
      </c>
      <c r="GR1119" s="181" t="s">
        <v>875</v>
      </c>
      <c r="GS1119" s="181" t="s">
        <v>1871</v>
      </c>
      <c r="GT1119" s="181" t="s">
        <v>1871</v>
      </c>
    </row>
    <row r="1120" spans="1:202">
      <c r="A1120" s="181" t="s">
        <v>239</v>
      </c>
      <c r="GR1120" s="181" t="s">
        <v>875</v>
      </c>
      <c r="GS1120" s="181" t="s">
        <v>1871</v>
      </c>
      <c r="GT1120" s="181" t="s">
        <v>1871</v>
      </c>
    </row>
    <row r="1121" spans="1:202">
      <c r="A1121" s="181" t="s">
        <v>239</v>
      </c>
      <c r="GR1121" s="181" t="s">
        <v>875</v>
      </c>
      <c r="GS1121" s="181" t="s">
        <v>1871</v>
      </c>
      <c r="GT1121" s="181" t="s">
        <v>1871</v>
      </c>
    </row>
    <row r="1122" spans="1:202">
      <c r="A1122" s="181" t="s">
        <v>239</v>
      </c>
      <c r="GR1122" s="181" t="s">
        <v>875</v>
      </c>
      <c r="GS1122" s="181" t="s">
        <v>1871</v>
      </c>
      <c r="GT1122" s="181" t="s">
        <v>1871</v>
      </c>
    </row>
    <row r="1123" spans="1:202">
      <c r="A1123" s="181" t="s">
        <v>239</v>
      </c>
      <c r="GR1123" s="181" t="s">
        <v>310</v>
      </c>
      <c r="GS1123" s="181" t="s">
        <v>1871</v>
      </c>
      <c r="GT1123" s="181" t="s">
        <v>1871</v>
      </c>
    </row>
    <row r="1124" spans="1:202">
      <c r="A1124" s="181" t="s">
        <v>239</v>
      </c>
      <c r="GR1124" s="181" t="s">
        <v>310</v>
      </c>
      <c r="GS1124" s="181" t="s">
        <v>1871</v>
      </c>
      <c r="GT1124" s="181" t="s">
        <v>1871</v>
      </c>
    </row>
    <row r="1125" spans="1:202">
      <c r="A1125" s="181" t="s">
        <v>239</v>
      </c>
      <c r="GR1125" s="181" t="s">
        <v>310</v>
      </c>
      <c r="GS1125" s="181" t="s">
        <v>1871</v>
      </c>
      <c r="GT1125" s="181" t="s">
        <v>1871</v>
      </c>
    </row>
    <row r="1126" spans="1:202">
      <c r="A1126" s="181" t="s">
        <v>239</v>
      </c>
      <c r="GR1126" s="181" t="s">
        <v>310</v>
      </c>
      <c r="GS1126" s="181" t="s">
        <v>1871</v>
      </c>
      <c r="GT1126" s="181" t="s">
        <v>1871</v>
      </c>
    </row>
    <row r="1127" spans="1:202">
      <c r="A1127" s="181" t="s">
        <v>239</v>
      </c>
      <c r="GR1127" s="181" t="s">
        <v>876</v>
      </c>
      <c r="GS1127" s="181" t="s">
        <v>1871</v>
      </c>
      <c r="GT1127" s="181" t="s">
        <v>1871</v>
      </c>
    </row>
    <row r="1128" spans="1:202">
      <c r="A1128" s="181" t="s">
        <v>239</v>
      </c>
      <c r="GR1128" s="181" t="s">
        <v>876</v>
      </c>
      <c r="GS1128" s="181" t="s">
        <v>1871</v>
      </c>
      <c r="GT1128" s="181" t="s">
        <v>1871</v>
      </c>
    </row>
    <row r="1129" spans="1:202">
      <c r="A1129" s="181" t="s">
        <v>239</v>
      </c>
      <c r="GR1129" s="181" t="s">
        <v>876</v>
      </c>
      <c r="GS1129" s="181" t="s">
        <v>1871</v>
      </c>
      <c r="GT1129" s="181" t="s">
        <v>1871</v>
      </c>
    </row>
    <row r="1130" spans="1:202">
      <c r="A1130" s="181" t="s">
        <v>239</v>
      </c>
      <c r="GR1130" s="181" t="s">
        <v>876</v>
      </c>
      <c r="GS1130" s="181" t="s">
        <v>1871</v>
      </c>
      <c r="GT1130" s="181" t="s">
        <v>1871</v>
      </c>
    </row>
    <row r="1131" spans="1:202">
      <c r="A1131" s="181" t="s">
        <v>239</v>
      </c>
      <c r="GR1131" s="181" t="s">
        <v>876</v>
      </c>
      <c r="GS1131" s="181" t="s">
        <v>1871</v>
      </c>
      <c r="GT1131" s="181" t="s">
        <v>1871</v>
      </c>
    </row>
    <row r="1132" spans="1:202">
      <c r="A1132" s="181" t="s">
        <v>239</v>
      </c>
      <c r="GR1132" s="181" t="s">
        <v>1724</v>
      </c>
      <c r="GS1132" s="181" t="s">
        <v>1871</v>
      </c>
      <c r="GT1132" s="181" t="s">
        <v>1871</v>
      </c>
    </row>
    <row r="1133" spans="1:202">
      <c r="A1133" s="181" t="s">
        <v>239</v>
      </c>
      <c r="GR1133" s="181" t="s">
        <v>1725</v>
      </c>
      <c r="GS1133" s="181" t="s">
        <v>1871</v>
      </c>
      <c r="GT1133" s="181" t="s">
        <v>1871</v>
      </c>
    </row>
    <row r="1134" spans="1:202">
      <c r="A1134" s="181" t="s">
        <v>239</v>
      </c>
      <c r="GR1134" s="181" t="s">
        <v>333</v>
      </c>
      <c r="GS1134" s="181" t="s">
        <v>1871</v>
      </c>
      <c r="GT1134" s="181" t="s">
        <v>1871</v>
      </c>
    </row>
    <row r="1135" spans="1:202">
      <c r="A1135" s="181" t="s">
        <v>239</v>
      </c>
      <c r="GR1135" s="181">
        <v>0</v>
      </c>
      <c r="GS1135" s="181" t="s">
        <v>1871</v>
      </c>
      <c r="GT1135" s="181" t="s">
        <v>1871</v>
      </c>
    </row>
    <row r="1136" spans="1:202">
      <c r="A1136" s="181" t="s">
        <v>239</v>
      </c>
      <c r="GR1136" s="181">
        <v>0</v>
      </c>
      <c r="GS1136" s="181" t="s">
        <v>1871</v>
      </c>
      <c r="GT1136" s="181" t="s">
        <v>1871</v>
      </c>
    </row>
    <row r="1137" spans="1:202">
      <c r="A1137" s="181" t="s">
        <v>239</v>
      </c>
      <c r="GR1137" s="181">
        <v>0</v>
      </c>
      <c r="GS1137" s="181" t="s">
        <v>1871</v>
      </c>
      <c r="GT1137" s="181" t="s">
        <v>1871</v>
      </c>
    </row>
    <row r="1138" spans="1:202">
      <c r="A1138" s="181" t="s">
        <v>239</v>
      </c>
      <c r="GR1138" s="181">
        <v>0</v>
      </c>
      <c r="GS1138" s="181" t="s">
        <v>1871</v>
      </c>
      <c r="GT1138" s="181" t="s">
        <v>1871</v>
      </c>
    </row>
    <row r="1139" spans="1:202">
      <c r="A1139" s="181" t="s">
        <v>239</v>
      </c>
      <c r="GR1139" s="181">
        <v>0</v>
      </c>
      <c r="GS1139" s="181" t="s">
        <v>1871</v>
      </c>
      <c r="GT1139" s="181" t="s">
        <v>1871</v>
      </c>
    </row>
    <row r="1140" spans="1:202">
      <c r="A1140" s="181" t="s">
        <v>239</v>
      </c>
      <c r="GR1140" s="181">
        <v>0</v>
      </c>
      <c r="GS1140" s="181" t="s">
        <v>1871</v>
      </c>
      <c r="GT1140" s="181" t="s">
        <v>1871</v>
      </c>
    </row>
    <row r="1141" spans="1:202">
      <c r="A1141" s="181" t="s">
        <v>239</v>
      </c>
      <c r="GR1141" s="181">
        <v>0</v>
      </c>
      <c r="GS1141" s="181" t="s">
        <v>1871</v>
      </c>
      <c r="GT1141" s="181" t="s">
        <v>1871</v>
      </c>
    </row>
    <row r="1142" spans="1:202">
      <c r="A1142" s="181" t="s">
        <v>239</v>
      </c>
      <c r="GR1142" s="181">
        <v>0</v>
      </c>
      <c r="GS1142" s="181" t="s">
        <v>1871</v>
      </c>
      <c r="GT1142" s="181" t="s">
        <v>1871</v>
      </c>
    </row>
    <row r="1143" spans="1:202">
      <c r="A1143" s="181" t="s">
        <v>239</v>
      </c>
      <c r="GR1143" s="181">
        <v>0</v>
      </c>
      <c r="GS1143" s="181" t="s">
        <v>1871</v>
      </c>
      <c r="GT1143" s="181" t="s">
        <v>1871</v>
      </c>
    </row>
    <row r="1144" spans="1:202">
      <c r="A1144" s="181" t="s">
        <v>239</v>
      </c>
      <c r="GR1144" s="181">
        <v>0</v>
      </c>
      <c r="GS1144" s="181" t="s">
        <v>1871</v>
      </c>
      <c r="GT1144" s="181" t="s">
        <v>1871</v>
      </c>
    </row>
    <row r="1145" spans="1:202">
      <c r="A1145" s="181" t="s">
        <v>239</v>
      </c>
      <c r="GR1145" s="181">
        <v>0</v>
      </c>
      <c r="GS1145" s="181" t="s">
        <v>1871</v>
      </c>
      <c r="GT1145" s="181" t="s">
        <v>1871</v>
      </c>
    </row>
    <row r="1146" spans="1:202">
      <c r="A1146" s="181" t="s">
        <v>239</v>
      </c>
      <c r="GR1146" s="181">
        <v>0</v>
      </c>
      <c r="GS1146" s="181" t="s">
        <v>1871</v>
      </c>
      <c r="GT1146" s="181" t="s">
        <v>1871</v>
      </c>
    </row>
    <row r="1147" spans="1:202">
      <c r="A1147" s="181" t="s">
        <v>239</v>
      </c>
      <c r="GS1147" s="181" t="s">
        <v>1871</v>
      </c>
      <c r="GT1147" s="181" t="s">
        <v>1871</v>
      </c>
    </row>
    <row r="1148" spans="1:202">
      <c r="A1148" s="181" t="s">
        <v>239</v>
      </c>
      <c r="GR1148" s="181" t="s">
        <v>309</v>
      </c>
      <c r="GS1148" s="181" t="s">
        <v>1871</v>
      </c>
      <c r="GT1148" s="181" t="s">
        <v>1871</v>
      </c>
    </row>
    <row r="1149" spans="1:202">
      <c r="A1149" s="181" t="s">
        <v>239</v>
      </c>
      <c r="GS1149" s="181" t="s">
        <v>1871</v>
      </c>
      <c r="GT1149" s="181" t="s">
        <v>1871</v>
      </c>
    </row>
    <row r="1150" spans="1:202">
      <c r="A1150" s="181" t="s">
        <v>239</v>
      </c>
      <c r="GR1150" s="181" t="s">
        <v>312</v>
      </c>
      <c r="GS1150" s="181" t="s">
        <v>1871</v>
      </c>
      <c r="GT1150" s="181" t="s">
        <v>1871</v>
      </c>
    </row>
    <row r="1151" spans="1:202">
      <c r="A1151" s="181" t="s">
        <v>239</v>
      </c>
      <c r="GR1151" s="181" t="s">
        <v>312</v>
      </c>
      <c r="GS1151" s="181" t="s">
        <v>1871</v>
      </c>
      <c r="GT1151" s="181" t="s">
        <v>1871</v>
      </c>
    </row>
    <row r="1152" spans="1:202">
      <c r="A1152" s="181" t="s">
        <v>239</v>
      </c>
      <c r="GR1152" s="181" t="s">
        <v>312</v>
      </c>
      <c r="GS1152" s="181" t="s">
        <v>1871</v>
      </c>
      <c r="GT1152" s="181" t="s">
        <v>1871</v>
      </c>
    </row>
    <row r="1153" spans="1:202">
      <c r="A1153" s="181" t="s">
        <v>239</v>
      </c>
      <c r="GR1153" s="181" t="s">
        <v>312</v>
      </c>
      <c r="GS1153" s="181" t="s">
        <v>1871</v>
      </c>
      <c r="GT1153" s="181" t="s">
        <v>1871</v>
      </c>
    </row>
    <row r="1154" spans="1:202">
      <c r="A1154" s="181" t="s">
        <v>239</v>
      </c>
      <c r="GR1154" s="181" t="s">
        <v>312</v>
      </c>
      <c r="GS1154" s="181" t="s">
        <v>1871</v>
      </c>
      <c r="GT1154" s="181" t="s">
        <v>1871</v>
      </c>
    </row>
    <row r="1155" spans="1:202">
      <c r="A1155" s="181" t="s">
        <v>239</v>
      </c>
      <c r="GR1155" s="181" t="s">
        <v>312</v>
      </c>
      <c r="GS1155" s="181" t="s">
        <v>1871</v>
      </c>
      <c r="GT1155" s="181" t="s">
        <v>1871</v>
      </c>
    </row>
    <row r="1156" spans="1:202">
      <c r="A1156" s="181" t="s">
        <v>239</v>
      </c>
      <c r="GR1156" s="181" t="s">
        <v>312</v>
      </c>
      <c r="GS1156" s="181" t="s">
        <v>1871</v>
      </c>
      <c r="GT1156" s="181" t="s">
        <v>1871</v>
      </c>
    </row>
    <row r="1157" spans="1:202">
      <c r="A1157" s="181" t="s">
        <v>239</v>
      </c>
      <c r="GR1157" s="181" t="s">
        <v>877</v>
      </c>
      <c r="GS1157" s="181" t="s">
        <v>1871</v>
      </c>
      <c r="GT1157" s="181" t="s">
        <v>1871</v>
      </c>
    </row>
    <row r="1158" spans="1:202">
      <c r="A1158" s="181" t="s">
        <v>239</v>
      </c>
      <c r="GR1158" s="181" t="s">
        <v>878</v>
      </c>
      <c r="GS1158" s="181" t="s">
        <v>1871</v>
      </c>
      <c r="GT1158" s="181" t="s">
        <v>1871</v>
      </c>
    </row>
    <row r="1159" spans="1:202">
      <c r="A1159" s="181" t="s">
        <v>239</v>
      </c>
      <c r="GR1159" s="181" t="s">
        <v>878</v>
      </c>
      <c r="GS1159" s="181" t="s">
        <v>1871</v>
      </c>
      <c r="GT1159" s="181" t="s">
        <v>1871</v>
      </c>
    </row>
    <row r="1160" spans="1:202">
      <c r="A1160" s="181" t="s">
        <v>239</v>
      </c>
      <c r="GR1160" s="181" t="s">
        <v>878</v>
      </c>
      <c r="GS1160" s="181" t="s">
        <v>1871</v>
      </c>
      <c r="GT1160" s="181" t="s">
        <v>1871</v>
      </c>
    </row>
    <row r="1161" spans="1:202">
      <c r="A1161" s="181" t="s">
        <v>239</v>
      </c>
      <c r="GR1161" s="181" t="s">
        <v>878</v>
      </c>
      <c r="GS1161" s="181" t="s">
        <v>1871</v>
      </c>
      <c r="GT1161" s="181" t="s">
        <v>1871</v>
      </c>
    </row>
    <row r="1162" spans="1:202">
      <c r="A1162" s="181" t="s">
        <v>239</v>
      </c>
      <c r="GR1162" s="181" t="s">
        <v>878</v>
      </c>
      <c r="GS1162" s="181" t="s">
        <v>1871</v>
      </c>
      <c r="GT1162" s="181" t="s">
        <v>1871</v>
      </c>
    </row>
    <row r="1163" spans="1:202">
      <c r="A1163" s="181" t="s">
        <v>239</v>
      </c>
      <c r="GR1163" s="181" t="s">
        <v>878</v>
      </c>
      <c r="GS1163" s="181" t="s">
        <v>1871</v>
      </c>
      <c r="GT1163" s="181" t="s">
        <v>1871</v>
      </c>
    </row>
    <row r="1164" spans="1:202">
      <c r="A1164" s="181" t="s">
        <v>239</v>
      </c>
      <c r="GR1164" s="181" t="s">
        <v>878</v>
      </c>
      <c r="GS1164" s="181" t="s">
        <v>1871</v>
      </c>
      <c r="GT1164" s="181" t="s">
        <v>1871</v>
      </c>
    </row>
    <row r="1165" spans="1:202">
      <c r="A1165" s="181" t="s">
        <v>239</v>
      </c>
      <c r="GR1165" s="181" t="s">
        <v>878</v>
      </c>
      <c r="GS1165" s="181" t="s">
        <v>1871</v>
      </c>
      <c r="GT1165" s="181" t="s">
        <v>1871</v>
      </c>
    </row>
    <row r="1166" spans="1:202">
      <c r="A1166" s="181" t="s">
        <v>239</v>
      </c>
      <c r="GR1166" s="181" t="s">
        <v>878</v>
      </c>
      <c r="GS1166" s="181" t="s">
        <v>1871</v>
      </c>
      <c r="GT1166" s="181" t="s">
        <v>1871</v>
      </c>
    </row>
    <row r="1167" spans="1:202">
      <c r="A1167" s="181" t="s">
        <v>239</v>
      </c>
      <c r="GR1167" s="181" t="s">
        <v>879</v>
      </c>
      <c r="GS1167" s="181" t="s">
        <v>1871</v>
      </c>
      <c r="GT1167" s="181" t="s">
        <v>1871</v>
      </c>
    </row>
    <row r="1168" spans="1:202">
      <c r="A1168" s="181" t="s">
        <v>239</v>
      </c>
      <c r="GR1168" s="181" t="s">
        <v>1715</v>
      </c>
      <c r="GS1168" s="181" t="s">
        <v>1871</v>
      </c>
      <c r="GT1168" s="181" t="s">
        <v>1871</v>
      </c>
    </row>
    <row r="1169" spans="1:202">
      <c r="A1169" s="181" t="s">
        <v>239</v>
      </c>
      <c r="GR1169" s="181" t="s">
        <v>880</v>
      </c>
      <c r="GS1169" s="181" t="s">
        <v>1871</v>
      </c>
      <c r="GT1169" s="181" t="s">
        <v>1871</v>
      </c>
    </row>
    <row r="1170" spans="1:202">
      <c r="A1170" s="181" t="s">
        <v>239</v>
      </c>
      <c r="GR1170" s="181" t="s">
        <v>881</v>
      </c>
      <c r="GS1170" s="181" t="s">
        <v>1871</v>
      </c>
      <c r="GT1170" s="181" t="s">
        <v>1871</v>
      </c>
    </row>
    <row r="1171" spans="1:202">
      <c r="A1171" s="181" t="s">
        <v>239</v>
      </c>
      <c r="GR1171" s="181">
        <v>0</v>
      </c>
      <c r="GS1171" s="181" t="s">
        <v>1871</v>
      </c>
      <c r="GT1171" s="181" t="s">
        <v>1871</v>
      </c>
    </row>
    <row r="1172" spans="1:202">
      <c r="A1172" s="181" t="s">
        <v>239</v>
      </c>
      <c r="GR1172" s="181">
        <v>0</v>
      </c>
      <c r="GS1172" s="181" t="s">
        <v>1871</v>
      </c>
      <c r="GT1172" s="181" t="s">
        <v>1871</v>
      </c>
    </row>
    <row r="1173" spans="1:202">
      <c r="A1173" s="181" t="s">
        <v>239</v>
      </c>
      <c r="GR1173" s="181">
        <v>0</v>
      </c>
      <c r="GS1173" s="181" t="s">
        <v>1871</v>
      </c>
      <c r="GT1173" s="181" t="s">
        <v>1871</v>
      </c>
    </row>
    <row r="1174" spans="1:202">
      <c r="A1174" s="181" t="s">
        <v>239</v>
      </c>
      <c r="GR1174" s="181">
        <v>0</v>
      </c>
      <c r="GS1174" s="181" t="s">
        <v>1871</v>
      </c>
      <c r="GT1174" s="181" t="s">
        <v>1871</v>
      </c>
    </row>
    <row r="1175" spans="1:202">
      <c r="A1175" s="181" t="s">
        <v>239</v>
      </c>
      <c r="GR1175" s="181">
        <v>0</v>
      </c>
      <c r="GS1175" s="181" t="s">
        <v>1871</v>
      </c>
      <c r="GT1175" s="181" t="s">
        <v>1871</v>
      </c>
    </row>
    <row r="1176" spans="1:202">
      <c r="A1176" s="181" t="s">
        <v>239</v>
      </c>
      <c r="GR1176" s="181">
        <v>0</v>
      </c>
      <c r="GS1176" s="181" t="s">
        <v>1871</v>
      </c>
      <c r="GT1176" s="181" t="s">
        <v>1871</v>
      </c>
    </row>
    <row r="1177" spans="1:202">
      <c r="A1177" s="181" t="s">
        <v>239</v>
      </c>
      <c r="GR1177" s="181">
        <v>0</v>
      </c>
      <c r="GS1177" s="181" t="s">
        <v>1871</v>
      </c>
      <c r="GT1177" s="181" t="s">
        <v>1871</v>
      </c>
    </row>
    <row r="1178" spans="1:202">
      <c r="A1178" s="181" t="s">
        <v>239</v>
      </c>
      <c r="GR1178" s="181">
        <v>0</v>
      </c>
      <c r="GS1178" s="181" t="s">
        <v>1871</v>
      </c>
      <c r="GT1178" s="181" t="s">
        <v>1871</v>
      </c>
    </row>
    <row r="1179" spans="1:202">
      <c r="A1179" s="181" t="s">
        <v>239</v>
      </c>
      <c r="GR1179" s="181">
        <v>0</v>
      </c>
      <c r="GS1179" s="181" t="s">
        <v>1871</v>
      </c>
      <c r="GT1179" s="181" t="s">
        <v>1871</v>
      </c>
    </row>
    <row r="1180" spans="1:202">
      <c r="A1180" s="181" t="s">
        <v>239</v>
      </c>
      <c r="GR1180" s="181">
        <v>0</v>
      </c>
      <c r="GS1180" s="181" t="s">
        <v>1871</v>
      </c>
      <c r="GT1180" s="181" t="s">
        <v>1871</v>
      </c>
    </row>
    <row r="1181" spans="1:202">
      <c r="A1181" s="181" t="s">
        <v>239</v>
      </c>
      <c r="GR1181" s="181">
        <v>0</v>
      </c>
      <c r="GS1181" s="181" t="s">
        <v>1871</v>
      </c>
      <c r="GT1181" s="181" t="s">
        <v>1871</v>
      </c>
    </row>
    <row r="1182" spans="1:202">
      <c r="A1182" s="181" t="s">
        <v>239</v>
      </c>
      <c r="GR1182" s="181">
        <v>0</v>
      </c>
      <c r="GS1182" s="181" t="s">
        <v>1871</v>
      </c>
      <c r="GT1182" s="181" t="s">
        <v>1871</v>
      </c>
    </row>
    <row r="1183" spans="1:202">
      <c r="A1183" s="181" t="s">
        <v>239</v>
      </c>
      <c r="GR1183" s="181">
        <v>0</v>
      </c>
      <c r="GS1183" s="181" t="s">
        <v>1871</v>
      </c>
      <c r="GT1183" s="181" t="s">
        <v>1871</v>
      </c>
    </row>
    <row r="1184" spans="1:202">
      <c r="A1184" s="181" t="s">
        <v>239</v>
      </c>
      <c r="GR1184" s="181">
        <v>0</v>
      </c>
      <c r="GS1184" s="181" t="s">
        <v>1871</v>
      </c>
      <c r="GT1184" s="181" t="s">
        <v>1871</v>
      </c>
    </row>
    <row r="1185" spans="1:202">
      <c r="A1185" s="181" t="s">
        <v>239</v>
      </c>
      <c r="GR1185" s="181">
        <v>0</v>
      </c>
      <c r="GS1185" s="181" t="s">
        <v>1871</v>
      </c>
      <c r="GT1185" s="181" t="s">
        <v>1871</v>
      </c>
    </row>
    <row r="1186" spans="1:202">
      <c r="A1186" s="181" t="s">
        <v>239</v>
      </c>
      <c r="GR1186" s="181" t="s">
        <v>876</v>
      </c>
      <c r="GS1186" s="181" t="s">
        <v>1871</v>
      </c>
      <c r="GT1186" s="181" t="s">
        <v>1871</v>
      </c>
    </row>
    <row r="1187" spans="1:202">
      <c r="A1187" s="181" t="s">
        <v>239</v>
      </c>
      <c r="GR1187" s="181" t="s">
        <v>876</v>
      </c>
      <c r="GS1187" s="181" t="s">
        <v>1871</v>
      </c>
      <c r="GT1187" s="181" t="s">
        <v>1871</v>
      </c>
    </row>
    <row r="1188" spans="1:202">
      <c r="A1188" s="181" t="s">
        <v>239</v>
      </c>
      <c r="GR1188" s="181" t="s">
        <v>876</v>
      </c>
      <c r="GS1188" s="181" t="s">
        <v>1871</v>
      </c>
      <c r="GT1188" s="181" t="s">
        <v>1871</v>
      </c>
    </row>
    <row r="1189" spans="1:202">
      <c r="A1189" s="181" t="s">
        <v>239</v>
      </c>
      <c r="GR1189" s="181" t="s">
        <v>882</v>
      </c>
      <c r="GS1189" s="181" t="s">
        <v>1871</v>
      </c>
      <c r="GT1189" s="181" t="s">
        <v>1871</v>
      </c>
    </row>
    <row r="1190" spans="1:202">
      <c r="A1190" s="181" t="s">
        <v>239</v>
      </c>
      <c r="GR1190" s="181" t="s">
        <v>882</v>
      </c>
      <c r="GS1190" s="181" t="s">
        <v>1871</v>
      </c>
      <c r="GT1190" s="181" t="s">
        <v>1871</v>
      </c>
    </row>
    <row r="1191" spans="1:202">
      <c r="A1191" s="181" t="s">
        <v>239</v>
      </c>
      <c r="GR1191" s="181" t="s">
        <v>882</v>
      </c>
      <c r="GS1191" s="181" t="s">
        <v>1871</v>
      </c>
      <c r="GT1191" s="181" t="s">
        <v>1871</v>
      </c>
    </row>
    <row r="1192" spans="1:202">
      <c r="A1192" s="181" t="s">
        <v>239</v>
      </c>
      <c r="GR1192" s="181" t="s">
        <v>882</v>
      </c>
      <c r="GS1192" s="181" t="s">
        <v>1871</v>
      </c>
      <c r="GT1192" s="181" t="s">
        <v>1871</v>
      </c>
    </row>
    <row r="1193" spans="1:202">
      <c r="A1193" s="181" t="s">
        <v>239</v>
      </c>
      <c r="GR1193" s="181" t="s">
        <v>882</v>
      </c>
      <c r="GS1193" s="181" t="s">
        <v>1871</v>
      </c>
      <c r="GT1193" s="181" t="s">
        <v>1871</v>
      </c>
    </row>
    <row r="1194" spans="1:202">
      <c r="A1194" s="181" t="s">
        <v>239</v>
      </c>
      <c r="GR1194" s="181" t="s">
        <v>882</v>
      </c>
      <c r="GS1194" s="181" t="s">
        <v>1871</v>
      </c>
      <c r="GT1194" s="181" t="s">
        <v>1871</v>
      </c>
    </row>
    <row r="1195" spans="1:202">
      <c r="A1195" s="181" t="s">
        <v>239</v>
      </c>
      <c r="GR1195" s="181" t="s">
        <v>882</v>
      </c>
      <c r="GS1195" s="181" t="s">
        <v>1871</v>
      </c>
      <c r="GT1195" s="181" t="s">
        <v>1871</v>
      </c>
    </row>
    <row r="1196" spans="1:202">
      <c r="A1196" s="181" t="s">
        <v>239</v>
      </c>
      <c r="GR1196" s="181" t="s">
        <v>882</v>
      </c>
      <c r="GS1196" s="181" t="s">
        <v>1871</v>
      </c>
      <c r="GT1196" s="181" t="s">
        <v>1871</v>
      </c>
    </row>
    <row r="1197" spans="1:202">
      <c r="A1197" s="181" t="s">
        <v>239</v>
      </c>
      <c r="GR1197" s="181" t="s">
        <v>882</v>
      </c>
      <c r="GS1197" s="181" t="s">
        <v>1871</v>
      </c>
      <c r="GT1197" s="181" t="s">
        <v>1871</v>
      </c>
    </row>
    <row r="1198" spans="1:202">
      <c r="A1198" s="181" t="s">
        <v>239</v>
      </c>
      <c r="GR1198" s="181" t="s">
        <v>883</v>
      </c>
      <c r="GS1198" s="181" t="s">
        <v>1871</v>
      </c>
      <c r="GT1198" s="181" t="s">
        <v>1871</v>
      </c>
    </row>
    <row r="1199" spans="1:202">
      <c r="A1199" s="181" t="s">
        <v>239</v>
      </c>
      <c r="GR1199" s="181" t="s">
        <v>873</v>
      </c>
      <c r="GS1199" s="181" t="s">
        <v>1871</v>
      </c>
      <c r="GT1199" s="181" t="s">
        <v>1871</v>
      </c>
    </row>
    <row r="1200" spans="1:202">
      <c r="A1200" s="181" t="s">
        <v>239</v>
      </c>
      <c r="GR1200" s="181" t="s">
        <v>873</v>
      </c>
      <c r="GS1200" s="181" t="s">
        <v>1871</v>
      </c>
      <c r="GT1200" s="181" t="s">
        <v>1871</v>
      </c>
    </row>
    <row r="1201" spans="1:202">
      <c r="A1201" s="181" t="s">
        <v>239</v>
      </c>
      <c r="GR1201" s="181" t="s">
        <v>873</v>
      </c>
      <c r="GS1201" s="181" t="s">
        <v>1871</v>
      </c>
      <c r="GT1201" s="181" t="s">
        <v>1871</v>
      </c>
    </row>
    <row r="1202" spans="1:202">
      <c r="A1202" s="181" t="s">
        <v>239</v>
      </c>
      <c r="GR1202" s="181" t="s">
        <v>873</v>
      </c>
      <c r="GS1202" s="181" t="s">
        <v>1871</v>
      </c>
      <c r="GT1202" s="181" t="s">
        <v>1871</v>
      </c>
    </row>
    <row r="1203" spans="1:202">
      <c r="A1203" s="181" t="s">
        <v>239</v>
      </c>
      <c r="GR1203" s="181" t="s">
        <v>308</v>
      </c>
      <c r="GS1203" s="181" t="s">
        <v>1871</v>
      </c>
      <c r="GT1203" s="181" t="s">
        <v>1871</v>
      </c>
    </row>
    <row r="1204" spans="1:202">
      <c r="A1204" s="181" t="s">
        <v>239</v>
      </c>
      <c r="GR1204" s="181" t="s">
        <v>874</v>
      </c>
      <c r="GS1204" s="181" t="s">
        <v>1871</v>
      </c>
      <c r="GT1204" s="181" t="s">
        <v>1871</v>
      </c>
    </row>
    <row r="1205" spans="1:202">
      <c r="A1205" s="181" t="s">
        <v>239</v>
      </c>
      <c r="GR1205" s="181" t="s">
        <v>874</v>
      </c>
      <c r="GS1205" s="181" t="s">
        <v>1871</v>
      </c>
      <c r="GT1205" s="181" t="s">
        <v>1871</v>
      </c>
    </row>
    <row r="1206" spans="1:202">
      <c r="A1206" s="181" t="s">
        <v>239</v>
      </c>
      <c r="GR1206" s="181" t="s">
        <v>874</v>
      </c>
      <c r="GS1206" s="181" t="s">
        <v>1871</v>
      </c>
      <c r="GT1206" s="181" t="s">
        <v>1871</v>
      </c>
    </row>
    <row r="1207" spans="1:202">
      <c r="A1207" s="181" t="s">
        <v>239</v>
      </c>
      <c r="GR1207" s="181" t="s">
        <v>874</v>
      </c>
      <c r="GS1207" s="181" t="s">
        <v>1871</v>
      </c>
      <c r="GT1207" s="181" t="s">
        <v>1871</v>
      </c>
    </row>
    <row r="1208" spans="1:202">
      <c r="A1208" s="181" t="s">
        <v>239</v>
      </c>
      <c r="GR1208" s="181" t="s">
        <v>870</v>
      </c>
      <c r="GS1208" s="181" t="s">
        <v>1871</v>
      </c>
      <c r="GT1208" s="181" t="s">
        <v>1871</v>
      </c>
    </row>
    <row r="1209" spans="1:202">
      <c r="A1209" s="181" t="s">
        <v>239</v>
      </c>
      <c r="GR1209" s="181" t="s">
        <v>309</v>
      </c>
      <c r="GS1209" s="181" t="s">
        <v>1871</v>
      </c>
      <c r="GT1209" s="181" t="s">
        <v>1871</v>
      </c>
    </row>
    <row r="1210" spans="1:202">
      <c r="A1210" s="181" t="s">
        <v>239</v>
      </c>
      <c r="GR1210" s="181" t="s">
        <v>309</v>
      </c>
      <c r="GS1210" s="181" t="s">
        <v>1871</v>
      </c>
      <c r="GT1210" s="181" t="s">
        <v>1871</v>
      </c>
    </row>
    <row r="1211" spans="1:202">
      <c r="A1211" s="181" t="s">
        <v>239</v>
      </c>
      <c r="GR1211" s="181" t="s">
        <v>309</v>
      </c>
      <c r="GS1211" s="181" t="s">
        <v>1871</v>
      </c>
      <c r="GT1211" s="181" t="s">
        <v>1871</v>
      </c>
    </row>
    <row r="1212" spans="1:202">
      <c r="A1212" s="181" t="s">
        <v>239</v>
      </c>
      <c r="GS1212" s="181" t="s">
        <v>1871</v>
      </c>
      <c r="GT1212" s="181" t="s">
        <v>1871</v>
      </c>
    </row>
    <row r="1213" spans="1:202">
      <c r="A1213" s="181" t="s">
        <v>239</v>
      </c>
      <c r="GR1213" s="181" t="s">
        <v>875</v>
      </c>
      <c r="GS1213" s="181" t="s">
        <v>1871</v>
      </c>
      <c r="GT1213" s="181" t="s">
        <v>1871</v>
      </c>
    </row>
    <row r="1214" spans="1:202">
      <c r="A1214" s="181" t="s">
        <v>239</v>
      </c>
      <c r="GR1214" s="181" t="s">
        <v>875</v>
      </c>
      <c r="GS1214" s="181" t="s">
        <v>1871</v>
      </c>
      <c r="GT1214" s="181" t="s">
        <v>1871</v>
      </c>
    </row>
    <row r="1215" spans="1:202">
      <c r="A1215" s="181" t="s">
        <v>239</v>
      </c>
      <c r="GR1215" s="181" t="s">
        <v>875</v>
      </c>
      <c r="GS1215" s="181" t="s">
        <v>1871</v>
      </c>
      <c r="GT1215" s="181" t="s">
        <v>1871</v>
      </c>
    </row>
    <row r="1216" spans="1:202">
      <c r="A1216" s="181" t="s">
        <v>239</v>
      </c>
      <c r="GR1216" s="181" t="s">
        <v>875</v>
      </c>
      <c r="GS1216" s="181" t="s">
        <v>1871</v>
      </c>
      <c r="GT1216" s="181" t="s">
        <v>1871</v>
      </c>
    </row>
    <row r="1217" spans="1:202">
      <c r="A1217" s="181" t="s">
        <v>239</v>
      </c>
      <c r="GR1217" s="181" t="s">
        <v>875</v>
      </c>
      <c r="GS1217" s="181" t="s">
        <v>1871</v>
      </c>
      <c r="GT1217" s="181" t="s">
        <v>1871</v>
      </c>
    </row>
    <row r="1218" spans="1:202">
      <c r="A1218" s="181" t="s">
        <v>239</v>
      </c>
      <c r="GR1218" s="181" t="s">
        <v>875</v>
      </c>
      <c r="GS1218" s="181" t="s">
        <v>1871</v>
      </c>
      <c r="GT1218" s="181" t="s">
        <v>1871</v>
      </c>
    </row>
    <row r="1219" spans="1:202">
      <c r="A1219" s="181" t="s">
        <v>239</v>
      </c>
      <c r="GR1219" s="181" t="s">
        <v>310</v>
      </c>
      <c r="GS1219" s="181" t="s">
        <v>1871</v>
      </c>
      <c r="GT1219" s="181" t="s">
        <v>1871</v>
      </c>
    </row>
    <row r="1220" spans="1:202">
      <c r="A1220" s="181" t="s">
        <v>239</v>
      </c>
      <c r="GR1220" s="181" t="s">
        <v>310</v>
      </c>
      <c r="GS1220" s="181" t="s">
        <v>1871</v>
      </c>
      <c r="GT1220" s="181" t="s">
        <v>1871</v>
      </c>
    </row>
    <row r="1221" spans="1:202">
      <c r="A1221" s="181" t="s">
        <v>239</v>
      </c>
      <c r="GR1221" s="181" t="s">
        <v>310</v>
      </c>
      <c r="GS1221" s="181" t="s">
        <v>1871</v>
      </c>
      <c r="GT1221" s="181" t="s">
        <v>1871</v>
      </c>
    </row>
    <row r="1222" spans="1:202">
      <c r="A1222" s="181" t="s">
        <v>239</v>
      </c>
      <c r="GR1222" s="181" t="s">
        <v>310</v>
      </c>
      <c r="GS1222" s="181" t="s">
        <v>1871</v>
      </c>
      <c r="GT1222" s="181" t="s">
        <v>1871</v>
      </c>
    </row>
    <row r="1223" spans="1:202">
      <c r="A1223" s="181" t="s">
        <v>239</v>
      </c>
      <c r="GR1223" s="181" t="s">
        <v>310</v>
      </c>
      <c r="GS1223" s="181" t="s">
        <v>1871</v>
      </c>
      <c r="GT1223" s="181" t="s">
        <v>1871</v>
      </c>
    </row>
    <row r="1224" spans="1:202">
      <c r="A1224" s="181" t="s">
        <v>239</v>
      </c>
      <c r="GR1224" s="181" t="s">
        <v>310</v>
      </c>
      <c r="GS1224" s="181" t="s">
        <v>1871</v>
      </c>
      <c r="GT1224" s="181" t="s">
        <v>1871</v>
      </c>
    </row>
    <row r="1225" spans="1:202">
      <c r="A1225" s="181" t="s">
        <v>239</v>
      </c>
      <c r="GR1225" s="181" t="s">
        <v>310</v>
      </c>
      <c r="GS1225" s="181" t="s">
        <v>1871</v>
      </c>
      <c r="GT1225" s="181" t="s">
        <v>1871</v>
      </c>
    </row>
    <row r="1226" spans="1:202">
      <c r="A1226" s="181" t="s">
        <v>239</v>
      </c>
      <c r="GR1226" s="181" t="s">
        <v>310</v>
      </c>
      <c r="GS1226" s="181" t="s">
        <v>1871</v>
      </c>
      <c r="GT1226" s="181" t="s">
        <v>1871</v>
      </c>
    </row>
    <row r="1227" spans="1:202">
      <c r="A1227" s="181" t="s">
        <v>239</v>
      </c>
      <c r="GR1227" s="181" t="s">
        <v>876</v>
      </c>
      <c r="GS1227" s="181" t="s">
        <v>1871</v>
      </c>
      <c r="GT1227" s="181" t="s">
        <v>1871</v>
      </c>
    </row>
    <row r="1228" spans="1:202">
      <c r="A1228" s="181" t="s">
        <v>239</v>
      </c>
      <c r="GR1228" s="181" t="s">
        <v>876</v>
      </c>
      <c r="GS1228" s="181" t="s">
        <v>1871</v>
      </c>
      <c r="GT1228" s="181" t="s">
        <v>1871</v>
      </c>
    </row>
    <row r="1229" spans="1:202">
      <c r="A1229" s="181" t="s">
        <v>239</v>
      </c>
      <c r="GR1229" s="181" t="s">
        <v>876</v>
      </c>
      <c r="GS1229" s="181" t="s">
        <v>1871</v>
      </c>
      <c r="GT1229" s="181" t="s">
        <v>1871</v>
      </c>
    </row>
    <row r="1230" spans="1:202">
      <c r="A1230" s="181" t="s">
        <v>239</v>
      </c>
      <c r="GR1230" s="181" t="s">
        <v>876</v>
      </c>
      <c r="GS1230" s="181" t="s">
        <v>1871</v>
      </c>
      <c r="GT1230" s="181" t="s">
        <v>1871</v>
      </c>
    </row>
    <row r="1231" spans="1:202">
      <c r="A1231" s="181" t="s">
        <v>239</v>
      </c>
      <c r="GR1231" s="181" t="s">
        <v>876</v>
      </c>
      <c r="GS1231" s="181" t="s">
        <v>1871</v>
      </c>
      <c r="GT1231" s="181" t="s">
        <v>1871</v>
      </c>
    </row>
    <row r="1232" spans="1:202">
      <c r="A1232" s="181" t="s">
        <v>239</v>
      </c>
      <c r="GR1232" s="181" t="s">
        <v>1726</v>
      </c>
      <c r="GS1232" s="181" t="s">
        <v>1871</v>
      </c>
      <c r="GT1232" s="181" t="s">
        <v>1871</v>
      </c>
    </row>
    <row r="1233" spans="1:202">
      <c r="A1233" s="181" t="s">
        <v>239</v>
      </c>
      <c r="GR1233" s="181">
        <v>0</v>
      </c>
      <c r="GS1233" s="181" t="s">
        <v>1871</v>
      </c>
      <c r="GT1233" s="181" t="s">
        <v>1871</v>
      </c>
    </row>
    <row r="1234" spans="1:202">
      <c r="A1234" s="181" t="s">
        <v>239</v>
      </c>
      <c r="GR1234" s="181">
        <v>0</v>
      </c>
      <c r="GS1234" s="181" t="s">
        <v>1871</v>
      </c>
      <c r="GT1234" s="181" t="s">
        <v>1871</v>
      </c>
    </row>
    <row r="1235" spans="1:202">
      <c r="A1235" s="181" t="s">
        <v>239</v>
      </c>
      <c r="GR1235" s="181">
        <v>0</v>
      </c>
      <c r="GS1235" s="181" t="s">
        <v>1871</v>
      </c>
      <c r="GT1235" s="181" t="s">
        <v>1871</v>
      </c>
    </row>
    <row r="1236" spans="1:202">
      <c r="A1236" s="181" t="s">
        <v>239</v>
      </c>
      <c r="GR1236" s="181">
        <v>0</v>
      </c>
      <c r="GS1236" s="181" t="s">
        <v>1871</v>
      </c>
      <c r="GT1236" s="181" t="s">
        <v>1871</v>
      </c>
    </row>
    <row r="1237" spans="1:202">
      <c r="A1237" s="181" t="s">
        <v>239</v>
      </c>
      <c r="GR1237" s="181">
        <v>0</v>
      </c>
      <c r="GS1237" s="181" t="s">
        <v>1871</v>
      </c>
      <c r="GT1237" s="181" t="s">
        <v>1871</v>
      </c>
    </row>
    <row r="1238" spans="1:202">
      <c r="A1238" s="181" t="s">
        <v>239</v>
      </c>
      <c r="GR1238" s="181">
        <v>0</v>
      </c>
      <c r="GS1238" s="181" t="s">
        <v>1871</v>
      </c>
      <c r="GT1238" s="181" t="s">
        <v>1871</v>
      </c>
    </row>
    <row r="1239" spans="1:202">
      <c r="A1239" s="181" t="s">
        <v>239</v>
      </c>
      <c r="GR1239" s="181">
        <v>0</v>
      </c>
      <c r="GS1239" s="181" t="s">
        <v>1871</v>
      </c>
      <c r="GT1239" s="181" t="s">
        <v>1871</v>
      </c>
    </row>
    <row r="1240" spans="1:202">
      <c r="A1240" s="181" t="s">
        <v>239</v>
      </c>
      <c r="GR1240" s="181">
        <v>0</v>
      </c>
      <c r="GS1240" s="181" t="s">
        <v>1871</v>
      </c>
      <c r="GT1240" s="181" t="s">
        <v>1871</v>
      </c>
    </row>
    <row r="1241" spans="1:202">
      <c r="A1241" s="181" t="s">
        <v>239</v>
      </c>
      <c r="GR1241" s="181">
        <v>0</v>
      </c>
      <c r="GS1241" s="181" t="s">
        <v>1871</v>
      </c>
      <c r="GT1241" s="181" t="s">
        <v>1871</v>
      </c>
    </row>
    <row r="1242" spans="1:202">
      <c r="A1242" s="181" t="s">
        <v>239</v>
      </c>
      <c r="GR1242" s="181">
        <v>0</v>
      </c>
      <c r="GS1242" s="181" t="s">
        <v>1871</v>
      </c>
      <c r="GT1242" s="181" t="s">
        <v>1871</v>
      </c>
    </row>
    <row r="1243" spans="1:202">
      <c r="A1243" s="181" t="s">
        <v>239</v>
      </c>
      <c r="GR1243" s="181">
        <v>0</v>
      </c>
      <c r="GS1243" s="181" t="s">
        <v>1871</v>
      </c>
      <c r="GT1243" s="181" t="s">
        <v>1871</v>
      </c>
    </row>
    <row r="1244" spans="1:202">
      <c r="A1244" s="181" t="s">
        <v>239</v>
      </c>
      <c r="GR1244" s="181">
        <v>0</v>
      </c>
      <c r="GS1244" s="181" t="s">
        <v>1871</v>
      </c>
      <c r="GT1244" s="181" t="s">
        <v>1871</v>
      </c>
    </row>
    <row r="1245" spans="1:202">
      <c r="A1245" s="181" t="s">
        <v>239</v>
      </c>
      <c r="GR1245" s="181">
        <v>0</v>
      </c>
      <c r="GS1245" s="181" t="s">
        <v>1871</v>
      </c>
      <c r="GT1245" s="181" t="s">
        <v>1871</v>
      </c>
    </row>
    <row r="1246" spans="1:202">
      <c r="A1246" s="181" t="s">
        <v>239</v>
      </c>
      <c r="GR1246" s="181">
        <v>0</v>
      </c>
      <c r="GS1246" s="181" t="s">
        <v>1871</v>
      </c>
      <c r="GT1246" s="181" t="s">
        <v>1871</v>
      </c>
    </row>
    <row r="1247" spans="1:202">
      <c r="A1247" s="181" t="s">
        <v>239</v>
      </c>
      <c r="GS1247" s="181" t="s">
        <v>1871</v>
      </c>
      <c r="GT1247" s="181" t="s">
        <v>1871</v>
      </c>
    </row>
    <row r="1248" spans="1:202">
      <c r="A1248" s="181" t="s">
        <v>239</v>
      </c>
      <c r="GR1248" s="181" t="s">
        <v>309</v>
      </c>
      <c r="GS1248" s="181" t="s">
        <v>1871</v>
      </c>
      <c r="GT1248" s="181" t="s">
        <v>1871</v>
      </c>
    </row>
    <row r="1249" spans="1:1">
      <c r="A1249" s="181" t="s">
        <v>239</v>
      </c>
    </row>
    <row r="1250" spans="1:1">
      <c r="A1250" s="181" t="s">
        <v>239</v>
      </c>
    </row>
    <row r="1251" spans="1:1">
      <c r="A1251" s="181" t="s">
        <v>239</v>
      </c>
    </row>
    <row r="1252" spans="1:1">
      <c r="A1252" s="181" t="s">
        <v>239</v>
      </c>
    </row>
    <row r="1253" spans="1:1">
      <c r="A1253" s="181" t="s">
        <v>239</v>
      </c>
    </row>
    <row r="1254" spans="1:1">
      <c r="A1254" s="181" t="s">
        <v>239</v>
      </c>
    </row>
    <row r="1255" spans="1:1">
      <c r="A1255" s="181" t="s">
        <v>239</v>
      </c>
    </row>
    <row r="1256" spans="1:1">
      <c r="A1256" s="181" t="s">
        <v>239</v>
      </c>
    </row>
    <row r="1257" spans="1:1">
      <c r="A1257" s="181" t="s">
        <v>239</v>
      </c>
    </row>
    <row r="1258" spans="1:1">
      <c r="A1258" s="181" t="s">
        <v>239</v>
      </c>
    </row>
    <row r="1259" spans="1:1">
      <c r="A1259" s="181" t="s">
        <v>239</v>
      </c>
    </row>
    <row r="1260" spans="1:1">
      <c r="A1260" s="181" t="s">
        <v>239</v>
      </c>
    </row>
    <row r="1261" spans="1:1">
      <c r="A1261" s="181" t="s">
        <v>239</v>
      </c>
    </row>
    <row r="1262" spans="1:1">
      <c r="A1262" s="181" t="s">
        <v>239</v>
      </c>
    </row>
    <row r="1263" spans="1:1">
      <c r="A1263" s="181" t="s">
        <v>239</v>
      </c>
    </row>
    <row r="1264" spans="1:1">
      <c r="A1264" s="181" t="s">
        <v>239</v>
      </c>
    </row>
    <row r="1265" spans="1:235">
      <c r="A1265" s="181" t="s">
        <v>239</v>
      </c>
    </row>
    <row r="1266" spans="1:235">
      <c r="A1266" s="181" t="s">
        <v>239</v>
      </c>
    </row>
    <row r="1267" spans="1:235">
      <c r="A1267" s="181" t="s">
        <v>239</v>
      </c>
    </row>
    <row r="1268" spans="1:235">
      <c r="A1268" s="181" t="s">
        <v>239</v>
      </c>
    </row>
    <row r="1269" spans="1:235">
      <c r="A1269" s="181" t="s">
        <v>239</v>
      </c>
    </row>
    <row r="1270" spans="1:235">
      <c r="A1270" s="181" t="s">
        <v>239</v>
      </c>
    </row>
    <row r="1271" spans="1:235">
      <c r="A1271" s="181" t="s">
        <v>239</v>
      </c>
    </row>
    <row r="1272" spans="1:235">
      <c r="A1272" s="181" t="s">
        <v>239</v>
      </c>
    </row>
    <row r="1273" spans="1:235">
      <c r="A1273" s="181" t="s">
        <v>239</v>
      </c>
    </row>
    <row r="1274" spans="1:235">
      <c r="A1274" s="181" t="s">
        <v>239</v>
      </c>
    </row>
    <row r="1275" spans="1:235">
      <c r="A1275" s="181" t="s">
        <v>239</v>
      </c>
    </row>
    <row r="1276" spans="1:235">
      <c r="A1276" s="181" t="s">
        <v>239</v>
      </c>
    </row>
    <row r="1277" spans="1:235">
      <c r="A1277" s="181" t="s">
        <v>251</v>
      </c>
      <c r="B1277" s="181" t="s">
        <v>2479</v>
      </c>
      <c r="C1277" s="181" t="s">
        <v>901</v>
      </c>
      <c r="F1277" s="181" t="s">
        <v>1680</v>
      </c>
      <c r="G1277" s="181">
        <v>74999550</v>
      </c>
      <c r="H1277" s="181">
        <v>9</v>
      </c>
      <c r="I1277" s="183" t="s">
        <v>2471</v>
      </c>
      <c r="J1277" s="181" t="s">
        <v>2476</v>
      </c>
      <c r="K1277" s="181">
        <v>5</v>
      </c>
      <c r="L1277" s="181" t="s">
        <v>745</v>
      </c>
      <c r="M1277" s="181">
        <v>1</v>
      </c>
      <c r="N1277" s="181" t="s">
        <v>2140</v>
      </c>
      <c r="O1277" s="181" t="s">
        <v>2115</v>
      </c>
      <c r="P1277" s="181">
        <v>25</v>
      </c>
      <c r="Q1277" s="181">
        <v>50</v>
      </c>
      <c r="V1277" s="181">
        <v>26000000</v>
      </c>
      <c r="W1277" s="181">
        <v>13000000</v>
      </c>
      <c r="X1277" s="181">
        <v>800000.00000000012</v>
      </c>
      <c r="Y1277" s="181">
        <v>1700000</v>
      </c>
      <c r="Z1277" s="181">
        <v>656500.00000000012</v>
      </c>
      <c r="AA1277" s="181">
        <v>656500.00000000012</v>
      </c>
      <c r="AB1277" s="181">
        <v>17999.999999999996</v>
      </c>
      <c r="AC1277" s="181">
        <v>40400</v>
      </c>
      <c r="AD1277" s="181">
        <v>5622777.777777778</v>
      </c>
      <c r="AE1277" s="181">
        <v>5622777.777777778</v>
      </c>
      <c r="AY1277" s="181">
        <v>800000</v>
      </c>
      <c r="AZ1277" s="181">
        <v>1700000</v>
      </c>
      <c r="BA1277" s="181" t="s">
        <v>1134</v>
      </c>
      <c r="BB1277" s="181" t="s">
        <v>901</v>
      </c>
      <c r="BC1277" s="181">
        <v>316258.42999999982</v>
      </c>
      <c r="BD1277" s="181">
        <v>677925.09666666645</v>
      </c>
      <c r="BE1277" s="181">
        <v>576400</v>
      </c>
      <c r="BF1277" s="181">
        <v>576400</v>
      </c>
      <c r="BG1277" s="181">
        <v>280000</v>
      </c>
      <c r="BH1277" s="181">
        <v>595000</v>
      </c>
      <c r="BI1277" s="181">
        <v>475017.73830129835</v>
      </c>
      <c r="BJ1277" s="181">
        <v>516614.28391003027</v>
      </c>
      <c r="BK1277" s="181" t="s">
        <v>881</v>
      </c>
      <c r="BL1277" s="181">
        <v>18152.114751083333</v>
      </c>
      <c r="BM1277" s="181">
        <v>36304.229502166665</v>
      </c>
      <c r="BU1277" s="181" t="s">
        <v>1634</v>
      </c>
      <c r="BV1277" s="181">
        <v>0</v>
      </c>
      <c r="BW1277" s="181">
        <v>0</v>
      </c>
      <c r="BZ1277" s="181">
        <v>52403.037580595221</v>
      </c>
      <c r="CA1277" s="181">
        <v>0</v>
      </c>
      <c r="CB1277" s="181">
        <v>0</v>
      </c>
      <c r="CI1277" s="181">
        <v>0.35</v>
      </c>
      <c r="FF1277" s="181" t="s">
        <v>1137</v>
      </c>
      <c r="FG1277" s="181" t="s">
        <v>901</v>
      </c>
      <c r="FH1277" s="181">
        <v>17999.999999999996</v>
      </c>
      <c r="FI1277" s="181">
        <v>40400</v>
      </c>
      <c r="FJ1277" s="181">
        <v>5075000</v>
      </c>
      <c r="FK1277" s="181">
        <v>5075000</v>
      </c>
      <c r="FL1277" s="181">
        <v>17999.999999999996</v>
      </c>
      <c r="FM1277" s="181">
        <v>40400</v>
      </c>
      <c r="FN1277" s="181">
        <v>5075000</v>
      </c>
      <c r="FO1277" s="181">
        <v>5075000</v>
      </c>
      <c r="FY1277" s="181">
        <v>0</v>
      </c>
      <c r="FZ1277" s="181">
        <v>10</v>
      </c>
      <c r="GA1277" s="181">
        <v>0</v>
      </c>
      <c r="GB1277" s="181">
        <v>0</v>
      </c>
      <c r="GC1277" s="181">
        <v>10</v>
      </c>
      <c r="GD1277" s="181">
        <v>0</v>
      </c>
      <c r="GR1277" s="181" t="s">
        <v>176</v>
      </c>
      <c r="GS1277" s="181">
        <v>646247.32716625696</v>
      </c>
      <c r="GT1277" s="181">
        <v>1213346.4938329239</v>
      </c>
      <c r="HD1277" s="181" t="s">
        <v>971</v>
      </c>
      <c r="HE1277" s="181">
        <v>28817.440978666669</v>
      </c>
      <c r="HF1277" s="181">
        <v>57634.881957333339</v>
      </c>
      <c r="HG1277" s="181" t="s">
        <v>1634</v>
      </c>
      <c r="HH1277" s="181">
        <v>0</v>
      </c>
      <c r="HI1277" s="181">
        <v>0</v>
      </c>
      <c r="HL1277" s="181" t="s">
        <v>932</v>
      </c>
      <c r="HS1277" s="181" t="s">
        <v>1147</v>
      </c>
      <c r="HT1277" s="181">
        <v>3553.5040202666669</v>
      </c>
      <c r="HU1277" s="181">
        <v>7107.0080405333338</v>
      </c>
      <c r="HV1277" s="181" t="s">
        <v>1149</v>
      </c>
      <c r="HW1277" s="181">
        <v>5191.7301612749998</v>
      </c>
      <c r="HX1277" s="181">
        <v>10383.46032255</v>
      </c>
      <c r="HY1277" s="181" t="s">
        <v>2485</v>
      </c>
      <c r="HZ1277" s="181">
        <v>25</v>
      </c>
      <c r="IA1277" s="181">
        <v>50</v>
      </c>
    </row>
    <row r="1278" spans="1:235">
      <c r="A1278" s="181" t="s">
        <v>251</v>
      </c>
      <c r="B1278" s="181" t="s">
        <v>2480</v>
      </c>
      <c r="C1278" s="181" t="s">
        <v>901</v>
      </c>
      <c r="F1278" s="181" t="s">
        <v>724</v>
      </c>
      <c r="G1278" s="181">
        <v>150</v>
      </c>
      <c r="I1278" s="183" t="s">
        <v>2472</v>
      </c>
      <c r="J1278" s="181" t="s">
        <v>2477</v>
      </c>
      <c r="K1278" s="181">
        <v>100</v>
      </c>
      <c r="L1278" s="181" t="s">
        <v>933</v>
      </c>
      <c r="M1278" s="181">
        <v>1</v>
      </c>
      <c r="N1278" s="181" t="s">
        <v>2140</v>
      </c>
      <c r="O1278" s="181" t="s">
        <v>2115</v>
      </c>
      <c r="P1278" s="181">
        <v>25</v>
      </c>
      <c r="Q1278" s="181">
        <v>50</v>
      </c>
      <c r="R1278" s="181">
        <f>2134630/4</f>
        <v>533657.5</v>
      </c>
      <c r="S1278" s="181">
        <f>2134630/2</f>
        <v>1067315</v>
      </c>
      <c r="X1278" s="181">
        <v>300000</v>
      </c>
      <c r="Y1278" s="181">
        <v>600000</v>
      </c>
      <c r="Z1278" s="181">
        <v>26599.999999999996</v>
      </c>
      <c r="AA1278" s="181">
        <v>26599.999999999996</v>
      </c>
      <c r="AB1278" s="181">
        <v>7000</v>
      </c>
      <c r="AC1278" s="181">
        <v>15000</v>
      </c>
      <c r="AD1278" s="181">
        <v>34075000</v>
      </c>
      <c r="AE1278" s="181">
        <v>34075000</v>
      </c>
      <c r="AY1278" s="181">
        <v>300000.00000000006</v>
      </c>
      <c r="AZ1278" s="181">
        <v>600000.00000000012</v>
      </c>
      <c r="BA1278" s="181" t="s">
        <v>1135</v>
      </c>
      <c r="BB1278" s="181" t="s">
        <v>901</v>
      </c>
      <c r="BC1278" s="181">
        <v>92747.205000000075</v>
      </c>
      <c r="BD1278" s="181">
        <v>299413.87166666676</v>
      </c>
      <c r="BE1278" s="181">
        <v>572469.99999999988</v>
      </c>
      <c r="BF1278" s="181">
        <v>572469.99999999988</v>
      </c>
      <c r="BG1278" s="181">
        <v>160000</v>
      </c>
      <c r="BH1278" s="181">
        <v>340000</v>
      </c>
      <c r="BI1278" s="181">
        <v>348411.31649250007</v>
      </c>
      <c r="BJ1278" s="181">
        <v>440341.27634337131</v>
      </c>
      <c r="BU1278" s="181" t="s">
        <v>924</v>
      </c>
      <c r="BV1278" s="181">
        <v>450.17293500000005</v>
      </c>
      <c r="BW1278" s="181">
        <v>891.84396000000015</v>
      </c>
      <c r="CA1278" s="181">
        <v>128903.17698362851</v>
      </c>
      <c r="CB1278" s="181">
        <v>225830.77433109909</v>
      </c>
      <c r="CI1278" s="181">
        <v>0.2</v>
      </c>
      <c r="FF1278" s="181" t="s">
        <v>1294</v>
      </c>
      <c r="FG1278" s="181" t="s">
        <v>901</v>
      </c>
      <c r="FH1278" s="181">
        <v>7000</v>
      </c>
      <c r="FI1278" s="181">
        <v>15000</v>
      </c>
      <c r="FJ1278" s="181">
        <v>28999999.999999996</v>
      </c>
      <c r="FK1278" s="181">
        <v>28999999.999999996</v>
      </c>
      <c r="FL1278" s="181">
        <v>7000</v>
      </c>
      <c r="FM1278" s="181">
        <v>15000</v>
      </c>
      <c r="FN1278" s="181">
        <v>28999999.999999996</v>
      </c>
      <c r="FO1278" s="181">
        <v>28999999.999999996</v>
      </c>
      <c r="FY1278" s="181">
        <v>0</v>
      </c>
      <c r="FZ1278" s="181">
        <v>0</v>
      </c>
      <c r="GA1278" s="181">
        <v>0</v>
      </c>
      <c r="GB1278" s="181">
        <v>0</v>
      </c>
      <c r="GC1278" s="181">
        <v>0</v>
      </c>
      <c r="GD1278" s="181">
        <v>0</v>
      </c>
      <c r="GR1278" s="181" t="s">
        <v>177</v>
      </c>
      <c r="GS1278" s="181">
        <v>206133.33333333331</v>
      </c>
      <c r="GT1278" s="181">
        <v>745533.33333333326</v>
      </c>
      <c r="HD1278" s="181" t="s">
        <v>972</v>
      </c>
      <c r="HE1278" s="181">
        <v>6057.5458042000009</v>
      </c>
      <c r="HF1278" s="181">
        <v>12115.091608400002</v>
      </c>
      <c r="HG1278" s="181" t="s">
        <v>1351</v>
      </c>
      <c r="HH1278" s="181">
        <v>9315</v>
      </c>
      <c r="HI1278" s="181">
        <v>18630</v>
      </c>
      <c r="HL1278" s="181" t="s">
        <v>1224</v>
      </c>
    </row>
    <row r="1279" spans="1:235" ht="144">
      <c r="A1279" s="181" t="s">
        <v>251</v>
      </c>
      <c r="F1279" s="181" t="s">
        <v>725</v>
      </c>
      <c r="G1279" s="181">
        <v>150</v>
      </c>
      <c r="I1279" s="2051" t="s">
        <v>2473</v>
      </c>
      <c r="J1279" s="181" t="s">
        <v>2478</v>
      </c>
      <c r="K1279" s="181">
        <v>100</v>
      </c>
      <c r="L1279" s="181" t="s">
        <v>933</v>
      </c>
      <c r="M1279" s="181">
        <v>1</v>
      </c>
      <c r="N1279" s="181" t="s">
        <v>2140</v>
      </c>
      <c r="O1279" s="181" t="s">
        <v>2115</v>
      </c>
      <c r="P1279" s="181">
        <v>25</v>
      </c>
      <c r="Q1279" s="181">
        <v>50</v>
      </c>
      <c r="AB1279" s="181">
        <v>4000</v>
      </c>
      <c r="AC1279" s="181">
        <v>11000.000000000002</v>
      </c>
      <c r="AD1279" s="181">
        <v>10367500.000000002</v>
      </c>
      <c r="AE1279" s="181">
        <v>10367500.000000002</v>
      </c>
      <c r="BA1279" s="181" t="s">
        <v>1136</v>
      </c>
      <c r="BB1279" s="181" t="s">
        <v>901</v>
      </c>
      <c r="BC1279" s="181">
        <v>57921.604999999981</v>
      </c>
      <c r="BD1279" s="181">
        <v>150921.60499999998</v>
      </c>
      <c r="BE1279" s="181">
        <v>975949.99999999988</v>
      </c>
      <c r="BF1279" s="181">
        <v>975950.00000000012</v>
      </c>
      <c r="BG1279" s="181">
        <v>72000</v>
      </c>
      <c r="BH1279" s="181">
        <v>153000</v>
      </c>
      <c r="BI1279" s="181">
        <v>807199.04606818152</v>
      </c>
      <c r="BJ1279" s="181">
        <v>876436.56981373648</v>
      </c>
      <c r="BU1279" s="181" t="s">
        <v>333</v>
      </c>
      <c r="BV1279" s="181">
        <f>10617.29271735+11.25</f>
        <v>10628.542717349999</v>
      </c>
      <c r="BW1279" s="181">
        <f>21234.5854347+22.5</f>
        <v>21257.085434699999</v>
      </c>
      <c r="CI1279" s="181">
        <v>0.09</v>
      </c>
      <c r="FF1279" s="181" t="s">
        <v>1295</v>
      </c>
      <c r="FG1279" s="181" t="s">
        <v>901</v>
      </c>
      <c r="FH1279" s="181">
        <v>4000</v>
      </c>
      <c r="FI1279" s="181">
        <v>11000.000000000004</v>
      </c>
      <c r="FJ1279" s="181">
        <v>9424999.9999999981</v>
      </c>
      <c r="FK1279" s="181">
        <v>9425000</v>
      </c>
      <c r="FL1279" s="181">
        <v>4000</v>
      </c>
      <c r="FM1279" s="181">
        <v>11000.000000000004</v>
      </c>
      <c r="FN1279" s="181">
        <v>9424999.9999999981</v>
      </c>
      <c r="FO1279" s="181">
        <v>9424999.9999999981</v>
      </c>
      <c r="FY1279" s="181">
        <v>0</v>
      </c>
      <c r="FZ1279" s="181">
        <v>0</v>
      </c>
      <c r="GA1279" s="181">
        <v>0</v>
      </c>
      <c r="GB1279" s="181">
        <v>0</v>
      </c>
      <c r="GC1279" s="181">
        <v>0</v>
      </c>
      <c r="GD1279" s="181">
        <v>0</v>
      </c>
      <c r="GR1279" s="181" t="s">
        <v>178</v>
      </c>
      <c r="GS1279" s="181">
        <v>0</v>
      </c>
      <c r="GT1279" s="181">
        <v>0</v>
      </c>
      <c r="HD1279" s="181" t="s">
        <v>2482</v>
      </c>
      <c r="HE1279" s="181">
        <v>6168.1507249166661</v>
      </c>
      <c r="HF1279" s="181">
        <v>12336.301449833332</v>
      </c>
      <c r="HG1279" s="181" t="s">
        <v>1352</v>
      </c>
      <c r="HH1279" s="181">
        <v>2475</v>
      </c>
      <c r="HI1279" s="181">
        <v>4950</v>
      </c>
      <c r="HL1279" s="181" t="s">
        <v>2120</v>
      </c>
    </row>
    <row r="1280" spans="1:235">
      <c r="A1280" s="181" t="s">
        <v>251</v>
      </c>
      <c r="F1280" s="181" t="s">
        <v>2474</v>
      </c>
      <c r="G1280" s="181">
        <v>150</v>
      </c>
      <c r="I1280" s="183" t="s">
        <v>2150</v>
      </c>
      <c r="AB1280" s="181">
        <v>4000.0000000000009</v>
      </c>
      <c r="AC1280" s="181">
        <v>7000.0000000000009</v>
      </c>
      <c r="AD1280" s="181">
        <v>3349500.0000000005</v>
      </c>
      <c r="AE1280" s="181">
        <v>3349500.0000000005</v>
      </c>
      <c r="BA1280" s="181" t="s">
        <v>1345</v>
      </c>
      <c r="BB1280" s="181" t="s">
        <v>901</v>
      </c>
      <c r="BC1280" s="181">
        <v>143558.08523299999</v>
      </c>
      <c r="BD1280" s="181">
        <v>350224.75189966668</v>
      </c>
      <c r="BE1280" s="181">
        <v>275100</v>
      </c>
      <c r="BF1280" s="181">
        <v>275100</v>
      </c>
      <c r="BG1280" s="181">
        <v>160000</v>
      </c>
      <c r="BH1280" s="181">
        <v>340000</v>
      </c>
      <c r="BI1280" s="181">
        <v>205463.10781181036</v>
      </c>
      <c r="BJ1280" s="181">
        <v>234034.71504784704</v>
      </c>
      <c r="CI1280" s="181">
        <v>0.2</v>
      </c>
      <c r="FF1280" s="181" t="s">
        <v>1296</v>
      </c>
      <c r="FG1280" s="181" t="s">
        <v>901</v>
      </c>
      <c r="FH1280" s="181">
        <v>4000.0000000000014</v>
      </c>
      <c r="FI1280" s="181">
        <v>7000.0000000000018</v>
      </c>
      <c r="FJ1280" s="181">
        <v>3044999.9999999995</v>
      </c>
      <c r="FK1280" s="181">
        <v>3044999.9999999991</v>
      </c>
      <c r="FL1280" s="181">
        <v>4000.0000000000014</v>
      </c>
      <c r="FM1280" s="181">
        <v>7000.0000000000018</v>
      </c>
      <c r="FN1280" s="181">
        <v>3045000</v>
      </c>
      <c r="FO1280" s="181">
        <v>3045000</v>
      </c>
      <c r="FY1280" s="181">
        <v>0</v>
      </c>
      <c r="FZ1280" s="181">
        <v>0</v>
      </c>
      <c r="GA1280" s="181">
        <v>0</v>
      </c>
      <c r="GB1280" s="181">
        <v>0</v>
      </c>
      <c r="GC1280" s="181">
        <v>0</v>
      </c>
      <c r="GD1280" s="181">
        <v>0</v>
      </c>
      <c r="GR1280" s="181" t="s">
        <v>1707</v>
      </c>
      <c r="GS1280" s="181">
        <v>0</v>
      </c>
      <c r="GT1280" s="181">
        <v>0</v>
      </c>
      <c r="HD1280" s="181" t="s">
        <v>1349</v>
      </c>
      <c r="HE1280" s="181">
        <v>4280.5962164166667</v>
      </c>
      <c r="HF1280" s="181">
        <v>8561.1924328333334</v>
      </c>
      <c r="HG1280" s="181" t="s">
        <v>887</v>
      </c>
      <c r="HH1280" s="181">
        <v>295.17804499999994</v>
      </c>
      <c r="HI1280" s="181">
        <v>543.04678699999988</v>
      </c>
      <c r="HL1280" s="181" t="s">
        <v>1742</v>
      </c>
    </row>
    <row r="1281" spans="1:220">
      <c r="A1281" s="181" t="s">
        <v>251</v>
      </c>
      <c r="I1281" s="183" t="s">
        <v>2475</v>
      </c>
      <c r="AB1281" s="181">
        <v>9999.9999999999964</v>
      </c>
      <c r="AC1281" s="181">
        <v>21499.999999999996</v>
      </c>
      <c r="AD1281" s="181">
        <v>6380000.0000000028</v>
      </c>
      <c r="AE1281" s="181">
        <v>6380000.0000000028</v>
      </c>
      <c r="BA1281" s="181" t="s">
        <v>1143</v>
      </c>
      <c r="BB1281" s="181" t="s">
        <v>901</v>
      </c>
      <c r="BC1281" s="181">
        <v>14122.838622000003</v>
      </c>
      <c r="BD1281" s="181">
        <v>34789.505288666667</v>
      </c>
      <c r="BE1281" s="181">
        <v>157200.00000000003</v>
      </c>
      <c r="BF1281" s="181">
        <v>157200.00000000003</v>
      </c>
      <c r="BG1281" s="181">
        <v>16000</v>
      </c>
      <c r="BH1281" s="181">
        <v>34000</v>
      </c>
      <c r="BI1281" s="181">
        <v>132969.09706265462</v>
      </c>
      <c r="BJ1281" s="181">
        <v>142910.89400312427</v>
      </c>
      <c r="CI1281" s="181">
        <v>0.02</v>
      </c>
      <c r="FF1281" s="181" t="s">
        <v>2481</v>
      </c>
      <c r="FG1281" s="181" t="s">
        <v>901</v>
      </c>
      <c r="FH1281" s="181">
        <v>9999.9999999999964</v>
      </c>
      <c r="FI1281" s="181">
        <v>21499.999999999996</v>
      </c>
      <c r="FJ1281" s="181">
        <v>5800000</v>
      </c>
      <c r="FK1281" s="181">
        <v>5800000</v>
      </c>
      <c r="FL1281" s="181">
        <v>9999.9999999999964</v>
      </c>
      <c r="FM1281" s="181">
        <v>21499.999999999996</v>
      </c>
      <c r="FN1281" s="181">
        <v>5800000</v>
      </c>
      <c r="FO1281" s="181">
        <v>5800000</v>
      </c>
      <c r="FY1281" s="181">
        <v>0</v>
      </c>
      <c r="FZ1281" s="181">
        <v>14</v>
      </c>
      <c r="GA1281" s="181">
        <v>0</v>
      </c>
      <c r="GB1281" s="181">
        <v>0</v>
      </c>
      <c r="GC1281" s="181">
        <v>14</v>
      </c>
      <c r="GD1281" s="181">
        <v>0</v>
      </c>
      <c r="GR1281" s="181" t="s">
        <v>175</v>
      </c>
      <c r="GS1281" s="181">
        <v>0</v>
      </c>
      <c r="GT1281" s="181">
        <v>0</v>
      </c>
      <c r="HD1281" s="181" t="s">
        <v>927</v>
      </c>
      <c r="HE1281" s="181">
        <v>1788.0387758625</v>
      </c>
      <c r="HF1281" s="181">
        <v>3576.0775517249999</v>
      </c>
      <c r="HG1281" s="181" t="s">
        <v>2484</v>
      </c>
      <c r="HH1281" s="181">
        <v>330.01578500000005</v>
      </c>
      <c r="HI1281" s="181">
        <v>660.0315700000001</v>
      </c>
      <c r="HL1281" s="181" t="s">
        <v>917</v>
      </c>
    </row>
    <row r="1282" spans="1:220">
      <c r="A1282" s="181" t="s">
        <v>251</v>
      </c>
      <c r="I1282" s="181" t="s">
        <v>1328</v>
      </c>
      <c r="AB1282" s="181">
        <v>80996.999999999985</v>
      </c>
      <c r="AC1282" s="181">
        <v>172651.49999999997</v>
      </c>
      <c r="AD1282" s="181">
        <v>1000000</v>
      </c>
      <c r="AE1282" s="181">
        <v>1000000</v>
      </c>
      <c r="BA1282" s="181" t="s">
        <v>1144</v>
      </c>
      <c r="BB1282" s="181" t="s">
        <v>901</v>
      </c>
      <c r="BC1282" s="181">
        <v>12464.675000000003</v>
      </c>
      <c r="BD1282" s="181">
        <v>33131.341666666667</v>
      </c>
      <c r="BE1282" s="181">
        <v>582949.99999999988</v>
      </c>
      <c r="BF1282" s="181">
        <v>582950</v>
      </c>
      <c r="BG1282" s="181">
        <v>16000</v>
      </c>
      <c r="BH1282" s="181">
        <v>34000</v>
      </c>
      <c r="BI1282" s="181">
        <v>401745.00410227297</v>
      </c>
      <c r="BJ1282" s="181">
        <v>476092.34800736984</v>
      </c>
      <c r="CI1282" s="181">
        <v>0.02</v>
      </c>
      <c r="FF1282" s="181" t="s">
        <v>333</v>
      </c>
      <c r="FG1282" s="181" t="s">
        <v>666</v>
      </c>
      <c r="FH1282" s="181">
        <v>60609.999999999993</v>
      </c>
      <c r="FI1282" s="181">
        <v>129195</v>
      </c>
      <c r="FJ1282" s="181">
        <v>1000000</v>
      </c>
      <c r="FK1282" s="181">
        <v>1000000</v>
      </c>
      <c r="FL1282" s="181">
        <v>60609.999999999993</v>
      </c>
      <c r="FM1282" s="181">
        <v>129195</v>
      </c>
      <c r="FN1282" s="181">
        <v>1000000</v>
      </c>
      <c r="FO1282" s="181">
        <v>1000000</v>
      </c>
      <c r="GR1282" s="181" t="s">
        <v>308</v>
      </c>
      <c r="GS1282" s="181">
        <v>370770.99383292347</v>
      </c>
      <c r="GT1282" s="181">
        <v>370770.99383292347</v>
      </c>
      <c r="HD1282" s="181" t="s">
        <v>2483</v>
      </c>
      <c r="HE1282" s="181">
        <v>3985.1926850833338</v>
      </c>
      <c r="HF1282" s="181">
        <v>7970.3853701666676</v>
      </c>
      <c r="HG1282" s="181" t="s">
        <v>1156</v>
      </c>
      <c r="HH1282" s="181">
        <f>9875.27192025+11.25+16.25+16.25</f>
        <v>9919.0219202499993</v>
      </c>
      <c r="HI1282" s="181">
        <f>19750.5438405+22.5+32.5+32.5</f>
        <v>19838.043840499999</v>
      </c>
      <c r="HL1282" s="181" t="s">
        <v>894</v>
      </c>
    </row>
    <row r="1283" spans="1:220">
      <c r="A1283" s="181" t="s">
        <v>251</v>
      </c>
      <c r="I1283" s="181" t="s">
        <v>2158</v>
      </c>
      <c r="BA1283" s="181" t="s">
        <v>1346</v>
      </c>
      <c r="BB1283" s="181" t="s">
        <v>901</v>
      </c>
      <c r="BC1283" s="181">
        <v>35967.553333000003</v>
      </c>
      <c r="BD1283" s="181">
        <v>77300.886666333332</v>
      </c>
      <c r="BE1283" s="181">
        <v>851500</v>
      </c>
      <c r="BF1283" s="181">
        <v>851500</v>
      </c>
      <c r="BG1283" s="181">
        <v>32000</v>
      </c>
      <c r="BH1283" s="181">
        <v>68000</v>
      </c>
      <c r="BI1283" s="181">
        <v>628983.09261476132</v>
      </c>
      <c r="BJ1283" s="181">
        <v>720280.47079194</v>
      </c>
      <c r="CI1283" s="181">
        <v>0.04</v>
      </c>
      <c r="GR1283" s="181" t="s">
        <v>1743</v>
      </c>
      <c r="GS1283" s="181">
        <v>0</v>
      </c>
      <c r="GT1283" s="181">
        <v>0</v>
      </c>
    </row>
    <row r="1284" spans="1:220">
      <c r="A1284" s="181" t="s">
        <v>251</v>
      </c>
      <c r="I1284" s="181" t="s">
        <v>2022</v>
      </c>
      <c r="BA1284" s="181" t="s">
        <v>1347</v>
      </c>
      <c r="BB1284" s="181" t="s">
        <v>901</v>
      </c>
      <c r="BC1284" s="181">
        <v>50012.244999999995</v>
      </c>
      <c r="BD1284" s="181">
        <v>91345.578333333324</v>
      </c>
      <c r="BE1284" s="181">
        <v>812199.99999999988</v>
      </c>
      <c r="BF1284" s="181">
        <v>812199.99999999988</v>
      </c>
      <c r="BG1284" s="181">
        <v>32000</v>
      </c>
      <c r="BH1284" s="181">
        <v>68000</v>
      </c>
      <c r="BI1284" s="181">
        <v>818232.68981818168</v>
      </c>
      <c r="BJ1284" s="181">
        <v>815757.51267219242</v>
      </c>
      <c r="CI1284" s="181">
        <v>0.04</v>
      </c>
      <c r="GR1284" s="181" t="s">
        <v>1744</v>
      </c>
      <c r="GS1284" s="181">
        <v>0</v>
      </c>
      <c r="GT1284" s="181">
        <v>0</v>
      </c>
    </row>
    <row r="1285" spans="1:220">
      <c r="A1285" s="181" t="s">
        <v>251</v>
      </c>
      <c r="I1285" s="181" t="s">
        <v>2023</v>
      </c>
      <c r="BA1285" s="181" t="s">
        <v>333</v>
      </c>
      <c r="BB1285" s="181" t="s">
        <v>901</v>
      </c>
      <c r="BC1285" s="181">
        <v>28118.61</v>
      </c>
      <c r="BD1285" s="181">
        <v>48785.276666666665</v>
      </c>
      <c r="BE1285" s="181">
        <v>117900</v>
      </c>
      <c r="BF1285" s="181">
        <v>117900</v>
      </c>
      <c r="BG1285" s="181">
        <v>16000</v>
      </c>
      <c r="BH1285" s="181">
        <v>34000</v>
      </c>
      <c r="BI1285" s="181">
        <v>150690.18722727272</v>
      </c>
      <c r="BJ1285" s="181">
        <v>137236.56629137698</v>
      </c>
      <c r="CI1285" s="181">
        <v>0.02</v>
      </c>
      <c r="GR1285" s="181" t="s">
        <v>1745</v>
      </c>
      <c r="GS1285" s="181">
        <v>0</v>
      </c>
      <c r="GT1285" s="181">
        <v>0</v>
      </c>
    </row>
    <row r="1286" spans="1:220">
      <c r="A1286" s="181" t="s">
        <v>251</v>
      </c>
      <c r="BA1286" s="181" t="s">
        <v>1348</v>
      </c>
      <c r="BB1286" s="181" t="s">
        <v>901</v>
      </c>
      <c r="BC1286" s="181">
        <v>0</v>
      </c>
      <c r="BD1286" s="181">
        <v>6571.431466666656</v>
      </c>
      <c r="BF1286" s="181">
        <v>196500</v>
      </c>
      <c r="BG1286" s="181">
        <v>16000</v>
      </c>
      <c r="BH1286" s="181">
        <v>34000</v>
      </c>
      <c r="BI1286" s="181">
        <v>57874.235945661865</v>
      </c>
      <c r="BJ1286" s="181">
        <v>75959.66397208054</v>
      </c>
      <c r="CI1286" s="181">
        <v>0.02</v>
      </c>
      <c r="GR1286" s="181" t="s">
        <v>871</v>
      </c>
      <c r="GS1286" s="181">
        <v>0</v>
      </c>
      <c r="GT1286" s="181">
        <v>0</v>
      </c>
    </row>
    <row r="1287" spans="1:220">
      <c r="A1287" s="181" t="s">
        <v>251</v>
      </c>
      <c r="BA1287" s="181" t="s">
        <v>1145</v>
      </c>
      <c r="BB1287" s="181" t="s">
        <v>919</v>
      </c>
      <c r="BC1287" s="181">
        <v>16609.058139534882</v>
      </c>
      <c r="BD1287" s="181">
        <v>40640.06589147287</v>
      </c>
      <c r="BE1287" s="181">
        <v>157200.00000000003</v>
      </c>
      <c r="BF1287" s="181">
        <v>157200</v>
      </c>
      <c r="BG1287" s="181">
        <v>18604.651162790698</v>
      </c>
      <c r="BH1287" s="181">
        <v>39534.883720930229</v>
      </c>
      <c r="BI1287" s="181">
        <v>194569.73350272741</v>
      </c>
      <c r="BJ1287" s="181">
        <v>179237.15166852015</v>
      </c>
      <c r="CI1287" s="181">
        <v>2.3255813953488372E-2</v>
      </c>
      <c r="GR1287" s="181" t="s">
        <v>871</v>
      </c>
      <c r="GS1287" s="181">
        <v>0</v>
      </c>
      <c r="GT1287" s="181">
        <v>0</v>
      </c>
    </row>
    <row r="1288" spans="1:220">
      <c r="A1288" s="181" t="s">
        <v>251</v>
      </c>
      <c r="GR1288" s="181" t="s">
        <v>871</v>
      </c>
      <c r="GS1288" s="181">
        <v>0</v>
      </c>
      <c r="GT1288" s="181">
        <v>0</v>
      </c>
    </row>
    <row r="1289" spans="1:220">
      <c r="A1289" s="181" t="s">
        <v>251</v>
      </c>
      <c r="GR1289" s="181" t="s">
        <v>871</v>
      </c>
      <c r="GS1289" s="181">
        <v>0</v>
      </c>
      <c r="GT1289" s="181">
        <v>0</v>
      </c>
    </row>
    <row r="1290" spans="1:220">
      <c r="A1290" s="181" t="s">
        <v>251</v>
      </c>
      <c r="GR1290" s="181" t="s">
        <v>871</v>
      </c>
      <c r="GS1290" s="181">
        <v>0</v>
      </c>
      <c r="GT1290" s="181">
        <v>0</v>
      </c>
    </row>
    <row r="1291" spans="1:220">
      <c r="A1291" s="181" t="s">
        <v>251</v>
      </c>
      <c r="GR1291" s="181" t="s">
        <v>872</v>
      </c>
      <c r="GS1291" s="181">
        <v>0</v>
      </c>
      <c r="GT1291" s="181">
        <v>0</v>
      </c>
    </row>
    <row r="1292" spans="1:220">
      <c r="A1292" s="181" t="s">
        <v>251</v>
      </c>
      <c r="GR1292" s="181" t="s">
        <v>308</v>
      </c>
      <c r="GS1292" s="181">
        <v>0</v>
      </c>
      <c r="GT1292" s="181">
        <v>0</v>
      </c>
    </row>
    <row r="1293" spans="1:220">
      <c r="A1293" s="181" t="s">
        <v>251</v>
      </c>
      <c r="GR1293" s="181" t="s">
        <v>873</v>
      </c>
      <c r="GS1293" s="181">
        <v>0</v>
      </c>
      <c r="GT1293" s="181">
        <v>0</v>
      </c>
    </row>
    <row r="1294" spans="1:220">
      <c r="A1294" s="181" t="s">
        <v>251</v>
      </c>
      <c r="GR1294" s="181" t="s">
        <v>873</v>
      </c>
      <c r="GS1294" s="181">
        <v>0</v>
      </c>
      <c r="GT1294" s="181">
        <v>0</v>
      </c>
    </row>
    <row r="1295" spans="1:220">
      <c r="A1295" s="181" t="s">
        <v>251</v>
      </c>
      <c r="GR1295" s="181" t="s">
        <v>873</v>
      </c>
      <c r="GS1295" s="181">
        <v>0</v>
      </c>
      <c r="GT1295" s="181">
        <v>0</v>
      </c>
    </row>
    <row r="1296" spans="1:220">
      <c r="A1296" s="181" t="s">
        <v>251</v>
      </c>
      <c r="GR1296" s="181" t="s">
        <v>308</v>
      </c>
      <c r="GS1296" s="181">
        <v>0</v>
      </c>
      <c r="GT1296" s="181">
        <v>0</v>
      </c>
    </row>
    <row r="1297" spans="1:202">
      <c r="A1297" s="181" t="s">
        <v>251</v>
      </c>
      <c r="GR1297" s="181" t="s">
        <v>874</v>
      </c>
      <c r="GS1297" s="181">
        <v>0</v>
      </c>
      <c r="GT1297" s="181">
        <v>0</v>
      </c>
    </row>
    <row r="1298" spans="1:202">
      <c r="A1298" s="181" t="s">
        <v>251</v>
      </c>
      <c r="GR1298" s="181" t="s">
        <v>874</v>
      </c>
      <c r="GS1298" s="181">
        <v>0</v>
      </c>
      <c r="GT1298" s="181">
        <v>0</v>
      </c>
    </row>
    <row r="1299" spans="1:202">
      <c r="A1299" s="181" t="s">
        <v>251</v>
      </c>
      <c r="GR1299" s="181" t="s">
        <v>874</v>
      </c>
      <c r="GS1299" s="181">
        <v>0</v>
      </c>
      <c r="GT1299" s="181">
        <v>0</v>
      </c>
    </row>
    <row r="1300" spans="1:202">
      <c r="A1300" s="181" t="s">
        <v>251</v>
      </c>
      <c r="GR1300" s="181" t="s">
        <v>874</v>
      </c>
      <c r="GS1300" s="181">
        <v>0</v>
      </c>
      <c r="GT1300" s="181">
        <v>0</v>
      </c>
    </row>
    <row r="1301" spans="1:202">
      <c r="A1301" s="181" t="s">
        <v>251</v>
      </c>
      <c r="GR1301" s="181" t="s">
        <v>1146</v>
      </c>
      <c r="GS1301" s="181">
        <v>0</v>
      </c>
      <c r="GT1301" s="181">
        <v>0</v>
      </c>
    </row>
    <row r="1302" spans="1:202">
      <c r="A1302" s="181" t="s">
        <v>251</v>
      </c>
      <c r="GR1302" s="181" t="s">
        <v>1147</v>
      </c>
      <c r="GS1302" s="181">
        <v>0</v>
      </c>
      <c r="GT1302" s="181">
        <v>0</v>
      </c>
    </row>
    <row r="1303" spans="1:202">
      <c r="A1303" s="181" t="s">
        <v>251</v>
      </c>
      <c r="GR1303" s="181" t="s">
        <v>969</v>
      </c>
      <c r="GS1303" s="181">
        <v>0</v>
      </c>
      <c r="GT1303" s="181">
        <v>0</v>
      </c>
    </row>
    <row r="1304" spans="1:202">
      <c r="A1304" s="181" t="s">
        <v>251</v>
      </c>
      <c r="GR1304" s="181">
        <v>0</v>
      </c>
      <c r="GS1304" s="181">
        <v>0</v>
      </c>
      <c r="GT1304" s="181">
        <v>0</v>
      </c>
    </row>
    <row r="1305" spans="1:202">
      <c r="A1305" s="181" t="s">
        <v>251</v>
      </c>
      <c r="GR1305" s="181">
        <v>0</v>
      </c>
      <c r="GS1305" s="181">
        <v>0</v>
      </c>
      <c r="GT1305" s="181">
        <v>0</v>
      </c>
    </row>
    <row r="1306" spans="1:202">
      <c r="A1306" s="181" t="s">
        <v>251</v>
      </c>
      <c r="GR1306" s="181">
        <v>0</v>
      </c>
      <c r="GS1306" s="181">
        <v>0</v>
      </c>
      <c r="GT1306" s="181">
        <v>0</v>
      </c>
    </row>
    <row r="1307" spans="1:202">
      <c r="A1307" s="181" t="s">
        <v>251</v>
      </c>
      <c r="GR1307" s="181">
        <v>0</v>
      </c>
      <c r="GS1307" s="181">
        <v>0</v>
      </c>
      <c r="GT1307" s="181">
        <v>0</v>
      </c>
    </row>
    <row r="1308" spans="1:202">
      <c r="A1308" s="181" t="s">
        <v>251</v>
      </c>
      <c r="GR1308" s="181">
        <v>0</v>
      </c>
      <c r="GS1308" s="181">
        <v>0</v>
      </c>
      <c r="GT1308" s="181">
        <v>0</v>
      </c>
    </row>
    <row r="1309" spans="1:202">
      <c r="A1309" s="181" t="s">
        <v>251</v>
      </c>
      <c r="GR1309" s="181">
        <v>0</v>
      </c>
      <c r="GS1309" s="181">
        <v>0</v>
      </c>
      <c r="GT1309" s="181">
        <v>0</v>
      </c>
    </row>
    <row r="1310" spans="1:202">
      <c r="A1310" s="181" t="s">
        <v>251</v>
      </c>
      <c r="GR1310" s="181">
        <v>0</v>
      </c>
      <c r="GS1310" s="181">
        <v>0</v>
      </c>
      <c r="GT1310" s="181">
        <v>0</v>
      </c>
    </row>
    <row r="1311" spans="1:202">
      <c r="A1311" s="181" t="s">
        <v>251</v>
      </c>
      <c r="GR1311" s="181">
        <v>0</v>
      </c>
      <c r="GS1311" s="181">
        <v>0</v>
      </c>
      <c r="GT1311" s="181">
        <v>0</v>
      </c>
    </row>
    <row r="1312" spans="1:202">
      <c r="A1312" s="181" t="s">
        <v>251</v>
      </c>
      <c r="GR1312" s="181">
        <v>0</v>
      </c>
      <c r="GS1312" s="181">
        <v>0</v>
      </c>
      <c r="GT1312" s="181">
        <v>0</v>
      </c>
    </row>
    <row r="1313" spans="1:202">
      <c r="A1313" s="181" t="s">
        <v>251</v>
      </c>
      <c r="GR1313" s="181">
        <v>0</v>
      </c>
      <c r="GS1313" s="181">
        <v>0</v>
      </c>
      <c r="GT1313" s="181">
        <v>0</v>
      </c>
    </row>
    <row r="1314" spans="1:202">
      <c r="A1314" s="181" t="s">
        <v>251</v>
      </c>
      <c r="GR1314" s="181">
        <v>0</v>
      </c>
      <c r="GS1314" s="181">
        <v>0</v>
      </c>
      <c r="GT1314" s="181">
        <v>0</v>
      </c>
    </row>
    <row r="1315" spans="1:202">
      <c r="A1315" s="181" t="s">
        <v>251</v>
      </c>
      <c r="GR1315" s="181">
        <v>0</v>
      </c>
      <c r="GS1315" s="181">
        <v>0</v>
      </c>
      <c r="GT1315" s="181">
        <v>0</v>
      </c>
    </row>
    <row r="1316" spans="1:202">
      <c r="A1316" s="181" t="s">
        <v>251</v>
      </c>
      <c r="GR1316" s="181" t="s">
        <v>309</v>
      </c>
      <c r="GS1316" s="181">
        <v>0</v>
      </c>
      <c r="GT1316" s="181">
        <v>0</v>
      </c>
    </row>
    <row r="1317" spans="1:202">
      <c r="A1317" s="181" t="s">
        <v>251</v>
      </c>
      <c r="GR1317" s="181" t="s">
        <v>309</v>
      </c>
      <c r="GS1317" s="181">
        <v>0</v>
      </c>
      <c r="GT1317" s="181">
        <v>0</v>
      </c>
    </row>
    <row r="1318" spans="1:202">
      <c r="A1318" s="181" t="s">
        <v>251</v>
      </c>
      <c r="GR1318" s="181" t="s">
        <v>309</v>
      </c>
      <c r="GS1318" s="181">
        <v>0</v>
      </c>
      <c r="GT1318" s="181">
        <v>0</v>
      </c>
    </row>
    <row r="1319" spans="1:202">
      <c r="A1319" s="181" t="s">
        <v>251</v>
      </c>
      <c r="GS1319" s="181">
        <v>1223151.6543325137</v>
      </c>
      <c r="GT1319" s="181">
        <v>2329650.8209991804</v>
      </c>
    </row>
    <row r="1320" spans="1:202">
      <c r="A1320" s="181" t="s">
        <v>251</v>
      </c>
      <c r="GR1320" s="181" t="s">
        <v>875</v>
      </c>
      <c r="GS1320" s="181">
        <v>0</v>
      </c>
      <c r="GT1320" s="181">
        <v>0</v>
      </c>
    </row>
    <row r="1321" spans="1:202">
      <c r="A1321" s="181" t="s">
        <v>251</v>
      </c>
      <c r="GR1321" s="181" t="s">
        <v>875</v>
      </c>
      <c r="GS1321" s="181">
        <v>0</v>
      </c>
      <c r="GT1321" s="181">
        <v>0</v>
      </c>
    </row>
    <row r="1322" spans="1:202">
      <c r="A1322" s="181" t="s">
        <v>251</v>
      </c>
      <c r="GR1322" s="181" t="s">
        <v>875</v>
      </c>
      <c r="GS1322" s="181">
        <v>0</v>
      </c>
      <c r="GT1322" s="181">
        <v>0</v>
      </c>
    </row>
    <row r="1323" spans="1:202">
      <c r="A1323" s="181" t="s">
        <v>251</v>
      </c>
      <c r="GR1323" s="181" t="s">
        <v>875</v>
      </c>
      <c r="GS1323" s="181">
        <v>0</v>
      </c>
      <c r="GT1323" s="181">
        <v>0</v>
      </c>
    </row>
    <row r="1324" spans="1:202">
      <c r="A1324" s="181" t="s">
        <v>251</v>
      </c>
      <c r="GR1324" s="181" t="s">
        <v>875</v>
      </c>
      <c r="GS1324" s="181">
        <v>0</v>
      </c>
      <c r="GT1324" s="181">
        <v>0</v>
      </c>
    </row>
    <row r="1325" spans="1:202">
      <c r="A1325" s="181" t="s">
        <v>251</v>
      </c>
      <c r="GR1325" s="181" t="s">
        <v>875</v>
      </c>
      <c r="GS1325" s="181">
        <v>0</v>
      </c>
      <c r="GT1325" s="181">
        <v>0</v>
      </c>
    </row>
    <row r="1326" spans="1:202">
      <c r="A1326" s="181" t="s">
        <v>251</v>
      </c>
      <c r="GR1326" s="181" t="s">
        <v>1365</v>
      </c>
      <c r="GS1326" s="181">
        <v>0</v>
      </c>
      <c r="GT1326" s="181">
        <v>0</v>
      </c>
    </row>
    <row r="1327" spans="1:202">
      <c r="A1327" s="181" t="s">
        <v>251</v>
      </c>
      <c r="GR1327" s="181" t="s">
        <v>310</v>
      </c>
      <c r="GS1327" s="181">
        <v>0</v>
      </c>
      <c r="GT1327" s="181">
        <v>0</v>
      </c>
    </row>
    <row r="1328" spans="1:202">
      <c r="A1328" s="181" t="s">
        <v>251</v>
      </c>
      <c r="GR1328" s="181" t="s">
        <v>310</v>
      </c>
      <c r="GS1328" s="181">
        <v>0</v>
      </c>
      <c r="GT1328" s="181">
        <v>0</v>
      </c>
    </row>
    <row r="1329" spans="1:202">
      <c r="A1329" s="181" t="s">
        <v>251</v>
      </c>
      <c r="GR1329" s="181" t="s">
        <v>310</v>
      </c>
      <c r="GS1329" s="181">
        <v>0</v>
      </c>
      <c r="GT1329" s="181">
        <v>0</v>
      </c>
    </row>
    <row r="1330" spans="1:202">
      <c r="A1330" s="181" t="s">
        <v>251</v>
      </c>
      <c r="GR1330" s="181" t="s">
        <v>635</v>
      </c>
      <c r="GS1330" s="181">
        <v>0</v>
      </c>
      <c r="GT1330" s="181">
        <v>0</v>
      </c>
    </row>
    <row r="1331" spans="1:202">
      <c r="A1331" s="181" t="s">
        <v>251</v>
      </c>
      <c r="GR1331" s="181" t="s">
        <v>1746</v>
      </c>
      <c r="GS1331" s="181">
        <v>0</v>
      </c>
      <c r="GT1331" s="181">
        <v>0</v>
      </c>
    </row>
    <row r="1332" spans="1:202">
      <c r="A1332" s="181" t="s">
        <v>251</v>
      </c>
      <c r="GR1332" s="181" t="s">
        <v>876</v>
      </c>
      <c r="GS1332" s="181">
        <v>0</v>
      </c>
      <c r="GT1332" s="181">
        <v>0</v>
      </c>
    </row>
    <row r="1333" spans="1:202">
      <c r="A1333" s="181" t="s">
        <v>251</v>
      </c>
      <c r="GR1333" s="181" t="s">
        <v>876</v>
      </c>
      <c r="GS1333" s="181">
        <v>0</v>
      </c>
      <c r="GT1333" s="181">
        <v>0</v>
      </c>
    </row>
    <row r="1334" spans="1:202">
      <c r="A1334" s="181" t="s">
        <v>251</v>
      </c>
      <c r="GR1334" s="181" t="s">
        <v>876</v>
      </c>
      <c r="GS1334" s="181">
        <v>0</v>
      </c>
      <c r="GT1334" s="181">
        <v>0</v>
      </c>
    </row>
    <row r="1335" spans="1:202">
      <c r="A1335" s="181" t="s">
        <v>251</v>
      </c>
      <c r="GR1335" s="181" t="s">
        <v>1148</v>
      </c>
      <c r="GS1335" s="181">
        <v>0</v>
      </c>
      <c r="GT1335" s="181">
        <v>0</v>
      </c>
    </row>
    <row r="1336" spans="1:202">
      <c r="A1336" s="181" t="s">
        <v>251</v>
      </c>
      <c r="GR1336" s="181" t="s">
        <v>970</v>
      </c>
      <c r="GS1336" s="181">
        <v>25</v>
      </c>
      <c r="GT1336" s="181">
        <v>50.000000000000007</v>
      </c>
    </row>
    <row r="1337" spans="1:202">
      <c r="A1337" s="181" t="s">
        <v>251</v>
      </c>
      <c r="GR1337" s="181" t="s">
        <v>333</v>
      </c>
      <c r="GS1337" s="181">
        <v>0</v>
      </c>
      <c r="GT1337" s="181">
        <v>0</v>
      </c>
    </row>
    <row r="1338" spans="1:202">
      <c r="A1338" s="181" t="s">
        <v>251</v>
      </c>
      <c r="GR1338" s="181" t="s">
        <v>1353</v>
      </c>
      <c r="GS1338" s="181">
        <v>0</v>
      </c>
      <c r="GT1338" s="181">
        <v>0</v>
      </c>
    </row>
    <row r="1339" spans="1:202">
      <c r="A1339" s="181" t="s">
        <v>251</v>
      </c>
      <c r="GR1339" s="181">
        <v>0</v>
      </c>
      <c r="GS1339" s="181">
        <v>0</v>
      </c>
      <c r="GT1339" s="181">
        <v>0</v>
      </c>
    </row>
    <row r="1340" spans="1:202">
      <c r="A1340" s="181" t="s">
        <v>251</v>
      </c>
      <c r="GR1340" s="181">
        <v>0</v>
      </c>
      <c r="GS1340" s="181">
        <v>0</v>
      </c>
      <c r="GT1340" s="181">
        <v>0</v>
      </c>
    </row>
    <row r="1341" spans="1:202">
      <c r="A1341" s="181" t="s">
        <v>251</v>
      </c>
      <c r="GR1341" s="181">
        <v>0</v>
      </c>
      <c r="GS1341" s="181">
        <v>0</v>
      </c>
      <c r="GT1341" s="181">
        <v>0</v>
      </c>
    </row>
    <row r="1342" spans="1:202">
      <c r="A1342" s="181" t="s">
        <v>251</v>
      </c>
      <c r="GR1342" s="181">
        <v>0</v>
      </c>
      <c r="GS1342" s="181">
        <v>0</v>
      </c>
      <c r="GT1342" s="181">
        <v>0</v>
      </c>
    </row>
    <row r="1343" spans="1:202">
      <c r="A1343" s="181" t="s">
        <v>251</v>
      </c>
      <c r="GR1343" s="181">
        <v>0</v>
      </c>
      <c r="GS1343" s="181">
        <v>0</v>
      </c>
      <c r="GT1343" s="181">
        <v>0</v>
      </c>
    </row>
    <row r="1344" spans="1:202">
      <c r="A1344" s="181" t="s">
        <v>251</v>
      </c>
      <c r="GR1344" s="181">
        <v>0</v>
      </c>
      <c r="GS1344" s="181">
        <v>0</v>
      </c>
      <c r="GT1344" s="181">
        <v>0</v>
      </c>
    </row>
    <row r="1345" spans="1:202">
      <c r="A1345" s="181" t="s">
        <v>251</v>
      </c>
      <c r="GR1345" s="181">
        <v>0</v>
      </c>
      <c r="GS1345" s="181">
        <v>0</v>
      </c>
      <c r="GT1345" s="181">
        <v>0</v>
      </c>
    </row>
    <row r="1346" spans="1:202">
      <c r="A1346" s="181" t="s">
        <v>251</v>
      </c>
      <c r="GR1346" s="181">
        <v>0</v>
      </c>
      <c r="GS1346" s="181">
        <v>0</v>
      </c>
      <c r="GT1346" s="181">
        <v>0</v>
      </c>
    </row>
    <row r="1347" spans="1:202">
      <c r="A1347" s="181" t="s">
        <v>251</v>
      </c>
      <c r="GR1347" s="181">
        <v>0</v>
      </c>
      <c r="GS1347" s="181">
        <v>0</v>
      </c>
      <c r="GT1347" s="181">
        <v>0</v>
      </c>
    </row>
    <row r="1348" spans="1:202">
      <c r="A1348" s="181" t="s">
        <v>251</v>
      </c>
      <c r="GR1348" s="181">
        <v>0</v>
      </c>
      <c r="GS1348" s="181">
        <v>0</v>
      </c>
      <c r="GT1348" s="181">
        <v>0</v>
      </c>
    </row>
    <row r="1349" spans="1:202">
      <c r="A1349" s="181" t="s">
        <v>251</v>
      </c>
      <c r="GR1349" s="181">
        <v>0</v>
      </c>
      <c r="GS1349" s="181">
        <v>0</v>
      </c>
      <c r="GT1349" s="181">
        <v>0</v>
      </c>
    </row>
    <row r="1350" spans="1:202">
      <c r="A1350" s="181" t="s">
        <v>251</v>
      </c>
      <c r="GS1350" s="181">
        <v>25</v>
      </c>
      <c r="GT1350" s="181">
        <v>50.000000000000007</v>
      </c>
    </row>
    <row r="1351" spans="1:202">
      <c r="A1351" s="181" t="s">
        <v>251</v>
      </c>
      <c r="GR1351" s="181" t="s">
        <v>1747</v>
      </c>
      <c r="GS1351" s="181">
        <v>0</v>
      </c>
      <c r="GT1351" s="181">
        <v>0</v>
      </c>
    </row>
    <row r="1352" spans="1:202">
      <c r="A1352" s="181" t="s">
        <v>251</v>
      </c>
      <c r="GS1352" s="181">
        <v>1223176.6543325139</v>
      </c>
      <c r="GT1352" s="181">
        <v>2329700.8209991804</v>
      </c>
    </row>
    <row r="1353" spans="1:202">
      <c r="A1353" s="181" t="s">
        <v>251</v>
      </c>
      <c r="GR1353" s="181" t="s">
        <v>312</v>
      </c>
      <c r="GS1353" s="181">
        <v>462839.99999999988</v>
      </c>
      <c r="GT1353" s="181">
        <v>1018915</v>
      </c>
    </row>
    <row r="1354" spans="1:202">
      <c r="A1354" s="181" t="s">
        <v>251</v>
      </c>
      <c r="GR1354" s="181" t="s">
        <v>1748</v>
      </c>
      <c r="GS1354" s="181">
        <v>0</v>
      </c>
      <c r="GT1354" s="181">
        <v>0</v>
      </c>
    </row>
    <row r="1355" spans="1:202">
      <c r="A1355" s="181" t="s">
        <v>251</v>
      </c>
      <c r="GR1355" s="181" t="s">
        <v>312</v>
      </c>
      <c r="GS1355" s="181">
        <v>0</v>
      </c>
      <c r="GT1355" s="181">
        <v>0</v>
      </c>
    </row>
    <row r="1356" spans="1:202">
      <c r="A1356" s="181" t="s">
        <v>251</v>
      </c>
      <c r="GR1356" s="181" t="s">
        <v>312</v>
      </c>
      <c r="GS1356" s="181">
        <v>0</v>
      </c>
      <c r="GT1356" s="181">
        <v>0</v>
      </c>
    </row>
    <row r="1357" spans="1:202">
      <c r="A1357" s="181" t="s">
        <v>251</v>
      </c>
      <c r="GR1357" s="181" t="s">
        <v>312</v>
      </c>
      <c r="GS1357" s="181">
        <v>0</v>
      </c>
      <c r="GT1357" s="181">
        <v>0</v>
      </c>
    </row>
    <row r="1358" spans="1:202">
      <c r="A1358" s="181" t="s">
        <v>251</v>
      </c>
      <c r="GR1358" s="181" t="s">
        <v>312</v>
      </c>
      <c r="GS1358" s="181">
        <v>0</v>
      </c>
      <c r="GT1358" s="181">
        <v>0</v>
      </c>
    </row>
    <row r="1359" spans="1:202">
      <c r="A1359" s="181" t="s">
        <v>251</v>
      </c>
      <c r="GR1359" s="181" t="s">
        <v>312</v>
      </c>
      <c r="GS1359" s="181">
        <v>0</v>
      </c>
      <c r="GT1359" s="181">
        <v>0</v>
      </c>
    </row>
    <row r="1360" spans="1:202">
      <c r="A1360" s="181" t="s">
        <v>251</v>
      </c>
      <c r="GR1360" s="181" t="s">
        <v>877</v>
      </c>
      <c r="GS1360" s="181">
        <v>0</v>
      </c>
      <c r="GT1360" s="181">
        <v>0</v>
      </c>
    </row>
    <row r="1361" spans="1:202">
      <c r="A1361" s="181" t="s">
        <v>251</v>
      </c>
      <c r="GR1361" s="181" t="s">
        <v>878</v>
      </c>
      <c r="GS1361" s="181">
        <v>418066.60877891106</v>
      </c>
      <c r="GT1361" s="181">
        <v>984027.35281404923</v>
      </c>
    </row>
    <row r="1362" spans="1:202">
      <c r="A1362" s="181" t="s">
        <v>251</v>
      </c>
      <c r="GR1362" s="181" t="s">
        <v>878</v>
      </c>
      <c r="GS1362" s="181">
        <v>0</v>
      </c>
      <c r="GT1362" s="181">
        <v>0</v>
      </c>
    </row>
    <row r="1363" spans="1:202">
      <c r="A1363" s="181" t="s">
        <v>251</v>
      </c>
      <c r="GR1363" s="181" t="s">
        <v>878</v>
      </c>
      <c r="GS1363" s="181">
        <v>0</v>
      </c>
      <c r="GT1363" s="181">
        <v>0</v>
      </c>
    </row>
    <row r="1364" spans="1:202">
      <c r="A1364" s="181" t="s">
        <v>251</v>
      </c>
      <c r="GR1364" s="181" t="s">
        <v>878</v>
      </c>
      <c r="GS1364" s="181">
        <v>0</v>
      </c>
      <c r="GT1364" s="181">
        <v>0</v>
      </c>
    </row>
    <row r="1365" spans="1:202">
      <c r="A1365" s="181" t="s">
        <v>251</v>
      </c>
      <c r="GR1365" s="181" t="s">
        <v>878</v>
      </c>
      <c r="GS1365" s="181">
        <v>0</v>
      </c>
      <c r="GT1365" s="181">
        <v>0</v>
      </c>
    </row>
    <row r="1366" spans="1:202">
      <c r="A1366" s="181" t="s">
        <v>251</v>
      </c>
      <c r="GR1366" s="181" t="s">
        <v>878</v>
      </c>
      <c r="GS1366" s="181">
        <v>0</v>
      </c>
      <c r="GT1366" s="181">
        <v>0</v>
      </c>
    </row>
    <row r="1367" spans="1:202">
      <c r="A1367" s="181" t="s">
        <v>251</v>
      </c>
      <c r="GR1367" s="181" t="s">
        <v>878</v>
      </c>
      <c r="GS1367" s="181">
        <v>0</v>
      </c>
      <c r="GT1367" s="181">
        <v>0</v>
      </c>
    </row>
    <row r="1368" spans="1:202">
      <c r="A1368" s="181" t="s">
        <v>251</v>
      </c>
      <c r="GR1368" s="181" t="s">
        <v>878</v>
      </c>
      <c r="GS1368" s="181">
        <v>0</v>
      </c>
      <c r="GT1368" s="181">
        <v>0</v>
      </c>
    </row>
    <row r="1369" spans="1:202">
      <c r="A1369" s="181" t="s">
        <v>251</v>
      </c>
      <c r="GR1369" s="181" t="s">
        <v>878</v>
      </c>
      <c r="GS1369" s="181">
        <v>0</v>
      </c>
      <c r="GT1369" s="181">
        <v>0</v>
      </c>
    </row>
    <row r="1370" spans="1:202">
      <c r="A1370" s="181" t="s">
        <v>251</v>
      </c>
      <c r="GR1370" s="181" t="s">
        <v>879</v>
      </c>
      <c r="GS1370" s="181">
        <v>0</v>
      </c>
      <c r="GT1370" s="181">
        <v>0</v>
      </c>
    </row>
    <row r="1371" spans="1:202">
      <c r="A1371" s="181" t="s">
        <v>251</v>
      </c>
      <c r="GR1371" s="181" t="s">
        <v>1715</v>
      </c>
      <c r="GS1371" s="181">
        <v>10617.292717349999</v>
      </c>
      <c r="GT1371" s="181">
        <v>21234.585434699999</v>
      </c>
    </row>
    <row r="1372" spans="1:202">
      <c r="A1372" s="181" t="s">
        <v>251</v>
      </c>
      <c r="GR1372" s="181" t="s">
        <v>880</v>
      </c>
      <c r="GS1372" s="181">
        <v>38172.113115749991</v>
      </c>
      <c r="GT1372" s="181">
        <v>76344.226231499983</v>
      </c>
    </row>
    <row r="1373" spans="1:202">
      <c r="A1373" s="181" t="s">
        <v>251</v>
      </c>
      <c r="GR1373" s="181" t="s">
        <v>881</v>
      </c>
      <c r="GS1373" s="181">
        <v>45028.330192866677</v>
      </c>
      <c r="GT1373" s="181">
        <v>90056.660385733354</v>
      </c>
    </row>
    <row r="1374" spans="1:202">
      <c r="A1374" s="181" t="s">
        <v>251</v>
      </c>
      <c r="GR1374" s="181" t="s">
        <v>1149</v>
      </c>
      <c r="GS1374" s="181">
        <v>0</v>
      </c>
      <c r="GT1374" s="181">
        <v>0</v>
      </c>
    </row>
    <row r="1375" spans="1:202">
      <c r="A1375" s="181" t="s">
        <v>251</v>
      </c>
      <c r="GR1375" s="181" t="s">
        <v>1749</v>
      </c>
      <c r="GS1375" s="181">
        <v>0</v>
      </c>
      <c r="GT1375" s="181">
        <v>0</v>
      </c>
    </row>
    <row r="1376" spans="1:202">
      <c r="A1376" s="181" t="s">
        <v>251</v>
      </c>
      <c r="GR1376" s="181">
        <v>0</v>
      </c>
      <c r="GS1376" s="181">
        <v>0</v>
      </c>
      <c r="GT1376" s="181">
        <v>0</v>
      </c>
    </row>
    <row r="1377" spans="1:202">
      <c r="A1377" s="181" t="s">
        <v>251</v>
      </c>
      <c r="GR1377" s="181">
        <v>0</v>
      </c>
      <c r="GS1377" s="181">
        <v>0</v>
      </c>
      <c r="GT1377" s="181">
        <v>0</v>
      </c>
    </row>
    <row r="1378" spans="1:202">
      <c r="A1378" s="181" t="s">
        <v>251</v>
      </c>
      <c r="GR1378" s="181">
        <v>0</v>
      </c>
      <c r="GS1378" s="181">
        <v>0</v>
      </c>
      <c r="GT1378" s="181">
        <v>0</v>
      </c>
    </row>
    <row r="1379" spans="1:202">
      <c r="A1379" s="181" t="s">
        <v>251</v>
      </c>
      <c r="GR1379" s="181">
        <v>0</v>
      </c>
      <c r="GS1379" s="181">
        <v>0</v>
      </c>
      <c r="GT1379" s="181">
        <v>0</v>
      </c>
    </row>
    <row r="1380" spans="1:202">
      <c r="A1380" s="181" t="s">
        <v>251</v>
      </c>
      <c r="GR1380" s="181">
        <v>0</v>
      </c>
      <c r="GS1380" s="181">
        <v>0</v>
      </c>
      <c r="GT1380" s="181">
        <v>0</v>
      </c>
    </row>
    <row r="1381" spans="1:202">
      <c r="A1381" s="181" t="s">
        <v>251</v>
      </c>
      <c r="GR1381" s="181">
        <v>0</v>
      </c>
      <c r="GS1381" s="181">
        <v>0</v>
      </c>
      <c r="GT1381" s="181">
        <v>0</v>
      </c>
    </row>
    <row r="1382" spans="1:202">
      <c r="A1382" s="181" t="s">
        <v>251</v>
      </c>
      <c r="GR1382" s="181">
        <v>0</v>
      </c>
      <c r="GS1382" s="181">
        <v>0</v>
      </c>
      <c r="GT1382" s="181">
        <v>0</v>
      </c>
    </row>
    <row r="1383" spans="1:202">
      <c r="A1383" s="181" t="s">
        <v>251</v>
      </c>
      <c r="GR1383" s="181">
        <v>0</v>
      </c>
      <c r="GS1383" s="181">
        <v>0</v>
      </c>
      <c r="GT1383" s="181">
        <v>0</v>
      </c>
    </row>
    <row r="1384" spans="1:202">
      <c r="A1384" s="181" t="s">
        <v>251</v>
      </c>
      <c r="GR1384" s="181">
        <v>0</v>
      </c>
      <c r="GS1384" s="181">
        <v>0</v>
      </c>
      <c r="GT1384" s="181">
        <v>0</v>
      </c>
    </row>
    <row r="1385" spans="1:202">
      <c r="A1385" s="181" t="s">
        <v>251</v>
      </c>
      <c r="GR1385" s="181">
        <v>0</v>
      </c>
      <c r="GS1385" s="181">
        <v>0</v>
      </c>
      <c r="GT1385" s="181">
        <v>0</v>
      </c>
    </row>
    <row r="1386" spans="1:202">
      <c r="A1386" s="181" t="s">
        <v>251</v>
      </c>
      <c r="GR1386" s="181">
        <v>0</v>
      </c>
      <c r="GS1386" s="181">
        <v>0</v>
      </c>
      <c r="GT1386" s="181">
        <v>0</v>
      </c>
    </row>
    <row r="1387" spans="1:202">
      <c r="A1387" s="181" t="s">
        <v>251</v>
      </c>
      <c r="GR1387" s="181">
        <v>0</v>
      </c>
      <c r="GS1387" s="181">
        <v>0</v>
      </c>
      <c r="GT1387" s="181">
        <v>0</v>
      </c>
    </row>
    <row r="1388" spans="1:202">
      <c r="A1388" s="181" t="s">
        <v>251</v>
      </c>
      <c r="GR1388" s="181">
        <v>0</v>
      </c>
      <c r="GS1388" s="181">
        <v>0</v>
      </c>
      <c r="GT1388" s="181">
        <v>0</v>
      </c>
    </row>
    <row r="1389" spans="1:202">
      <c r="A1389" s="181" t="s">
        <v>251</v>
      </c>
      <c r="GR1389" s="181" t="s">
        <v>635</v>
      </c>
      <c r="GS1389" s="181">
        <v>0</v>
      </c>
      <c r="GT1389" s="181">
        <v>100000</v>
      </c>
    </row>
    <row r="1390" spans="1:202">
      <c r="A1390" s="181" t="s">
        <v>251</v>
      </c>
      <c r="GR1390" s="181" t="s">
        <v>876</v>
      </c>
      <c r="GS1390" s="181">
        <v>0</v>
      </c>
      <c r="GT1390" s="181">
        <v>0</v>
      </c>
    </row>
    <row r="1391" spans="1:202">
      <c r="A1391" s="181" t="s">
        <v>251</v>
      </c>
      <c r="GR1391" s="181" t="s">
        <v>876</v>
      </c>
      <c r="GS1391" s="181">
        <v>0</v>
      </c>
      <c r="GT1391" s="181">
        <v>0</v>
      </c>
    </row>
    <row r="1392" spans="1:202">
      <c r="A1392" s="181" t="s">
        <v>251</v>
      </c>
      <c r="GR1392" s="181" t="s">
        <v>1750</v>
      </c>
      <c r="GS1392" s="181">
        <v>0</v>
      </c>
      <c r="GT1392" s="181">
        <v>0</v>
      </c>
    </row>
    <row r="1393" spans="1:202">
      <c r="A1393" s="181" t="s">
        <v>251</v>
      </c>
      <c r="GR1393" s="181" t="s">
        <v>882</v>
      </c>
      <c r="GS1393" s="181">
        <v>0</v>
      </c>
      <c r="GT1393" s="181">
        <v>0</v>
      </c>
    </row>
    <row r="1394" spans="1:202">
      <c r="A1394" s="181" t="s">
        <v>251</v>
      </c>
      <c r="GR1394" s="181" t="s">
        <v>882</v>
      </c>
      <c r="GS1394" s="181">
        <v>0</v>
      </c>
      <c r="GT1394" s="181">
        <v>0</v>
      </c>
    </row>
    <row r="1395" spans="1:202">
      <c r="A1395" s="181" t="s">
        <v>251</v>
      </c>
      <c r="GR1395" s="181" t="s">
        <v>882</v>
      </c>
      <c r="GS1395" s="181">
        <v>0</v>
      </c>
      <c r="GT1395" s="181">
        <v>0</v>
      </c>
    </row>
    <row r="1396" spans="1:202">
      <c r="A1396" s="181" t="s">
        <v>251</v>
      </c>
      <c r="GR1396" s="181" t="s">
        <v>882</v>
      </c>
      <c r="GS1396" s="181">
        <v>0</v>
      </c>
      <c r="GT1396" s="181">
        <v>0</v>
      </c>
    </row>
    <row r="1397" spans="1:202">
      <c r="A1397" s="181" t="s">
        <v>251</v>
      </c>
      <c r="GR1397" s="181" t="s">
        <v>882</v>
      </c>
      <c r="GS1397" s="181">
        <v>0</v>
      </c>
      <c r="GT1397" s="181">
        <v>0</v>
      </c>
    </row>
    <row r="1398" spans="1:202">
      <c r="A1398" s="181" t="s">
        <v>251</v>
      </c>
      <c r="GR1398" s="181" t="s">
        <v>882</v>
      </c>
      <c r="GS1398" s="181">
        <v>0</v>
      </c>
      <c r="GT1398" s="181">
        <v>0</v>
      </c>
    </row>
    <row r="1399" spans="1:202">
      <c r="A1399" s="181" t="s">
        <v>251</v>
      </c>
      <c r="GR1399" s="181" t="s">
        <v>882</v>
      </c>
      <c r="GS1399" s="181">
        <v>0</v>
      </c>
      <c r="GT1399" s="181">
        <v>0</v>
      </c>
    </row>
    <row r="1400" spans="1:202">
      <c r="A1400" s="181" t="s">
        <v>251</v>
      </c>
      <c r="GR1400" s="181" t="s">
        <v>882</v>
      </c>
      <c r="GS1400" s="181">
        <v>0</v>
      </c>
      <c r="GT1400" s="181">
        <v>0</v>
      </c>
    </row>
    <row r="1401" spans="1:202">
      <c r="A1401" s="181" t="s">
        <v>251</v>
      </c>
      <c r="GR1401" s="181" t="s">
        <v>883</v>
      </c>
      <c r="GS1401" s="181">
        <v>0</v>
      </c>
      <c r="GT1401" s="181">
        <v>0</v>
      </c>
    </row>
    <row r="1402" spans="1:202">
      <c r="A1402" s="181" t="s">
        <v>251</v>
      </c>
      <c r="GR1402" s="181" t="s">
        <v>873</v>
      </c>
      <c r="GS1402" s="181">
        <v>0</v>
      </c>
      <c r="GT1402" s="181">
        <v>0</v>
      </c>
    </row>
    <row r="1403" spans="1:202">
      <c r="A1403" s="181" t="s">
        <v>251</v>
      </c>
      <c r="GR1403" s="181" t="s">
        <v>873</v>
      </c>
      <c r="GS1403" s="181">
        <v>0</v>
      </c>
      <c r="GT1403" s="181">
        <v>0</v>
      </c>
    </row>
    <row r="1404" spans="1:202">
      <c r="A1404" s="181" t="s">
        <v>251</v>
      </c>
      <c r="GR1404" s="181" t="s">
        <v>873</v>
      </c>
      <c r="GS1404" s="181">
        <v>0</v>
      </c>
      <c r="GT1404" s="181">
        <v>0</v>
      </c>
    </row>
    <row r="1405" spans="1:202">
      <c r="A1405" s="181" t="s">
        <v>251</v>
      </c>
      <c r="GR1405" s="181" t="s">
        <v>873</v>
      </c>
      <c r="GS1405" s="181">
        <v>0</v>
      </c>
      <c r="GT1405" s="181">
        <v>0</v>
      </c>
    </row>
    <row r="1406" spans="1:202">
      <c r="A1406" s="181" t="s">
        <v>251</v>
      </c>
      <c r="GR1406" s="181" t="s">
        <v>308</v>
      </c>
      <c r="GS1406" s="181">
        <v>0</v>
      </c>
      <c r="GT1406" s="181">
        <v>0</v>
      </c>
    </row>
    <row r="1407" spans="1:202">
      <c r="A1407" s="181" t="s">
        <v>251</v>
      </c>
      <c r="GR1407" s="181" t="s">
        <v>874</v>
      </c>
      <c r="GS1407" s="181">
        <v>0</v>
      </c>
      <c r="GT1407" s="181">
        <v>0</v>
      </c>
    </row>
    <row r="1408" spans="1:202">
      <c r="A1408" s="181" t="s">
        <v>251</v>
      </c>
      <c r="GR1408" s="181" t="s">
        <v>874</v>
      </c>
      <c r="GS1408" s="181">
        <v>0</v>
      </c>
      <c r="GT1408" s="181">
        <v>0</v>
      </c>
    </row>
    <row r="1409" spans="1:202">
      <c r="A1409" s="181" t="s">
        <v>251</v>
      </c>
      <c r="GR1409" s="181" t="s">
        <v>874</v>
      </c>
      <c r="GS1409" s="181">
        <v>0</v>
      </c>
      <c r="GT1409" s="181">
        <v>0</v>
      </c>
    </row>
    <row r="1410" spans="1:202">
      <c r="A1410" s="181" t="s">
        <v>251</v>
      </c>
      <c r="GR1410" s="181" t="s">
        <v>874</v>
      </c>
      <c r="GS1410" s="181">
        <v>0</v>
      </c>
      <c r="GT1410" s="181">
        <v>0</v>
      </c>
    </row>
    <row r="1411" spans="1:202">
      <c r="A1411" s="181" t="s">
        <v>251</v>
      </c>
      <c r="GR1411" s="181" t="s">
        <v>870</v>
      </c>
      <c r="GS1411" s="181">
        <v>0</v>
      </c>
      <c r="GT1411" s="181">
        <v>0</v>
      </c>
    </row>
    <row r="1412" spans="1:202">
      <c r="A1412" s="181" t="s">
        <v>251</v>
      </c>
      <c r="GR1412" s="181" t="s">
        <v>309</v>
      </c>
      <c r="GS1412" s="181">
        <v>0</v>
      </c>
      <c r="GT1412" s="181">
        <v>0</v>
      </c>
    </row>
    <row r="1413" spans="1:202">
      <c r="A1413" s="181" t="s">
        <v>251</v>
      </c>
      <c r="GR1413" s="181" t="s">
        <v>309</v>
      </c>
      <c r="GS1413" s="181">
        <v>0</v>
      </c>
      <c r="GT1413" s="181">
        <v>0</v>
      </c>
    </row>
    <row r="1414" spans="1:202">
      <c r="A1414" s="181" t="s">
        <v>251</v>
      </c>
      <c r="GR1414" s="181" t="s">
        <v>309</v>
      </c>
      <c r="GS1414" s="181">
        <v>0</v>
      </c>
      <c r="GT1414" s="181">
        <v>0</v>
      </c>
    </row>
    <row r="1415" spans="1:202">
      <c r="A1415" s="181" t="s">
        <v>251</v>
      </c>
      <c r="GS1415" s="181">
        <v>974724.34480487765</v>
      </c>
      <c r="GT1415" s="181">
        <v>2290577.8248659824</v>
      </c>
    </row>
    <row r="1416" spans="1:202">
      <c r="A1416" s="181" t="s">
        <v>251</v>
      </c>
      <c r="GR1416" s="181" t="s">
        <v>1751</v>
      </c>
      <c r="GS1416" s="181">
        <v>0</v>
      </c>
      <c r="GT1416" s="181">
        <v>0</v>
      </c>
    </row>
    <row r="1417" spans="1:202">
      <c r="A1417" s="181" t="s">
        <v>251</v>
      </c>
      <c r="GR1417" s="181" t="s">
        <v>1752</v>
      </c>
      <c r="GS1417" s="181">
        <v>0</v>
      </c>
      <c r="GT1417" s="181">
        <v>0</v>
      </c>
    </row>
    <row r="1418" spans="1:202">
      <c r="A1418" s="181" t="s">
        <v>251</v>
      </c>
      <c r="GR1418" s="181" t="s">
        <v>1753</v>
      </c>
      <c r="GS1418" s="181">
        <v>0</v>
      </c>
      <c r="GT1418" s="181">
        <v>0</v>
      </c>
    </row>
    <row r="1419" spans="1:202">
      <c r="A1419" s="181" t="s">
        <v>251</v>
      </c>
      <c r="GR1419" s="181" t="s">
        <v>875</v>
      </c>
      <c r="GS1419" s="181">
        <v>0</v>
      </c>
      <c r="GT1419" s="181">
        <v>0</v>
      </c>
    </row>
    <row r="1420" spans="1:202">
      <c r="A1420" s="181" t="s">
        <v>251</v>
      </c>
      <c r="GR1420" s="181" t="s">
        <v>875</v>
      </c>
      <c r="GS1420" s="181">
        <v>0</v>
      </c>
      <c r="GT1420" s="181">
        <v>0</v>
      </c>
    </row>
    <row r="1421" spans="1:202">
      <c r="A1421" s="181" t="s">
        <v>251</v>
      </c>
      <c r="GR1421" s="181" t="s">
        <v>875</v>
      </c>
      <c r="GS1421" s="181">
        <v>0</v>
      </c>
      <c r="GT1421" s="181">
        <v>0</v>
      </c>
    </row>
    <row r="1422" spans="1:202">
      <c r="A1422" s="181" t="s">
        <v>251</v>
      </c>
      <c r="GR1422" s="181" t="s">
        <v>1365</v>
      </c>
      <c r="GS1422" s="181">
        <v>0</v>
      </c>
      <c r="GT1422" s="181">
        <v>0</v>
      </c>
    </row>
    <row r="1423" spans="1:202">
      <c r="A1423" s="181" t="s">
        <v>251</v>
      </c>
      <c r="GR1423" s="181" t="s">
        <v>1754</v>
      </c>
      <c r="GS1423" s="181">
        <v>0</v>
      </c>
      <c r="GT1423" s="181">
        <v>0</v>
      </c>
    </row>
    <row r="1424" spans="1:202">
      <c r="A1424" s="181" t="s">
        <v>251</v>
      </c>
      <c r="GR1424" s="181" t="s">
        <v>1746</v>
      </c>
      <c r="GS1424" s="181">
        <v>0</v>
      </c>
      <c r="GT1424" s="181">
        <v>0</v>
      </c>
    </row>
    <row r="1425" spans="1:202">
      <c r="A1425" s="181" t="s">
        <v>251</v>
      </c>
      <c r="GR1425" s="181" t="s">
        <v>310</v>
      </c>
      <c r="GS1425" s="181">
        <v>0</v>
      </c>
      <c r="GT1425" s="181">
        <v>0</v>
      </c>
    </row>
    <row r="1426" spans="1:202">
      <c r="A1426" s="181" t="s">
        <v>251</v>
      </c>
      <c r="GR1426" s="181" t="s">
        <v>310</v>
      </c>
      <c r="GS1426" s="181">
        <v>0</v>
      </c>
      <c r="GT1426" s="181">
        <v>0</v>
      </c>
    </row>
    <row r="1427" spans="1:202">
      <c r="A1427" s="181" t="s">
        <v>251</v>
      </c>
      <c r="GR1427" s="181" t="s">
        <v>310</v>
      </c>
      <c r="GS1427" s="181">
        <v>0</v>
      </c>
      <c r="GT1427" s="181">
        <v>0</v>
      </c>
    </row>
    <row r="1428" spans="1:202">
      <c r="A1428" s="181" t="s">
        <v>251</v>
      </c>
      <c r="GR1428" s="181" t="s">
        <v>310</v>
      </c>
      <c r="GS1428" s="181">
        <v>0</v>
      </c>
      <c r="GT1428" s="181">
        <v>0</v>
      </c>
    </row>
    <row r="1429" spans="1:202">
      <c r="A1429" s="181" t="s">
        <v>251</v>
      </c>
      <c r="GR1429" s="181" t="s">
        <v>310</v>
      </c>
      <c r="GS1429" s="181">
        <v>0</v>
      </c>
      <c r="GT1429" s="181">
        <v>0</v>
      </c>
    </row>
    <row r="1430" spans="1:202">
      <c r="A1430" s="181" t="s">
        <v>251</v>
      </c>
      <c r="GR1430" s="181" t="s">
        <v>876</v>
      </c>
      <c r="GS1430" s="181">
        <v>0</v>
      </c>
      <c r="GT1430" s="181">
        <v>0</v>
      </c>
    </row>
    <row r="1431" spans="1:202">
      <c r="A1431" s="181" t="s">
        <v>251</v>
      </c>
      <c r="GR1431" s="181" t="s">
        <v>876</v>
      </c>
      <c r="GS1431" s="181">
        <v>0</v>
      </c>
      <c r="GT1431" s="181">
        <v>0</v>
      </c>
    </row>
    <row r="1432" spans="1:202">
      <c r="A1432" s="181" t="s">
        <v>251</v>
      </c>
      <c r="GR1432" s="181" t="s">
        <v>876</v>
      </c>
      <c r="GS1432" s="181">
        <v>0</v>
      </c>
      <c r="GT1432" s="181">
        <v>0</v>
      </c>
    </row>
    <row r="1433" spans="1:202">
      <c r="A1433" s="181" t="s">
        <v>251</v>
      </c>
      <c r="GR1433" s="181" t="s">
        <v>876</v>
      </c>
      <c r="GS1433" s="181">
        <v>0</v>
      </c>
      <c r="GT1433" s="181">
        <v>0</v>
      </c>
    </row>
    <row r="1434" spans="1:202">
      <c r="A1434" s="181" t="s">
        <v>251</v>
      </c>
      <c r="GR1434" s="181" t="s">
        <v>876</v>
      </c>
      <c r="GS1434" s="181">
        <v>0</v>
      </c>
      <c r="GT1434" s="181">
        <v>0</v>
      </c>
    </row>
    <row r="1435" spans="1:202">
      <c r="A1435" s="181" t="s">
        <v>251</v>
      </c>
      <c r="GR1435" s="181">
        <v>0</v>
      </c>
      <c r="GS1435" s="181">
        <v>0</v>
      </c>
      <c r="GT1435" s="181">
        <v>0</v>
      </c>
    </row>
    <row r="1436" spans="1:202">
      <c r="A1436" s="181" t="s">
        <v>251</v>
      </c>
      <c r="GR1436" s="181">
        <v>0</v>
      </c>
      <c r="GS1436" s="181">
        <v>0</v>
      </c>
      <c r="GT1436" s="181">
        <v>0</v>
      </c>
    </row>
    <row r="1437" spans="1:202">
      <c r="A1437" s="181" t="s">
        <v>251</v>
      </c>
      <c r="GR1437" s="181">
        <v>0</v>
      </c>
      <c r="GS1437" s="181">
        <v>0</v>
      </c>
      <c r="GT1437" s="181">
        <v>0</v>
      </c>
    </row>
    <row r="1438" spans="1:202">
      <c r="A1438" s="181" t="s">
        <v>251</v>
      </c>
      <c r="GR1438" s="181">
        <v>0</v>
      </c>
      <c r="GS1438" s="181">
        <v>0</v>
      </c>
      <c r="GT1438" s="181">
        <v>0</v>
      </c>
    </row>
    <row r="1439" spans="1:202">
      <c r="A1439" s="181" t="s">
        <v>251</v>
      </c>
      <c r="GR1439" s="181">
        <v>0</v>
      </c>
      <c r="GS1439" s="181">
        <v>0</v>
      </c>
      <c r="GT1439" s="181">
        <v>0</v>
      </c>
    </row>
    <row r="1440" spans="1:202">
      <c r="A1440" s="181" t="s">
        <v>251</v>
      </c>
      <c r="GR1440" s="181">
        <v>0</v>
      </c>
      <c r="GS1440" s="181">
        <v>0</v>
      </c>
      <c r="GT1440" s="181">
        <v>0</v>
      </c>
    </row>
    <row r="1441" spans="1:202">
      <c r="A1441" s="181" t="s">
        <v>251</v>
      </c>
      <c r="GR1441" s="181">
        <v>0</v>
      </c>
      <c r="GS1441" s="181">
        <v>0</v>
      </c>
      <c r="GT1441" s="181">
        <v>0</v>
      </c>
    </row>
    <row r="1442" spans="1:202">
      <c r="A1442" s="181" t="s">
        <v>251</v>
      </c>
      <c r="GR1442" s="181">
        <v>0</v>
      </c>
      <c r="GS1442" s="181">
        <v>0</v>
      </c>
      <c r="GT1442" s="181">
        <v>0</v>
      </c>
    </row>
    <row r="1443" spans="1:202">
      <c r="A1443" s="181" t="s">
        <v>251</v>
      </c>
      <c r="GR1443" s="181">
        <v>0</v>
      </c>
      <c r="GS1443" s="181">
        <v>0</v>
      </c>
      <c r="GT1443" s="181">
        <v>0</v>
      </c>
    </row>
    <row r="1444" spans="1:202">
      <c r="A1444" s="181" t="s">
        <v>251</v>
      </c>
      <c r="GR1444" s="181">
        <v>0</v>
      </c>
      <c r="GS1444" s="181">
        <v>0</v>
      </c>
      <c r="GT1444" s="181">
        <v>0</v>
      </c>
    </row>
    <row r="1445" spans="1:202">
      <c r="A1445" s="181" t="s">
        <v>251</v>
      </c>
      <c r="GR1445" s="181">
        <v>0</v>
      </c>
      <c r="GS1445" s="181">
        <v>0</v>
      </c>
      <c r="GT1445" s="181">
        <v>0</v>
      </c>
    </row>
    <row r="1446" spans="1:202">
      <c r="A1446" s="181" t="s">
        <v>251</v>
      </c>
      <c r="GR1446" s="181">
        <v>0</v>
      </c>
      <c r="GS1446" s="181">
        <v>0</v>
      </c>
      <c r="GT1446" s="181">
        <v>0</v>
      </c>
    </row>
    <row r="1447" spans="1:202">
      <c r="A1447" s="181" t="s">
        <v>251</v>
      </c>
      <c r="GR1447" s="181">
        <v>0</v>
      </c>
      <c r="GS1447" s="181">
        <v>0</v>
      </c>
      <c r="GT1447" s="181">
        <v>0</v>
      </c>
    </row>
    <row r="1448" spans="1:202">
      <c r="A1448" s="181" t="s">
        <v>251</v>
      </c>
      <c r="GR1448" s="181">
        <v>0</v>
      </c>
      <c r="GS1448" s="181">
        <v>0</v>
      </c>
      <c r="GT1448" s="181">
        <v>0</v>
      </c>
    </row>
    <row r="1449" spans="1:202">
      <c r="A1449" s="181" t="s">
        <v>251</v>
      </c>
      <c r="GR1449" s="181">
        <v>0</v>
      </c>
      <c r="GS1449" s="181">
        <v>0</v>
      </c>
      <c r="GT1449" s="181">
        <v>0</v>
      </c>
    </row>
    <row r="1450" spans="1:202">
      <c r="A1450" s="181" t="s">
        <v>251</v>
      </c>
      <c r="GS1450" s="181">
        <v>0</v>
      </c>
      <c r="GT1450" s="181">
        <v>0</v>
      </c>
    </row>
    <row r="1451" spans="1:202">
      <c r="A1451" s="181" t="s">
        <v>251</v>
      </c>
      <c r="GR1451" s="181" t="s">
        <v>309</v>
      </c>
      <c r="GS1451" s="181">
        <v>21701.593318498897</v>
      </c>
      <c r="GT1451" s="181">
        <v>43403.186636997794</v>
      </c>
    </row>
    <row r="1452" spans="1:202">
      <c r="A1452" s="181" t="s">
        <v>251</v>
      </c>
      <c r="GS1452" s="181">
        <v>996425.93812337657</v>
      </c>
      <c r="GT1452" s="181">
        <v>2333981.0115029803</v>
      </c>
    </row>
    <row r="1453" spans="1:202">
      <c r="A1453" s="181" t="s">
        <v>251</v>
      </c>
      <c r="GS1453" s="181">
        <v>226750.71620913726</v>
      </c>
      <c r="GT1453" s="181">
        <v>-4280.1905037996185</v>
      </c>
    </row>
    <row r="1454" spans="1:202">
      <c r="A1454" s="181" t="s">
        <v>251</v>
      </c>
      <c r="GS1454" s="181">
        <v>86296.472837039822</v>
      </c>
      <c r="GT1454" s="181">
        <v>86296.472837039822</v>
      </c>
    </row>
    <row r="1455" spans="1:202">
      <c r="A1455" s="181" t="s">
        <v>251</v>
      </c>
    </row>
    <row r="1456" spans="1:202">
      <c r="A1456" s="181" t="s">
        <v>251</v>
      </c>
    </row>
    <row r="1457" spans="1:1">
      <c r="A1457" s="181" t="s">
        <v>251</v>
      </c>
    </row>
    <row r="1458" spans="1:1">
      <c r="A1458" s="181" t="s">
        <v>251</v>
      </c>
    </row>
    <row r="1459" spans="1:1">
      <c r="A1459" s="181" t="s">
        <v>251</v>
      </c>
    </row>
    <row r="1460" spans="1:1">
      <c r="A1460" s="181" t="s">
        <v>251</v>
      </c>
    </row>
    <row r="1461" spans="1:1">
      <c r="A1461" s="181" t="s">
        <v>251</v>
      </c>
    </row>
    <row r="1462" spans="1:1">
      <c r="A1462" s="181" t="s">
        <v>251</v>
      </c>
    </row>
    <row r="1463" spans="1:1">
      <c r="A1463" s="181" t="s">
        <v>251</v>
      </c>
    </row>
    <row r="1464" spans="1:1">
      <c r="A1464" s="181" t="s">
        <v>251</v>
      </c>
    </row>
    <row r="1465" spans="1:1">
      <c r="A1465" s="181" t="s">
        <v>251</v>
      </c>
    </row>
    <row r="1466" spans="1:1">
      <c r="A1466" s="181" t="s">
        <v>251</v>
      </c>
    </row>
    <row r="1467" spans="1:1">
      <c r="A1467" s="181" t="s">
        <v>251</v>
      </c>
    </row>
    <row r="1468" spans="1:1">
      <c r="A1468" s="181" t="s">
        <v>251</v>
      </c>
    </row>
    <row r="1469" spans="1:1">
      <c r="A1469" s="181" t="s">
        <v>251</v>
      </c>
    </row>
    <row r="1470" spans="1:1">
      <c r="A1470" s="181" t="s">
        <v>251</v>
      </c>
    </row>
    <row r="1471" spans="1:1">
      <c r="A1471" s="181" t="s">
        <v>251</v>
      </c>
    </row>
    <row r="1472" spans="1:1">
      <c r="A1472" s="181" t="s">
        <v>251</v>
      </c>
    </row>
    <row r="1473" spans="1:248">
      <c r="A1473" s="181" t="s">
        <v>251</v>
      </c>
    </row>
    <row r="1474" spans="1:248">
      <c r="A1474" s="181" t="s">
        <v>251</v>
      </c>
    </row>
    <row r="1475" spans="1:248">
      <c r="A1475" s="181" t="s">
        <v>251</v>
      </c>
    </row>
    <row r="1476" spans="1:248">
      <c r="A1476" s="181" t="s">
        <v>251</v>
      </c>
    </row>
    <row r="1477" spans="1:248">
      <c r="A1477" s="181" t="s">
        <v>251</v>
      </c>
    </row>
    <row r="1478" spans="1:248">
      <c r="A1478" s="181" t="s">
        <v>251</v>
      </c>
    </row>
    <row r="1479" spans="1:248">
      <c r="A1479" s="181" t="s">
        <v>251</v>
      </c>
    </row>
    <row r="1480" spans="1:248">
      <c r="A1480" s="181" t="s">
        <v>251</v>
      </c>
    </row>
    <row r="1481" spans="1:248">
      <c r="A1481" s="181" t="s">
        <v>240</v>
      </c>
      <c r="B1481" s="181" t="s">
        <v>2512</v>
      </c>
      <c r="C1481" s="181" t="s">
        <v>1110</v>
      </c>
      <c r="D1481" s="181" t="s">
        <v>1299</v>
      </c>
      <c r="E1481" s="181" t="s">
        <v>1151</v>
      </c>
      <c r="F1481" s="181" t="s">
        <v>1680</v>
      </c>
      <c r="G1481" s="181">
        <v>9980</v>
      </c>
      <c r="H1481" s="181">
        <v>13</v>
      </c>
      <c r="I1481" s="181" t="s">
        <v>2487</v>
      </c>
      <c r="J1481" s="181" t="s">
        <v>2495</v>
      </c>
      <c r="K1481" s="181">
        <v>100</v>
      </c>
      <c r="L1481" s="181" t="s">
        <v>933</v>
      </c>
      <c r="M1481" s="181">
        <v>1</v>
      </c>
      <c r="N1481" s="181" t="s">
        <v>2507</v>
      </c>
      <c r="O1481" s="181" t="s">
        <v>2037</v>
      </c>
      <c r="P1481" s="181">
        <v>100</v>
      </c>
      <c r="Q1481" s="181">
        <v>100</v>
      </c>
      <c r="R1481" s="181">
        <v>1500</v>
      </c>
      <c r="S1481" s="181">
        <v>1500</v>
      </c>
      <c r="V1481" s="181">
        <v>72000</v>
      </c>
      <c r="W1481" s="181">
        <v>16934</v>
      </c>
      <c r="X1481" s="181">
        <v>4310.67</v>
      </c>
      <c r="Y1481" s="181">
        <v>7902.8950000000004</v>
      </c>
      <c r="Z1481" s="181">
        <v>6401118.2733194614</v>
      </c>
      <c r="AA1481" s="181">
        <v>6401118.2733194614</v>
      </c>
      <c r="AL1481" s="181">
        <v>6414.24</v>
      </c>
      <c r="AM1481" s="181">
        <v>11759.439999999999</v>
      </c>
      <c r="AN1481" s="181">
        <v>13527150</v>
      </c>
      <c r="AO1481" s="181">
        <v>13527150</v>
      </c>
      <c r="AY1481" s="181">
        <v>4310.67</v>
      </c>
      <c r="AZ1481" s="181">
        <v>7902.8950000000004</v>
      </c>
      <c r="BA1481" s="181" t="s">
        <v>1354</v>
      </c>
      <c r="BB1481" s="181" t="s">
        <v>666</v>
      </c>
      <c r="BC1481" s="181">
        <v>9224.8338000000003</v>
      </c>
      <c r="BD1481" s="181">
        <v>16912.195299999999</v>
      </c>
      <c r="BE1481" s="181">
        <v>1000000</v>
      </c>
      <c r="BF1481" s="181">
        <v>1000000</v>
      </c>
      <c r="BG1481" s="181">
        <v>9224.8338000000003</v>
      </c>
      <c r="BH1481" s="181">
        <v>16912.195299999999</v>
      </c>
      <c r="BI1481" s="181">
        <v>1000000</v>
      </c>
      <c r="BJ1481" s="181">
        <v>1000000</v>
      </c>
      <c r="BK1481" s="181" t="s">
        <v>971</v>
      </c>
      <c r="BL1481" s="181">
        <v>6323.45</v>
      </c>
      <c r="BM1481" s="181">
        <v>12646.9</v>
      </c>
      <c r="BP1481" s="181" t="s">
        <v>971</v>
      </c>
      <c r="BQ1481" s="181">
        <v>1638.1375</v>
      </c>
      <c r="BR1481" s="181">
        <v>3276.2750000000001</v>
      </c>
      <c r="BU1481" s="181" t="s">
        <v>1634</v>
      </c>
      <c r="CI1481" s="181">
        <v>2.14</v>
      </c>
      <c r="DC1481" s="181">
        <v>6414.24</v>
      </c>
      <c r="DD1481" s="181">
        <v>11759.439999999999</v>
      </c>
      <c r="DE1481" s="181" t="s">
        <v>1159</v>
      </c>
      <c r="DF1481" s="181" t="s">
        <v>666</v>
      </c>
      <c r="DG1481" s="181">
        <v>8169.5999999999995</v>
      </c>
      <c r="DH1481" s="181">
        <v>14977.599999999999</v>
      </c>
      <c r="DI1481" s="181">
        <v>1000000</v>
      </c>
      <c r="DJ1481" s="181">
        <v>1000000</v>
      </c>
      <c r="DL1481" s="181">
        <v>62000</v>
      </c>
      <c r="DM1481" s="181">
        <v>59810</v>
      </c>
      <c r="DN1481" s="181" t="s">
        <v>971</v>
      </c>
      <c r="DO1481" s="181">
        <v>20899.575000000001</v>
      </c>
      <c r="DP1481" s="181">
        <v>41799.15</v>
      </c>
      <c r="DS1481" s="181" t="s">
        <v>971</v>
      </c>
      <c r="DT1481" s="181">
        <v>4636.0124999999998</v>
      </c>
      <c r="DU1481" s="181">
        <v>9272.0249999999996</v>
      </c>
      <c r="DX1481" s="181" t="s">
        <v>1138</v>
      </c>
      <c r="DY1481" s="181">
        <v>1017.9</v>
      </c>
      <c r="DZ1481" s="181">
        <v>2035.8</v>
      </c>
      <c r="FY1481" s="181">
        <v>0</v>
      </c>
      <c r="FZ1481" s="181">
        <v>5</v>
      </c>
      <c r="GA1481" s="181">
        <v>0</v>
      </c>
      <c r="GB1481" s="181">
        <v>0</v>
      </c>
      <c r="GC1481" s="181">
        <v>5</v>
      </c>
      <c r="GD1481" s="181">
        <v>0</v>
      </c>
      <c r="GR1481" s="181" t="s">
        <v>176</v>
      </c>
      <c r="GS1481" s="181">
        <v>27593</v>
      </c>
      <c r="GT1481" s="181">
        <v>50587</v>
      </c>
      <c r="HD1481" s="181" t="s">
        <v>971</v>
      </c>
      <c r="HE1481" s="181">
        <v>17634.900000000001</v>
      </c>
      <c r="HF1481" s="181">
        <v>35269.800000000003</v>
      </c>
      <c r="HG1481" s="181" t="s">
        <v>1634</v>
      </c>
      <c r="HH1481" s="181">
        <v>0</v>
      </c>
      <c r="HI1481" s="181">
        <v>0</v>
      </c>
      <c r="HL1481" s="181" t="s">
        <v>932</v>
      </c>
      <c r="HS1481" s="181" t="s">
        <v>969</v>
      </c>
      <c r="HT1481" s="181">
        <v>380</v>
      </c>
      <c r="HU1481" s="181">
        <v>760</v>
      </c>
      <c r="HY1481" s="181" t="s">
        <v>667</v>
      </c>
      <c r="HZ1481" s="181">
        <v>150</v>
      </c>
      <c r="IA1481" s="181">
        <v>300</v>
      </c>
      <c r="IE1481" s="181" t="s">
        <v>2514</v>
      </c>
      <c r="IF1481" s="181">
        <v>9310</v>
      </c>
      <c r="IG1481" s="181" t="s">
        <v>2516</v>
      </c>
      <c r="IH1481" s="181" t="s">
        <v>1297</v>
      </c>
      <c r="II1481" s="181">
        <v>7</v>
      </c>
      <c r="IJ1481" s="181" t="s">
        <v>2508</v>
      </c>
      <c r="IK1481" s="181" t="s">
        <v>2510</v>
      </c>
      <c r="IL1481" s="181">
        <v>100</v>
      </c>
      <c r="IM1481" s="181">
        <v>250000</v>
      </c>
      <c r="IN1481" s="181">
        <v>0</v>
      </c>
    </row>
    <row r="1482" spans="1:248">
      <c r="A1482" s="181" t="s">
        <v>240</v>
      </c>
      <c r="D1482" s="181" t="s">
        <v>1300</v>
      </c>
      <c r="E1482" s="181" t="s">
        <v>1151</v>
      </c>
      <c r="F1482" s="181" t="s">
        <v>2486</v>
      </c>
      <c r="G1482" s="181">
        <v>10</v>
      </c>
      <c r="I1482" s="181" t="s">
        <v>2488</v>
      </c>
      <c r="J1482" s="181" t="s">
        <v>2496</v>
      </c>
      <c r="K1482" s="181">
        <v>100</v>
      </c>
      <c r="L1482" s="181" t="s">
        <v>933</v>
      </c>
      <c r="M1482" s="181">
        <v>1</v>
      </c>
      <c r="N1482" s="181" t="s">
        <v>2508</v>
      </c>
      <c r="O1482" s="181" t="s">
        <v>2045</v>
      </c>
      <c r="P1482" s="181">
        <v>0</v>
      </c>
      <c r="Q1482" s="181">
        <v>5</v>
      </c>
      <c r="R1482" s="181">
        <v>0</v>
      </c>
      <c r="S1482" s="181">
        <v>35714</v>
      </c>
      <c r="AL1482" s="181">
        <v>1603.56</v>
      </c>
      <c r="AM1482" s="181">
        <v>2939.8599999999997</v>
      </c>
      <c r="AN1482" s="181">
        <v>7929343.5</v>
      </c>
      <c r="AO1482" s="181">
        <v>7929343.5</v>
      </c>
      <c r="BK1482" s="181" t="s">
        <v>972</v>
      </c>
      <c r="BL1482" s="181">
        <v>1378.95</v>
      </c>
      <c r="BM1482" s="181">
        <v>2757.9</v>
      </c>
      <c r="BP1482" s="181" t="s">
        <v>972</v>
      </c>
      <c r="BQ1482" s="181">
        <v>1392</v>
      </c>
      <c r="BR1482" s="181">
        <v>2784</v>
      </c>
      <c r="BU1482" s="181" t="s">
        <v>1138</v>
      </c>
      <c r="BV1482" s="181">
        <v>964.25</v>
      </c>
      <c r="BW1482" s="181">
        <v>1928.5</v>
      </c>
      <c r="DC1482" s="181">
        <v>1603.56</v>
      </c>
      <c r="DD1482" s="181">
        <v>2939.8599999999997</v>
      </c>
      <c r="DL1482" s="181">
        <v>0</v>
      </c>
      <c r="DM1482" s="181">
        <v>0</v>
      </c>
      <c r="DN1482" s="181" t="s">
        <v>972</v>
      </c>
      <c r="DO1482" s="181">
        <v>4045.5</v>
      </c>
      <c r="DP1482" s="181">
        <v>8091</v>
      </c>
      <c r="DS1482" s="181" t="s">
        <v>972</v>
      </c>
      <c r="DT1482" s="181">
        <v>1073.7249999999999</v>
      </c>
      <c r="DU1482" s="181">
        <v>2147.4499999999998</v>
      </c>
      <c r="DX1482" s="181" t="s">
        <v>887</v>
      </c>
      <c r="DY1482" s="181">
        <v>2143.4625000000001</v>
      </c>
      <c r="DZ1482" s="181">
        <v>4286.9250000000002</v>
      </c>
      <c r="FY1482" s="181">
        <v>0</v>
      </c>
      <c r="FZ1482" s="181">
        <v>2</v>
      </c>
      <c r="GA1482" s="181">
        <v>0</v>
      </c>
      <c r="GB1482" s="181">
        <v>0</v>
      </c>
      <c r="GC1482" s="181">
        <v>2</v>
      </c>
      <c r="GD1482" s="181">
        <v>0</v>
      </c>
      <c r="GR1482" s="181" t="s">
        <v>177</v>
      </c>
      <c r="GS1482" s="181">
        <v>0</v>
      </c>
      <c r="GT1482" s="181">
        <v>0</v>
      </c>
      <c r="HD1482" s="181" t="s">
        <v>333</v>
      </c>
      <c r="HE1482" s="181">
        <f>1954.2375+22.5</f>
        <v>1976.7375</v>
      </c>
      <c r="HF1482" s="181">
        <f>3908.475+45</f>
        <v>3953.4749999999999</v>
      </c>
      <c r="HG1482" s="181" t="s">
        <v>1157</v>
      </c>
      <c r="HH1482" s="181">
        <v>2577.375</v>
      </c>
      <c r="HI1482" s="181">
        <v>5154.75</v>
      </c>
      <c r="HL1482" s="181" t="s">
        <v>1224</v>
      </c>
      <c r="HM1482" s="181">
        <v>1500</v>
      </c>
      <c r="HN1482" s="181">
        <v>1500</v>
      </c>
      <c r="IE1482" s="181" t="s">
        <v>2515</v>
      </c>
      <c r="IF1482" s="181">
        <v>1000</v>
      </c>
      <c r="IG1482" s="181" t="s">
        <v>2516</v>
      </c>
      <c r="IH1482" s="181" t="s">
        <v>2517</v>
      </c>
      <c r="II1482" s="181">
        <v>1</v>
      </c>
      <c r="IJ1482" s="181" t="s">
        <v>2510</v>
      </c>
      <c r="IK1482" s="181" t="s">
        <v>2115</v>
      </c>
      <c r="IL1482" s="181">
        <v>100</v>
      </c>
      <c r="IM1482" s="181">
        <v>0</v>
      </c>
      <c r="IN1482" s="181">
        <v>0</v>
      </c>
    </row>
    <row r="1483" spans="1:248">
      <c r="A1483" s="181" t="s">
        <v>240</v>
      </c>
      <c r="D1483" s="181" t="s">
        <v>1301</v>
      </c>
      <c r="E1483" s="181" t="s">
        <v>1115</v>
      </c>
      <c r="F1483" s="181" t="s">
        <v>763</v>
      </c>
      <c r="G1483" s="181">
        <v>10</v>
      </c>
      <c r="I1483" s="181" t="s">
        <v>2489</v>
      </c>
      <c r="J1483" s="181" t="s">
        <v>2497</v>
      </c>
      <c r="K1483" s="181">
        <v>100</v>
      </c>
      <c r="L1483" s="181" t="s">
        <v>933</v>
      </c>
      <c r="M1483" s="181">
        <v>1</v>
      </c>
      <c r="N1483" s="181" t="s">
        <v>2038</v>
      </c>
      <c r="O1483" s="181" t="s">
        <v>2115</v>
      </c>
      <c r="P1483" s="181">
        <v>25</v>
      </c>
      <c r="Q1483" s="181">
        <v>50</v>
      </c>
      <c r="R1483" s="181">
        <v>2500</v>
      </c>
      <c r="S1483" s="181">
        <v>5000</v>
      </c>
      <c r="AL1483" s="181">
        <v>151.80000000000001</v>
      </c>
      <c r="AM1483" s="181">
        <v>278.3</v>
      </c>
      <c r="AN1483" s="181">
        <v>7796275.5</v>
      </c>
      <c r="AO1483" s="181">
        <v>7796275.5</v>
      </c>
      <c r="BK1483" s="181" t="s">
        <v>2049</v>
      </c>
      <c r="BL1483" s="181">
        <v>485.38749999999999</v>
      </c>
      <c r="BM1483" s="181">
        <v>970.77499999999998</v>
      </c>
      <c r="BP1483" s="181" t="s">
        <v>2049</v>
      </c>
      <c r="BQ1483" s="181">
        <v>92.4375</v>
      </c>
      <c r="BR1483" s="181">
        <v>184.875</v>
      </c>
      <c r="BU1483" s="181" t="s">
        <v>887</v>
      </c>
      <c r="BV1483" s="181">
        <v>773.21249999999998</v>
      </c>
      <c r="BW1483" s="181">
        <v>1546.425</v>
      </c>
      <c r="DC1483" s="181">
        <v>151.80000000000001</v>
      </c>
      <c r="DD1483" s="181">
        <v>278.3</v>
      </c>
      <c r="DL1483" s="181">
        <v>0</v>
      </c>
      <c r="DM1483" s="181">
        <v>0</v>
      </c>
      <c r="DN1483" s="181" t="s">
        <v>2049</v>
      </c>
      <c r="DO1483" s="181">
        <v>1208.575</v>
      </c>
      <c r="DP1483" s="181">
        <v>2417.15</v>
      </c>
      <c r="DS1483" s="181" t="s">
        <v>2049</v>
      </c>
      <c r="DT1483" s="181">
        <v>467.98750000000001</v>
      </c>
      <c r="DU1483" s="181">
        <v>935.97500000000002</v>
      </c>
      <c r="DX1483" s="181" t="s">
        <v>925</v>
      </c>
      <c r="DY1483" s="181">
        <v>1504.0125</v>
      </c>
      <c r="DZ1483" s="181">
        <v>3008.0250000000001</v>
      </c>
      <c r="FY1483" s="181">
        <v>1</v>
      </c>
      <c r="FZ1483" s="181">
        <v>10</v>
      </c>
      <c r="GA1483" s="181">
        <v>0</v>
      </c>
      <c r="GB1483" s="181">
        <v>1</v>
      </c>
      <c r="GC1483" s="181">
        <v>10</v>
      </c>
      <c r="GD1483" s="181">
        <v>0</v>
      </c>
      <c r="GR1483" s="181" t="s">
        <v>178</v>
      </c>
      <c r="GS1483" s="181">
        <v>100665</v>
      </c>
      <c r="GT1483" s="181">
        <v>184553</v>
      </c>
      <c r="HG1483" s="181" t="s">
        <v>887</v>
      </c>
      <c r="HH1483" s="181">
        <v>1035.6624999999999</v>
      </c>
      <c r="HI1483" s="181">
        <v>2071.3249999999998</v>
      </c>
      <c r="HL1483" s="181" t="s">
        <v>1670</v>
      </c>
      <c r="IG1483" s="181" t="s">
        <v>2516</v>
      </c>
      <c r="IH1483" s="181" t="s">
        <v>2518</v>
      </c>
      <c r="II1483" s="181">
        <v>3</v>
      </c>
      <c r="IJ1483" s="181" t="s">
        <v>2507</v>
      </c>
      <c r="IK1483" s="181" t="s">
        <v>2037</v>
      </c>
      <c r="IL1483" s="181">
        <v>100</v>
      </c>
      <c r="IM1483" s="181">
        <v>1500</v>
      </c>
      <c r="IN1483" s="181">
        <v>1500</v>
      </c>
    </row>
    <row r="1484" spans="1:248">
      <c r="A1484" s="181" t="s">
        <v>240</v>
      </c>
      <c r="I1484" s="181" t="s">
        <v>2490</v>
      </c>
      <c r="J1484" s="181" t="s">
        <v>2511</v>
      </c>
      <c r="K1484" s="181">
        <v>100</v>
      </c>
      <c r="L1484" s="181" t="s">
        <v>933</v>
      </c>
      <c r="M1484" s="181">
        <v>1</v>
      </c>
      <c r="N1484" s="181" t="s">
        <v>2507</v>
      </c>
      <c r="O1484" s="181" t="s">
        <v>2037</v>
      </c>
      <c r="P1484" s="181">
        <v>100</v>
      </c>
      <c r="Q1484" s="181">
        <v>100</v>
      </c>
      <c r="R1484" s="181">
        <v>0</v>
      </c>
      <c r="S1484" s="181">
        <v>0</v>
      </c>
      <c r="BK1484" s="181" t="s">
        <v>333</v>
      </c>
      <c r="BL1484" s="181">
        <v>1666.7750000000001</v>
      </c>
      <c r="BM1484" s="181">
        <v>3333.55</v>
      </c>
      <c r="BP1484" s="181" t="s">
        <v>333</v>
      </c>
      <c r="BQ1484" s="181">
        <v>785.53750000000002</v>
      </c>
      <c r="BR1484" s="181">
        <v>1571.075</v>
      </c>
      <c r="BU1484" s="181" t="s">
        <v>925</v>
      </c>
      <c r="BV1484" s="181">
        <v>119.2625</v>
      </c>
      <c r="BW1484" s="181">
        <v>238.52500000000001</v>
      </c>
      <c r="DN1484" s="181" t="s">
        <v>333</v>
      </c>
      <c r="DO1484" s="181">
        <v>2083.2875000000004</v>
      </c>
      <c r="DP1484" s="181">
        <v>4166.5750000000007</v>
      </c>
      <c r="DS1484" s="181" t="s">
        <v>333</v>
      </c>
      <c r="DT1484" s="181">
        <v>986.72500000000002</v>
      </c>
      <c r="DU1484" s="181">
        <v>1973.45</v>
      </c>
      <c r="DX1484" s="181" t="s">
        <v>1153</v>
      </c>
      <c r="DY1484" s="181">
        <v>2790.1624999999999</v>
      </c>
      <c r="DZ1484" s="181">
        <v>5580.3249999999998</v>
      </c>
      <c r="FY1484" s="181">
        <v>0</v>
      </c>
      <c r="FZ1484" s="181">
        <v>5</v>
      </c>
      <c r="GA1484" s="181">
        <v>0</v>
      </c>
      <c r="GB1484" s="181">
        <v>0</v>
      </c>
      <c r="GC1484" s="181">
        <v>5</v>
      </c>
      <c r="GD1484" s="181">
        <v>0</v>
      </c>
      <c r="GR1484" s="181" t="s">
        <v>1707</v>
      </c>
      <c r="GS1484" s="181">
        <v>0</v>
      </c>
      <c r="GT1484" s="181">
        <v>0</v>
      </c>
      <c r="HG1484" s="181" t="s">
        <v>2513</v>
      </c>
      <c r="HH1484" s="181">
        <v>1390.9124999999999</v>
      </c>
      <c r="HI1484" s="181">
        <v>2781.8249999999998</v>
      </c>
      <c r="HL1484" s="181" t="s">
        <v>1742</v>
      </c>
    </row>
    <row r="1485" spans="1:248">
      <c r="A1485" s="181" t="s">
        <v>240</v>
      </c>
      <c r="I1485" s="181" t="s">
        <v>2491</v>
      </c>
      <c r="J1485" s="181" t="s">
        <v>2498</v>
      </c>
      <c r="K1485" s="181">
        <v>100</v>
      </c>
      <c r="L1485" s="181" t="s">
        <v>933</v>
      </c>
      <c r="M1485" s="181">
        <v>2</v>
      </c>
      <c r="N1485" s="181" t="s">
        <v>2507</v>
      </c>
      <c r="O1485" s="181" t="s">
        <v>2037</v>
      </c>
      <c r="P1485" s="181">
        <v>100</v>
      </c>
      <c r="Q1485" s="181">
        <v>100</v>
      </c>
      <c r="S1485" s="181">
        <v>0</v>
      </c>
      <c r="BU1485" s="181" t="s">
        <v>1153</v>
      </c>
      <c r="BV1485" s="181">
        <v>574.92499999999995</v>
      </c>
      <c r="BW1485" s="181">
        <v>1149.8499999999999</v>
      </c>
      <c r="DX1485" s="181" t="s">
        <v>1154</v>
      </c>
      <c r="DY1485" s="181">
        <v>1519.2375</v>
      </c>
      <c r="DZ1485" s="181">
        <v>3038.4749999999999</v>
      </c>
      <c r="FY1485" s="181">
        <v>0</v>
      </c>
      <c r="FZ1485" s="181">
        <v>7</v>
      </c>
      <c r="GA1485" s="181">
        <v>0</v>
      </c>
      <c r="GB1485" s="181">
        <v>0</v>
      </c>
      <c r="GC1485" s="181">
        <v>7</v>
      </c>
      <c r="GD1485" s="181">
        <v>0</v>
      </c>
      <c r="GR1485" s="181" t="s">
        <v>175</v>
      </c>
      <c r="GS1485" s="181">
        <v>0</v>
      </c>
      <c r="GT1485" s="181">
        <v>0</v>
      </c>
      <c r="HG1485" s="181" t="s">
        <v>929</v>
      </c>
      <c r="HH1485" s="181">
        <v>736.6</v>
      </c>
      <c r="HI1485" s="181">
        <v>1473.2</v>
      </c>
      <c r="HL1485" s="181" t="s">
        <v>917</v>
      </c>
    </row>
    <row r="1486" spans="1:248">
      <c r="A1486" s="181" t="s">
        <v>240</v>
      </c>
      <c r="I1486" s="181" t="s">
        <v>2492</v>
      </c>
      <c r="J1486" s="181" t="s">
        <v>2499</v>
      </c>
      <c r="K1486" s="181">
        <v>100</v>
      </c>
      <c r="L1486" s="181" t="s">
        <v>933</v>
      </c>
      <c r="M1486" s="181">
        <v>1</v>
      </c>
      <c r="N1486" s="181" t="s">
        <v>2140</v>
      </c>
      <c r="O1486" s="181" t="s">
        <v>2509</v>
      </c>
      <c r="P1486" s="181">
        <v>100</v>
      </c>
      <c r="Q1486" s="181">
        <v>100</v>
      </c>
      <c r="S1486" s="181">
        <v>0</v>
      </c>
      <c r="BU1486" s="181" t="s">
        <v>1154</v>
      </c>
      <c r="BV1486" s="181">
        <v>530.33749999999998</v>
      </c>
      <c r="BW1486" s="181">
        <v>1060.675</v>
      </c>
      <c r="DX1486" s="181" t="s">
        <v>333</v>
      </c>
      <c r="DY1486" s="181">
        <f>1268.75+11.25+11.25</f>
        <v>1291.25</v>
      </c>
      <c r="DZ1486" s="181">
        <f>2537.5+22.5+22.5</f>
        <v>2582.5</v>
      </c>
      <c r="GR1486" s="181" t="s">
        <v>1755</v>
      </c>
      <c r="GS1486" s="181">
        <v>0</v>
      </c>
      <c r="GT1486" s="181">
        <v>0</v>
      </c>
      <c r="HG1486" s="181" t="s">
        <v>1103</v>
      </c>
      <c r="HH1486" s="181">
        <v>415.78750000000002</v>
      </c>
      <c r="HI1486" s="181">
        <v>831.57500000000005</v>
      </c>
    </row>
    <row r="1487" spans="1:248">
      <c r="A1487" s="181" t="s">
        <v>240</v>
      </c>
      <c r="I1487" s="181" t="s">
        <v>2493</v>
      </c>
      <c r="J1487" s="181" t="s">
        <v>2500</v>
      </c>
      <c r="K1487" s="181">
        <v>100</v>
      </c>
      <c r="L1487" s="181" t="s">
        <v>933</v>
      </c>
      <c r="M1487" s="181">
        <v>1</v>
      </c>
      <c r="N1487" s="181" t="s">
        <v>2510</v>
      </c>
      <c r="O1487" s="181" t="s">
        <v>2510</v>
      </c>
      <c r="P1487" s="181">
        <v>0</v>
      </c>
      <c r="Q1487" s="181">
        <v>0</v>
      </c>
      <c r="S1487" s="181">
        <v>0</v>
      </c>
      <c r="BU1487" s="181" t="s">
        <v>333</v>
      </c>
      <c r="BV1487" s="181">
        <f>214.2375+11.25+11.25</f>
        <v>236.73750000000001</v>
      </c>
      <c r="BW1487" s="181">
        <f>428.475+22.5+22.5</f>
        <v>473.47500000000002</v>
      </c>
      <c r="GR1487" s="181" t="s">
        <v>1756</v>
      </c>
      <c r="GS1487" s="181">
        <v>0</v>
      </c>
      <c r="GT1487" s="181">
        <v>0</v>
      </c>
      <c r="HG1487" s="181" t="s">
        <v>916</v>
      </c>
      <c r="HH1487" s="181">
        <v>704.7</v>
      </c>
      <c r="HI1487" s="181">
        <v>1409.4</v>
      </c>
    </row>
    <row r="1488" spans="1:248">
      <c r="A1488" s="181" t="s">
        <v>240</v>
      </c>
      <c r="I1488" s="181" t="s">
        <v>2494</v>
      </c>
      <c r="J1488" s="181" t="s">
        <v>2501</v>
      </c>
      <c r="K1488" s="181">
        <v>100</v>
      </c>
      <c r="L1488" s="181" t="s">
        <v>933</v>
      </c>
      <c r="M1488" s="181">
        <v>2</v>
      </c>
      <c r="N1488" s="181" t="s">
        <v>2510</v>
      </c>
      <c r="O1488" s="181" t="s">
        <v>2510</v>
      </c>
      <c r="P1488" s="181">
        <v>0</v>
      </c>
      <c r="Q1488" s="181">
        <v>0</v>
      </c>
      <c r="S1488" s="181">
        <v>0</v>
      </c>
      <c r="GR1488" s="181" t="s">
        <v>871</v>
      </c>
      <c r="GS1488" s="181">
        <v>0</v>
      </c>
      <c r="GT1488" s="181">
        <v>0</v>
      </c>
      <c r="HG1488" s="181" t="s">
        <v>1155</v>
      </c>
      <c r="HH1488" s="181">
        <v>56.912500000000001</v>
      </c>
      <c r="HI1488" s="181">
        <v>113.825</v>
      </c>
    </row>
    <row r="1489" spans="1:217">
      <c r="A1489" s="181" t="s">
        <v>240</v>
      </c>
      <c r="I1489" s="181" t="s">
        <v>2150</v>
      </c>
      <c r="J1489" s="181" t="s">
        <v>2502</v>
      </c>
      <c r="K1489" s="181">
        <v>100</v>
      </c>
      <c r="L1489" s="181" t="s">
        <v>933</v>
      </c>
      <c r="M1489" s="181">
        <v>1</v>
      </c>
      <c r="N1489" s="181" t="s">
        <v>2510</v>
      </c>
      <c r="O1489" s="181" t="s">
        <v>2510</v>
      </c>
      <c r="P1489" s="181">
        <v>0</v>
      </c>
      <c r="Q1489" s="181">
        <v>0</v>
      </c>
      <c r="S1489" s="181">
        <v>0</v>
      </c>
      <c r="GR1489" s="181" t="s">
        <v>871</v>
      </c>
      <c r="GS1489" s="181">
        <v>0</v>
      </c>
      <c r="GT1489" s="181">
        <v>0</v>
      </c>
      <c r="HG1489" s="181" t="s">
        <v>1200</v>
      </c>
      <c r="HH1489" s="181">
        <v>705.42499999999995</v>
      </c>
      <c r="HI1489" s="181">
        <v>1410.85</v>
      </c>
    </row>
    <row r="1490" spans="1:217">
      <c r="A1490" s="181" t="s">
        <v>240</v>
      </c>
      <c r="I1490" s="181" t="s">
        <v>2134</v>
      </c>
      <c r="J1490" s="181" t="s">
        <v>2503</v>
      </c>
      <c r="K1490" s="181">
        <v>100</v>
      </c>
      <c r="L1490" s="181" t="s">
        <v>933</v>
      </c>
      <c r="M1490" s="181">
        <v>1</v>
      </c>
      <c r="N1490" s="181" t="s">
        <v>2510</v>
      </c>
      <c r="O1490" s="181" t="s">
        <v>2510</v>
      </c>
      <c r="P1490" s="181">
        <v>0</v>
      </c>
      <c r="Q1490" s="181">
        <v>0</v>
      </c>
      <c r="S1490" s="181">
        <v>0</v>
      </c>
      <c r="GR1490" s="181" t="s">
        <v>871</v>
      </c>
      <c r="GS1490" s="181">
        <v>0</v>
      </c>
      <c r="GT1490" s="181">
        <v>0</v>
      </c>
      <c r="HG1490" s="181" t="s">
        <v>483</v>
      </c>
      <c r="HH1490" s="181">
        <v>182.33750000000001</v>
      </c>
      <c r="HI1490" s="181">
        <v>364.67500000000001</v>
      </c>
    </row>
    <row r="1491" spans="1:217">
      <c r="A1491" s="181" t="s">
        <v>240</v>
      </c>
      <c r="I1491" s="181" t="s">
        <v>2157</v>
      </c>
      <c r="J1491" s="181" t="s">
        <v>2504</v>
      </c>
      <c r="K1491" s="181">
        <v>100</v>
      </c>
      <c r="L1491" s="181" t="s">
        <v>933</v>
      </c>
      <c r="M1491" s="181">
        <v>2</v>
      </c>
      <c r="N1491" s="181" t="s">
        <v>2510</v>
      </c>
      <c r="O1491" s="181" t="s">
        <v>2510</v>
      </c>
      <c r="P1491" s="181">
        <v>0</v>
      </c>
      <c r="Q1491" s="181">
        <v>0</v>
      </c>
      <c r="S1491" s="181">
        <v>0</v>
      </c>
      <c r="GR1491" s="181" t="s">
        <v>871</v>
      </c>
      <c r="GS1491" s="181">
        <v>0</v>
      </c>
      <c r="GT1491" s="181">
        <v>0</v>
      </c>
      <c r="HG1491" s="181" t="s">
        <v>1236</v>
      </c>
      <c r="HH1491" s="181">
        <v>134.48750000000001</v>
      </c>
      <c r="HI1491" s="181">
        <v>268.97500000000002</v>
      </c>
    </row>
    <row r="1492" spans="1:217">
      <c r="A1492" s="181" t="s">
        <v>240</v>
      </c>
      <c r="I1492" s="181" t="s">
        <v>2158</v>
      </c>
      <c r="J1492" s="181" t="s">
        <v>2505</v>
      </c>
      <c r="K1492" s="181">
        <v>100</v>
      </c>
      <c r="L1492" s="181" t="s">
        <v>933</v>
      </c>
      <c r="M1492" s="181">
        <v>1</v>
      </c>
      <c r="N1492" s="181" t="s">
        <v>2510</v>
      </c>
      <c r="O1492" s="181" t="s">
        <v>2510</v>
      </c>
      <c r="P1492" s="181">
        <v>0</v>
      </c>
      <c r="Q1492" s="181">
        <v>0</v>
      </c>
      <c r="S1492" s="181">
        <v>0</v>
      </c>
      <c r="GR1492" s="181" t="s">
        <v>871</v>
      </c>
      <c r="GS1492" s="181">
        <v>0</v>
      </c>
      <c r="GT1492" s="181">
        <v>0</v>
      </c>
      <c r="HG1492" s="181" t="s">
        <v>333</v>
      </c>
      <c r="HH1492" s="181">
        <f>428.8375+11.25</f>
        <v>440.08749999999998</v>
      </c>
      <c r="HI1492" s="181">
        <f>857.675+22.5</f>
        <v>880.17499999999995</v>
      </c>
    </row>
    <row r="1493" spans="1:217">
      <c r="A1493" s="181" t="s">
        <v>240</v>
      </c>
      <c r="I1493" s="181" t="s">
        <v>1330</v>
      </c>
      <c r="J1493" s="181" t="s">
        <v>2506</v>
      </c>
      <c r="K1493" s="181">
        <v>100</v>
      </c>
      <c r="L1493" s="181" t="s">
        <v>933</v>
      </c>
      <c r="M1493" s="181">
        <v>1</v>
      </c>
      <c r="N1493" s="181" t="s">
        <v>2510</v>
      </c>
      <c r="O1493" s="181" t="s">
        <v>2510</v>
      </c>
      <c r="P1493" s="181">
        <v>0</v>
      </c>
      <c r="Q1493" s="181">
        <v>0</v>
      </c>
      <c r="S1493" s="181">
        <v>0</v>
      </c>
      <c r="GR1493" s="181" t="s">
        <v>871</v>
      </c>
      <c r="GS1493" s="181">
        <v>0</v>
      </c>
      <c r="GT1493" s="181">
        <v>0</v>
      </c>
    </row>
    <row r="1494" spans="1:217">
      <c r="A1494" s="181" t="s">
        <v>240</v>
      </c>
      <c r="GR1494" s="181" t="s">
        <v>871</v>
      </c>
      <c r="GS1494" s="181">
        <v>0</v>
      </c>
      <c r="GT1494" s="181">
        <v>0</v>
      </c>
    </row>
    <row r="1495" spans="1:217">
      <c r="A1495" s="181" t="s">
        <v>240</v>
      </c>
      <c r="GR1495" s="181" t="s">
        <v>872</v>
      </c>
      <c r="GS1495" s="181">
        <v>0</v>
      </c>
      <c r="GT1495" s="181">
        <v>1500</v>
      </c>
    </row>
    <row r="1496" spans="1:217">
      <c r="A1496" s="181" t="s">
        <v>240</v>
      </c>
      <c r="GR1496" s="181" t="s">
        <v>1757</v>
      </c>
      <c r="GS1496" s="181">
        <v>0</v>
      </c>
      <c r="GT1496" s="181">
        <v>0</v>
      </c>
    </row>
    <row r="1497" spans="1:217">
      <c r="A1497" s="181" t="s">
        <v>240</v>
      </c>
      <c r="GR1497" s="181" t="s">
        <v>1758</v>
      </c>
      <c r="GS1497" s="181">
        <v>0</v>
      </c>
      <c r="GT1497" s="181">
        <v>0</v>
      </c>
    </row>
    <row r="1498" spans="1:217">
      <c r="A1498" s="181" t="s">
        <v>240</v>
      </c>
      <c r="GR1498" s="181" t="s">
        <v>1759</v>
      </c>
      <c r="GS1498" s="181">
        <v>0</v>
      </c>
      <c r="GT1498" s="181">
        <v>35714</v>
      </c>
    </row>
    <row r="1499" spans="1:217">
      <c r="A1499" s="181" t="s">
        <v>240</v>
      </c>
      <c r="GR1499" s="181" t="s">
        <v>873</v>
      </c>
      <c r="GS1499" s="181">
        <v>0</v>
      </c>
      <c r="GT1499" s="181">
        <v>0</v>
      </c>
    </row>
    <row r="1500" spans="1:217">
      <c r="A1500" s="181" t="s">
        <v>240</v>
      </c>
      <c r="GR1500" s="181" t="s">
        <v>308</v>
      </c>
      <c r="GS1500" s="181">
        <v>0</v>
      </c>
      <c r="GT1500" s="181">
        <v>0</v>
      </c>
    </row>
    <row r="1501" spans="1:217">
      <c r="A1501" s="181" t="s">
        <v>240</v>
      </c>
      <c r="GR1501" s="181" t="s">
        <v>874</v>
      </c>
      <c r="GS1501" s="181">
        <v>0</v>
      </c>
      <c r="GT1501" s="181">
        <v>0</v>
      </c>
    </row>
    <row r="1502" spans="1:217">
      <c r="A1502" s="181" t="s">
        <v>240</v>
      </c>
      <c r="GR1502" s="181" t="s">
        <v>874</v>
      </c>
      <c r="GS1502" s="181">
        <v>0</v>
      </c>
      <c r="GT1502" s="181">
        <v>0</v>
      </c>
    </row>
    <row r="1503" spans="1:217">
      <c r="A1503" s="181" t="s">
        <v>240</v>
      </c>
      <c r="GR1503" s="181" t="s">
        <v>874</v>
      </c>
      <c r="GS1503" s="181">
        <v>0</v>
      </c>
      <c r="GT1503" s="181">
        <v>0</v>
      </c>
    </row>
    <row r="1504" spans="1:217">
      <c r="A1504" s="181" t="s">
        <v>240</v>
      </c>
      <c r="GR1504" s="181" t="s">
        <v>874</v>
      </c>
      <c r="GS1504" s="181">
        <v>0</v>
      </c>
      <c r="GT1504" s="181">
        <v>0</v>
      </c>
    </row>
    <row r="1505" spans="1:202">
      <c r="A1505" s="181" t="s">
        <v>240</v>
      </c>
      <c r="GR1505" s="181" t="s">
        <v>969</v>
      </c>
      <c r="GS1505" s="181">
        <v>381</v>
      </c>
      <c r="GT1505" s="181">
        <v>762</v>
      </c>
    </row>
    <row r="1506" spans="1:202">
      <c r="A1506" s="181" t="s">
        <v>240</v>
      </c>
      <c r="GR1506" s="181">
        <v>0</v>
      </c>
      <c r="GS1506" s="181">
        <v>0</v>
      </c>
      <c r="GT1506" s="181">
        <v>0</v>
      </c>
    </row>
    <row r="1507" spans="1:202">
      <c r="A1507" s="181" t="s">
        <v>240</v>
      </c>
      <c r="GR1507" s="181">
        <v>0</v>
      </c>
      <c r="GS1507" s="181">
        <v>0</v>
      </c>
      <c r="GT1507" s="181">
        <v>0</v>
      </c>
    </row>
    <row r="1508" spans="1:202">
      <c r="A1508" s="181" t="s">
        <v>240</v>
      </c>
      <c r="GR1508" s="181">
        <v>0</v>
      </c>
      <c r="GS1508" s="181">
        <v>0</v>
      </c>
      <c r="GT1508" s="181">
        <v>0</v>
      </c>
    </row>
    <row r="1509" spans="1:202">
      <c r="A1509" s="181" t="s">
        <v>240</v>
      </c>
      <c r="GR1509" s="181">
        <v>0</v>
      </c>
      <c r="GS1509" s="181">
        <v>0</v>
      </c>
      <c r="GT1509" s="181">
        <v>0</v>
      </c>
    </row>
    <row r="1510" spans="1:202">
      <c r="A1510" s="181" t="s">
        <v>240</v>
      </c>
      <c r="GR1510" s="181">
        <v>0</v>
      </c>
      <c r="GS1510" s="181">
        <v>0</v>
      </c>
      <c r="GT1510" s="181">
        <v>0</v>
      </c>
    </row>
    <row r="1511" spans="1:202">
      <c r="A1511" s="181" t="s">
        <v>240</v>
      </c>
      <c r="GR1511" s="181">
        <v>0</v>
      </c>
      <c r="GS1511" s="181">
        <v>0</v>
      </c>
      <c r="GT1511" s="181">
        <v>0</v>
      </c>
    </row>
    <row r="1512" spans="1:202">
      <c r="A1512" s="181" t="s">
        <v>240</v>
      </c>
      <c r="GR1512" s="181">
        <v>0</v>
      </c>
      <c r="GS1512" s="181">
        <v>0</v>
      </c>
      <c r="GT1512" s="181">
        <v>0</v>
      </c>
    </row>
    <row r="1513" spans="1:202">
      <c r="A1513" s="181" t="s">
        <v>240</v>
      </c>
      <c r="GR1513" s="181">
        <v>0</v>
      </c>
      <c r="GS1513" s="181">
        <v>0</v>
      </c>
      <c r="GT1513" s="181">
        <v>0</v>
      </c>
    </row>
    <row r="1514" spans="1:202">
      <c r="A1514" s="181" t="s">
        <v>240</v>
      </c>
      <c r="GR1514" s="181">
        <v>0</v>
      </c>
      <c r="GS1514" s="181">
        <v>0</v>
      </c>
      <c r="GT1514" s="181">
        <v>0</v>
      </c>
    </row>
    <row r="1515" spans="1:202">
      <c r="A1515" s="181" t="s">
        <v>240</v>
      </c>
      <c r="GR1515" s="181">
        <v>0</v>
      </c>
      <c r="GS1515" s="181">
        <v>0</v>
      </c>
      <c r="GT1515" s="181">
        <v>0</v>
      </c>
    </row>
    <row r="1516" spans="1:202">
      <c r="A1516" s="181" t="s">
        <v>240</v>
      </c>
      <c r="GR1516" s="181">
        <v>0</v>
      </c>
      <c r="GS1516" s="181">
        <v>0</v>
      </c>
      <c r="GT1516" s="181">
        <v>0</v>
      </c>
    </row>
    <row r="1517" spans="1:202">
      <c r="A1517" s="181" t="s">
        <v>240</v>
      </c>
      <c r="GR1517" s="181">
        <v>0</v>
      </c>
      <c r="GS1517" s="181">
        <v>0</v>
      </c>
      <c r="GT1517" s="181">
        <v>0</v>
      </c>
    </row>
    <row r="1518" spans="1:202">
      <c r="A1518" s="181" t="s">
        <v>240</v>
      </c>
      <c r="GR1518" s="181">
        <v>0</v>
      </c>
      <c r="GS1518" s="181">
        <v>0</v>
      </c>
      <c r="GT1518" s="181">
        <v>0</v>
      </c>
    </row>
    <row r="1519" spans="1:202">
      <c r="A1519" s="181" t="s">
        <v>240</v>
      </c>
      <c r="GR1519" s="181">
        <v>0</v>
      </c>
      <c r="GS1519" s="181">
        <v>0</v>
      </c>
      <c r="GT1519" s="181">
        <v>0</v>
      </c>
    </row>
    <row r="1520" spans="1:202">
      <c r="A1520" s="181" t="s">
        <v>240</v>
      </c>
      <c r="GS1520" s="181">
        <v>0</v>
      </c>
      <c r="GT1520" s="181">
        <v>0</v>
      </c>
    </row>
    <row r="1521" spans="1:202">
      <c r="A1521" s="181" t="s">
        <v>240</v>
      </c>
      <c r="GR1521" s="181" t="s">
        <v>309</v>
      </c>
      <c r="GS1521" s="181">
        <v>0</v>
      </c>
      <c r="GT1521" s="181">
        <v>0</v>
      </c>
    </row>
    <row r="1522" spans="1:202">
      <c r="A1522" s="181" t="s">
        <v>240</v>
      </c>
      <c r="GR1522" s="181" t="s">
        <v>309</v>
      </c>
      <c r="GS1522" s="181">
        <v>0</v>
      </c>
      <c r="GT1522" s="181">
        <v>0</v>
      </c>
    </row>
    <row r="1523" spans="1:202">
      <c r="A1523" s="181" t="s">
        <v>240</v>
      </c>
      <c r="GS1523" s="181">
        <v>128639</v>
      </c>
      <c r="GT1523" s="181">
        <v>273116</v>
      </c>
    </row>
    <row r="1524" spans="1:202">
      <c r="A1524" s="181" t="s">
        <v>240</v>
      </c>
      <c r="GR1524" s="181" t="s">
        <v>1741</v>
      </c>
      <c r="GS1524" s="181">
        <v>0</v>
      </c>
      <c r="GT1524" s="181">
        <v>0</v>
      </c>
    </row>
    <row r="1525" spans="1:202">
      <c r="A1525" s="181" t="s">
        <v>240</v>
      </c>
      <c r="GR1525" s="181" t="s">
        <v>875</v>
      </c>
      <c r="GS1525" s="181">
        <v>0</v>
      </c>
      <c r="GT1525" s="181">
        <v>0</v>
      </c>
    </row>
    <row r="1526" spans="1:202">
      <c r="A1526" s="181" t="s">
        <v>240</v>
      </c>
      <c r="GR1526" s="181" t="s">
        <v>875</v>
      </c>
      <c r="GS1526" s="181">
        <v>0</v>
      </c>
      <c r="GT1526" s="181">
        <v>0</v>
      </c>
    </row>
    <row r="1527" spans="1:202">
      <c r="A1527" s="181" t="s">
        <v>240</v>
      </c>
      <c r="GR1527" s="181" t="s">
        <v>875</v>
      </c>
      <c r="GS1527" s="181">
        <v>0</v>
      </c>
      <c r="GT1527" s="181">
        <v>0</v>
      </c>
    </row>
    <row r="1528" spans="1:202">
      <c r="A1528" s="181" t="s">
        <v>240</v>
      </c>
      <c r="GR1528" s="181" t="s">
        <v>875</v>
      </c>
      <c r="GS1528" s="181">
        <v>0</v>
      </c>
      <c r="GT1528" s="181">
        <v>0</v>
      </c>
    </row>
    <row r="1529" spans="1:202">
      <c r="A1529" s="181" t="s">
        <v>240</v>
      </c>
      <c r="GR1529" s="181" t="s">
        <v>875</v>
      </c>
      <c r="GS1529" s="181">
        <v>0</v>
      </c>
      <c r="GT1529" s="181">
        <v>0</v>
      </c>
    </row>
    <row r="1530" spans="1:202">
      <c r="A1530" s="181" t="s">
        <v>240</v>
      </c>
      <c r="GR1530" s="181" t="s">
        <v>310</v>
      </c>
      <c r="GS1530" s="181">
        <v>0</v>
      </c>
      <c r="GT1530" s="181">
        <v>0</v>
      </c>
    </row>
    <row r="1531" spans="1:202">
      <c r="A1531" s="181" t="s">
        <v>240</v>
      </c>
      <c r="GR1531" s="181" t="s">
        <v>1760</v>
      </c>
      <c r="GS1531" s="181">
        <v>0</v>
      </c>
      <c r="GT1531" s="181">
        <v>0</v>
      </c>
    </row>
    <row r="1532" spans="1:202">
      <c r="A1532" s="181" t="s">
        <v>240</v>
      </c>
      <c r="GR1532" s="181" t="s">
        <v>310</v>
      </c>
      <c r="GS1532" s="181">
        <v>0</v>
      </c>
      <c r="GT1532" s="181">
        <v>0</v>
      </c>
    </row>
    <row r="1533" spans="1:202">
      <c r="A1533" s="181" t="s">
        <v>240</v>
      </c>
      <c r="GR1533" s="181" t="s">
        <v>310</v>
      </c>
      <c r="GS1533" s="181">
        <v>0</v>
      </c>
      <c r="GT1533" s="181">
        <v>0</v>
      </c>
    </row>
    <row r="1534" spans="1:202">
      <c r="A1534" s="181" t="s">
        <v>240</v>
      </c>
      <c r="GR1534" s="181" t="s">
        <v>876</v>
      </c>
      <c r="GS1534" s="181">
        <v>0</v>
      </c>
      <c r="GT1534" s="181">
        <v>0</v>
      </c>
    </row>
    <row r="1535" spans="1:202">
      <c r="A1535" s="181" t="s">
        <v>240</v>
      </c>
      <c r="GR1535" s="181" t="s">
        <v>876</v>
      </c>
      <c r="GS1535" s="181">
        <v>0</v>
      </c>
      <c r="GT1535" s="181">
        <v>0</v>
      </c>
    </row>
    <row r="1536" spans="1:202">
      <c r="A1536" s="181" t="s">
        <v>240</v>
      </c>
      <c r="GR1536" s="181" t="s">
        <v>876</v>
      </c>
      <c r="GS1536" s="181">
        <v>0</v>
      </c>
      <c r="GT1536" s="181">
        <v>0</v>
      </c>
    </row>
    <row r="1537" spans="1:202">
      <c r="A1537" s="181" t="s">
        <v>240</v>
      </c>
      <c r="GR1537" s="181" t="s">
        <v>876</v>
      </c>
      <c r="GS1537" s="181">
        <v>0</v>
      </c>
      <c r="GT1537" s="181">
        <v>0</v>
      </c>
    </row>
    <row r="1538" spans="1:202">
      <c r="A1538" s="181" t="s">
        <v>240</v>
      </c>
      <c r="GR1538" s="181" t="s">
        <v>876</v>
      </c>
      <c r="GS1538" s="181">
        <v>0</v>
      </c>
      <c r="GT1538" s="181">
        <v>0</v>
      </c>
    </row>
    <row r="1539" spans="1:202">
      <c r="A1539" s="181" t="s">
        <v>240</v>
      </c>
      <c r="GR1539" s="181" t="s">
        <v>667</v>
      </c>
      <c r="GS1539" s="181">
        <v>150</v>
      </c>
      <c r="GT1539" s="181">
        <v>300</v>
      </c>
    </row>
    <row r="1540" spans="1:202">
      <c r="A1540" s="181" t="s">
        <v>240</v>
      </c>
      <c r="GR1540" s="181">
        <v>0</v>
      </c>
      <c r="GS1540" s="181">
        <v>0</v>
      </c>
      <c r="GT1540" s="181">
        <v>0</v>
      </c>
    </row>
    <row r="1541" spans="1:202">
      <c r="A1541" s="181" t="s">
        <v>240</v>
      </c>
      <c r="GR1541" s="181">
        <v>0</v>
      </c>
      <c r="GS1541" s="181">
        <v>0</v>
      </c>
      <c r="GT1541" s="181">
        <v>0</v>
      </c>
    </row>
    <row r="1542" spans="1:202">
      <c r="A1542" s="181" t="s">
        <v>240</v>
      </c>
      <c r="GR1542" s="181">
        <v>0</v>
      </c>
      <c r="GS1542" s="181">
        <v>0</v>
      </c>
      <c r="GT1542" s="181">
        <v>0</v>
      </c>
    </row>
    <row r="1543" spans="1:202">
      <c r="A1543" s="181" t="s">
        <v>240</v>
      </c>
      <c r="GR1543" s="181">
        <v>0</v>
      </c>
      <c r="GS1543" s="181">
        <v>0</v>
      </c>
      <c r="GT1543" s="181">
        <v>0</v>
      </c>
    </row>
    <row r="1544" spans="1:202">
      <c r="A1544" s="181" t="s">
        <v>240</v>
      </c>
      <c r="GR1544" s="181">
        <v>0</v>
      </c>
      <c r="GS1544" s="181">
        <v>0</v>
      </c>
      <c r="GT1544" s="181">
        <v>0</v>
      </c>
    </row>
    <row r="1545" spans="1:202">
      <c r="A1545" s="181" t="s">
        <v>240</v>
      </c>
      <c r="GR1545" s="181">
        <v>0</v>
      </c>
      <c r="GS1545" s="181">
        <v>0</v>
      </c>
      <c r="GT1545" s="181">
        <v>0</v>
      </c>
    </row>
    <row r="1546" spans="1:202">
      <c r="A1546" s="181" t="s">
        <v>240</v>
      </c>
      <c r="GR1546" s="181">
        <v>0</v>
      </c>
      <c r="GS1546" s="181">
        <v>0</v>
      </c>
      <c r="GT1546" s="181">
        <v>0</v>
      </c>
    </row>
    <row r="1547" spans="1:202">
      <c r="A1547" s="181" t="s">
        <v>240</v>
      </c>
      <c r="GR1547" s="181">
        <v>0</v>
      </c>
      <c r="GS1547" s="181">
        <v>0</v>
      </c>
      <c r="GT1547" s="181">
        <v>0</v>
      </c>
    </row>
    <row r="1548" spans="1:202">
      <c r="A1548" s="181" t="s">
        <v>240</v>
      </c>
      <c r="GR1548" s="181">
        <v>0</v>
      </c>
      <c r="GS1548" s="181">
        <v>0</v>
      </c>
      <c r="GT1548" s="181">
        <v>0</v>
      </c>
    </row>
    <row r="1549" spans="1:202">
      <c r="A1549" s="181" t="s">
        <v>240</v>
      </c>
      <c r="GR1549" s="181">
        <v>0</v>
      </c>
      <c r="GS1549" s="181">
        <v>0</v>
      </c>
      <c r="GT1549" s="181">
        <v>0</v>
      </c>
    </row>
    <row r="1550" spans="1:202">
      <c r="A1550" s="181" t="s">
        <v>240</v>
      </c>
      <c r="GR1550" s="181">
        <v>0</v>
      </c>
      <c r="GS1550" s="181">
        <v>0</v>
      </c>
      <c r="GT1550" s="181">
        <v>0</v>
      </c>
    </row>
    <row r="1551" spans="1:202">
      <c r="A1551" s="181" t="s">
        <v>240</v>
      </c>
      <c r="GR1551" s="181">
        <v>0</v>
      </c>
      <c r="GS1551" s="181">
        <v>0</v>
      </c>
      <c r="GT1551" s="181">
        <v>0</v>
      </c>
    </row>
    <row r="1552" spans="1:202">
      <c r="A1552" s="181" t="s">
        <v>240</v>
      </c>
      <c r="GR1552" s="181">
        <v>0</v>
      </c>
      <c r="GS1552" s="181">
        <v>0</v>
      </c>
      <c r="GT1552" s="181">
        <v>0</v>
      </c>
    </row>
    <row r="1553" spans="1:202">
      <c r="A1553" s="181" t="s">
        <v>240</v>
      </c>
      <c r="GR1553" s="181">
        <v>0</v>
      </c>
      <c r="GS1553" s="181">
        <v>0</v>
      </c>
      <c r="GT1553" s="181">
        <v>0</v>
      </c>
    </row>
    <row r="1554" spans="1:202">
      <c r="A1554" s="181" t="s">
        <v>240</v>
      </c>
      <c r="GS1554" s="181">
        <v>150</v>
      </c>
      <c r="GT1554" s="181">
        <v>300</v>
      </c>
    </row>
    <row r="1555" spans="1:202">
      <c r="A1555" s="181" t="s">
        <v>240</v>
      </c>
      <c r="GR1555" s="181" t="s">
        <v>309</v>
      </c>
      <c r="GS1555" s="181">
        <v>0</v>
      </c>
      <c r="GT1555" s="181">
        <v>0</v>
      </c>
    </row>
    <row r="1556" spans="1:202">
      <c r="A1556" s="181" t="s">
        <v>240</v>
      </c>
      <c r="GS1556" s="181">
        <v>128789</v>
      </c>
      <c r="GT1556" s="181">
        <v>273416</v>
      </c>
    </row>
    <row r="1557" spans="1:202">
      <c r="A1557" s="181" t="s">
        <v>240</v>
      </c>
      <c r="GR1557" s="181" t="s">
        <v>312</v>
      </c>
      <c r="GS1557" s="181">
        <v>0</v>
      </c>
      <c r="GT1557" s="181">
        <v>0</v>
      </c>
    </row>
    <row r="1558" spans="1:202">
      <c r="A1558" s="181" t="s">
        <v>240</v>
      </c>
      <c r="GR1558" s="181" t="s">
        <v>312</v>
      </c>
      <c r="GS1558" s="181">
        <v>0</v>
      </c>
      <c r="GT1558" s="181">
        <v>0</v>
      </c>
    </row>
    <row r="1559" spans="1:202">
      <c r="A1559" s="181" t="s">
        <v>240</v>
      </c>
      <c r="GR1559" s="181" t="s">
        <v>312</v>
      </c>
      <c r="GS1559" s="181">
        <v>0</v>
      </c>
      <c r="GT1559" s="181">
        <v>0</v>
      </c>
    </row>
    <row r="1560" spans="1:202">
      <c r="A1560" s="181" t="s">
        <v>240</v>
      </c>
      <c r="GR1560" s="181" t="s">
        <v>312</v>
      </c>
      <c r="GS1560" s="181">
        <v>0</v>
      </c>
      <c r="GT1560" s="181">
        <v>0</v>
      </c>
    </row>
    <row r="1561" spans="1:202">
      <c r="A1561" s="181" t="s">
        <v>240</v>
      </c>
      <c r="GR1561" s="181" t="s">
        <v>312</v>
      </c>
      <c r="GS1561" s="181">
        <v>0</v>
      </c>
      <c r="GT1561" s="181">
        <v>0</v>
      </c>
    </row>
    <row r="1562" spans="1:202">
      <c r="A1562" s="181" t="s">
        <v>240</v>
      </c>
      <c r="GR1562" s="181" t="s">
        <v>312</v>
      </c>
      <c r="GS1562" s="181">
        <v>0</v>
      </c>
      <c r="GT1562" s="181">
        <v>0</v>
      </c>
    </row>
    <row r="1563" spans="1:202">
      <c r="A1563" s="181" t="s">
        <v>240</v>
      </c>
      <c r="GR1563" s="181" t="s">
        <v>312</v>
      </c>
      <c r="GS1563" s="181">
        <v>0</v>
      </c>
      <c r="GT1563" s="181">
        <v>0</v>
      </c>
    </row>
    <row r="1564" spans="1:202">
      <c r="A1564" s="181" t="s">
        <v>240</v>
      </c>
      <c r="GR1564" s="181" t="s">
        <v>877</v>
      </c>
      <c r="GS1564" s="181">
        <v>0</v>
      </c>
      <c r="GT1564" s="181">
        <v>0</v>
      </c>
    </row>
    <row r="1565" spans="1:202">
      <c r="A1565" s="181" t="s">
        <v>240</v>
      </c>
      <c r="GR1565" s="181" t="s">
        <v>878</v>
      </c>
      <c r="GS1565" s="181">
        <v>17369</v>
      </c>
      <c r="GT1565" s="181">
        <v>31843</v>
      </c>
    </row>
    <row r="1566" spans="1:202">
      <c r="A1566" s="181" t="s">
        <v>240</v>
      </c>
      <c r="GR1566" s="181" t="s">
        <v>878</v>
      </c>
      <c r="GS1566" s="181">
        <v>0</v>
      </c>
      <c r="GT1566" s="181">
        <v>0</v>
      </c>
    </row>
    <row r="1567" spans="1:202">
      <c r="A1567" s="181" t="s">
        <v>240</v>
      </c>
      <c r="GR1567" s="181" t="s">
        <v>878</v>
      </c>
      <c r="GS1567" s="181">
        <v>0</v>
      </c>
      <c r="GT1567" s="181">
        <v>0</v>
      </c>
    </row>
    <row r="1568" spans="1:202">
      <c r="A1568" s="181" t="s">
        <v>240</v>
      </c>
      <c r="GR1568" s="181" t="s">
        <v>878</v>
      </c>
      <c r="GS1568" s="181">
        <v>0</v>
      </c>
      <c r="GT1568" s="181">
        <v>0</v>
      </c>
    </row>
    <row r="1569" spans="1:202">
      <c r="A1569" s="181" t="s">
        <v>240</v>
      </c>
      <c r="GR1569" s="181" t="s">
        <v>878</v>
      </c>
      <c r="GS1569" s="181">
        <v>0</v>
      </c>
      <c r="GT1569" s="181">
        <v>0</v>
      </c>
    </row>
    <row r="1570" spans="1:202">
      <c r="A1570" s="181" t="s">
        <v>240</v>
      </c>
      <c r="GR1570" s="181" t="s">
        <v>878</v>
      </c>
      <c r="GS1570" s="181">
        <v>0</v>
      </c>
      <c r="GT1570" s="181">
        <v>0</v>
      </c>
    </row>
    <row r="1571" spans="1:202">
      <c r="A1571" s="181" t="s">
        <v>240</v>
      </c>
      <c r="GR1571" s="181" t="s">
        <v>878</v>
      </c>
      <c r="GS1571" s="181">
        <v>0</v>
      </c>
      <c r="GT1571" s="181">
        <v>0</v>
      </c>
    </row>
    <row r="1572" spans="1:202">
      <c r="A1572" s="181" t="s">
        <v>240</v>
      </c>
      <c r="GR1572" s="181" t="s">
        <v>878</v>
      </c>
      <c r="GS1572" s="181">
        <v>0</v>
      </c>
      <c r="GT1572" s="181">
        <v>0</v>
      </c>
    </row>
    <row r="1573" spans="1:202">
      <c r="A1573" s="181" t="s">
        <v>240</v>
      </c>
      <c r="GR1573" s="181" t="s">
        <v>878</v>
      </c>
      <c r="GS1573" s="181">
        <v>0</v>
      </c>
      <c r="GT1573" s="181">
        <v>0</v>
      </c>
    </row>
    <row r="1574" spans="1:202">
      <c r="A1574" s="181" t="s">
        <v>240</v>
      </c>
      <c r="GR1574" s="181" t="s">
        <v>879</v>
      </c>
      <c r="GS1574" s="181">
        <v>0</v>
      </c>
      <c r="GT1574" s="181">
        <v>0</v>
      </c>
    </row>
    <row r="1575" spans="1:202">
      <c r="A1575" s="181" t="s">
        <v>240</v>
      </c>
      <c r="GR1575" s="181" t="s">
        <v>1715</v>
      </c>
      <c r="GS1575" s="181">
        <v>13464</v>
      </c>
      <c r="GT1575" s="181">
        <v>26928</v>
      </c>
    </row>
    <row r="1576" spans="1:202">
      <c r="A1576" s="181" t="s">
        <v>240</v>
      </c>
      <c r="GR1576" s="181" t="s">
        <v>880</v>
      </c>
      <c r="GS1576" s="181">
        <v>8379</v>
      </c>
      <c r="GT1576" s="181">
        <v>16758</v>
      </c>
    </row>
    <row r="1577" spans="1:202">
      <c r="A1577" s="181" t="s">
        <v>240</v>
      </c>
      <c r="GR1577" s="181" t="s">
        <v>881</v>
      </c>
      <c r="GS1577" s="181">
        <v>68775</v>
      </c>
      <c r="GT1577" s="181">
        <v>137550</v>
      </c>
    </row>
    <row r="1578" spans="1:202">
      <c r="A1578" s="181" t="s">
        <v>240</v>
      </c>
      <c r="GR1578" s="181">
        <v>0</v>
      </c>
      <c r="GS1578" s="181">
        <v>0</v>
      </c>
      <c r="GT1578" s="181">
        <v>0</v>
      </c>
    </row>
    <row r="1579" spans="1:202">
      <c r="A1579" s="181" t="s">
        <v>240</v>
      </c>
      <c r="GR1579" s="181">
        <v>0</v>
      </c>
      <c r="GS1579" s="181">
        <v>0</v>
      </c>
      <c r="GT1579" s="181">
        <v>0</v>
      </c>
    </row>
    <row r="1580" spans="1:202">
      <c r="A1580" s="181" t="s">
        <v>240</v>
      </c>
      <c r="GR1580" s="181">
        <v>0</v>
      </c>
      <c r="GS1580" s="181">
        <v>0</v>
      </c>
      <c r="GT1580" s="181">
        <v>0</v>
      </c>
    </row>
    <row r="1581" spans="1:202">
      <c r="A1581" s="181" t="s">
        <v>240</v>
      </c>
      <c r="GR1581" s="181">
        <v>0</v>
      </c>
      <c r="GS1581" s="181">
        <v>0</v>
      </c>
      <c r="GT1581" s="181">
        <v>0</v>
      </c>
    </row>
    <row r="1582" spans="1:202">
      <c r="A1582" s="181" t="s">
        <v>240</v>
      </c>
      <c r="GR1582" s="181">
        <v>0</v>
      </c>
      <c r="GS1582" s="181">
        <v>0</v>
      </c>
      <c r="GT1582" s="181">
        <v>0</v>
      </c>
    </row>
    <row r="1583" spans="1:202">
      <c r="A1583" s="181" t="s">
        <v>240</v>
      </c>
      <c r="GR1583" s="181">
        <v>0</v>
      </c>
      <c r="GS1583" s="181">
        <v>0</v>
      </c>
      <c r="GT1583" s="181">
        <v>0</v>
      </c>
    </row>
    <row r="1584" spans="1:202">
      <c r="A1584" s="181" t="s">
        <v>240</v>
      </c>
      <c r="GR1584" s="181">
        <v>0</v>
      </c>
      <c r="GS1584" s="181">
        <v>0</v>
      </c>
      <c r="GT1584" s="181">
        <v>0</v>
      </c>
    </row>
    <row r="1585" spans="1:202">
      <c r="A1585" s="181" t="s">
        <v>240</v>
      </c>
      <c r="GR1585" s="181">
        <v>0</v>
      </c>
      <c r="GS1585" s="181">
        <v>0</v>
      </c>
      <c r="GT1585" s="181">
        <v>0</v>
      </c>
    </row>
    <row r="1586" spans="1:202">
      <c r="A1586" s="181" t="s">
        <v>240</v>
      </c>
      <c r="GR1586" s="181">
        <v>0</v>
      </c>
      <c r="GS1586" s="181">
        <v>0</v>
      </c>
      <c r="GT1586" s="181">
        <v>0</v>
      </c>
    </row>
    <row r="1587" spans="1:202">
      <c r="A1587" s="181" t="s">
        <v>240</v>
      </c>
      <c r="GR1587" s="181">
        <v>0</v>
      </c>
      <c r="GS1587" s="181">
        <v>0</v>
      </c>
      <c r="GT1587" s="181">
        <v>0</v>
      </c>
    </row>
    <row r="1588" spans="1:202">
      <c r="A1588" s="181" t="s">
        <v>240</v>
      </c>
      <c r="GR1588" s="181">
        <v>0</v>
      </c>
      <c r="GS1588" s="181">
        <v>0</v>
      </c>
      <c r="GT1588" s="181">
        <v>0</v>
      </c>
    </row>
    <row r="1589" spans="1:202">
      <c r="A1589" s="181" t="s">
        <v>240</v>
      </c>
      <c r="GR1589" s="181">
        <v>0</v>
      </c>
      <c r="GS1589" s="181">
        <v>0</v>
      </c>
      <c r="GT1589" s="181">
        <v>0</v>
      </c>
    </row>
    <row r="1590" spans="1:202">
      <c r="A1590" s="181" t="s">
        <v>240</v>
      </c>
      <c r="GR1590" s="181">
        <v>0</v>
      </c>
      <c r="GS1590" s="181">
        <v>0</v>
      </c>
      <c r="GT1590" s="181">
        <v>0</v>
      </c>
    </row>
    <row r="1591" spans="1:202">
      <c r="A1591" s="181" t="s">
        <v>240</v>
      </c>
      <c r="GR1591" s="181">
        <v>0</v>
      </c>
      <c r="GS1591" s="181">
        <v>0</v>
      </c>
      <c r="GT1591" s="181">
        <v>0</v>
      </c>
    </row>
    <row r="1592" spans="1:202">
      <c r="A1592" s="181" t="s">
        <v>240</v>
      </c>
      <c r="GR1592" s="181">
        <v>0</v>
      </c>
      <c r="GS1592" s="181">
        <v>0</v>
      </c>
      <c r="GT1592" s="181">
        <v>0</v>
      </c>
    </row>
    <row r="1593" spans="1:202">
      <c r="A1593" s="181" t="s">
        <v>240</v>
      </c>
      <c r="GR1593" s="181" t="s">
        <v>876</v>
      </c>
      <c r="GS1593" s="181">
        <v>0</v>
      </c>
      <c r="GT1593" s="181">
        <v>0</v>
      </c>
    </row>
    <row r="1594" spans="1:202">
      <c r="A1594" s="181" t="s">
        <v>240</v>
      </c>
      <c r="GR1594" s="181" t="s">
        <v>876</v>
      </c>
      <c r="GS1594" s="181">
        <v>0</v>
      </c>
      <c r="GT1594" s="181">
        <v>0</v>
      </c>
    </row>
    <row r="1595" spans="1:202">
      <c r="A1595" s="181" t="s">
        <v>240</v>
      </c>
      <c r="GR1595" s="181" t="s">
        <v>876</v>
      </c>
      <c r="GS1595" s="181">
        <v>0</v>
      </c>
      <c r="GT1595" s="181">
        <v>0</v>
      </c>
    </row>
    <row r="1596" spans="1:202">
      <c r="A1596" s="181" t="s">
        <v>240</v>
      </c>
      <c r="GR1596" s="181" t="s">
        <v>1761</v>
      </c>
      <c r="GS1596" s="181">
        <v>0</v>
      </c>
      <c r="GT1596" s="181">
        <v>0</v>
      </c>
    </row>
    <row r="1597" spans="1:202">
      <c r="A1597" s="181" t="s">
        <v>240</v>
      </c>
      <c r="GR1597" s="181" t="s">
        <v>1762</v>
      </c>
      <c r="GS1597" s="181">
        <v>0</v>
      </c>
      <c r="GT1597" s="181">
        <v>0</v>
      </c>
    </row>
    <row r="1598" spans="1:202">
      <c r="A1598" s="181" t="s">
        <v>240</v>
      </c>
      <c r="GR1598" s="181" t="s">
        <v>1763</v>
      </c>
      <c r="GS1598" s="181">
        <v>0</v>
      </c>
      <c r="GT1598" s="181">
        <v>0</v>
      </c>
    </row>
    <row r="1599" spans="1:202">
      <c r="A1599" s="181" t="s">
        <v>240</v>
      </c>
      <c r="GR1599" s="181" t="s">
        <v>1764</v>
      </c>
      <c r="GS1599" s="181">
        <v>0</v>
      </c>
      <c r="GT1599" s="181">
        <v>0</v>
      </c>
    </row>
    <row r="1600" spans="1:202">
      <c r="A1600" s="181" t="s">
        <v>240</v>
      </c>
      <c r="GR1600" s="181" t="s">
        <v>1765</v>
      </c>
      <c r="GS1600" s="181">
        <v>0</v>
      </c>
      <c r="GT1600" s="181">
        <v>0</v>
      </c>
    </row>
    <row r="1601" spans="1:202">
      <c r="A1601" s="181" t="s">
        <v>240</v>
      </c>
      <c r="GR1601" s="181" t="s">
        <v>333</v>
      </c>
      <c r="GS1601" s="181">
        <v>0</v>
      </c>
      <c r="GT1601" s="181">
        <v>0</v>
      </c>
    </row>
    <row r="1602" spans="1:202">
      <c r="A1602" s="181" t="s">
        <v>240</v>
      </c>
      <c r="GR1602" s="181" t="s">
        <v>882</v>
      </c>
      <c r="GS1602" s="181">
        <v>0</v>
      </c>
      <c r="GT1602" s="181">
        <v>0</v>
      </c>
    </row>
    <row r="1603" spans="1:202">
      <c r="A1603" s="181" t="s">
        <v>240</v>
      </c>
      <c r="GR1603" s="181" t="s">
        <v>882</v>
      </c>
      <c r="GS1603" s="181">
        <v>0</v>
      </c>
      <c r="GT1603" s="181">
        <v>0</v>
      </c>
    </row>
    <row r="1604" spans="1:202">
      <c r="A1604" s="181" t="s">
        <v>240</v>
      </c>
      <c r="GR1604" s="181" t="s">
        <v>882</v>
      </c>
      <c r="GS1604" s="181">
        <v>0</v>
      </c>
      <c r="GT1604" s="181">
        <v>0</v>
      </c>
    </row>
    <row r="1605" spans="1:202">
      <c r="A1605" s="181" t="s">
        <v>240</v>
      </c>
      <c r="GR1605" s="181" t="s">
        <v>883</v>
      </c>
      <c r="GS1605" s="181">
        <v>0</v>
      </c>
      <c r="GT1605" s="181">
        <v>0</v>
      </c>
    </row>
    <row r="1606" spans="1:202">
      <c r="A1606" s="181" t="s">
        <v>240</v>
      </c>
      <c r="GR1606" s="181" t="s">
        <v>873</v>
      </c>
      <c r="GS1606" s="181">
        <v>0</v>
      </c>
      <c r="GT1606" s="181">
        <v>0</v>
      </c>
    </row>
    <row r="1607" spans="1:202">
      <c r="A1607" s="181" t="s">
        <v>240</v>
      </c>
      <c r="GR1607" s="181" t="s">
        <v>873</v>
      </c>
      <c r="GS1607" s="181">
        <v>0</v>
      </c>
      <c r="GT1607" s="181">
        <v>0</v>
      </c>
    </row>
    <row r="1608" spans="1:202">
      <c r="A1608" s="181" t="s">
        <v>240</v>
      </c>
      <c r="GR1608" s="181" t="s">
        <v>873</v>
      </c>
      <c r="GS1608" s="181">
        <v>0</v>
      </c>
      <c r="GT1608" s="181">
        <v>0</v>
      </c>
    </row>
    <row r="1609" spans="1:202">
      <c r="A1609" s="181" t="s">
        <v>240</v>
      </c>
      <c r="GR1609" s="181" t="s">
        <v>873</v>
      </c>
      <c r="GS1609" s="181">
        <v>0</v>
      </c>
      <c r="GT1609" s="181">
        <v>0</v>
      </c>
    </row>
    <row r="1610" spans="1:202">
      <c r="A1610" s="181" t="s">
        <v>240</v>
      </c>
      <c r="GR1610" s="181" t="s">
        <v>308</v>
      </c>
      <c r="GS1610" s="181">
        <v>0</v>
      </c>
      <c r="GT1610" s="181">
        <v>0</v>
      </c>
    </row>
    <row r="1611" spans="1:202">
      <c r="A1611" s="181" t="s">
        <v>240</v>
      </c>
      <c r="GR1611" s="181" t="s">
        <v>874</v>
      </c>
      <c r="GS1611" s="181">
        <v>0</v>
      </c>
      <c r="GT1611" s="181">
        <v>0</v>
      </c>
    </row>
    <row r="1612" spans="1:202">
      <c r="A1612" s="181" t="s">
        <v>240</v>
      </c>
      <c r="GR1612" s="181" t="s">
        <v>874</v>
      </c>
      <c r="GS1612" s="181">
        <v>0</v>
      </c>
      <c r="GT1612" s="181">
        <v>0</v>
      </c>
    </row>
    <row r="1613" spans="1:202">
      <c r="A1613" s="181" t="s">
        <v>240</v>
      </c>
      <c r="GR1613" s="181" t="s">
        <v>874</v>
      </c>
      <c r="GS1613" s="181">
        <v>0</v>
      </c>
      <c r="GT1613" s="181">
        <v>0</v>
      </c>
    </row>
    <row r="1614" spans="1:202">
      <c r="A1614" s="181" t="s">
        <v>240</v>
      </c>
      <c r="GR1614" s="181" t="s">
        <v>874</v>
      </c>
      <c r="GS1614" s="181">
        <v>0</v>
      </c>
      <c r="GT1614" s="181">
        <v>0</v>
      </c>
    </row>
    <row r="1615" spans="1:202">
      <c r="A1615" s="181" t="s">
        <v>240</v>
      </c>
      <c r="GR1615" s="181" t="s">
        <v>870</v>
      </c>
      <c r="GS1615" s="181">
        <v>0</v>
      </c>
      <c r="GT1615" s="181">
        <v>0</v>
      </c>
    </row>
    <row r="1616" spans="1:202">
      <c r="A1616" s="181" t="s">
        <v>240</v>
      </c>
      <c r="GR1616" s="181" t="s">
        <v>309</v>
      </c>
      <c r="GS1616" s="181">
        <v>0</v>
      </c>
      <c r="GT1616" s="181">
        <v>0</v>
      </c>
    </row>
    <row r="1617" spans="1:202">
      <c r="A1617" s="181" t="s">
        <v>240</v>
      </c>
      <c r="GR1617" s="181" t="s">
        <v>309</v>
      </c>
      <c r="GS1617" s="181">
        <v>0</v>
      </c>
      <c r="GT1617" s="181">
        <v>0</v>
      </c>
    </row>
    <row r="1618" spans="1:202">
      <c r="A1618" s="181" t="s">
        <v>240</v>
      </c>
      <c r="GR1618" s="181" t="s">
        <v>309</v>
      </c>
      <c r="GS1618" s="181">
        <v>0</v>
      </c>
      <c r="GT1618" s="181">
        <v>0</v>
      </c>
    </row>
    <row r="1619" spans="1:202">
      <c r="A1619" s="181" t="s">
        <v>240</v>
      </c>
      <c r="GS1619" s="181">
        <v>107987</v>
      </c>
      <c r="GT1619" s="181">
        <v>213079</v>
      </c>
    </row>
    <row r="1620" spans="1:202">
      <c r="A1620" s="181" t="s">
        <v>240</v>
      </c>
      <c r="GR1620" s="181" t="s">
        <v>1766</v>
      </c>
      <c r="GS1620" s="181">
        <v>0</v>
      </c>
      <c r="GT1620" s="181">
        <v>0</v>
      </c>
    </row>
    <row r="1621" spans="1:202">
      <c r="A1621" s="181" t="s">
        <v>240</v>
      </c>
      <c r="GR1621" s="181" t="s">
        <v>1224</v>
      </c>
      <c r="GS1621" s="181">
        <v>0</v>
      </c>
      <c r="GT1621" s="181">
        <v>37214</v>
      </c>
    </row>
    <row r="1622" spans="1:202">
      <c r="A1622" s="181" t="s">
        <v>240</v>
      </c>
      <c r="GR1622" s="181" t="s">
        <v>1670</v>
      </c>
      <c r="GS1622" s="181">
        <v>0</v>
      </c>
      <c r="GT1622" s="181">
        <v>0</v>
      </c>
    </row>
    <row r="1623" spans="1:202">
      <c r="A1623" s="181" t="s">
        <v>240</v>
      </c>
      <c r="GR1623" s="181" t="s">
        <v>1741</v>
      </c>
      <c r="GS1623" s="181">
        <v>0</v>
      </c>
      <c r="GT1623" s="181">
        <v>0</v>
      </c>
    </row>
    <row r="1624" spans="1:202">
      <c r="A1624" s="181" t="s">
        <v>240</v>
      </c>
      <c r="GR1624" s="181" t="s">
        <v>1767</v>
      </c>
      <c r="GS1624" s="181">
        <v>0</v>
      </c>
      <c r="GT1624" s="181">
        <v>0</v>
      </c>
    </row>
    <row r="1625" spans="1:202">
      <c r="A1625" s="181" t="s">
        <v>240</v>
      </c>
      <c r="GR1625" s="181" t="s">
        <v>875</v>
      </c>
      <c r="GS1625" s="181">
        <v>0</v>
      </c>
      <c r="GT1625" s="181">
        <v>0</v>
      </c>
    </row>
    <row r="1626" spans="1:202">
      <c r="A1626" s="181" t="s">
        <v>240</v>
      </c>
      <c r="GR1626" s="181" t="s">
        <v>310</v>
      </c>
      <c r="GS1626" s="181">
        <v>0</v>
      </c>
      <c r="GT1626" s="181">
        <v>0</v>
      </c>
    </row>
    <row r="1627" spans="1:202">
      <c r="A1627" s="181" t="s">
        <v>240</v>
      </c>
      <c r="GR1627" s="181" t="s">
        <v>310</v>
      </c>
      <c r="GS1627" s="181">
        <v>0</v>
      </c>
      <c r="GT1627" s="181">
        <v>0</v>
      </c>
    </row>
    <row r="1628" spans="1:202">
      <c r="A1628" s="181" t="s">
        <v>240</v>
      </c>
      <c r="GR1628" s="181" t="s">
        <v>310</v>
      </c>
      <c r="GS1628" s="181">
        <v>0</v>
      </c>
      <c r="GT1628" s="181">
        <v>0</v>
      </c>
    </row>
    <row r="1629" spans="1:202">
      <c r="A1629" s="181" t="s">
        <v>240</v>
      </c>
      <c r="GR1629" s="181" t="s">
        <v>310</v>
      </c>
      <c r="GS1629" s="181">
        <v>0</v>
      </c>
      <c r="GT1629" s="181">
        <v>0</v>
      </c>
    </row>
    <row r="1630" spans="1:202">
      <c r="A1630" s="181" t="s">
        <v>240</v>
      </c>
      <c r="GR1630" s="181" t="s">
        <v>310</v>
      </c>
      <c r="GS1630" s="181">
        <v>0</v>
      </c>
      <c r="GT1630" s="181">
        <v>0</v>
      </c>
    </row>
    <row r="1631" spans="1:202">
      <c r="A1631" s="181" t="s">
        <v>240</v>
      </c>
      <c r="GR1631" s="181" t="s">
        <v>310</v>
      </c>
      <c r="GS1631" s="181">
        <v>0</v>
      </c>
      <c r="GT1631" s="181">
        <v>0</v>
      </c>
    </row>
    <row r="1632" spans="1:202">
      <c r="A1632" s="181" t="s">
        <v>240</v>
      </c>
      <c r="GR1632" s="181" t="s">
        <v>310</v>
      </c>
      <c r="GS1632" s="181">
        <v>0</v>
      </c>
      <c r="GT1632" s="181">
        <v>0</v>
      </c>
    </row>
    <row r="1633" spans="1:202">
      <c r="A1633" s="181" t="s">
        <v>240</v>
      </c>
      <c r="GR1633" s="181" t="s">
        <v>310</v>
      </c>
      <c r="GS1633" s="181">
        <v>0</v>
      </c>
      <c r="GT1633" s="181">
        <v>0</v>
      </c>
    </row>
    <row r="1634" spans="1:202">
      <c r="A1634" s="181" t="s">
        <v>240</v>
      </c>
      <c r="GR1634" s="181" t="s">
        <v>876</v>
      </c>
      <c r="GS1634" s="181">
        <v>0</v>
      </c>
      <c r="GT1634" s="181">
        <v>0</v>
      </c>
    </row>
    <row r="1635" spans="1:202">
      <c r="A1635" s="181" t="s">
        <v>240</v>
      </c>
      <c r="GR1635" s="181" t="s">
        <v>876</v>
      </c>
      <c r="GS1635" s="181">
        <v>0</v>
      </c>
      <c r="GT1635" s="181">
        <v>0</v>
      </c>
    </row>
    <row r="1636" spans="1:202">
      <c r="A1636" s="181" t="s">
        <v>240</v>
      </c>
      <c r="GR1636" s="181" t="s">
        <v>876</v>
      </c>
      <c r="GS1636" s="181">
        <v>0</v>
      </c>
      <c r="GT1636" s="181">
        <v>0</v>
      </c>
    </row>
    <row r="1637" spans="1:202">
      <c r="A1637" s="181" t="s">
        <v>240</v>
      </c>
      <c r="GR1637" s="181" t="s">
        <v>876</v>
      </c>
      <c r="GS1637" s="181">
        <v>0</v>
      </c>
      <c r="GT1637" s="181">
        <v>0</v>
      </c>
    </row>
    <row r="1638" spans="1:202">
      <c r="A1638" s="181" t="s">
        <v>240</v>
      </c>
      <c r="GR1638" s="181" t="s">
        <v>876</v>
      </c>
      <c r="GS1638" s="181">
        <v>0</v>
      </c>
      <c r="GT1638" s="181">
        <v>0</v>
      </c>
    </row>
    <row r="1639" spans="1:202">
      <c r="A1639" s="181" t="s">
        <v>240</v>
      </c>
      <c r="GR1639" s="181">
        <v>0</v>
      </c>
      <c r="GS1639" s="181">
        <v>0</v>
      </c>
      <c r="GT1639" s="181">
        <v>0</v>
      </c>
    </row>
    <row r="1640" spans="1:202">
      <c r="A1640" s="181" t="s">
        <v>240</v>
      </c>
      <c r="GR1640" s="181">
        <v>0</v>
      </c>
      <c r="GS1640" s="181">
        <v>0</v>
      </c>
      <c r="GT1640" s="181">
        <v>0</v>
      </c>
    </row>
    <row r="1641" spans="1:202">
      <c r="A1641" s="181" t="s">
        <v>240</v>
      </c>
      <c r="GR1641" s="181">
        <v>0</v>
      </c>
      <c r="GS1641" s="181">
        <v>0</v>
      </c>
      <c r="GT1641" s="181">
        <v>0</v>
      </c>
    </row>
    <row r="1642" spans="1:202">
      <c r="A1642" s="181" t="s">
        <v>240</v>
      </c>
      <c r="GR1642" s="181">
        <v>0</v>
      </c>
      <c r="GS1642" s="181">
        <v>0</v>
      </c>
      <c r="GT1642" s="181">
        <v>0</v>
      </c>
    </row>
    <row r="1643" spans="1:202">
      <c r="A1643" s="181" t="s">
        <v>240</v>
      </c>
      <c r="GR1643" s="181">
        <v>0</v>
      </c>
      <c r="GS1643" s="181">
        <v>0</v>
      </c>
      <c r="GT1643" s="181">
        <v>0</v>
      </c>
    </row>
    <row r="1644" spans="1:202">
      <c r="A1644" s="181" t="s">
        <v>240</v>
      </c>
      <c r="GR1644" s="181">
        <v>0</v>
      </c>
      <c r="GS1644" s="181">
        <v>0</v>
      </c>
      <c r="GT1644" s="181">
        <v>0</v>
      </c>
    </row>
    <row r="1645" spans="1:202">
      <c r="A1645" s="181" t="s">
        <v>240</v>
      </c>
      <c r="GR1645" s="181">
        <v>0</v>
      </c>
      <c r="GS1645" s="181">
        <v>0</v>
      </c>
      <c r="GT1645" s="181">
        <v>0</v>
      </c>
    </row>
    <row r="1646" spans="1:202">
      <c r="A1646" s="181" t="s">
        <v>240</v>
      </c>
      <c r="GR1646" s="181">
        <v>0</v>
      </c>
      <c r="GS1646" s="181">
        <v>0</v>
      </c>
      <c r="GT1646" s="181">
        <v>0</v>
      </c>
    </row>
    <row r="1647" spans="1:202">
      <c r="A1647" s="181" t="s">
        <v>240</v>
      </c>
      <c r="GR1647" s="181">
        <v>0</v>
      </c>
      <c r="GS1647" s="181">
        <v>0</v>
      </c>
      <c r="GT1647" s="181">
        <v>0</v>
      </c>
    </row>
    <row r="1648" spans="1:202">
      <c r="A1648" s="181" t="s">
        <v>240</v>
      </c>
      <c r="GR1648" s="181">
        <v>0</v>
      </c>
      <c r="GS1648" s="181">
        <v>0</v>
      </c>
      <c r="GT1648" s="181">
        <v>0</v>
      </c>
    </row>
    <row r="1649" spans="1:202">
      <c r="A1649" s="181" t="s">
        <v>240</v>
      </c>
      <c r="GR1649" s="181">
        <v>0</v>
      </c>
      <c r="GS1649" s="181">
        <v>0</v>
      </c>
      <c r="GT1649" s="181">
        <v>0</v>
      </c>
    </row>
    <row r="1650" spans="1:202">
      <c r="A1650" s="181" t="s">
        <v>240</v>
      </c>
      <c r="GR1650" s="181">
        <v>0</v>
      </c>
      <c r="GS1650" s="181">
        <v>0</v>
      </c>
      <c r="GT1650" s="181">
        <v>0</v>
      </c>
    </row>
    <row r="1651" spans="1:202">
      <c r="A1651" s="181" t="s">
        <v>240</v>
      </c>
      <c r="GR1651" s="181">
        <v>0</v>
      </c>
      <c r="GS1651" s="181">
        <v>0</v>
      </c>
      <c r="GT1651" s="181">
        <v>0</v>
      </c>
    </row>
    <row r="1652" spans="1:202">
      <c r="A1652" s="181" t="s">
        <v>240</v>
      </c>
      <c r="GR1652" s="181">
        <v>0</v>
      </c>
      <c r="GS1652" s="181">
        <v>0</v>
      </c>
      <c r="GT1652" s="181">
        <v>0</v>
      </c>
    </row>
    <row r="1653" spans="1:202">
      <c r="A1653" s="181" t="s">
        <v>240</v>
      </c>
      <c r="GR1653" s="181">
        <v>0</v>
      </c>
      <c r="GS1653" s="181">
        <v>0</v>
      </c>
      <c r="GT1653" s="181">
        <v>0</v>
      </c>
    </row>
    <row r="1654" spans="1:202">
      <c r="A1654" s="181" t="s">
        <v>240</v>
      </c>
      <c r="GS1654" s="181">
        <v>0</v>
      </c>
      <c r="GT1654" s="181">
        <v>37214</v>
      </c>
    </row>
    <row r="1655" spans="1:202">
      <c r="A1655" s="181" t="s">
        <v>240</v>
      </c>
      <c r="GR1655" s="181" t="s">
        <v>309</v>
      </c>
      <c r="GS1655" s="181">
        <v>0</v>
      </c>
      <c r="GT1655" s="181">
        <v>0</v>
      </c>
    </row>
    <row r="1656" spans="1:202">
      <c r="A1656" s="181" t="s">
        <v>240</v>
      </c>
      <c r="GS1656" s="181">
        <v>107987</v>
      </c>
      <c r="GT1656" s="181">
        <v>250293</v>
      </c>
    </row>
    <row r="1657" spans="1:202">
      <c r="A1657" s="181" t="s">
        <v>240</v>
      </c>
      <c r="GS1657" s="181">
        <v>20802</v>
      </c>
      <c r="GT1657" s="181">
        <v>23123</v>
      </c>
    </row>
    <row r="1658" spans="1:202">
      <c r="A1658" s="181" t="s">
        <v>240</v>
      </c>
      <c r="GS1658" s="181">
        <v>35188</v>
      </c>
      <c r="GT1658" s="181">
        <v>35188</v>
      </c>
    </row>
    <row r="1659" spans="1:202">
      <c r="A1659" s="181" t="s">
        <v>240</v>
      </c>
    </row>
    <row r="1660" spans="1:202">
      <c r="A1660" s="181" t="s">
        <v>240</v>
      </c>
    </row>
    <row r="1661" spans="1:202">
      <c r="A1661" s="181" t="s">
        <v>240</v>
      </c>
    </row>
    <row r="1662" spans="1:202">
      <c r="A1662" s="181" t="s">
        <v>240</v>
      </c>
    </row>
    <row r="1663" spans="1:202">
      <c r="A1663" s="181" t="s">
        <v>240</v>
      </c>
    </row>
    <row r="1664" spans="1:202">
      <c r="A1664" s="181" t="s">
        <v>240</v>
      </c>
    </row>
    <row r="1665" spans="1:1">
      <c r="A1665" s="181" t="s">
        <v>240</v>
      </c>
    </row>
    <row r="1666" spans="1:1">
      <c r="A1666" s="181" t="s">
        <v>240</v>
      </c>
    </row>
    <row r="1667" spans="1:1">
      <c r="A1667" s="181" t="s">
        <v>240</v>
      </c>
    </row>
    <row r="1668" spans="1:1">
      <c r="A1668" s="181" t="s">
        <v>240</v>
      </c>
    </row>
    <row r="1669" spans="1:1">
      <c r="A1669" s="181" t="s">
        <v>240</v>
      </c>
    </row>
    <row r="1670" spans="1:1">
      <c r="A1670" s="181" t="s">
        <v>240</v>
      </c>
    </row>
    <row r="1671" spans="1:1">
      <c r="A1671" s="181" t="s">
        <v>240</v>
      </c>
    </row>
    <row r="1672" spans="1:1">
      <c r="A1672" s="181" t="s">
        <v>240</v>
      </c>
    </row>
    <row r="1673" spans="1:1">
      <c r="A1673" s="181" t="s">
        <v>240</v>
      </c>
    </row>
    <row r="1674" spans="1:1">
      <c r="A1674" s="181" t="s">
        <v>240</v>
      </c>
    </row>
    <row r="1675" spans="1:1">
      <c r="A1675" s="181" t="s">
        <v>240</v>
      </c>
    </row>
    <row r="1676" spans="1:1">
      <c r="A1676" s="181" t="s">
        <v>240</v>
      </c>
    </row>
    <row r="1677" spans="1:1">
      <c r="A1677" s="181" t="s">
        <v>240</v>
      </c>
    </row>
    <row r="1678" spans="1:1">
      <c r="A1678" s="181" t="s">
        <v>240</v>
      </c>
    </row>
    <row r="1679" spans="1:1">
      <c r="A1679" s="181" t="s">
        <v>240</v>
      </c>
    </row>
    <row r="1680" spans="1:1">
      <c r="A1680" s="181" t="s">
        <v>240</v>
      </c>
    </row>
    <row r="1681" spans="1:238">
      <c r="A1681" s="181" t="s">
        <v>240</v>
      </c>
    </row>
    <row r="1682" spans="1:238">
      <c r="A1682" s="181" t="s">
        <v>240</v>
      </c>
    </row>
    <row r="1683" spans="1:238">
      <c r="A1683" s="181" t="s">
        <v>240</v>
      </c>
    </row>
    <row r="1684" spans="1:238">
      <c r="A1684" s="181" t="s">
        <v>240</v>
      </c>
    </row>
    <row r="1685" spans="1:238">
      <c r="A1685" s="181" t="s">
        <v>240</v>
      </c>
    </row>
    <row r="1686" spans="1:238">
      <c r="A1686" s="181" t="s">
        <v>240</v>
      </c>
    </row>
    <row r="1687" spans="1:238">
      <c r="A1687" s="181" t="s">
        <v>240</v>
      </c>
    </row>
    <row r="1688" spans="1:238">
      <c r="A1688" s="181" t="s">
        <v>240</v>
      </c>
    </row>
    <row r="1689" spans="1:238">
      <c r="A1689" s="181" t="s">
        <v>240</v>
      </c>
    </row>
    <row r="1690" spans="1:238">
      <c r="A1690" s="181" t="s">
        <v>240</v>
      </c>
    </row>
    <row r="1691" spans="1:238">
      <c r="A1691" s="181" t="s">
        <v>240</v>
      </c>
    </row>
    <row r="1692" spans="1:238">
      <c r="A1692" s="181" t="s">
        <v>240</v>
      </c>
    </row>
    <row r="1693" spans="1:238">
      <c r="A1693" s="181" t="s">
        <v>2690</v>
      </c>
      <c r="B1693" s="181" t="s">
        <v>2527</v>
      </c>
      <c r="C1693" s="181" t="s">
        <v>919</v>
      </c>
      <c r="D1693" s="181" t="s">
        <v>2550</v>
      </c>
      <c r="E1693" s="181" t="s">
        <v>919</v>
      </c>
      <c r="F1693" s="181" t="s">
        <v>1680</v>
      </c>
      <c r="G1693" s="181">
        <v>1679718</v>
      </c>
      <c r="H1693" s="181">
        <v>10</v>
      </c>
      <c r="I1693" s="181" t="s">
        <v>2522</v>
      </c>
      <c r="J1693" s="181" t="s">
        <v>2526</v>
      </c>
      <c r="X1693" s="181">
        <v>5000</v>
      </c>
      <c r="Y1693" s="181">
        <v>10000</v>
      </c>
      <c r="Z1693" s="181">
        <v>39000000</v>
      </c>
      <c r="AA1693" s="181">
        <v>39000000</v>
      </c>
      <c r="AB1693" s="181">
        <v>4.6875</v>
      </c>
      <c r="AC1693" s="181">
        <v>9.375</v>
      </c>
      <c r="AD1693" s="181">
        <v>31096000</v>
      </c>
      <c r="AE1693" s="181">
        <v>31096000</v>
      </c>
      <c r="AL1693" s="181">
        <v>1000</v>
      </c>
      <c r="AM1693" s="181">
        <v>3500</v>
      </c>
      <c r="AN1693" s="181">
        <v>7800000</v>
      </c>
      <c r="AO1693" s="181">
        <v>7800000</v>
      </c>
      <c r="AY1693" s="181">
        <v>5000</v>
      </c>
      <c r="AZ1693" s="181">
        <v>10000</v>
      </c>
      <c r="BA1693" s="181" t="s">
        <v>2554</v>
      </c>
      <c r="BB1693" s="181" t="s">
        <v>2566</v>
      </c>
      <c r="BC1693" s="181">
        <v>0</v>
      </c>
      <c r="BD1693" s="181">
        <v>1575</v>
      </c>
      <c r="BF1693" s="181">
        <v>27000000</v>
      </c>
      <c r="BG1693" s="181">
        <v>0</v>
      </c>
      <c r="BH1693" s="181">
        <v>0</v>
      </c>
      <c r="BK1693" s="181" t="s">
        <v>1128</v>
      </c>
      <c r="BL1693" s="181">
        <v>5269.2033333333338</v>
      </c>
      <c r="BM1693" s="181">
        <v>11416.607222222225</v>
      </c>
      <c r="BP1693" s="181" t="s">
        <v>1128</v>
      </c>
      <c r="BQ1693" s="181">
        <v>752.74333333333345</v>
      </c>
      <c r="BR1693" s="181">
        <v>1630.9438888888892</v>
      </c>
      <c r="BU1693" s="181" t="s">
        <v>1634</v>
      </c>
      <c r="BV1693" s="181">
        <v>0</v>
      </c>
      <c r="BW1693" s="181">
        <v>0</v>
      </c>
      <c r="BZ1693" s="181">
        <v>60358.98872012744</v>
      </c>
      <c r="CA1693" s="181">
        <v>0</v>
      </c>
      <c r="CB1693" s="181">
        <v>0</v>
      </c>
      <c r="CI1693" s="181">
        <v>0</v>
      </c>
      <c r="CJ1693" s="181">
        <v>0</v>
      </c>
      <c r="CK1693" s="181">
        <v>0</v>
      </c>
      <c r="CL1693" s="181">
        <v>0</v>
      </c>
      <c r="CM1693" s="181">
        <v>0</v>
      </c>
      <c r="CN1693" s="181">
        <v>0</v>
      </c>
      <c r="CO1693" s="181">
        <v>0</v>
      </c>
      <c r="CP1693" s="181">
        <v>1.4</v>
      </c>
      <c r="CQ1693" s="181">
        <v>1.6</v>
      </c>
      <c r="CR1693" s="181">
        <v>0</v>
      </c>
      <c r="CS1693" s="181">
        <v>0</v>
      </c>
      <c r="CT1693" s="181">
        <v>1</v>
      </c>
      <c r="CU1693" s="181">
        <v>0</v>
      </c>
      <c r="CV1693" s="181">
        <v>0</v>
      </c>
      <c r="DC1693" s="181">
        <v>1000</v>
      </c>
      <c r="DD1693" s="181">
        <v>3500</v>
      </c>
      <c r="DX1693" s="181" t="s">
        <v>1634</v>
      </c>
      <c r="FF1693" s="181" t="s">
        <v>2544</v>
      </c>
      <c r="FG1693" s="181" t="s">
        <v>919</v>
      </c>
      <c r="FL1693" s="181">
        <v>4.6875</v>
      </c>
      <c r="FM1693" s="181">
        <v>9.375</v>
      </c>
      <c r="FN1693" s="181">
        <v>31096000</v>
      </c>
      <c r="FO1693" s="181">
        <v>31096000</v>
      </c>
      <c r="FP1693" s="181">
        <v>5078.8888806312498</v>
      </c>
      <c r="FQ1693" s="181">
        <v>5078.8888806312498</v>
      </c>
      <c r="FR1693" s="181">
        <v>5078.8888806312498</v>
      </c>
      <c r="FY1693" s="181">
        <v>1</v>
      </c>
      <c r="FZ1693" s="181">
        <v>11</v>
      </c>
      <c r="GA1693" s="181">
        <v>0</v>
      </c>
      <c r="GB1693" s="181">
        <v>1</v>
      </c>
      <c r="GC1693" s="181">
        <v>11</v>
      </c>
      <c r="GD1693" s="181">
        <v>0</v>
      </c>
      <c r="GR1693" s="181" t="s">
        <v>1803</v>
      </c>
      <c r="HD1693" s="181" t="s">
        <v>2578</v>
      </c>
      <c r="HE1693" s="181">
        <v>67934.029296875</v>
      </c>
      <c r="HF1693" s="181">
        <v>135868.05859375</v>
      </c>
      <c r="HG1693" s="181" t="s">
        <v>1634</v>
      </c>
      <c r="HH1693" s="181">
        <v>0</v>
      </c>
      <c r="HI1693" s="181">
        <v>0</v>
      </c>
      <c r="HL1693" s="181" t="s">
        <v>932</v>
      </c>
      <c r="HS1693" s="181" t="s">
        <v>1773</v>
      </c>
      <c r="HT1693" s="181">
        <v>31386</v>
      </c>
      <c r="HU1693" s="181">
        <v>62772</v>
      </c>
      <c r="HV1693" s="181" t="s">
        <v>1782</v>
      </c>
      <c r="HW1693" s="181">
        <v>16131.037499999999</v>
      </c>
      <c r="HX1693" s="181">
        <v>32262.074999999997</v>
      </c>
      <c r="HY1693" s="181" t="s">
        <v>1781</v>
      </c>
      <c r="HZ1693" s="181">
        <v>0</v>
      </c>
      <c r="IA1693" s="181">
        <v>30000</v>
      </c>
      <c r="IB1693" s="181" t="s">
        <v>1156</v>
      </c>
      <c r="IC1693" s="181">
        <v>0</v>
      </c>
      <c r="ID1693" s="181">
        <v>7500</v>
      </c>
    </row>
    <row r="1694" spans="1:238">
      <c r="A1694" s="181" t="s">
        <v>2690</v>
      </c>
      <c r="B1694" s="181" t="s">
        <v>2528</v>
      </c>
      <c r="C1694" s="181" t="s">
        <v>919</v>
      </c>
      <c r="D1694" s="181" t="s">
        <v>2551</v>
      </c>
      <c r="E1694" s="181" t="s">
        <v>901</v>
      </c>
      <c r="F1694" s="181" t="s">
        <v>2519</v>
      </c>
      <c r="G1694" s="181">
        <v>1</v>
      </c>
      <c r="I1694" s="181" t="s">
        <v>2523</v>
      </c>
      <c r="X1694" s="181">
        <v>500</v>
      </c>
      <c r="Y1694" s="181">
        <v>1000</v>
      </c>
      <c r="Z1694" s="181">
        <v>320000000</v>
      </c>
      <c r="AA1694" s="181">
        <v>320000000</v>
      </c>
      <c r="AB1694" s="181">
        <v>423.75</v>
      </c>
      <c r="AC1694" s="181">
        <v>847.5</v>
      </c>
      <c r="AD1694" s="181">
        <v>214945.79646017699</v>
      </c>
      <c r="AE1694" s="181">
        <v>214945.79646017699</v>
      </c>
      <c r="AL1694" s="181">
        <v>8000</v>
      </c>
      <c r="AM1694" s="181">
        <v>22000</v>
      </c>
      <c r="AN1694" s="181">
        <v>650000</v>
      </c>
      <c r="AO1694" s="181">
        <v>650000</v>
      </c>
      <c r="AY1694" s="181">
        <v>500</v>
      </c>
      <c r="AZ1694" s="181">
        <v>1000</v>
      </c>
      <c r="BA1694" s="181" t="s">
        <v>2555</v>
      </c>
      <c r="BB1694" s="181" t="s">
        <v>901</v>
      </c>
      <c r="BC1694" s="181">
        <v>32280</v>
      </c>
      <c r="BD1694" s="181">
        <v>64560</v>
      </c>
      <c r="BE1694" s="181">
        <v>1350000</v>
      </c>
      <c r="BF1694" s="181">
        <v>1350000</v>
      </c>
      <c r="BG1694" s="181">
        <v>32280</v>
      </c>
      <c r="BH1694" s="181">
        <v>64560</v>
      </c>
      <c r="BI1694" s="181">
        <v>1223589.8768661462</v>
      </c>
      <c r="BJ1694" s="181">
        <v>1277098.7298131492</v>
      </c>
      <c r="BK1694" s="181" t="s">
        <v>1101</v>
      </c>
      <c r="BL1694" s="181">
        <v>1874.3666666666666</v>
      </c>
      <c r="BM1694" s="181">
        <v>4061.1277777777777</v>
      </c>
      <c r="BP1694" s="181" t="s">
        <v>1101</v>
      </c>
      <c r="BQ1694" s="181">
        <v>267.76666666666665</v>
      </c>
      <c r="BR1694" s="181">
        <v>580.16111111111104</v>
      </c>
      <c r="BU1694" s="181" t="s">
        <v>2576</v>
      </c>
      <c r="BV1694" s="181">
        <v>8525</v>
      </c>
      <c r="BW1694" s="181">
        <v>17650</v>
      </c>
      <c r="CA1694" s="181">
        <v>127099.50667642777</v>
      </c>
      <c r="CB1694" s="181">
        <v>204720.60280366894</v>
      </c>
      <c r="CI1694" s="181">
        <v>0</v>
      </c>
      <c r="CJ1694" s="181">
        <v>0</v>
      </c>
      <c r="CK1694" s="181">
        <v>0</v>
      </c>
      <c r="CL1694" s="181">
        <v>0</v>
      </c>
      <c r="CM1694" s="181">
        <v>0</v>
      </c>
      <c r="CN1694" s="181">
        <v>0.5</v>
      </c>
      <c r="CO1694" s="181">
        <v>0</v>
      </c>
      <c r="CP1694" s="181">
        <v>0</v>
      </c>
      <c r="CQ1694" s="181">
        <v>0</v>
      </c>
      <c r="CR1694" s="181">
        <v>0</v>
      </c>
      <c r="CS1694" s="181">
        <v>1.04</v>
      </c>
      <c r="CT1694" s="181">
        <v>0</v>
      </c>
      <c r="CU1694" s="181">
        <v>1.04</v>
      </c>
      <c r="CV1694" s="181">
        <v>0</v>
      </c>
      <c r="DC1694" s="181">
        <v>8000</v>
      </c>
      <c r="DD1694" s="181">
        <v>22000</v>
      </c>
      <c r="DX1694" s="181" t="s">
        <v>890</v>
      </c>
      <c r="DY1694" s="181">
        <v>13264</v>
      </c>
      <c r="DZ1694" s="181">
        <v>26528</v>
      </c>
      <c r="FF1694" s="181" t="s">
        <v>2545</v>
      </c>
      <c r="FG1694" s="181" t="s">
        <v>919</v>
      </c>
      <c r="FL1694" s="181">
        <v>423.75</v>
      </c>
      <c r="FM1694" s="181">
        <v>847.5</v>
      </c>
      <c r="FN1694" s="181">
        <v>214945.79646017699</v>
      </c>
      <c r="FO1694" s="181">
        <v>214945.79646017699</v>
      </c>
      <c r="FQ1694" s="181">
        <v>0</v>
      </c>
      <c r="FR1694" s="181">
        <v>0</v>
      </c>
      <c r="FY1694" s="181">
        <v>0</v>
      </c>
      <c r="FZ1694" s="181">
        <v>1</v>
      </c>
      <c r="GA1694" s="181">
        <v>0</v>
      </c>
      <c r="GB1694" s="181">
        <v>0</v>
      </c>
      <c r="GC1694" s="181">
        <v>1</v>
      </c>
      <c r="GD1694" s="181">
        <v>0</v>
      </c>
      <c r="GR1694" s="181" t="s">
        <v>1802</v>
      </c>
      <c r="HD1694" s="181" t="s">
        <v>2579</v>
      </c>
      <c r="HE1694" s="181">
        <v>11888.98046875</v>
      </c>
      <c r="HF1694" s="181">
        <v>23777.9609375</v>
      </c>
      <c r="HG1694" s="181" t="s">
        <v>2585</v>
      </c>
      <c r="HH1694" s="181">
        <v>33.102480468749995</v>
      </c>
      <c r="HI1694" s="181">
        <v>66.20496093749999</v>
      </c>
      <c r="HL1694" s="181" t="s">
        <v>1224</v>
      </c>
      <c r="HS1694" s="181" t="s">
        <v>1774</v>
      </c>
      <c r="HT1694" s="181">
        <v>54646.2</v>
      </c>
      <c r="HU1694" s="181">
        <v>109292.4</v>
      </c>
    </row>
    <row r="1695" spans="1:238" ht="144">
      <c r="A1695" s="181" t="s">
        <v>2690</v>
      </c>
      <c r="B1695" s="181" t="s">
        <v>2529</v>
      </c>
      <c r="C1695" s="181" t="s">
        <v>919</v>
      </c>
      <c r="D1695" s="181" t="s">
        <v>2552</v>
      </c>
      <c r="E1695" s="181" t="s">
        <v>901</v>
      </c>
      <c r="F1695" s="181" t="s">
        <v>2117</v>
      </c>
      <c r="G1695" s="181">
        <v>1</v>
      </c>
      <c r="I1695" s="2057" t="s">
        <v>2524</v>
      </c>
      <c r="X1695" s="181">
        <v>100</v>
      </c>
      <c r="Y1695" s="181">
        <v>250</v>
      </c>
      <c r="Z1695" s="181">
        <v>250000000</v>
      </c>
      <c r="AA1695" s="181">
        <v>250000000</v>
      </c>
      <c r="AB1695" s="181">
        <v>106.875</v>
      </c>
      <c r="AC1695" s="181">
        <v>213.75</v>
      </c>
      <c r="AD1695" s="181">
        <v>2307309.9415204679</v>
      </c>
      <c r="AE1695" s="181">
        <v>2307309.9415204679</v>
      </c>
      <c r="AL1695" s="181">
        <v>6000</v>
      </c>
      <c r="AM1695" s="181">
        <v>15000</v>
      </c>
      <c r="AN1695" s="181">
        <v>520000</v>
      </c>
      <c r="AO1695" s="181">
        <v>520000</v>
      </c>
      <c r="AY1695" s="181">
        <v>100</v>
      </c>
      <c r="AZ1695" s="181">
        <v>250</v>
      </c>
      <c r="BA1695" s="181" t="s">
        <v>2556</v>
      </c>
      <c r="BB1695" s="181" t="s">
        <v>901</v>
      </c>
      <c r="BC1695" s="181">
        <v>34892.625</v>
      </c>
      <c r="BD1695" s="181">
        <v>69785.25</v>
      </c>
      <c r="BE1695" s="181">
        <v>2200000</v>
      </c>
      <c r="BF1695" s="181">
        <v>2200000</v>
      </c>
      <c r="BG1695" s="181">
        <v>34892.625</v>
      </c>
      <c r="BH1695" s="181">
        <v>69785.25</v>
      </c>
      <c r="BI1695" s="181">
        <v>870916.79801933025</v>
      </c>
      <c r="BJ1695" s="181">
        <v>1089934.2795314344</v>
      </c>
      <c r="BK1695" s="181" t="s">
        <v>2568</v>
      </c>
      <c r="BL1695" s="181">
        <v>680.05</v>
      </c>
      <c r="BM1695" s="181">
        <v>1473.4416666666666</v>
      </c>
      <c r="BP1695" s="181" t="s">
        <v>2568</v>
      </c>
      <c r="BQ1695" s="181">
        <v>97.149999999999991</v>
      </c>
      <c r="BR1695" s="181">
        <v>210.49166666666667</v>
      </c>
      <c r="BU1695" s="181" t="s">
        <v>2577</v>
      </c>
      <c r="BV1695" s="181">
        <v>3560.666666666667</v>
      </c>
      <c r="BW1695" s="181">
        <v>7121.3333333333339</v>
      </c>
      <c r="CI1695" s="181">
        <v>0</v>
      </c>
      <c r="CJ1695" s="181">
        <v>0.65</v>
      </c>
      <c r="CK1695" s="181">
        <v>0.441</v>
      </c>
      <c r="CL1695" s="181">
        <v>1</v>
      </c>
      <c r="CM1695" s="181">
        <v>1</v>
      </c>
      <c r="CN1695" s="181">
        <v>0.2</v>
      </c>
      <c r="CO1695" s="181">
        <v>0.5</v>
      </c>
      <c r="CP1695" s="181">
        <v>12</v>
      </c>
      <c r="CQ1695" s="181">
        <v>1.25</v>
      </c>
      <c r="CR1695" s="181">
        <v>1</v>
      </c>
      <c r="CS1695" s="181">
        <v>0</v>
      </c>
      <c r="CT1695" s="181">
        <v>1</v>
      </c>
      <c r="CU1695" s="181">
        <v>0</v>
      </c>
      <c r="CV1695" s="181">
        <v>0</v>
      </c>
      <c r="DC1695" s="181">
        <v>6000</v>
      </c>
      <c r="DD1695" s="181">
        <v>15000</v>
      </c>
      <c r="FF1695" s="181" t="s">
        <v>2546</v>
      </c>
      <c r="FG1695" s="181" t="s">
        <v>2547</v>
      </c>
      <c r="FL1695" s="181">
        <v>106.875</v>
      </c>
      <c r="FM1695" s="181">
        <v>213.75</v>
      </c>
      <c r="FN1695" s="181">
        <v>2307309.9415204679</v>
      </c>
      <c r="FO1695" s="181">
        <v>2307309.9415204679</v>
      </c>
      <c r="FY1695" s="181">
        <v>0</v>
      </c>
      <c r="FZ1695" s="181">
        <v>0</v>
      </c>
      <c r="GA1695" s="181">
        <v>0</v>
      </c>
      <c r="GB1695" s="181">
        <v>0</v>
      </c>
      <c r="GC1695" s="181">
        <v>0</v>
      </c>
      <c r="GD1695" s="181">
        <v>0</v>
      </c>
      <c r="GR1695" s="181" t="s">
        <v>1801</v>
      </c>
      <c r="HD1695" s="181" t="s">
        <v>2580</v>
      </c>
      <c r="HE1695" s="181">
        <v>11298.352294660157</v>
      </c>
      <c r="HF1695" s="181">
        <v>22596.704589320314</v>
      </c>
      <c r="HG1695" s="181" t="s">
        <v>1326</v>
      </c>
      <c r="HH1695" s="181">
        <v>342.5625</v>
      </c>
      <c r="HI1695" s="181">
        <v>685.125</v>
      </c>
      <c r="HL1695" s="181" t="s">
        <v>1670</v>
      </c>
      <c r="HS1695" s="181" t="s">
        <v>1775</v>
      </c>
      <c r="HT1695" s="181">
        <v>0</v>
      </c>
      <c r="HU1695" s="181">
        <v>0</v>
      </c>
    </row>
    <row r="1696" spans="1:238">
      <c r="A1696" s="181" t="s">
        <v>2690</v>
      </c>
      <c r="B1696" s="181" t="s">
        <v>2530</v>
      </c>
      <c r="C1696" s="181" t="s">
        <v>901</v>
      </c>
      <c r="D1696" s="181" t="s">
        <v>2553</v>
      </c>
      <c r="E1696" s="181" t="s">
        <v>901</v>
      </c>
      <c r="F1696" s="181" t="s">
        <v>2520</v>
      </c>
      <c r="G1696" s="181">
        <v>30455</v>
      </c>
      <c r="I1696" s="181" t="s">
        <v>2525</v>
      </c>
      <c r="X1696" s="181">
        <v>0</v>
      </c>
      <c r="Y1696" s="181">
        <v>0</v>
      </c>
      <c r="Z1696" s="181">
        <v>2500000</v>
      </c>
      <c r="AA1696" s="181">
        <v>2500000</v>
      </c>
      <c r="AB1696" s="181">
        <v>39.375</v>
      </c>
      <c r="AC1696" s="181">
        <v>78.75</v>
      </c>
      <c r="AD1696" s="181">
        <v>1646667.1</v>
      </c>
      <c r="AE1696" s="181">
        <v>1646667.1</v>
      </c>
      <c r="AL1696" s="181">
        <v>2500</v>
      </c>
      <c r="AM1696" s="181">
        <v>7500</v>
      </c>
      <c r="AN1696" s="181">
        <v>585000</v>
      </c>
      <c r="AO1696" s="181">
        <v>585000</v>
      </c>
      <c r="AY1696" s="181">
        <v>0</v>
      </c>
      <c r="AZ1696" s="181">
        <v>0</v>
      </c>
      <c r="BA1696" s="181" t="s">
        <v>2545</v>
      </c>
      <c r="BB1696" s="181" t="s">
        <v>919</v>
      </c>
      <c r="BC1696" s="181">
        <v>3350</v>
      </c>
      <c r="BD1696" s="181">
        <v>6700</v>
      </c>
      <c r="BE1696" s="181">
        <v>80000</v>
      </c>
      <c r="BF1696" s="181">
        <v>80000</v>
      </c>
      <c r="BG1696" s="181">
        <v>3350</v>
      </c>
      <c r="BH1696" s="181">
        <v>6700</v>
      </c>
      <c r="BI1696" s="181">
        <v>45288.791015003902</v>
      </c>
      <c r="BJ1696" s="181">
        <v>46969.611894708694</v>
      </c>
      <c r="BK1696" s="181" t="s">
        <v>2569</v>
      </c>
      <c r="BL1696" s="181">
        <v>1152.3633333333335</v>
      </c>
      <c r="BM1696" s="181">
        <v>2496.7872222222222</v>
      </c>
      <c r="BP1696" s="181" t="s">
        <v>2569</v>
      </c>
      <c r="BQ1696" s="181">
        <v>164.62333333333336</v>
      </c>
      <c r="BR1696" s="181">
        <v>356.68388888888893</v>
      </c>
      <c r="BU1696" s="181" t="s">
        <v>916</v>
      </c>
      <c r="BV1696" s="181">
        <v>1517.8333333333335</v>
      </c>
      <c r="BW1696" s="181">
        <v>3035.666666666667</v>
      </c>
      <c r="CI1696" s="181">
        <v>0</v>
      </c>
      <c r="CJ1696" s="181">
        <v>0</v>
      </c>
      <c r="CK1696" s="181">
        <v>0</v>
      </c>
      <c r="CL1696" s="181">
        <v>0</v>
      </c>
      <c r="CM1696" s="181">
        <v>0</v>
      </c>
      <c r="CN1696" s="181">
        <v>0.1</v>
      </c>
      <c r="CO1696" s="181">
        <v>0.3</v>
      </c>
      <c r="CP1696" s="181">
        <v>0</v>
      </c>
      <c r="CQ1696" s="181">
        <v>0</v>
      </c>
      <c r="CR1696" s="181">
        <v>0</v>
      </c>
      <c r="CS1696" s="181">
        <v>0</v>
      </c>
      <c r="CT1696" s="181">
        <v>0</v>
      </c>
      <c r="CU1696" s="181">
        <v>0</v>
      </c>
      <c r="CV1696" s="181">
        <v>0</v>
      </c>
      <c r="DC1696" s="181">
        <v>2500</v>
      </c>
      <c r="DD1696" s="181">
        <v>7500</v>
      </c>
      <c r="FF1696" s="181" t="s">
        <v>2548</v>
      </c>
      <c r="FG1696" s="181" t="s">
        <v>919</v>
      </c>
      <c r="FH1696" s="181">
        <v>39.375</v>
      </c>
      <c r="FI1696" s="181">
        <v>78.75</v>
      </c>
      <c r="FJ1696" s="181">
        <v>1152666.9699999997</v>
      </c>
      <c r="FK1696" s="181">
        <v>1152666.9699999997</v>
      </c>
      <c r="FL1696" s="181">
        <v>39.375</v>
      </c>
      <c r="FM1696" s="181">
        <v>78.75</v>
      </c>
      <c r="FN1696" s="181">
        <v>1646667.1</v>
      </c>
      <c r="FO1696" s="181">
        <v>1646667.1</v>
      </c>
      <c r="FY1696" s="181">
        <v>0</v>
      </c>
      <c r="FZ1696" s="181">
        <v>0</v>
      </c>
      <c r="GA1696" s="181">
        <v>0</v>
      </c>
      <c r="GB1696" s="181">
        <v>0</v>
      </c>
      <c r="GC1696" s="181">
        <v>0</v>
      </c>
      <c r="GD1696" s="181">
        <v>0</v>
      </c>
      <c r="GR1696" s="181" t="s">
        <v>1707</v>
      </c>
      <c r="HD1696" s="181" t="s">
        <v>2581</v>
      </c>
      <c r="HE1696" s="181">
        <v>9964.1438670156258</v>
      </c>
      <c r="HF1696" s="181">
        <v>19928.287734031252</v>
      </c>
      <c r="HG1696" s="181" t="s">
        <v>887</v>
      </c>
      <c r="HH1696" s="181">
        <v>5062.3125</v>
      </c>
      <c r="HI1696" s="181">
        <v>10124.625</v>
      </c>
      <c r="HL1696" s="181" t="s">
        <v>2120</v>
      </c>
    </row>
    <row r="1697" spans="1:220">
      <c r="A1697" s="181" t="s">
        <v>2690</v>
      </c>
      <c r="B1697" s="181" t="s">
        <v>2531</v>
      </c>
      <c r="C1697" s="181" t="s">
        <v>901</v>
      </c>
      <c r="F1697" s="181" t="s">
        <v>2521</v>
      </c>
      <c r="G1697" s="181">
        <v>3825</v>
      </c>
      <c r="I1697" s="181" t="s">
        <v>2150</v>
      </c>
      <c r="X1697" s="181">
        <v>0</v>
      </c>
      <c r="Y1697" s="181">
        <v>0</v>
      </c>
      <c r="Z1697" s="181">
        <v>2500000</v>
      </c>
      <c r="AA1697" s="181">
        <v>2500000</v>
      </c>
      <c r="AB1697" s="181">
        <v>205.5</v>
      </c>
      <c r="AC1697" s="181">
        <v>411</v>
      </c>
      <c r="AD1697" s="181">
        <v>493098.54014598537</v>
      </c>
      <c r="AE1697" s="181">
        <v>493098.54014598537</v>
      </c>
      <c r="AY1697" s="181">
        <v>0</v>
      </c>
      <c r="AZ1697" s="181">
        <v>0</v>
      </c>
      <c r="BA1697" s="181" t="s">
        <v>2557</v>
      </c>
      <c r="BB1697" s="181" t="s">
        <v>2567</v>
      </c>
      <c r="BC1697" s="181">
        <v>17788.75</v>
      </c>
      <c r="BD1697" s="181">
        <v>35577.5</v>
      </c>
      <c r="BE1697" s="181">
        <v>2450000</v>
      </c>
      <c r="BF1697" s="181">
        <v>2450000</v>
      </c>
      <c r="BG1697" s="181">
        <v>17788.75</v>
      </c>
      <c r="BH1697" s="181">
        <v>35577.5</v>
      </c>
      <c r="BI1697" s="181">
        <v>2381425.1749835867</v>
      </c>
      <c r="BJ1697" s="181">
        <v>2414114.455116611</v>
      </c>
      <c r="BK1697" s="181" t="s">
        <v>941</v>
      </c>
      <c r="BL1697" s="181">
        <v>1146.95</v>
      </c>
      <c r="BM1697" s="181">
        <v>2485.0583333333334</v>
      </c>
      <c r="BP1697" s="181" t="s">
        <v>941</v>
      </c>
      <c r="BQ1697" s="181">
        <v>163.85</v>
      </c>
      <c r="BR1697" s="181">
        <v>355.00833333333333</v>
      </c>
      <c r="BU1697" s="181" t="s">
        <v>1370</v>
      </c>
      <c r="BV1697" s="181">
        <v>1587.2499999999998</v>
      </c>
      <c r="BW1697" s="181">
        <v>3174.4999999999995</v>
      </c>
      <c r="CI1697" s="181">
        <v>0.28000000000000003</v>
      </c>
      <c r="CJ1697" s="181">
        <v>8</v>
      </c>
      <c r="CK1697" s="181">
        <v>6.25</v>
      </c>
      <c r="CL1697" s="181">
        <v>0.02</v>
      </c>
      <c r="CM1697" s="181">
        <v>2.5000000000000001E-2</v>
      </c>
      <c r="CN1697" s="181">
        <v>2.5000000000000001E-2</v>
      </c>
      <c r="CO1697" s="181">
        <v>0.01</v>
      </c>
      <c r="CP1697" s="181">
        <v>1.4</v>
      </c>
      <c r="CQ1697" s="181">
        <v>1.5</v>
      </c>
      <c r="CR1697" s="181">
        <v>0.5</v>
      </c>
      <c r="CS1697" s="181">
        <v>0.4</v>
      </c>
      <c r="CT1697" s="181">
        <v>0.17</v>
      </c>
      <c r="CU1697" s="181">
        <v>0.4</v>
      </c>
      <c r="CV1697" s="181">
        <v>0</v>
      </c>
      <c r="FF1697" s="181" t="s">
        <v>2549</v>
      </c>
      <c r="FG1697" s="181" t="s">
        <v>901</v>
      </c>
      <c r="FL1697" s="181">
        <v>205.5</v>
      </c>
      <c r="FM1697" s="181">
        <v>411</v>
      </c>
      <c r="FN1697" s="181">
        <v>493098.54014598537</v>
      </c>
      <c r="FO1697" s="181">
        <v>493098.54014598537</v>
      </c>
      <c r="FY1697" s="181">
        <v>5</v>
      </c>
      <c r="FZ1697" s="181">
        <v>29</v>
      </c>
      <c r="GA1697" s="181">
        <v>0</v>
      </c>
      <c r="GB1697" s="181">
        <v>5</v>
      </c>
      <c r="GC1697" s="181">
        <v>29</v>
      </c>
      <c r="GD1697" s="181">
        <v>0</v>
      </c>
      <c r="GR1697" s="181" t="s">
        <v>175</v>
      </c>
      <c r="HD1697" s="181" t="s">
        <v>2582</v>
      </c>
      <c r="HE1697" s="181">
        <v>5781.3369140625</v>
      </c>
      <c r="HF1697" s="181">
        <v>11562.673828125</v>
      </c>
      <c r="HG1697" s="181" t="s">
        <v>2586</v>
      </c>
      <c r="HH1697" s="181">
        <v>472.43315972222229</v>
      </c>
      <c r="HI1697" s="181">
        <v>944.86631944444457</v>
      </c>
      <c r="HL1697" s="181" t="s">
        <v>1742</v>
      </c>
    </row>
    <row r="1698" spans="1:220">
      <c r="A1698" s="181" t="s">
        <v>2690</v>
      </c>
      <c r="B1698" s="181" t="s">
        <v>2532</v>
      </c>
      <c r="C1698" s="181" t="s">
        <v>901</v>
      </c>
      <c r="I1698" s="181" t="s">
        <v>2475</v>
      </c>
      <c r="X1698" s="181">
        <v>0</v>
      </c>
      <c r="Y1698" s="181">
        <v>14670</v>
      </c>
      <c r="Z1698" s="181">
        <v>2400000</v>
      </c>
      <c r="AA1698" s="181">
        <v>2400000</v>
      </c>
      <c r="AB1698" s="181">
        <v>46.5625</v>
      </c>
      <c r="AC1698" s="181">
        <v>93.125</v>
      </c>
      <c r="AD1698" s="181">
        <v>3542281.6</v>
      </c>
      <c r="AE1698" s="181">
        <v>3542281.6</v>
      </c>
      <c r="AY1698" s="181">
        <v>0</v>
      </c>
      <c r="AZ1698" s="181">
        <v>14670</v>
      </c>
      <c r="BA1698" s="181" t="s">
        <v>2558</v>
      </c>
      <c r="BB1698" s="181" t="s">
        <v>919</v>
      </c>
      <c r="BC1698" s="181">
        <v>5825</v>
      </c>
      <c r="BD1698" s="181">
        <v>11650</v>
      </c>
      <c r="BE1698" s="181">
        <v>3993021.753740205</v>
      </c>
      <c r="BF1698" s="181">
        <v>3993021.753740205</v>
      </c>
      <c r="BG1698" s="181">
        <v>5825</v>
      </c>
      <c r="BH1698" s="181">
        <v>11650</v>
      </c>
      <c r="BI1698" s="181">
        <v>3734565.997261371</v>
      </c>
      <c r="BJ1698" s="181">
        <v>3838700.3314969977</v>
      </c>
      <c r="BK1698" s="181" t="s">
        <v>940</v>
      </c>
      <c r="BL1698" s="181">
        <v>1260.6300000000001</v>
      </c>
      <c r="BM1698" s="181">
        <v>2731.3649999999998</v>
      </c>
      <c r="BP1698" s="181" t="s">
        <v>940</v>
      </c>
      <c r="BQ1698" s="181">
        <v>180.09</v>
      </c>
      <c r="BR1698" s="181">
        <v>390.19499999999999</v>
      </c>
      <c r="BU1698" s="181" t="s">
        <v>890</v>
      </c>
      <c r="BV1698" s="181">
        <v>4618.25</v>
      </c>
      <c r="BW1698" s="181">
        <v>9236.5</v>
      </c>
      <c r="CI1698" s="181">
        <v>0</v>
      </c>
      <c r="CJ1698" s="181">
        <v>3</v>
      </c>
      <c r="CK1698" s="181">
        <v>2</v>
      </c>
      <c r="CL1698" s="181">
        <v>0</v>
      </c>
      <c r="CM1698" s="181">
        <v>0</v>
      </c>
      <c r="CN1698" s="181">
        <v>0.2</v>
      </c>
      <c r="CO1698" s="181">
        <v>0.25</v>
      </c>
      <c r="CP1698" s="181">
        <v>0</v>
      </c>
      <c r="CQ1698" s="181">
        <v>0</v>
      </c>
      <c r="CR1698" s="181">
        <v>0</v>
      </c>
      <c r="CS1698" s="181">
        <v>0</v>
      </c>
      <c r="CT1698" s="181">
        <v>0</v>
      </c>
      <c r="CU1698" s="181">
        <v>0</v>
      </c>
      <c r="CV1698" s="181">
        <v>0</v>
      </c>
      <c r="FF1698" s="181" t="s">
        <v>1775</v>
      </c>
      <c r="FG1698" s="181" t="s">
        <v>919</v>
      </c>
      <c r="FL1698" s="181">
        <v>46.5625</v>
      </c>
      <c r="FM1698" s="181">
        <v>93.125</v>
      </c>
      <c r="FN1698" s="181">
        <v>3542281.6</v>
      </c>
      <c r="FO1698" s="181">
        <v>3542281.6</v>
      </c>
      <c r="GR1698" s="181" t="s">
        <v>1768</v>
      </c>
      <c r="HD1698" s="181" t="s">
        <v>947</v>
      </c>
      <c r="HE1698" s="181">
        <v>4145.640625</v>
      </c>
      <c r="HF1698" s="181">
        <v>8291.28125</v>
      </c>
      <c r="HG1698" s="181" t="s">
        <v>890</v>
      </c>
      <c r="HH1698" s="181">
        <v>474.28342013888886</v>
      </c>
      <c r="HI1698" s="181">
        <v>948.56684027777771</v>
      </c>
      <c r="HL1698" s="181" t="s">
        <v>917</v>
      </c>
    </row>
    <row r="1699" spans="1:220">
      <c r="A1699" s="181" t="s">
        <v>2690</v>
      </c>
      <c r="B1699" s="181" t="s">
        <v>2533</v>
      </c>
      <c r="C1699" s="181" t="s">
        <v>901</v>
      </c>
      <c r="I1699" s="181" t="s">
        <v>1328</v>
      </c>
      <c r="X1699" s="181">
        <v>0</v>
      </c>
      <c r="Y1699" s="181">
        <v>10000</v>
      </c>
      <c r="Z1699" s="181">
        <v>2800000</v>
      </c>
      <c r="AA1699" s="181">
        <v>2800000</v>
      </c>
      <c r="AY1699" s="181">
        <v>0</v>
      </c>
      <c r="AZ1699" s="181">
        <v>10000</v>
      </c>
      <c r="BA1699" s="181" t="s">
        <v>2559</v>
      </c>
      <c r="BB1699" s="181" t="s">
        <v>901</v>
      </c>
      <c r="BC1699" s="181">
        <v>5713.75</v>
      </c>
      <c r="BD1699" s="181">
        <v>11427.5</v>
      </c>
      <c r="BE1699" s="181">
        <v>2534988.8059701491</v>
      </c>
      <c r="BF1699" s="181">
        <v>2534988.8059701491</v>
      </c>
      <c r="BG1699" s="181">
        <v>5713.75</v>
      </c>
      <c r="BH1699" s="181">
        <v>11427.5</v>
      </c>
      <c r="BI1699" s="181">
        <v>2503202.8560789288</v>
      </c>
      <c r="BJ1699" s="181">
        <v>2518497.9901535413</v>
      </c>
      <c r="BK1699" s="181" t="s">
        <v>1030</v>
      </c>
      <c r="BL1699" s="181">
        <v>732.15333333333331</v>
      </c>
      <c r="BM1699" s="181">
        <v>1586.3322222222221</v>
      </c>
      <c r="BP1699" s="181" t="s">
        <v>1030</v>
      </c>
      <c r="BQ1699" s="181">
        <v>104.59333333333333</v>
      </c>
      <c r="BR1699" s="181">
        <v>226.61888888888888</v>
      </c>
      <c r="BU1699" s="181" t="s">
        <v>333</v>
      </c>
      <c r="BV1699" s="181">
        <v>9496.6666666666661</v>
      </c>
      <c r="BW1699" s="181">
        <v>18993.333333333332</v>
      </c>
      <c r="CI1699" s="181">
        <v>0</v>
      </c>
      <c r="CJ1699" s="181">
        <v>0.59</v>
      </c>
      <c r="CK1699" s="181">
        <v>1.27</v>
      </c>
      <c r="CL1699" s="181">
        <v>0</v>
      </c>
      <c r="CM1699" s="181">
        <v>0</v>
      </c>
      <c r="CN1699" s="181">
        <v>0.01</v>
      </c>
      <c r="CO1699" s="181">
        <v>0</v>
      </c>
      <c r="CP1699" s="181">
        <v>0</v>
      </c>
      <c r="CQ1699" s="181">
        <v>0</v>
      </c>
      <c r="CR1699" s="181">
        <v>0</v>
      </c>
      <c r="CS1699" s="181">
        <v>0.2</v>
      </c>
      <c r="CT1699" s="181">
        <v>0</v>
      </c>
      <c r="CU1699" s="181">
        <v>0.2</v>
      </c>
      <c r="CV1699" s="181">
        <v>0</v>
      </c>
      <c r="GR1699" s="181" t="s">
        <v>1769</v>
      </c>
      <c r="HD1699" s="181" t="s">
        <v>2583</v>
      </c>
      <c r="HE1699" s="181">
        <v>952.26736111111109</v>
      </c>
      <c r="HF1699" s="181">
        <v>1904.5347222222222</v>
      </c>
      <c r="HG1699" s="181" t="s">
        <v>1668</v>
      </c>
      <c r="HH1699" s="181">
        <v>3448.885416666667</v>
      </c>
      <c r="HI1699" s="181">
        <v>6897.7708333333339</v>
      </c>
      <c r="HL1699" s="181" t="s">
        <v>894</v>
      </c>
    </row>
    <row r="1700" spans="1:220">
      <c r="A1700" s="181" t="s">
        <v>2690</v>
      </c>
      <c r="B1700" s="181" t="s">
        <v>2534</v>
      </c>
      <c r="C1700" s="181" t="s">
        <v>899</v>
      </c>
      <c r="I1700" s="181" t="s">
        <v>2158</v>
      </c>
      <c r="X1700" s="181">
        <v>0</v>
      </c>
      <c r="Y1700" s="181">
        <v>175</v>
      </c>
      <c r="Z1700" s="181">
        <v>81000000</v>
      </c>
      <c r="AA1700" s="181">
        <v>81000000</v>
      </c>
      <c r="AY1700" s="181">
        <v>0</v>
      </c>
      <c r="AZ1700" s="181">
        <v>175</v>
      </c>
      <c r="BA1700" s="181" t="s">
        <v>2560</v>
      </c>
      <c r="BB1700" s="181" t="s">
        <v>901</v>
      </c>
      <c r="BC1700" s="181">
        <v>91655</v>
      </c>
      <c r="BD1700" s="181">
        <v>183310</v>
      </c>
      <c r="BE1700" s="181">
        <v>750000</v>
      </c>
      <c r="BF1700" s="181">
        <v>750000</v>
      </c>
      <c r="BG1700" s="181">
        <v>91655</v>
      </c>
      <c r="BH1700" s="181">
        <v>183310</v>
      </c>
      <c r="BI1700" s="181">
        <v>643965.71376180137</v>
      </c>
      <c r="BJ1700" s="181">
        <v>684590.87228099792</v>
      </c>
      <c r="BK1700" s="181" t="s">
        <v>2570</v>
      </c>
      <c r="BL1700" s="181">
        <v>380.96333333333337</v>
      </c>
      <c r="BM1700" s="181">
        <v>825.42055555555567</v>
      </c>
      <c r="BP1700" s="181" t="s">
        <v>2570</v>
      </c>
      <c r="BQ1700" s="181">
        <v>54.423333333333339</v>
      </c>
      <c r="BR1700" s="181">
        <v>117.91722222222222</v>
      </c>
      <c r="CI1700" s="181">
        <v>20.5</v>
      </c>
      <c r="CJ1700" s="181">
        <v>69.25</v>
      </c>
      <c r="CK1700" s="181">
        <v>46.24</v>
      </c>
      <c r="CL1700" s="181">
        <v>0</v>
      </c>
      <c r="CM1700" s="181">
        <v>0</v>
      </c>
      <c r="CN1700" s="181">
        <v>0</v>
      </c>
      <c r="CO1700" s="181">
        <v>0</v>
      </c>
      <c r="CP1700" s="181">
        <v>0</v>
      </c>
      <c r="CQ1700" s="181">
        <v>0</v>
      </c>
      <c r="CR1700" s="181">
        <v>0</v>
      </c>
      <c r="CS1700" s="181">
        <v>0</v>
      </c>
      <c r="CT1700" s="181">
        <v>0</v>
      </c>
      <c r="CU1700" s="181">
        <v>0</v>
      </c>
      <c r="CV1700" s="181">
        <v>0</v>
      </c>
      <c r="GR1700" s="181" t="s">
        <v>1770</v>
      </c>
      <c r="HD1700" s="181" t="s">
        <v>2584</v>
      </c>
      <c r="HE1700" s="181">
        <v>107.34327491015624</v>
      </c>
      <c r="HF1700" s="181">
        <v>214.68654982031248</v>
      </c>
      <c r="HG1700" s="181" t="s">
        <v>1226</v>
      </c>
      <c r="HH1700" s="181">
        <v>2064.890625</v>
      </c>
      <c r="HI1700" s="181">
        <v>4129.78125</v>
      </c>
    </row>
    <row r="1701" spans="1:220">
      <c r="A1701" s="181" t="s">
        <v>2690</v>
      </c>
      <c r="B1701" s="181" t="s">
        <v>2535</v>
      </c>
      <c r="C1701" s="181" t="s">
        <v>899</v>
      </c>
      <c r="I1701" s="181" t="s">
        <v>2022</v>
      </c>
      <c r="X1701" s="181">
        <v>0</v>
      </c>
      <c r="Y1701" s="181">
        <v>350</v>
      </c>
      <c r="Z1701" s="181">
        <v>100000000</v>
      </c>
      <c r="AA1701" s="181">
        <v>100000000</v>
      </c>
      <c r="AY1701" s="181">
        <v>0</v>
      </c>
      <c r="AZ1701" s="181">
        <v>350</v>
      </c>
      <c r="BA1701" s="181" t="s">
        <v>2561</v>
      </c>
      <c r="BB1701" s="181" t="s">
        <v>901</v>
      </c>
      <c r="BC1701" s="181">
        <v>1058500</v>
      </c>
      <c r="BD1701" s="181">
        <v>2117000</v>
      </c>
      <c r="BE1701" s="181">
        <v>24000</v>
      </c>
      <c r="BF1701" s="181">
        <v>24000</v>
      </c>
      <c r="BG1701" s="181">
        <v>1058500</v>
      </c>
      <c r="BH1701" s="181">
        <v>2117000</v>
      </c>
      <c r="BI1701" s="181">
        <v>23155.159272757523</v>
      </c>
      <c r="BJ1701" s="181">
        <v>23503.858176455404</v>
      </c>
      <c r="BK1701" s="181" t="s">
        <v>972</v>
      </c>
      <c r="BL1701" s="181">
        <v>2540.8833333333332</v>
      </c>
      <c r="BM1701" s="181">
        <v>5505.2472222222223</v>
      </c>
      <c r="BP1701" s="181" t="s">
        <v>972</v>
      </c>
      <c r="BQ1701" s="181">
        <v>362.98333333333329</v>
      </c>
      <c r="BR1701" s="181">
        <v>786.46388888888873</v>
      </c>
      <c r="CI1701" s="181">
        <v>40.5</v>
      </c>
      <c r="CJ1701" s="181">
        <v>891</v>
      </c>
      <c r="CK1701" s="181">
        <v>594</v>
      </c>
      <c r="CL1701" s="181">
        <v>0</v>
      </c>
      <c r="CM1701" s="181">
        <v>0</v>
      </c>
      <c r="CN1701" s="181">
        <v>0</v>
      </c>
      <c r="CO1701" s="181">
        <v>0</v>
      </c>
      <c r="CP1701" s="181">
        <v>0</v>
      </c>
      <c r="CQ1701" s="181">
        <v>0</v>
      </c>
      <c r="CR1701" s="181">
        <v>0</v>
      </c>
      <c r="CS1701" s="181">
        <v>0</v>
      </c>
      <c r="CT1701" s="181">
        <v>0</v>
      </c>
      <c r="CU1701" s="181">
        <v>0</v>
      </c>
      <c r="CV1701" s="181">
        <v>350</v>
      </c>
      <c r="GR1701" s="181" t="s">
        <v>1771</v>
      </c>
      <c r="HG1701" s="181" t="s">
        <v>2587</v>
      </c>
      <c r="HH1701" s="181">
        <v>44.40625</v>
      </c>
      <c r="HI1701" s="181">
        <v>88.8125</v>
      </c>
    </row>
    <row r="1702" spans="1:220">
      <c r="A1702" s="181" t="s">
        <v>2690</v>
      </c>
      <c r="B1702" s="181" t="s">
        <v>2536</v>
      </c>
      <c r="C1702" s="181" t="s">
        <v>2541</v>
      </c>
      <c r="I1702" s="181" t="s">
        <v>2023</v>
      </c>
      <c r="X1702" s="181">
        <v>600</v>
      </c>
      <c r="Y1702" s="181">
        <v>1500</v>
      </c>
      <c r="Z1702" s="181">
        <v>13000000</v>
      </c>
      <c r="AA1702" s="181">
        <v>13000000</v>
      </c>
      <c r="AY1702" s="181">
        <v>600</v>
      </c>
      <c r="AZ1702" s="181">
        <v>1500</v>
      </c>
      <c r="BA1702" s="181" t="s">
        <v>2562</v>
      </c>
      <c r="BB1702" s="181" t="s">
        <v>919</v>
      </c>
      <c r="BC1702" s="181">
        <v>1250</v>
      </c>
      <c r="BD1702" s="181">
        <v>2500</v>
      </c>
      <c r="BE1702" s="181">
        <v>18900000</v>
      </c>
      <c r="BF1702" s="181">
        <v>18900000</v>
      </c>
      <c r="BG1702" s="181">
        <v>1250</v>
      </c>
      <c r="BH1702" s="181">
        <v>2500</v>
      </c>
      <c r="BI1702" s="181">
        <v>17427505.144827589</v>
      </c>
      <c r="BJ1702" s="181">
        <v>18062201.203091558</v>
      </c>
      <c r="BK1702" s="181" t="s">
        <v>2571</v>
      </c>
      <c r="BL1702" s="181">
        <v>637.42000000000007</v>
      </c>
      <c r="BM1702" s="181">
        <v>1381.0766666666668</v>
      </c>
      <c r="BP1702" s="181" t="s">
        <v>2571</v>
      </c>
      <c r="BQ1702" s="181">
        <v>91.060000000000016</v>
      </c>
      <c r="BR1702" s="181">
        <v>197.29666666666668</v>
      </c>
      <c r="CI1702" s="181">
        <v>0</v>
      </c>
      <c r="CJ1702" s="181">
        <v>2</v>
      </c>
      <c r="CK1702" s="181">
        <v>2</v>
      </c>
      <c r="CL1702" s="181">
        <v>0</v>
      </c>
      <c r="CM1702" s="181">
        <v>0</v>
      </c>
      <c r="CN1702" s="181">
        <v>0</v>
      </c>
      <c r="CO1702" s="181">
        <v>0</v>
      </c>
      <c r="CP1702" s="181">
        <v>0</v>
      </c>
      <c r="CQ1702" s="181">
        <v>0</v>
      </c>
      <c r="CR1702" s="181">
        <v>0</v>
      </c>
      <c r="CS1702" s="181">
        <v>0</v>
      </c>
      <c r="CT1702" s="181">
        <v>0</v>
      </c>
      <c r="CU1702" s="181">
        <v>0</v>
      </c>
      <c r="CV1702" s="181">
        <v>0</v>
      </c>
      <c r="GR1702" s="181" t="s">
        <v>871</v>
      </c>
      <c r="HG1702" s="181" t="s">
        <v>1165</v>
      </c>
      <c r="HH1702" s="181">
        <v>390.40494791666669</v>
      </c>
      <c r="HI1702" s="181">
        <v>780.80989583333337</v>
      </c>
    </row>
    <row r="1703" spans="1:220">
      <c r="A1703" s="181" t="s">
        <v>2690</v>
      </c>
      <c r="B1703" s="181" t="s">
        <v>2538</v>
      </c>
      <c r="C1703" s="181" t="s">
        <v>901</v>
      </c>
      <c r="X1703" s="181">
        <v>2000</v>
      </c>
      <c r="Y1703" s="181">
        <v>8000</v>
      </c>
      <c r="Z1703" s="181">
        <v>2750000</v>
      </c>
      <c r="AA1703" s="181">
        <v>2750000</v>
      </c>
      <c r="AY1703" s="181">
        <v>2000</v>
      </c>
      <c r="AZ1703" s="181">
        <v>8000</v>
      </c>
      <c r="BA1703" s="181" t="s">
        <v>2563</v>
      </c>
      <c r="BB1703" s="181" t="s">
        <v>1291</v>
      </c>
      <c r="BC1703" s="181">
        <v>6750</v>
      </c>
      <c r="BD1703" s="181">
        <v>13500</v>
      </c>
      <c r="BE1703" s="181">
        <v>126397.32501620564</v>
      </c>
      <c r="BF1703" s="181">
        <v>126397.32501620564</v>
      </c>
      <c r="BG1703" s="181">
        <v>6750</v>
      </c>
      <c r="BH1703" s="181">
        <v>13500</v>
      </c>
      <c r="BI1703" s="181">
        <v>113178.46419879982</v>
      </c>
      <c r="BJ1703" s="181">
        <v>117714.2160551179</v>
      </c>
      <c r="BK1703" s="181" t="s">
        <v>2572</v>
      </c>
      <c r="BL1703" s="181">
        <v>1355.895</v>
      </c>
      <c r="BM1703" s="181">
        <v>2937.7725</v>
      </c>
      <c r="BP1703" s="181" t="s">
        <v>2572</v>
      </c>
      <c r="BQ1703" s="181">
        <v>193.69928571428571</v>
      </c>
      <c r="BR1703" s="181">
        <v>419.68178571428575</v>
      </c>
      <c r="CI1703" s="181">
        <v>0</v>
      </c>
      <c r="CJ1703" s="181">
        <v>13.5</v>
      </c>
      <c r="CK1703" s="181">
        <v>0</v>
      </c>
      <c r="CL1703" s="181">
        <v>0</v>
      </c>
      <c r="CM1703" s="181">
        <v>0</v>
      </c>
      <c r="CN1703" s="181">
        <v>0</v>
      </c>
      <c r="CO1703" s="181">
        <v>0</v>
      </c>
      <c r="CP1703" s="181">
        <v>0</v>
      </c>
      <c r="CQ1703" s="181">
        <v>0</v>
      </c>
      <c r="CR1703" s="181">
        <v>0</v>
      </c>
      <c r="CS1703" s="181">
        <v>0</v>
      </c>
      <c r="CT1703" s="181">
        <v>0</v>
      </c>
      <c r="CU1703" s="181">
        <v>0</v>
      </c>
      <c r="CV1703" s="181">
        <v>0</v>
      </c>
      <c r="GR1703" s="181" t="s">
        <v>871</v>
      </c>
      <c r="HG1703" s="181" t="s">
        <v>929</v>
      </c>
      <c r="HH1703" s="181">
        <v>6581.9930555555566</v>
      </c>
      <c r="HI1703" s="181">
        <v>13163.986111111113</v>
      </c>
    </row>
    <row r="1704" spans="1:220">
      <c r="A1704" s="181" t="s">
        <v>2690</v>
      </c>
      <c r="B1704" s="181" t="s">
        <v>2537</v>
      </c>
      <c r="C1704" s="181" t="s">
        <v>919</v>
      </c>
      <c r="X1704" s="181">
        <v>0</v>
      </c>
      <c r="Y1704" s="181">
        <v>1500</v>
      </c>
      <c r="Z1704" s="181">
        <v>400000</v>
      </c>
      <c r="AA1704" s="181">
        <v>400000</v>
      </c>
      <c r="AY1704" s="181">
        <v>0</v>
      </c>
      <c r="AZ1704" s="181">
        <v>1500</v>
      </c>
      <c r="BA1704" s="181" t="s">
        <v>2564</v>
      </c>
      <c r="BB1704" s="181" t="s">
        <v>901</v>
      </c>
      <c r="BC1704" s="181">
        <v>4995875</v>
      </c>
      <c r="BD1704" s="181">
        <v>9991750</v>
      </c>
      <c r="BE1704" s="181">
        <v>5000</v>
      </c>
      <c r="BF1704" s="181">
        <v>5000</v>
      </c>
      <c r="BG1704" s="181">
        <v>4995875</v>
      </c>
      <c r="BH1704" s="181">
        <v>9991750</v>
      </c>
      <c r="BI1704" s="181">
        <v>4865.8320498705725</v>
      </c>
      <c r="BJ1704" s="181">
        <v>4912.1374535574087</v>
      </c>
      <c r="BK1704" s="181" t="s">
        <v>2573</v>
      </c>
      <c r="BL1704" s="181">
        <v>1163.625</v>
      </c>
      <c r="BM1704" s="181">
        <v>2521.1875</v>
      </c>
      <c r="BP1704" s="181" t="s">
        <v>2573</v>
      </c>
      <c r="BQ1704" s="181">
        <v>166.23214285714286</v>
      </c>
      <c r="BR1704" s="181">
        <v>360.16964285714289</v>
      </c>
      <c r="CI1704" s="181">
        <v>175</v>
      </c>
      <c r="CJ1704" s="181">
        <v>3850</v>
      </c>
      <c r="CK1704" s="181">
        <v>2567</v>
      </c>
      <c r="CL1704" s="181">
        <v>0</v>
      </c>
      <c r="CM1704" s="181">
        <v>0</v>
      </c>
      <c r="CN1704" s="181">
        <v>0</v>
      </c>
      <c r="CO1704" s="181">
        <v>0</v>
      </c>
      <c r="CP1704" s="181">
        <v>0</v>
      </c>
      <c r="CQ1704" s="181">
        <v>0</v>
      </c>
      <c r="CR1704" s="181">
        <v>0</v>
      </c>
      <c r="CS1704" s="181">
        <v>0</v>
      </c>
      <c r="CT1704" s="181">
        <v>0</v>
      </c>
      <c r="CU1704" s="181">
        <v>0</v>
      </c>
      <c r="CV1704" s="181">
        <v>1850</v>
      </c>
      <c r="GR1704" s="181" t="s">
        <v>871</v>
      </c>
      <c r="HG1704" s="181" t="s">
        <v>333</v>
      </c>
      <c r="HH1704" s="181">
        <v>5173.9448784722217</v>
      </c>
      <c r="HI1704" s="181">
        <v>10347.889756944443</v>
      </c>
    </row>
    <row r="1705" spans="1:220">
      <c r="A1705" s="181" t="s">
        <v>2690</v>
      </c>
      <c r="B1705" s="181" t="s">
        <v>2539</v>
      </c>
      <c r="C1705" s="181" t="s">
        <v>2542</v>
      </c>
      <c r="X1705" s="181">
        <v>0</v>
      </c>
      <c r="Y1705" s="181">
        <v>29330</v>
      </c>
      <c r="Z1705" s="181">
        <v>2750000</v>
      </c>
      <c r="AA1705" s="181">
        <v>2750000</v>
      </c>
      <c r="AY1705" s="181">
        <v>0</v>
      </c>
      <c r="AZ1705" s="181">
        <v>29330</v>
      </c>
      <c r="BA1705" s="181" t="s">
        <v>2565</v>
      </c>
      <c r="BB1705" s="181" t="s">
        <v>919</v>
      </c>
      <c r="BC1705" s="181">
        <v>256875</v>
      </c>
      <c r="BD1705" s="181">
        <v>513750</v>
      </c>
      <c r="BE1705" s="181">
        <v>200000</v>
      </c>
      <c r="BF1705" s="181">
        <v>200000</v>
      </c>
      <c r="BG1705" s="181">
        <v>256875</v>
      </c>
      <c r="BH1705" s="181">
        <v>513750</v>
      </c>
      <c r="BI1705" s="181">
        <v>199810.94268631059</v>
      </c>
      <c r="BJ1705" s="181">
        <v>199903.68794861346</v>
      </c>
      <c r="BK1705" s="181" t="s">
        <v>2574</v>
      </c>
      <c r="BL1705" s="181">
        <v>5236.53</v>
      </c>
      <c r="BM1705" s="181">
        <v>11345.814999999999</v>
      </c>
      <c r="BP1705" s="181" t="s">
        <v>2574</v>
      </c>
      <c r="BQ1705" s="181">
        <v>748.0757142857143</v>
      </c>
      <c r="BR1705" s="181">
        <v>1620.8307142857143</v>
      </c>
      <c r="CI1705" s="181">
        <v>1</v>
      </c>
      <c r="CJ1705" s="181">
        <v>1</v>
      </c>
      <c r="CK1705" s="181">
        <v>1</v>
      </c>
      <c r="CL1705" s="181">
        <v>0</v>
      </c>
      <c r="CM1705" s="181">
        <v>0</v>
      </c>
      <c r="CN1705" s="181">
        <v>0</v>
      </c>
      <c r="CO1705" s="181">
        <v>0.5</v>
      </c>
      <c r="CP1705" s="181">
        <v>0</v>
      </c>
      <c r="CQ1705" s="181">
        <v>0</v>
      </c>
      <c r="CR1705" s="181">
        <v>0</v>
      </c>
      <c r="CS1705" s="181">
        <v>0</v>
      </c>
      <c r="CT1705" s="181">
        <v>0</v>
      </c>
      <c r="CU1705" s="181">
        <v>0</v>
      </c>
      <c r="CV1705" s="181">
        <v>200</v>
      </c>
      <c r="GR1705" s="181" t="s">
        <v>871</v>
      </c>
      <c r="HG1705" s="181" t="s">
        <v>2588</v>
      </c>
      <c r="HH1705" s="181">
        <v>1732.4605034722224</v>
      </c>
      <c r="HI1705" s="181">
        <v>3464.9210069444448</v>
      </c>
    </row>
    <row r="1706" spans="1:220">
      <c r="A1706" s="181" t="s">
        <v>2690</v>
      </c>
      <c r="B1706" s="181" t="s">
        <v>2540</v>
      </c>
      <c r="C1706" s="181" t="s">
        <v>2543</v>
      </c>
      <c r="X1706" s="181">
        <v>1000</v>
      </c>
      <c r="Y1706" s="181">
        <v>2800</v>
      </c>
      <c r="Z1706" s="181">
        <v>30000000</v>
      </c>
      <c r="AA1706" s="181">
        <v>30000000</v>
      </c>
      <c r="AY1706" s="181">
        <v>1000</v>
      </c>
      <c r="AZ1706" s="181">
        <v>2800</v>
      </c>
      <c r="BK1706" s="181" t="s">
        <v>2575</v>
      </c>
      <c r="BL1706" s="181">
        <v>628.37</v>
      </c>
      <c r="BM1706" s="181">
        <v>1359.5933333333332</v>
      </c>
      <c r="BP1706" s="181" t="s">
        <v>2575</v>
      </c>
      <c r="BQ1706" s="181">
        <v>89.767142857142858</v>
      </c>
      <c r="BR1706" s="181">
        <v>194.22761904761904</v>
      </c>
      <c r="GR1706" s="181" t="s">
        <v>871</v>
      </c>
    </row>
    <row r="1707" spans="1:220">
      <c r="A1707" s="181" t="s">
        <v>2690</v>
      </c>
      <c r="GR1707" s="181" t="s">
        <v>872</v>
      </c>
    </row>
    <row r="1708" spans="1:220">
      <c r="A1708" s="181" t="s">
        <v>2690</v>
      </c>
      <c r="GR1708" s="181" t="s">
        <v>873</v>
      </c>
    </row>
    <row r="1709" spans="1:220">
      <c r="A1709" s="181" t="s">
        <v>2690</v>
      </c>
      <c r="GR1709" s="181" t="s">
        <v>873</v>
      </c>
    </row>
    <row r="1710" spans="1:220">
      <c r="A1710" s="181" t="s">
        <v>2690</v>
      </c>
      <c r="GR1710" s="181" t="s">
        <v>873</v>
      </c>
    </row>
    <row r="1711" spans="1:220">
      <c r="A1711" s="181" t="s">
        <v>2690</v>
      </c>
      <c r="GR1711" s="181" t="s">
        <v>873</v>
      </c>
    </row>
    <row r="1712" spans="1:220">
      <c r="A1712" s="181" t="s">
        <v>2690</v>
      </c>
      <c r="GR1712" s="181" t="s">
        <v>308</v>
      </c>
    </row>
    <row r="1713" spans="1:200">
      <c r="A1713" s="181" t="s">
        <v>2690</v>
      </c>
      <c r="GR1713" s="181" t="s">
        <v>874</v>
      </c>
    </row>
    <row r="1714" spans="1:200">
      <c r="A1714" s="181" t="s">
        <v>2690</v>
      </c>
      <c r="GR1714" s="181" t="s">
        <v>874</v>
      </c>
    </row>
    <row r="1715" spans="1:200">
      <c r="A1715" s="181" t="s">
        <v>2690</v>
      </c>
      <c r="GR1715" s="181" t="s">
        <v>874</v>
      </c>
    </row>
    <row r="1716" spans="1:200">
      <c r="A1716" s="181" t="s">
        <v>2690</v>
      </c>
      <c r="GR1716" s="181" t="s">
        <v>874</v>
      </c>
    </row>
    <row r="1717" spans="1:200">
      <c r="A1717" s="181" t="s">
        <v>2690</v>
      </c>
      <c r="GR1717" s="181" t="s">
        <v>1772</v>
      </c>
    </row>
    <row r="1718" spans="1:200">
      <c r="A1718" s="181" t="s">
        <v>2690</v>
      </c>
      <c r="GR1718" s="181" t="s">
        <v>667</v>
      </c>
    </row>
    <row r="1719" spans="1:200">
      <c r="A1719" s="181" t="s">
        <v>2690</v>
      </c>
      <c r="GR1719" s="181" t="s">
        <v>1773</v>
      </c>
    </row>
    <row r="1720" spans="1:200">
      <c r="A1720" s="181" t="s">
        <v>2690</v>
      </c>
      <c r="GR1720" s="181" t="s">
        <v>1774</v>
      </c>
    </row>
    <row r="1721" spans="1:200">
      <c r="A1721" s="181" t="s">
        <v>2690</v>
      </c>
      <c r="GR1721" s="181" t="s">
        <v>1775</v>
      </c>
    </row>
    <row r="1722" spans="1:200">
      <c r="A1722" s="181" t="s">
        <v>2690</v>
      </c>
      <c r="GR1722" s="181">
        <v>0</v>
      </c>
    </row>
    <row r="1723" spans="1:200">
      <c r="A1723" s="181" t="s">
        <v>2690</v>
      </c>
      <c r="GR1723" s="181">
        <v>0</v>
      </c>
    </row>
    <row r="1724" spans="1:200">
      <c r="A1724" s="181" t="s">
        <v>2690</v>
      </c>
      <c r="GR1724" s="181">
        <v>0</v>
      </c>
    </row>
    <row r="1725" spans="1:200">
      <c r="A1725" s="181" t="s">
        <v>2690</v>
      </c>
      <c r="GR1725" s="181">
        <v>0</v>
      </c>
    </row>
    <row r="1726" spans="1:200">
      <c r="A1726" s="181" t="s">
        <v>2690</v>
      </c>
      <c r="GR1726" s="181">
        <v>0</v>
      </c>
    </row>
    <row r="1727" spans="1:200">
      <c r="A1727" s="181" t="s">
        <v>2690</v>
      </c>
      <c r="GR1727" s="181">
        <v>0</v>
      </c>
    </row>
    <row r="1728" spans="1:200">
      <c r="A1728" s="181" t="s">
        <v>2690</v>
      </c>
      <c r="GR1728" s="181">
        <v>0</v>
      </c>
    </row>
    <row r="1729" spans="1:200">
      <c r="A1729" s="181" t="s">
        <v>2690</v>
      </c>
      <c r="GR1729" s="181">
        <v>0</v>
      </c>
    </row>
    <row r="1730" spans="1:200">
      <c r="A1730" s="181" t="s">
        <v>2690</v>
      </c>
      <c r="GR1730" s="181">
        <v>0</v>
      </c>
    </row>
    <row r="1731" spans="1:200">
      <c r="A1731" s="181" t="s">
        <v>2690</v>
      </c>
      <c r="GR1731" s="181">
        <v>0</v>
      </c>
    </row>
    <row r="1732" spans="1:200">
      <c r="A1732" s="181" t="s">
        <v>2690</v>
      </c>
      <c r="GR1732" s="181" t="s">
        <v>309</v>
      </c>
    </row>
    <row r="1733" spans="1:200">
      <c r="A1733" s="181" t="s">
        <v>2690</v>
      </c>
      <c r="GR1733" s="181" t="s">
        <v>309</v>
      </c>
    </row>
    <row r="1734" spans="1:200">
      <c r="A1734" s="181" t="s">
        <v>2690</v>
      </c>
      <c r="GR1734" s="181" t="s">
        <v>309</v>
      </c>
    </row>
    <row r="1735" spans="1:200">
      <c r="A1735" s="181" t="s">
        <v>2690</v>
      </c>
    </row>
    <row r="1736" spans="1:200">
      <c r="A1736" s="181" t="s">
        <v>2690</v>
      </c>
      <c r="GR1736" s="181" t="s">
        <v>875</v>
      </c>
    </row>
    <row r="1737" spans="1:200">
      <c r="A1737" s="181" t="s">
        <v>2690</v>
      </c>
      <c r="GR1737" s="181" t="s">
        <v>875</v>
      </c>
    </row>
    <row r="1738" spans="1:200">
      <c r="A1738" s="181" t="s">
        <v>2690</v>
      </c>
      <c r="GR1738" s="181" t="s">
        <v>875</v>
      </c>
    </row>
    <row r="1739" spans="1:200">
      <c r="A1739" s="181" t="s">
        <v>2690</v>
      </c>
      <c r="GR1739" s="181" t="s">
        <v>875</v>
      </c>
    </row>
    <row r="1740" spans="1:200">
      <c r="A1740" s="181" t="s">
        <v>2690</v>
      </c>
      <c r="GR1740" s="181" t="s">
        <v>875</v>
      </c>
    </row>
    <row r="1741" spans="1:200">
      <c r="A1741" s="181" t="s">
        <v>2690</v>
      </c>
      <c r="GR1741" s="181" t="s">
        <v>875</v>
      </c>
    </row>
    <row r="1742" spans="1:200">
      <c r="A1742" s="181" t="s">
        <v>2690</v>
      </c>
      <c r="GR1742" s="181" t="s">
        <v>310</v>
      </c>
    </row>
    <row r="1743" spans="1:200">
      <c r="A1743" s="181" t="s">
        <v>2690</v>
      </c>
      <c r="GR1743" s="181" t="s">
        <v>310</v>
      </c>
    </row>
    <row r="1744" spans="1:200">
      <c r="A1744" s="181" t="s">
        <v>2690</v>
      </c>
      <c r="GR1744" s="181" t="s">
        <v>310</v>
      </c>
    </row>
    <row r="1745" spans="1:200">
      <c r="A1745" s="181" t="s">
        <v>2690</v>
      </c>
      <c r="GR1745" s="181" t="s">
        <v>310</v>
      </c>
    </row>
    <row r="1746" spans="1:200">
      <c r="A1746" s="181" t="s">
        <v>2690</v>
      </c>
      <c r="GR1746" s="181" t="s">
        <v>668</v>
      </c>
    </row>
    <row r="1747" spans="1:200">
      <c r="A1747" s="181" t="s">
        <v>2690</v>
      </c>
      <c r="GR1747" s="181" t="s">
        <v>1776</v>
      </c>
    </row>
    <row r="1748" spans="1:200">
      <c r="A1748" s="181" t="s">
        <v>2690</v>
      </c>
      <c r="GR1748" s="181" t="s">
        <v>1777</v>
      </c>
    </row>
    <row r="1749" spans="1:200">
      <c r="A1749" s="181" t="s">
        <v>2690</v>
      </c>
      <c r="GR1749" s="181" t="s">
        <v>876</v>
      </c>
    </row>
    <row r="1750" spans="1:200">
      <c r="A1750" s="181" t="s">
        <v>2690</v>
      </c>
      <c r="GR1750" s="181" t="s">
        <v>876</v>
      </c>
    </row>
    <row r="1751" spans="1:200">
      <c r="A1751" s="181" t="s">
        <v>2690</v>
      </c>
      <c r="GR1751" s="181" t="s">
        <v>1778</v>
      </c>
    </row>
    <row r="1752" spans="1:200">
      <c r="A1752" s="181" t="s">
        <v>2690</v>
      </c>
      <c r="GR1752" s="181" t="s">
        <v>1779</v>
      </c>
    </row>
    <row r="1753" spans="1:200">
      <c r="A1753" s="181" t="s">
        <v>2690</v>
      </c>
      <c r="GR1753" s="181" t="s">
        <v>1780</v>
      </c>
    </row>
    <row r="1754" spans="1:200">
      <c r="A1754" s="181" t="s">
        <v>2690</v>
      </c>
      <c r="GR1754" s="181" t="s">
        <v>1781</v>
      </c>
    </row>
    <row r="1755" spans="1:200">
      <c r="A1755" s="181" t="s">
        <v>2690</v>
      </c>
      <c r="GR1755" s="181">
        <v>0</v>
      </c>
    </row>
    <row r="1756" spans="1:200">
      <c r="A1756" s="181" t="s">
        <v>2690</v>
      </c>
      <c r="GR1756" s="181">
        <v>0</v>
      </c>
    </row>
    <row r="1757" spans="1:200">
      <c r="A1757" s="181" t="s">
        <v>2690</v>
      </c>
      <c r="GR1757" s="181">
        <v>0</v>
      </c>
    </row>
    <row r="1758" spans="1:200">
      <c r="A1758" s="181" t="s">
        <v>2690</v>
      </c>
      <c r="GR1758" s="181">
        <v>0</v>
      </c>
    </row>
    <row r="1759" spans="1:200">
      <c r="A1759" s="181" t="s">
        <v>2690</v>
      </c>
      <c r="GR1759" s="181">
        <v>0</v>
      </c>
    </row>
    <row r="1760" spans="1:200">
      <c r="A1760" s="181" t="s">
        <v>2690</v>
      </c>
      <c r="GR1760" s="181">
        <v>0</v>
      </c>
    </row>
    <row r="1761" spans="1:200">
      <c r="A1761" s="181" t="s">
        <v>2690</v>
      </c>
      <c r="GR1761" s="181">
        <v>0</v>
      </c>
    </row>
    <row r="1762" spans="1:200">
      <c r="A1762" s="181" t="s">
        <v>2690</v>
      </c>
      <c r="GR1762" s="181">
        <v>0</v>
      </c>
    </row>
    <row r="1763" spans="1:200">
      <c r="A1763" s="181" t="s">
        <v>2690</v>
      </c>
      <c r="GR1763" s="181">
        <v>0</v>
      </c>
    </row>
    <row r="1764" spans="1:200">
      <c r="A1764" s="181" t="s">
        <v>2690</v>
      </c>
      <c r="GR1764" s="181">
        <v>0</v>
      </c>
    </row>
    <row r="1765" spans="1:200">
      <c r="A1765" s="181" t="s">
        <v>2690</v>
      </c>
      <c r="GR1765" s="181">
        <v>0</v>
      </c>
    </row>
    <row r="1766" spans="1:200">
      <c r="A1766" s="181" t="s">
        <v>2690</v>
      </c>
    </row>
    <row r="1767" spans="1:200">
      <c r="A1767" s="181" t="s">
        <v>2690</v>
      </c>
      <c r="GR1767" s="181" t="s">
        <v>309</v>
      </c>
    </row>
    <row r="1768" spans="1:200">
      <c r="A1768" s="181" t="s">
        <v>2690</v>
      </c>
    </row>
    <row r="1769" spans="1:200">
      <c r="A1769" s="181" t="s">
        <v>2690</v>
      </c>
      <c r="GR1769" s="181" t="s">
        <v>312</v>
      </c>
    </row>
    <row r="1770" spans="1:200">
      <c r="A1770" s="181" t="s">
        <v>2690</v>
      </c>
      <c r="GR1770" s="181" t="s">
        <v>312</v>
      </c>
    </row>
    <row r="1771" spans="1:200">
      <c r="A1771" s="181" t="s">
        <v>2690</v>
      </c>
      <c r="GR1771" s="181" t="s">
        <v>312</v>
      </c>
    </row>
    <row r="1772" spans="1:200">
      <c r="A1772" s="181" t="s">
        <v>2690</v>
      </c>
      <c r="GR1772" s="181" t="s">
        <v>312</v>
      </c>
    </row>
    <row r="1773" spans="1:200">
      <c r="A1773" s="181" t="s">
        <v>2690</v>
      </c>
      <c r="GR1773" s="181" t="s">
        <v>312</v>
      </c>
    </row>
    <row r="1774" spans="1:200">
      <c r="A1774" s="181" t="s">
        <v>2690</v>
      </c>
      <c r="GR1774" s="181" t="s">
        <v>312</v>
      </c>
    </row>
    <row r="1775" spans="1:200">
      <c r="A1775" s="181" t="s">
        <v>2690</v>
      </c>
      <c r="GR1775" s="181" t="s">
        <v>312</v>
      </c>
    </row>
    <row r="1776" spans="1:200">
      <c r="A1776" s="181" t="s">
        <v>2690</v>
      </c>
      <c r="GR1776" s="181" t="s">
        <v>877</v>
      </c>
    </row>
    <row r="1777" spans="1:200">
      <c r="A1777" s="181" t="s">
        <v>2690</v>
      </c>
      <c r="GR1777" s="181" t="s">
        <v>878</v>
      </c>
    </row>
    <row r="1778" spans="1:200">
      <c r="A1778" s="181" t="s">
        <v>2690</v>
      </c>
      <c r="GR1778" s="181" t="s">
        <v>878</v>
      </c>
    </row>
    <row r="1779" spans="1:200">
      <c r="A1779" s="181" t="s">
        <v>2690</v>
      </c>
      <c r="GR1779" s="181" t="s">
        <v>878</v>
      </c>
    </row>
    <row r="1780" spans="1:200">
      <c r="A1780" s="181" t="s">
        <v>2690</v>
      </c>
      <c r="GR1780" s="181" t="s">
        <v>878</v>
      </c>
    </row>
    <row r="1781" spans="1:200">
      <c r="A1781" s="181" t="s">
        <v>2690</v>
      </c>
      <c r="GR1781" s="181" t="s">
        <v>878</v>
      </c>
    </row>
    <row r="1782" spans="1:200">
      <c r="A1782" s="181" t="s">
        <v>2690</v>
      </c>
      <c r="GR1782" s="181" t="s">
        <v>878</v>
      </c>
    </row>
    <row r="1783" spans="1:200">
      <c r="A1783" s="181" t="s">
        <v>2690</v>
      </c>
      <c r="GR1783" s="181" t="s">
        <v>878</v>
      </c>
    </row>
    <row r="1784" spans="1:200">
      <c r="A1784" s="181" t="s">
        <v>2690</v>
      </c>
      <c r="GR1784" s="181" t="s">
        <v>878</v>
      </c>
    </row>
    <row r="1785" spans="1:200">
      <c r="A1785" s="181" t="s">
        <v>2690</v>
      </c>
      <c r="GR1785" s="181" t="s">
        <v>878</v>
      </c>
    </row>
    <row r="1786" spans="1:200">
      <c r="A1786" s="181" t="s">
        <v>2690</v>
      </c>
      <c r="GR1786" s="181" t="s">
        <v>879</v>
      </c>
    </row>
    <row r="1787" spans="1:200">
      <c r="A1787" s="181" t="s">
        <v>2690</v>
      </c>
      <c r="GR1787" s="181" t="s">
        <v>1715</v>
      </c>
    </row>
    <row r="1788" spans="1:200">
      <c r="A1788" s="181" t="s">
        <v>2690</v>
      </c>
      <c r="GR1788" s="181" t="s">
        <v>880</v>
      </c>
    </row>
    <row r="1789" spans="1:200">
      <c r="A1789" s="181" t="s">
        <v>2690</v>
      </c>
      <c r="GR1789" s="181" t="s">
        <v>881</v>
      </c>
    </row>
    <row r="1790" spans="1:200">
      <c r="A1790" s="181" t="s">
        <v>2690</v>
      </c>
      <c r="GR1790" s="181" t="s">
        <v>1772</v>
      </c>
    </row>
    <row r="1791" spans="1:200">
      <c r="A1791" s="181" t="s">
        <v>2690</v>
      </c>
      <c r="GR1791" s="181" t="s">
        <v>1782</v>
      </c>
    </row>
    <row r="1792" spans="1:200">
      <c r="A1792" s="181" t="s">
        <v>2690</v>
      </c>
      <c r="GR1792" s="181">
        <v>0</v>
      </c>
    </row>
    <row r="1793" spans="1:200">
      <c r="A1793" s="181" t="s">
        <v>2690</v>
      </c>
      <c r="GR1793" s="181">
        <v>0</v>
      </c>
    </row>
    <row r="1794" spans="1:200">
      <c r="A1794" s="181" t="s">
        <v>2690</v>
      </c>
      <c r="GR1794" s="181">
        <v>0</v>
      </c>
    </row>
    <row r="1795" spans="1:200">
      <c r="A1795" s="181" t="s">
        <v>2690</v>
      </c>
      <c r="GR1795" s="181">
        <v>0</v>
      </c>
    </row>
    <row r="1796" spans="1:200">
      <c r="A1796" s="181" t="s">
        <v>2690</v>
      </c>
      <c r="GR1796" s="181">
        <v>0</v>
      </c>
    </row>
    <row r="1797" spans="1:200">
      <c r="A1797" s="181" t="s">
        <v>2690</v>
      </c>
      <c r="GR1797" s="181">
        <v>0</v>
      </c>
    </row>
    <row r="1798" spans="1:200">
      <c r="A1798" s="181" t="s">
        <v>2690</v>
      </c>
      <c r="GR1798" s="181">
        <v>0</v>
      </c>
    </row>
    <row r="1799" spans="1:200">
      <c r="A1799" s="181" t="s">
        <v>2690</v>
      </c>
      <c r="GR1799" s="181">
        <v>0</v>
      </c>
    </row>
    <row r="1800" spans="1:200">
      <c r="A1800" s="181" t="s">
        <v>2690</v>
      </c>
      <c r="GR1800" s="181">
        <v>0</v>
      </c>
    </row>
    <row r="1801" spans="1:200">
      <c r="A1801" s="181" t="s">
        <v>2690</v>
      </c>
      <c r="GR1801" s="181">
        <v>0</v>
      </c>
    </row>
    <row r="1802" spans="1:200">
      <c r="A1802" s="181" t="s">
        <v>2690</v>
      </c>
      <c r="GR1802" s="181">
        <v>0</v>
      </c>
    </row>
    <row r="1803" spans="1:200">
      <c r="A1803" s="181" t="s">
        <v>2690</v>
      </c>
      <c r="GR1803" s="181">
        <v>0</v>
      </c>
    </row>
    <row r="1804" spans="1:200">
      <c r="A1804" s="181" t="s">
        <v>2690</v>
      </c>
      <c r="GR1804" s="181">
        <v>0</v>
      </c>
    </row>
    <row r="1805" spans="1:200">
      <c r="A1805" s="181" t="s">
        <v>2690</v>
      </c>
      <c r="GR1805" s="181" t="s">
        <v>1783</v>
      </c>
    </row>
    <row r="1806" spans="1:200">
      <c r="A1806" s="181" t="s">
        <v>2690</v>
      </c>
      <c r="GR1806" s="181" t="s">
        <v>1784</v>
      </c>
    </row>
    <row r="1807" spans="1:200">
      <c r="A1807" s="181" t="s">
        <v>2690</v>
      </c>
      <c r="GR1807" s="181" t="s">
        <v>1785</v>
      </c>
    </row>
    <row r="1808" spans="1:200">
      <c r="A1808" s="181" t="s">
        <v>2690</v>
      </c>
      <c r="GR1808" s="181" t="s">
        <v>1786</v>
      </c>
    </row>
    <row r="1809" spans="1:200">
      <c r="A1809" s="181" t="s">
        <v>2690</v>
      </c>
      <c r="GR1809" s="181" t="s">
        <v>1787</v>
      </c>
    </row>
    <row r="1810" spans="1:200">
      <c r="A1810" s="181" t="s">
        <v>2690</v>
      </c>
      <c r="GR1810" s="181" t="s">
        <v>1788</v>
      </c>
    </row>
    <row r="1811" spans="1:200">
      <c r="A1811" s="181" t="s">
        <v>2690</v>
      </c>
      <c r="GR1811" s="181" t="s">
        <v>1789</v>
      </c>
    </row>
    <row r="1812" spans="1:200">
      <c r="A1812" s="181" t="s">
        <v>2690</v>
      </c>
      <c r="GR1812" s="181" t="s">
        <v>1790</v>
      </c>
    </row>
    <row r="1813" spans="1:200">
      <c r="A1813" s="181" t="s">
        <v>2690</v>
      </c>
      <c r="GR1813" s="181" t="s">
        <v>1791</v>
      </c>
    </row>
    <row r="1814" spans="1:200">
      <c r="A1814" s="181" t="s">
        <v>2690</v>
      </c>
      <c r="GR1814" s="181" t="s">
        <v>1792</v>
      </c>
    </row>
    <row r="1815" spans="1:200">
      <c r="A1815" s="181" t="s">
        <v>2690</v>
      </c>
      <c r="GR1815" s="181" t="s">
        <v>1793</v>
      </c>
    </row>
    <row r="1816" spans="1:200">
      <c r="A1816" s="181" t="s">
        <v>2690</v>
      </c>
      <c r="GR1816" s="181" t="s">
        <v>1794</v>
      </c>
    </row>
    <row r="1817" spans="1:200">
      <c r="A1817" s="181" t="s">
        <v>2690</v>
      </c>
      <c r="GR1817" s="181" t="s">
        <v>883</v>
      </c>
    </row>
    <row r="1818" spans="1:200">
      <c r="A1818" s="181" t="s">
        <v>2690</v>
      </c>
      <c r="GR1818" s="181" t="s">
        <v>873</v>
      </c>
    </row>
    <row r="1819" spans="1:200">
      <c r="A1819" s="181" t="s">
        <v>2690</v>
      </c>
      <c r="GR1819" s="181" t="s">
        <v>873</v>
      </c>
    </row>
    <row r="1820" spans="1:200">
      <c r="A1820" s="181" t="s">
        <v>2690</v>
      </c>
      <c r="GR1820" s="181" t="s">
        <v>873</v>
      </c>
    </row>
    <row r="1821" spans="1:200">
      <c r="A1821" s="181" t="s">
        <v>2690</v>
      </c>
      <c r="GR1821" s="181" t="s">
        <v>873</v>
      </c>
    </row>
    <row r="1822" spans="1:200">
      <c r="A1822" s="181" t="s">
        <v>2690</v>
      </c>
      <c r="GR1822" s="181" t="s">
        <v>308</v>
      </c>
    </row>
    <row r="1823" spans="1:200">
      <c r="A1823" s="181" t="s">
        <v>2690</v>
      </c>
      <c r="GR1823" s="181" t="s">
        <v>874</v>
      </c>
    </row>
    <row r="1824" spans="1:200">
      <c r="A1824" s="181" t="s">
        <v>2690</v>
      </c>
      <c r="GR1824" s="181" t="s">
        <v>874</v>
      </c>
    </row>
    <row r="1825" spans="1:200">
      <c r="A1825" s="181" t="s">
        <v>2690</v>
      </c>
      <c r="GR1825" s="181" t="s">
        <v>874</v>
      </c>
    </row>
    <row r="1826" spans="1:200">
      <c r="A1826" s="181" t="s">
        <v>2690</v>
      </c>
      <c r="GR1826" s="181" t="s">
        <v>874</v>
      </c>
    </row>
    <row r="1827" spans="1:200">
      <c r="A1827" s="181" t="s">
        <v>2690</v>
      </c>
      <c r="GR1827" s="181" t="s">
        <v>870</v>
      </c>
    </row>
    <row r="1828" spans="1:200">
      <c r="A1828" s="181" t="s">
        <v>2690</v>
      </c>
      <c r="GR1828" s="181" t="s">
        <v>1795</v>
      </c>
    </row>
    <row r="1829" spans="1:200">
      <c r="A1829" s="181" t="s">
        <v>2690</v>
      </c>
      <c r="GR1829" s="181" t="s">
        <v>309</v>
      </c>
    </row>
    <row r="1830" spans="1:200">
      <c r="A1830" s="181" t="s">
        <v>2690</v>
      </c>
      <c r="GR1830" s="181" t="s">
        <v>309</v>
      </c>
    </row>
    <row r="1831" spans="1:200">
      <c r="A1831" s="181" t="s">
        <v>2690</v>
      </c>
    </row>
    <row r="1832" spans="1:200">
      <c r="A1832" s="181" t="s">
        <v>2690</v>
      </c>
      <c r="GR1832" s="181" t="s">
        <v>1796</v>
      </c>
    </row>
    <row r="1833" spans="1:200">
      <c r="A1833" s="181" t="s">
        <v>2690</v>
      </c>
      <c r="GR1833" s="181" t="s">
        <v>1797</v>
      </c>
    </row>
    <row r="1834" spans="1:200">
      <c r="A1834" s="181" t="s">
        <v>2690</v>
      </c>
      <c r="GR1834" s="181" t="s">
        <v>917</v>
      </c>
    </row>
    <row r="1835" spans="1:200">
      <c r="A1835" s="181" t="s">
        <v>2690</v>
      </c>
      <c r="GR1835" s="181" t="s">
        <v>875</v>
      </c>
    </row>
    <row r="1836" spans="1:200">
      <c r="A1836" s="181" t="s">
        <v>2690</v>
      </c>
      <c r="GR1836" s="181" t="s">
        <v>875</v>
      </c>
    </row>
    <row r="1837" spans="1:200">
      <c r="A1837" s="181" t="s">
        <v>2690</v>
      </c>
      <c r="GR1837" s="181" t="s">
        <v>875</v>
      </c>
    </row>
    <row r="1838" spans="1:200">
      <c r="A1838" s="181" t="s">
        <v>2690</v>
      </c>
      <c r="GR1838" s="181" t="s">
        <v>1798</v>
      </c>
    </row>
    <row r="1839" spans="1:200">
      <c r="A1839" s="181" t="s">
        <v>2690</v>
      </c>
      <c r="GR1839" s="181" t="s">
        <v>1799</v>
      </c>
    </row>
    <row r="1840" spans="1:200">
      <c r="A1840" s="181" t="s">
        <v>2690</v>
      </c>
      <c r="GR1840" s="181" t="s">
        <v>310</v>
      </c>
    </row>
    <row r="1841" spans="1:200">
      <c r="A1841" s="181" t="s">
        <v>2690</v>
      </c>
      <c r="GR1841" s="181" t="s">
        <v>310</v>
      </c>
    </row>
    <row r="1842" spans="1:200">
      <c r="A1842" s="181" t="s">
        <v>2690</v>
      </c>
      <c r="GR1842" s="181" t="s">
        <v>310</v>
      </c>
    </row>
    <row r="1843" spans="1:200">
      <c r="A1843" s="181" t="s">
        <v>2690</v>
      </c>
      <c r="GR1843" s="181" t="s">
        <v>310</v>
      </c>
    </row>
    <row r="1844" spans="1:200">
      <c r="A1844" s="181" t="s">
        <v>2690</v>
      </c>
      <c r="GR1844" s="181" t="s">
        <v>310</v>
      </c>
    </row>
    <row r="1845" spans="1:200">
      <c r="A1845" s="181" t="s">
        <v>2690</v>
      </c>
      <c r="GR1845" s="181" t="s">
        <v>310</v>
      </c>
    </row>
    <row r="1846" spans="1:200">
      <c r="A1846" s="181" t="s">
        <v>2690</v>
      </c>
      <c r="GR1846" s="181" t="s">
        <v>876</v>
      </c>
    </row>
    <row r="1847" spans="1:200">
      <c r="A1847" s="181" t="s">
        <v>2690</v>
      </c>
      <c r="GR1847" s="181" t="s">
        <v>876</v>
      </c>
    </row>
    <row r="1848" spans="1:200">
      <c r="A1848" s="181" t="s">
        <v>2690</v>
      </c>
      <c r="GR1848" s="181" t="s">
        <v>876</v>
      </c>
    </row>
    <row r="1849" spans="1:200">
      <c r="A1849" s="181" t="s">
        <v>2690</v>
      </c>
      <c r="GR1849" s="181" t="s">
        <v>876</v>
      </c>
    </row>
    <row r="1850" spans="1:200">
      <c r="A1850" s="181" t="s">
        <v>2690</v>
      </c>
      <c r="GR1850" s="181" t="s">
        <v>876</v>
      </c>
    </row>
    <row r="1851" spans="1:200">
      <c r="A1851" s="181" t="s">
        <v>2690</v>
      </c>
      <c r="GR1851" s="181" t="s">
        <v>1156</v>
      </c>
    </row>
    <row r="1852" spans="1:200">
      <c r="A1852" s="181" t="s">
        <v>2690</v>
      </c>
      <c r="GR1852" s="181" t="s">
        <v>1800</v>
      </c>
    </row>
    <row r="1853" spans="1:200">
      <c r="A1853" s="181" t="s">
        <v>2690</v>
      </c>
      <c r="GR1853" s="181">
        <v>0</v>
      </c>
    </row>
    <row r="1854" spans="1:200">
      <c r="A1854" s="181" t="s">
        <v>2690</v>
      </c>
      <c r="GR1854" s="181">
        <v>0</v>
      </c>
    </row>
    <row r="1855" spans="1:200">
      <c r="A1855" s="181" t="s">
        <v>2690</v>
      </c>
      <c r="GR1855" s="181">
        <v>0</v>
      </c>
    </row>
    <row r="1856" spans="1:200">
      <c r="A1856" s="181" t="s">
        <v>2690</v>
      </c>
      <c r="GR1856" s="181">
        <v>0</v>
      </c>
    </row>
    <row r="1857" spans="1:200">
      <c r="A1857" s="181" t="s">
        <v>2690</v>
      </c>
      <c r="GR1857" s="181">
        <v>0</v>
      </c>
    </row>
    <row r="1858" spans="1:200">
      <c r="A1858" s="181" t="s">
        <v>2690</v>
      </c>
      <c r="GR1858" s="181">
        <v>0</v>
      </c>
    </row>
    <row r="1859" spans="1:200">
      <c r="A1859" s="181" t="s">
        <v>2690</v>
      </c>
      <c r="GR1859" s="181">
        <v>0</v>
      </c>
    </row>
    <row r="1860" spans="1:200">
      <c r="A1860" s="181" t="s">
        <v>2690</v>
      </c>
      <c r="GR1860" s="181">
        <v>0</v>
      </c>
    </row>
    <row r="1861" spans="1:200">
      <c r="A1861" s="181" t="s">
        <v>2690</v>
      </c>
      <c r="GR1861" s="181">
        <v>0</v>
      </c>
    </row>
    <row r="1862" spans="1:200">
      <c r="A1862" s="181" t="s">
        <v>2690</v>
      </c>
      <c r="GR1862" s="181">
        <v>0</v>
      </c>
    </row>
    <row r="1863" spans="1:200">
      <c r="A1863" s="181" t="s">
        <v>2690</v>
      </c>
      <c r="GR1863" s="181">
        <v>0</v>
      </c>
    </row>
    <row r="1864" spans="1:200">
      <c r="A1864" s="181" t="s">
        <v>2690</v>
      </c>
      <c r="GR1864" s="181">
        <v>0</v>
      </c>
    </row>
    <row r="1865" spans="1:200">
      <c r="A1865" s="181" t="s">
        <v>2690</v>
      </c>
      <c r="GR1865" s="181">
        <v>0</v>
      </c>
    </row>
    <row r="1866" spans="1:200">
      <c r="A1866" s="181" t="s">
        <v>2690</v>
      </c>
    </row>
    <row r="1867" spans="1:200">
      <c r="A1867" s="181" t="s">
        <v>2690</v>
      </c>
      <c r="GR1867" s="181" t="s">
        <v>309</v>
      </c>
    </row>
    <row r="1868" spans="1:200">
      <c r="A1868" s="181" t="s">
        <v>2690</v>
      </c>
    </row>
    <row r="1869" spans="1:200">
      <c r="A1869" s="181" t="s">
        <v>2690</v>
      </c>
    </row>
    <row r="1870" spans="1:200">
      <c r="A1870" s="181" t="s">
        <v>2690</v>
      </c>
    </row>
    <row r="1871" spans="1:200">
      <c r="A1871" s="181" t="s">
        <v>2690</v>
      </c>
    </row>
    <row r="1872" spans="1:200">
      <c r="A1872" s="181" t="s">
        <v>2690</v>
      </c>
    </row>
    <row r="1873" spans="1:1">
      <c r="A1873" s="181" t="s">
        <v>2690</v>
      </c>
    </row>
    <row r="1874" spans="1:1">
      <c r="A1874" s="181" t="s">
        <v>2690</v>
      </c>
    </row>
    <row r="1875" spans="1:1">
      <c r="A1875" s="181" t="s">
        <v>2690</v>
      </c>
    </row>
    <row r="1876" spans="1:1">
      <c r="A1876" s="181" t="s">
        <v>2690</v>
      </c>
    </row>
    <row r="1877" spans="1:1">
      <c r="A1877" s="181" t="s">
        <v>2690</v>
      </c>
    </row>
    <row r="1878" spans="1:1">
      <c r="A1878" s="181" t="s">
        <v>2690</v>
      </c>
    </row>
    <row r="1879" spans="1:1">
      <c r="A1879" s="181" t="s">
        <v>2690</v>
      </c>
    </row>
    <row r="1880" spans="1:1">
      <c r="A1880" s="181" t="s">
        <v>2690</v>
      </c>
    </row>
    <row r="1881" spans="1:1">
      <c r="A1881" s="181" t="s">
        <v>2690</v>
      </c>
    </row>
    <row r="1882" spans="1:1">
      <c r="A1882" s="181" t="s">
        <v>2690</v>
      </c>
    </row>
    <row r="1883" spans="1:1">
      <c r="A1883" s="181" t="s">
        <v>2690</v>
      </c>
    </row>
    <row r="1884" spans="1:1">
      <c r="A1884" s="181" t="s">
        <v>2690</v>
      </c>
    </row>
    <row r="1885" spans="1:1">
      <c r="A1885" s="181" t="s">
        <v>2690</v>
      </c>
    </row>
    <row r="1886" spans="1:1">
      <c r="A1886" s="181" t="s">
        <v>2690</v>
      </c>
    </row>
    <row r="1887" spans="1:1">
      <c r="A1887" s="181" t="s">
        <v>2690</v>
      </c>
    </row>
    <row r="1888" spans="1:1">
      <c r="A1888" s="181" t="s">
        <v>2690</v>
      </c>
    </row>
    <row r="1889" spans="1:220">
      <c r="A1889" s="181" t="s">
        <v>2690</v>
      </c>
    </row>
    <row r="1890" spans="1:220">
      <c r="A1890" s="181" t="s">
        <v>2690</v>
      </c>
    </row>
    <row r="1891" spans="1:220">
      <c r="A1891" s="181" t="s">
        <v>2690</v>
      </c>
    </row>
    <row r="1892" spans="1:220">
      <c r="A1892" s="181" t="s">
        <v>2690</v>
      </c>
    </row>
    <row r="1893" spans="1:220">
      <c r="A1893" s="181" t="s">
        <v>2690</v>
      </c>
    </row>
    <row r="1894" spans="1:220">
      <c r="A1894" s="181" t="s">
        <v>2690</v>
      </c>
    </row>
    <row r="1895" spans="1:220">
      <c r="A1895" s="181" t="s">
        <v>2690</v>
      </c>
    </row>
    <row r="1896" spans="1:220">
      <c r="A1896" s="181" t="s">
        <v>2690</v>
      </c>
    </row>
    <row r="1897" spans="1:220">
      <c r="A1897" s="181" t="s">
        <v>241</v>
      </c>
      <c r="D1897" s="181" t="s">
        <v>1056</v>
      </c>
      <c r="E1897" s="181" t="s">
        <v>475</v>
      </c>
      <c r="F1897" s="181" t="s">
        <v>635</v>
      </c>
      <c r="G1897" s="181">
        <v>25455909</v>
      </c>
      <c r="H1897" s="181">
        <v>12</v>
      </c>
      <c r="J1897" s="181" t="s">
        <v>1045</v>
      </c>
      <c r="L1897" s="181" t="s">
        <v>933</v>
      </c>
      <c r="DP1897" s="181" t="s">
        <v>881</v>
      </c>
      <c r="DS1897" s="181" t="s">
        <v>881</v>
      </c>
      <c r="DX1897" s="181" t="s">
        <v>1071</v>
      </c>
      <c r="HD1897" s="181" t="s">
        <v>971</v>
      </c>
      <c r="HG1897" s="181" t="s">
        <v>1082</v>
      </c>
      <c r="HL1897" s="181" t="s">
        <v>80</v>
      </c>
    </row>
    <row r="1898" spans="1:220">
      <c r="A1898" s="181" t="s">
        <v>241</v>
      </c>
      <c r="D1898" s="181" t="s">
        <v>1057</v>
      </c>
      <c r="E1898" s="181" t="s">
        <v>1059</v>
      </c>
      <c r="F1898" s="181" t="s">
        <v>726</v>
      </c>
      <c r="G1898" s="181">
        <v>1500</v>
      </c>
      <c r="J1898" s="181" t="s">
        <v>1046</v>
      </c>
      <c r="L1898" s="181" t="s">
        <v>1054</v>
      </c>
      <c r="DP1898" s="181" t="s">
        <v>1060</v>
      </c>
      <c r="DS1898" s="181" t="s">
        <v>1066</v>
      </c>
      <c r="DX1898" s="181" t="s">
        <v>1072</v>
      </c>
      <c r="HD1898" s="181" t="s">
        <v>1080</v>
      </c>
      <c r="HG1898" s="181" t="s">
        <v>929</v>
      </c>
      <c r="HL1898" s="181" t="s">
        <v>81</v>
      </c>
    </row>
    <row r="1899" spans="1:220">
      <c r="A1899" s="181" t="s">
        <v>241</v>
      </c>
      <c r="D1899" s="181" t="s">
        <v>1058</v>
      </c>
      <c r="E1899" s="181" t="s">
        <v>666</v>
      </c>
      <c r="F1899" s="181" t="s">
        <v>727</v>
      </c>
      <c r="G1899" s="181">
        <v>42566</v>
      </c>
      <c r="J1899" s="181" t="s">
        <v>1047</v>
      </c>
      <c r="L1899" s="181" t="s">
        <v>1055</v>
      </c>
      <c r="DP1899" s="181" t="s">
        <v>1061</v>
      </c>
      <c r="DS1899" s="181" t="s">
        <v>1060</v>
      </c>
      <c r="DX1899" s="181" t="s">
        <v>1073</v>
      </c>
      <c r="HD1899" s="181" t="s">
        <v>1040</v>
      </c>
      <c r="HG1899" s="181" t="s">
        <v>1083</v>
      </c>
      <c r="HL1899" s="181" t="s">
        <v>82</v>
      </c>
    </row>
    <row r="1900" spans="1:220">
      <c r="A1900" s="181" t="s">
        <v>241</v>
      </c>
      <c r="F1900" s="181" t="s">
        <v>728</v>
      </c>
      <c r="G1900" s="181">
        <v>10</v>
      </c>
      <c r="J1900" s="181" t="s">
        <v>1048</v>
      </c>
      <c r="L1900" s="181" t="s">
        <v>933</v>
      </c>
      <c r="DP1900" s="181" t="s">
        <v>1062</v>
      </c>
      <c r="DS1900" s="181" t="s">
        <v>1067</v>
      </c>
      <c r="DX1900" s="181" t="s">
        <v>1074</v>
      </c>
      <c r="HD1900" s="181" t="s">
        <v>1081</v>
      </c>
      <c r="HG1900" s="181" t="s">
        <v>333</v>
      </c>
      <c r="HL1900" s="181" t="s">
        <v>892</v>
      </c>
    </row>
    <row r="1901" spans="1:220">
      <c r="A1901" s="181" t="s">
        <v>241</v>
      </c>
      <c r="F1901" s="181" t="s">
        <v>729</v>
      </c>
      <c r="G1901" s="181">
        <v>10</v>
      </c>
      <c r="J1901" s="181" t="s">
        <v>1049</v>
      </c>
      <c r="L1901" s="181" t="s">
        <v>720</v>
      </c>
      <c r="DP1901" s="181" t="s">
        <v>1063</v>
      </c>
      <c r="DS1901" s="181" t="s">
        <v>1061</v>
      </c>
      <c r="DX1901" s="181" t="s">
        <v>778</v>
      </c>
      <c r="HL1901" s="181" t="s">
        <v>1079</v>
      </c>
    </row>
    <row r="1902" spans="1:220">
      <c r="A1902" s="181" t="s">
        <v>241</v>
      </c>
      <c r="F1902" s="181" t="s">
        <v>730</v>
      </c>
      <c r="G1902" s="181">
        <v>5</v>
      </c>
      <c r="J1902" s="181" t="s">
        <v>1050</v>
      </c>
      <c r="L1902" s="181" t="s">
        <v>933</v>
      </c>
      <c r="DP1902" s="181" t="s">
        <v>1064</v>
      </c>
      <c r="DS1902" s="181" t="s">
        <v>1062</v>
      </c>
      <c r="DX1902" s="181" t="s">
        <v>1075</v>
      </c>
      <c r="HL1902" s="181" t="s">
        <v>893</v>
      </c>
    </row>
    <row r="1903" spans="1:220">
      <c r="A1903" s="181" t="s">
        <v>241</v>
      </c>
      <c r="J1903" s="181" t="s">
        <v>1051</v>
      </c>
      <c r="L1903" s="181" t="s">
        <v>933</v>
      </c>
      <c r="DP1903" s="181" t="s">
        <v>1065</v>
      </c>
      <c r="DS1903" s="181" t="s">
        <v>947</v>
      </c>
      <c r="DX1903" s="181" t="s">
        <v>1076</v>
      </c>
      <c r="HL1903" s="181" t="s">
        <v>894</v>
      </c>
    </row>
    <row r="1904" spans="1:220">
      <c r="A1904" s="181" t="s">
        <v>241</v>
      </c>
      <c r="J1904" s="181" t="s">
        <v>1052</v>
      </c>
      <c r="L1904" s="181" t="s">
        <v>933</v>
      </c>
      <c r="DP1904" s="181" t="s">
        <v>333</v>
      </c>
      <c r="DS1904" s="181" t="s">
        <v>1068</v>
      </c>
      <c r="DX1904" s="181" t="s">
        <v>1077</v>
      </c>
    </row>
    <row r="1905" spans="1:128">
      <c r="A1905" s="181" t="s">
        <v>241</v>
      </c>
      <c r="J1905" s="181" t="s">
        <v>1053</v>
      </c>
      <c r="L1905" s="181" t="s">
        <v>933</v>
      </c>
      <c r="DS1905" s="181" t="s">
        <v>1069</v>
      </c>
      <c r="DX1905" s="181" t="s">
        <v>1078</v>
      </c>
    </row>
    <row r="1906" spans="1:128">
      <c r="A1906" s="181" t="s">
        <v>241</v>
      </c>
      <c r="DS1906" s="181" t="s">
        <v>1063</v>
      </c>
      <c r="DX1906" s="181" t="s">
        <v>482</v>
      </c>
    </row>
    <row r="1907" spans="1:128">
      <c r="A1907" s="181" t="s">
        <v>241</v>
      </c>
      <c r="DS1907" s="181" t="s">
        <v>1064</v>
      </c>
      <c r="DX1907" s="181" t="s">
        <v>333</v>
      </c>
    </row>
    <row r="1908" spans="1:128">
      <c r="A1908" s="181" t="s">
        <v>241</v>
      </c>
      <c r="DS1908" s="181" t="s">
        <v>1065</v>
      </c>
    </row>
    <row r="1909" spans="1:128">
      <c r="A1909" s="181" t="s">
        <v>241</v>
      </c>
      <c r="DS1909" s="181" t="s">
        <v>1070</v>
      </c>
    </row>
    <row r="1910" spans="1:128">
      <c r="A1910" s="181" t="s">
        <v>241</v>
      </c>
    </row>
    <row r="1911" spans="1:128">
      <c r="A1911" s="181" t="s">
        <v>241</v>
      </c>
    </row>
    <row r="1912" spans="1:128">
      <c r="A1912" s="181" t="s">
        <v>241</v>
      </c>
    </row>
    <row r="1913" spans="1:128">
      <c r="A1913" s="181" t="s">
        <v>241</v>
      </c>
    </row>
    <row r="1914" spans="1:128">
      <c r="A1914" s="181" t="s">
        <v>241</v>
      </c>
    </row>
    <row r="1915" spans="1:128">
      <c r="A1915" s="181" t="s">
        <v>241</v>
      </c>
    </row>
    <row r="1916" spans="1:128">
      <c r="A1916" s="181" t="s">
        <v>241</v>
      </c>
    </row>
    <row r="1917" spans="1:128">
      <c r="A1917" s="181" t="s">
        <v>241</v>
      </c>
    </row>
    <row r="1918" spans="1:128">
      <c r="A1918" s="181" t="s">
        <v>241</v>
      </c>
    </row>
    <row r="1919" spans="1:128">
      <c r="A1919" s="181" t="s">
        <v>241</v>
      </c>
    </row>
    <row r="1920" spans="1:128">
      <c r="A1920" s="181" t="s">
        <v>241</v>
      </c>
    </row>
    <row r="1921" spans="1:1">
      <c r="A1921" s="181" t="s">
        <v>241</v>
      </c>
    </row>
    <row r="1922" spans="1:1">
      <c r="A1922" s="181" t="s">
        <v>241</v>
      </c>
    </row>
    <row r="1923" spans="1:1">
      <c r="A1923" s="181" t="s">
        <v>241</v>
      </c>
    </row>
    <row r="1924" spans="1:1">
      <c r="A1924" s="181" t="s">
        <v>241</v>
      </c>
    </row>
    <row r="1925" spans="1:1">
      <c r="A1925" s="181" t="s">
        <v>241</v>
      </c>
    </row>
    <row r="1926" spans="1:1">
      <c r="A1926" s="181" t="s">
        <v>241</v>
      </c>
    </row>
    <row r="1927" spans="1:1">
      <c r="A1927" s="181" t="s">
        <v>241</v>
      </c>
    </row>
    <row r="1928" spans="1:1">
      <c r="A1928" s="181" t="s">
        <v>241</v>
      </c>
    </row>
    <row r="1929" spans="1:1">
      <c r="A1929" s="181" t="s">
        <v>241</v>
      </c>
    </row>
    <row r="1930" spans="1:1">
      <c r="A1930" s="181" t="s">
        <v>241</v>
      </c>
    </row>
    <row r="1931" spans="1:1">
      <c r="A1931" s="181" t="s">
        <v>241</v>
      </c>
    </row>
    <row r="1932" spans="1:1">
      <c r="A1932" s="181" t="s">
        <v>241</v>
      </c>
    </row>
    <row r="1933" spans="1:1">
      <c r="A1933" s="181" t="s">
        <v>241</v>
      </c>
    </row>
    <row r="1934" spans="1:1">
      <c r="A1934" s="181" t="s">
        <v>241</v>
      </c>
    </row>
    <row r="1935" spans="1:1">
      <c r="A1935" s="181" t="s">
        <v>241</v>
      </c>
    </row>
    <row r="1936" spans="1:1">
      <c r="A1936" s="181" t="s">
        <v>241</v>
      </c>
    </row>
    <row r="1937" spans="1:1">
      <c r="A1937" s="181" t="s">
        <v>241</v>
      </c>
    </row>
    <row r="1938" spans="1:1">
      <c r="A1938" s="181" t="s">
        <v>241</v>
      </c>
    </row>
    <row r="1939" spans="1:1">
      <c r="A1939" s="181" t="s">
        <v>241</v>
      </c>
    </row>
    <row r="1940" spans="1:1">
      <c r="A1940" s="181" t="s">
        <v>241</v>
      </c>
    </row>
    <row r="1941" spans="1:1">
      <c r="A1941" s="181" t="s">
        <v>241</v>
      </c>
    </row>
    <row r="1942" spans="1:1">
      <c r="A1942" s="181" t="s">
        <v>241</v>
      </c>
    </row>
    <row r="1943" spans="1:1">
      <c r="A1943" s="181" t="s">
        <v>241</v>
      </c>
    </row>
    <row r="1944" spans="1:1">
      <c r="A1944" s="181" t="s">
        <v>241</v>
      </c>
    </row>
    <row r="1945" spans="1:1">
      <c r="A1945" s="181" t="s">
        <v>241</v>
      </c>
    </row>
    <row r="1946" spans="1:1">
      <c r="A1946" s="181" t="s">
        <v>241</v>
      </c>
    </row>
    <row r="1947" spans="1:1">
      <c r="A1947" s="181" t="s">
        <v>241</v>
      </c>
    </row>
    <row r="1948" spans="1:1">
      <c r="A1948" s="181" t="s">
        <v>241</v>
      </c>
    </row>
    <row r="1949" spans="1:1">
      <c r="A1949" s="181" t="s">
        <v>241</v>
      </c>
    </row>
    <row r="1950" spans="1:1">
      <c r="A1950" s="181" t="s">
        <v>241</v>
      </c>
    </row>
    <row r="1951" spans="1:1">
      <c r="A1951" s="181" t="s">
        <v>241</v>
      </c>
    </row>
    <row r="1952" spans="1:1">
      <c r="A1952" s="181" t="s">
        <v>241</v>
      </c>
    </row>
    <row r="1953" spans="1:1">
      <c r="A1953" s="181" t="s">
        <v>241</v>
      </c>
    </row>
    <row r="1954" spans="1:1">
      <c r="A1954" s="181" t="s">
        <v>241</v>
      </c>
    </row>
    <row r="1955" spans="1:1">
      <c r="A1955" s="181" t="s">
        <v>241</v>
      </c>
    </row>
    <row r="1956" spans="1:1">
      <c r="A1956" s="181" t="s">
        <v>241</v>
      </c>
    </row>
    <row r="1957" spans="1:1">
      <c r="A1957" s="181" t="s">
        <v>241</v>
      </c>
    </row>
    <row r="1958" spans="1:1">
      <c r="A1958" s="181" t="s">
        <v>241</v>
      </c>
    </row>
    <row r="1959" spans="1:1">
      <c r="A1959" s="181" t="s">
        <v>241</v>
      </c>
    </row>
    <row r="1960" spans="1:1">
      <c r="A1960" s="181" t="s">
        <v>241</v>
      </c>
    </row>
    <row r="1961" spans="1:1">
      <c r="A1961" s="181" t="s">
        <v>241</v>
      </c>
    </row>
    <row r="1962" spans="1:1">
      <c r="A1962" s="181" t="s">
        <v>241</v>
      </c>
    </row>
    <row r="1963" spans="1:1">
      <c r="A1963" s="181" t="s">
        <v>241</v>
      </c>
    </row>
    <row r="1964" spans="1:1">
      <c r="A1964" s="181" t="s">
        <v>241</v>
      </c>
    </row>
    <row r="1965" spans="1:1">
      <c r="A1965" s="181" t="s">
        <v>241</v>
      </c>
    </row>
    <row r="1966" spans="1:1">
      <c r="A1966" s="181" t="s">
        <v>241</v>
      </c>
    </row>
    <row r="1967" spans="1:1">
      <c r="A1967" s="181" t="s">
        <v>241</v>
      </c>
    </row>
    <row r="1968" spans="1:1">
      <c r="A1968" s="181" t="s">
        <v>241</v>
      </c>
    </row>
    <row r="1969" spans="1:1">
      <c r="A1969" s="181" t="s">
        <v>241</v>
      </c>
    </row>
    <row r="1970" spans="1:1">
      <c r="A1970" s="181" t="s">
        <v>241</v>
      </c>
    </row>
    <row r="1971" spans="1:1">
      <c r="A1971" s="181" t="s">
        <v>241</v>
      </c>
    </row>
    <row r="1972" spans="1:1">
      <c r="A1972" s="181" t="s">
        <v>241</v>
      </c>
    </row>
    <row r="1973" spans="1:1">
      <c r="A1973" s="181" t="s">
        <v>241</v>
      </c>
    </row>
    <row r="1974" spans="1:1">
      <c r="A1974" s="181" t="s">
        <v>241</v>
      </c>
    </row>
    <row r="1975" spans="1:1">
      <c r="A1975" s="181" t="s">
        <v>241</v>
      </c>
    </row>
    <row r="1976" spans="1:1">
      <c r="A1976" s="181" t="s">
        <v>241</v>
      </c>
    </row>
    <row r="1977" spans="1:1">
      <c r="A1977" s="181" t="s">
        <v>241</v>
      </c>
    </row>
    <row r="1978" spans="1:1">
      <c r="A1978" s="181" t="s">
        <v>241</v>
      </c>
    </row>
    <row r="1979" spans="1:1">
      <c r="A1979" s="181" t="s">
        <v>241</v>
      </c>
    </row>
    <row r="1980" spans="1:1">
      <c r="A1980" s="181" t="s">
        <v>241</v>
      </c>
    </row>
    <row r="1981" spans="1:1">
      <c r="A1981" s="181" t="s">
        <v>241</v>
      </c>
    </row>
    <row r="1982" spans="1:1">
      <c r="A1982" s="181" t="s">
        <v>241</v>
      </c>
    </row>
    <row r="1983" spans="1:1">
      <c r="A1983" s="181" t="s">
        <v>241</v>
      </c>
    </row>
    <row r="1984" spans="1:1">
      <c r="A1984" s="181" t="s">
        <v>241</v>
      </c>
    </row>
    <row r="1985" spans="1:1">
      <c r="A1985" s="181" t="s">
        <v>241</v>
      </c>
    </row>
    <row r="1986" spans="1:1">
      <c r="A1986" s="181" t="s">
        <v>241</v>
      </c>
    </row>
    <row r="1987" spans="1:1">
      <c r="A1987" s="181" t="s">
        <v>241</v>
      </c>
    </row>
    <row r="1988" spans="1:1">
      <c r="A1988" s="181" t="s">
        <v>241</v>
      </c>
    </row>
    <row r="1989" spans="1:1">
      <c r="A1989" s="181" t="s">
        <v>241</v>
      </c>
    </row>
    <row r="1990" spans="1:1">
      <c r="A1990" s="181" t="s">
        <v>241</v>
      </c>
    </row>
    <row r="1991" spans="1:1">
      <c r="A1991" s="181" t="s">
        <v>241</v>
      </c>
    </row>
    <row r="1992" spans="1:1">
      <c r="A1992" s="181" t="s">
        <v>241</v>
      </c>
    </row>
    <row r="1993" spans="1:1">
      <c r="A1993" s="181" t="s">
        <v>241</v>
      </c>
    </row>
    <row r="1994" spans="1:1">
      <c r="A1994" s="181" t="s">
        <v>241</v>
      </c>
    </row>
    <row r="1995" spans="1:1">
      <c r="A1995" s="181" t="s">
        <v>241</v>
      </c>
    </row>
    <row r="1996" spans="1:1">
      <c r="A1996" s="181" t="s">
        <v>241</v>
      </c>
    </row>
    <row r="1997" spans="1:1">
      <c r="A1997" s="181" t="s">
        <v>241</v>
      </c>
    </row>
    <row r="1998" spans="1:1">
      <c r="A1998" s="181" t="s">
        <v>241</v>
      </c>
    </row>
    <row r="1999" spans="1:1">
      <c r="A1999" s="181" t="s">
        <v>241</v>
      </c>
    </row>
    <row r="2000" spans="1:1">
      <c r="A2000" s="181" t="s">
        <v>241</v>
      </c>
    </row>
    <row r="2001" spans="1:1">
      <c r="A2001" s="181" t="s">
        <v>241</v>
      </c>
    </row>
    <row r="2002" spans="1:1">
      <c r="A2002" s="181" t="s">
        <v>241</v>
      </c>
    </row>
    <row r="2003" spans="1:1">
      <c r="A2003" s="181" t="s">
        <v>241</v>
      </c>
    </row>
    <row r="2004" spans="1:1">
      <c r="A2004" s="181" t="s">
        <v>241</v>
      </c>
    </row>
    <row r="2005" spans="1:1">
      <c r="A2005" s="181" t="s">
        <v>241</v>
      </c>
    </row>
    <row r="2006" spans="1:1">
      <c r="A2006" s="181" t="s">
        <v>241</v>
      </c>
    </row>
    <row r="2007" spans="1:1">
      <c r="A2007" s="181" t="s">
        <v>241</v>
      </c>
    </row>
    <row r="2008" spans="1:1">
      <c r="A2008" s="181" t="s">
        <v>241</v>
      </c>
    </row>
    <row r="2009" spans="1:1">
      <c r="A2009" s="181" t="s">
        <v>241</v>
      </c>
    </row>
    <row r="2010" spans="1:1">
      <c r="A2010" s="181" t="s">
        <v>241</v>
      </c>
    </row>
    <row r="2011" spans="1:1">
      <c r="A2011" s="181" t="s">
        <v>241</v>
      </c>
    </row>
    <row r="2012" spans="1:1">
      <c r="A2012" s="181" t="s">
        <v>241</v>
      </c>
    </row>
    <row r="2013" spans="1:1">
      <c r="A2013" s="181" t="s">
        <v>241</v>
      </c>
    </row>
    <row r="2014" spans="1:1">
      <c r="A2014" s="181" t="s">
        <v>241</v>
      </c>
    </row>
    <row r="2015" spans="1:1">
      <c r="A2015" s="181" t="s">
        <v>241</v>
      </c>
    </row>
    <row r="2016" spans="1:1">
      <c r="A2016" s="181" t="s">
        <v>241</v>
      </c>
    </row>
    <row r="2017" spans="1:1">
      <c r="A2017" s="181" t="s">
        <v>241</v>
      </c>
    </row>
    <row r="2018" spans="1:1">
      <c r="A2018" s="181" t="s">
        <v>241</v>
      </c>
    </row>
    <row r="2019" spans="1:1">
      <c r="A2019" s="181" t="s">
        <v>241</v>
      </c>
    </row>
    <row r="2020" spans="1:1">
      <c r="A2020" s="181" t="s">
        <v>241</v>
      </c>
    </row>
    <row r="2021" spans="1:1">
      <c r="A2021" s="181" t="s">
        <v>241</v>
      </c>
    </row>
    <row r="2022" spans="1:1">
      <c r="A2022" s="181" t="s">
        <v>241</v>
      </c>
    </row>
    <row r="2023" spans="1:1">
      <c r="A2023" s="181" t="s">
        <v>241</v>
      </c>
    </row>
    <row r="2024" spans="1:1">
      <c r="A2024" s="181" t="s">
        <v>241</v>
      </c>
    </row>
    <row r="2025" spans="1:1">
      <c r="A2025" s="181" t="s">
        <v>241</v>
      </c>
    </row>
    <row r="2026" spans="1:1">
      <c r="A2026" s="181" t="s">
        <v>241</v>
      </c>
    </row>
    <row r="2027" spans="1:1">
      <c r="A2027" s="181" t="s">
        <v>241</v>
      </c>
    </row>
    <row r="2028" spans="1:1">
      <c r="A2028" s="181" t="s">
        <v>241</v>
      </c>
    </row>
    <row r="2029" spans="1:1">
      <c r="A2029" s="181" t="s">
        <v>241</v>
      </c>
    </row>
    <row r="2030" spans="1:1">
      <c r="A2030" s="181" t="s">
        <v>241</v>
      </c>
    </row>
    <row r="2031" spans="1:1">
      <c r="A2031" s="181" t="s">
        <v>241</v>
      </c>
    </row>
    <row r="2032" spans="1:1">
      <c r="A2032" s="181" t="s">
        <v>241</v>
      </c>
    </row>
    <row r="2033" spans="1:1">
      <c r="A2033" s="181" t="s">
        <v>241</v>
      </c>
    </row>
    <row r="2034" spans="1:1">
      <c r="A2034" s="181" t="s">
        <v>241</v>
      </c>
    </row>
    <row r="2035" spans="1:1">
      <c r="A2035" s="181" t="s">
        <v>241</v>
      </c>
    </row>
    <row r="2036" spans="1:1">
      <c r="A2036" s="181" t="s">
        <v>241</v>
      </c>
    </row>
    <row r="2037" spans="1:1">
      <c r="A2037" s="181" t="s">
        <v>241</v>
      </c>
    </row>
    <row r="2038" spans="1:1">
      <c r="A2038" s="181" t="s">
        <v>241</v>
      </c>
    </row>
    <row r="2039" spans="1:1">
      <c r="A2039" s="181" t="s">
        <v>241</v>
      </c>
    </row>
    <row r="2040" spans="1:1">
      <c r="A2040" s="181" t="s">
        <v>241</v>
      </c>
    </row>
    <row r="2041" spans="1:1">
      <c r="A2041" s="181" t="s">
        <v>241</v>
      </c>
    </row>
    <row r="2042" spans="1:1">
      <c r="A2042" s="181" t="s">
        <v>241</v>
      </c>
    </row>
    <row r="2043" spans="1:1">
      <c r="A2043" s="181" t="s">
        <v>241</v>
      </c>
    </row>
    <row r="2044" spans="1:1">
      <c r="A2044" s="181" t="s">
        <v>241</v>
      </c>
    </row>
    <row r="2045" spans="1:1">
      <c r="A2045" s="181" t="s">
        <v>241</v>
      </c>
    </row>
    <row r="2046" spans="1:1">
      <c r="A2046" s="181" t="s">
        <v>241</v>
      </c>
    </row>
    <row r="2047" spans="1:1">
      <c r="A2047" s="181" t="s">
        <v>241</v>
      </c>
    </row>
    <row r="2048" spans="1:1">
      <c r="A2048" s="181" t="s">
        <v>241</v>
      </c>
    </row>
    <row r="2049" spans="1:1">
      <c r="A2049" s="181" t="s">
        <v>241</v>
      </c>
    </row>
    <row r="2050" spans="1:1">
      <c r="A2050" s="181" t="s">
        <v>241</v>
      </c>
    </row>
    <row r="2051" spans="1:1">
      <c r="A2051" s="181" t="s">
        <v>241</v>
      </c>
    </row>
    <row r="2052" spans="1:1">
      <c r="A2052" s="181" t="s">
        <v>241</v>
      </c>
    </row>
    <row r="2053" spans="1:1">
      <c r="A2053" s="181" t="s">
        <v>241</v>
      </c>
    </row>
    <row r="2054" spans="1:1">
      <c r="A2054" s="181" t="s">
        <v>241</v>
      </c>
    </row>
    <row r="2055" spans="1:1">
      <c r="A2055" s="181" t="s">
        <v>241</v>
      </c>
    </row>
    <row r="2056" spans="1:1">
      <c r="A2056" s="181" t="s">
        <v>241</v>
      </c>
    </row>
    <row r="2057" spans="1:1">
      <c r="A2057" s="181" t="s">
        <v>241</v>
      </c>
    </row>
    <row r="2058" spans="1:1">
      <c r="A2058" s="181" t="s">
        <v>241</v>
      </c>
    </row>
    <row r="2059" spans="1:1">
      <c r="A2059" s="181" t="s">
        <v>241</v>
      </c>
    </row>
    <row r="2060" spans="1:1">
      <c r="A2060" s="181" t="s">
        <v>241</v>
      </c>
    </row>
    <row r="2061" spans="1:1">
      <c r="A2061" s="181" t="s">
        <v>241</v>
      </c>
    </row>
    <row r="2062" spans="1:1">
      <c r="A2062" s="181" t="s">
        <v>241</v>
      </c>
    </row>
    <row r="2063" spans="1:1">
      <c r="A2063" s="181" t="s">
        <v>241</v>
      </c>
    </row>
    <row r="2064" spans="1:1">
      <c r="A2064" s="181" t="s">
        <v>241</v>
      </c>
    </row>
    <row r="2065" spans="1:1">
      <c r="A2065" s="181" t="s">
        <v>241</v>
      </c>
    </row>
    <row r="2066" spans="1:1">
      <c r="A2066" s="181" t="s">
        <v>241</v>
      </c>
    </row>
    <row r="2067" spans="1:1">
      <c r="A2067" s="181" t="s">
        <v>241</v>
      </c>
    </row>
    <row r="2068" spans="1:1">
      <c r="A2068" s="181" t="s">
        <v>241</v>
      </c>
    </row>
    <row r="2069" spans="1:1">
      <c r="A2069" s="181" t="s">
        <v>241</v>
      </c>
    </row>
    <row r="2070" spans="1:1">
      <c r="A2070" s="181" t="s">
        <v>241</v>
      </c>
    </row>
    <row r="2071" spans="1:1">
      <c r="A2071" s="181" t="s">
        <v>241</v>
      </c>
    </row>
    <row r="2072" spans="1:1">
      <c r="A2072" s="181" t="s">
        <v>241</v>
      </c>
    </row>
    <row r="2073" spans="1:1">
      <c r="A2073" s="181" t="s">
        <v>241</v>
      </c>
    </row>
    <row r="2074" spans="1:1">
      <c r="A2074" s="181" t="s">
        <v>241</v>
      </c>
    </row>
    <row r="2075" spans="1:1">
      <c r="A2075" s="181" t="s">
        <v>241</v>
      </c>
    </row>
    <row r="2076" spans="1:1">
      <c r="A2076" s="181" t="s">
        <v>241</v>
      </c>
    </row>
    <row r="2077" spans="1:1">
      <c r="A2077" s="181" t="s">
        <v>241</v>
      </c>
    </row>
    <row r="2078" spans="1:1">
      <c r="A2078" s="181" t="s">
        <v>241</v>
      </c>
    </row>
    <row r="2079" spans="1:1">
      <c r="A2079" s="181" t="s">
        <v>241</v>
      </c>
    </row>
    <row r="2080" spans="1:1">
      <c r="A2080" s="181" t="s">
        <v>241</v>
      </c>
    </row>
    <row r="2081" spans="1:220">
      <c r="A2081" s="181" t="s">
        <v>241</v>
      </c>
    </row>
    <row r="2082" spans="1:220">
      <c r="A2082" s="181" t="s">
        <v>241</v>
      </c>
    </row>
    <row r="2083" spans="1:220">
      <c r="A2083" s="181" t="s">
        <v>241</v>
      </c>
    </row>
    <row r="2084" spans="1:220">
      <c r="A2084" s="181" t="s">
        <v>241</v>
      </c>
    </row>
    <row r="2085" spans="1:220">
      <c r="A2085" s="181" t="s">
        <v>241</v>
      </c>
    </row>
    <row r="2086" spans="1:220">
      <c r="A2086" s="181" t="s">
        <v>241</v>
      </c>
    </row>
    <row r="2087" spans="1:220">
      <c r="A2087" s="181" t="s">
        <v>241</v>
      </c>
    </row>
    <row r="2088" spans="1:220">
      <c r="A2088" s="181" t="s">
        <v>241</v>
      </c>
    </row>
    <row r="2089" spans="1:220">
      <c r="A2089" s="181" t="s">
        <v>241</v>
      </c>
    </row>
    <row r="2090" spans="1:220">
      <c r="A2090" s="181" t="s">
        <v>241</v>
      </c>
    </row>
    <row r="2091" spans="1:220">
      <c r="A2091" s="181" t="s">
        <v>241</v>
      </c>
    </row>
    <row r="2092" spans="1:220">
      <c r="A2092" s="181" t="s">
        <v>241</v>
      </c>
    </row>
    <row r="2093" spans="1:220">
      <c r="A2093" s="181" t="s">
        <v>241</v>
      </c>
    </row>
    <row r="2094" spans="1:220">
      <c r="A2094" s="181" t="s">
        <v>241</v>
      </c>
    </row>
    <row r="2095" spans="1:220">
      <c r="A2095" s="181" t="s">
        <v>1245</v>
      </c>
      <c r="D2095" s="181" t="s">
        <v>952</v>
      </c>
      <c r="E2095" s="181" t="s">
        <v>919</v>
      </c>
      <c r="DP2095" s="181" t="s">
        <v>37</v>
      </c>
      <c r="DX2095" s="181" t="s">
        <v>961</v>
      </c>
      <c r="FP2095" s="181" t="s">
        <v>630</v>
      </c>
      <c r="HD2095" s="181" t="s">
        <v>971</v>
      </c>
      <c r="HG2095" s="181" t="s">
        <v>977</v>
      </c>
      <c r="HL2095" s="181" t="s">
        <v>80</v>
      </c>
    </row>
    <row r="2096" spans="1:220">
      <c r="A2096" s="181" t="s">
        <v>1245</v>
      </c>
      <c r="D2096" s="181" t="s">
        <v>953</v>
      </c>
      <c r="E2096" s="181" t="s">
        <v>919</v>
      </c>
      <c r="DP2096" s="181" t="s">
        <v>38</v>
      </c>
      <c r="DX2096" s="181" t="s">
        <v>962</v>
      </c>
      <c r="HD2096" s="181" t="s">
        <v>972</v>
      </c>
      <c r="HG2096" s="181" t="s">
        <v>978</v>
      </c>
      <c r="HL2096" s="181" t="s">
        <v>81</v>
      </c>
    </row>
    <row r="2097" spans="1:220">
      <c r="A2097" s="181" t="s">
        <v>1245</v>
      </c>
      <c r="D2097" s="181" t="s">
        <v>954</v>
      </c>
      <c r="E2097" s="181" t="s">
        <v>919</v>
      </c>
      <c r="DP2097" s="181" t="s">
        <v>39</v>
      </c>
      <c r="DX2097" s="181" t="s">
        <v>963</v>
      </c>
      <c r="HD2097" s="181" t="s">
        <v>973</v>
      </c>
      <c r="HG2097" s="181" t="s">
        <v>979</v>
      </c>
      <c r="HL2097" s="181" t="s">
        <v>772</v>
      </c>
    </row>
    <row r="2098" spans="1:220">
      <c r="A2098" s="181" t="s">
        <v>1245</v>
      </c>
      <c r="D2098" s="181" t="s">
        <v>955</v>
      </c>
      <c r="E2098" s="181" t="s">
        <v>919</v>
      </c>
      <c r="DP2098" s="181" t="s">
        <v>40</v>
      </c>
      <c r="DX2098" s="181" t="s">
        <v>964</v>
      </c>
      <c r="HD2098" s="181" t="s">
        <v>974</v>
      </c>
      <c r="HG2098" s="181" t="s">
        <v>968</v>
      </c>
      <c r="HL2098" s="181" t="s">
        <v>985</v>
      </c>
    </row>
    <row r="2099" spans="1:220">
      <c r="A2099" s="181" t="s">
        <v>1245</v>
      </c>
      <c r="D2099" s="181" t="s">
        <v>956</v>
      </c>
      <c r="E2099" s="181" t="s">
        <v>666</v>
      </c>
      <c r="DP2099" s="181" t="s">
        <v>41</v>
      </c>
      <c r="DX2099" s="181" t="s">
        <v>887</v>
      </c>
      <c r="HD2099" s="181" t="s">
        <v>975</v>
      </c>
      <c r="HG2099" s="181" t="s">
        <v>980</v>
      </c>
      <c r="HL2099" s="181" t="s">
        <v>986</v>
      </c>
    </row>
    <row r="2100" spans="1:220">
      <c r="A2100" s="181" t="s">
        <v>1245</v>
      </c>
      <c r="D2100" s="181" t="s">
        <v>957</v>
      </c>
      <c r="E2100" s="181" t="s">
        <v>666</v>
      </c>
      <c r="DP2100" s="181" t="s">
        <v>42</v>
      </c>
      <c r="DX2100" s="181" t="s">
        <v>965</v>
      </c>
      <c r="HD2100" s="181" t="s">
        <v>976</v>
      </c>
      <c r="HG2100" s="181" t="s">
        <v>924</v>
      </c>
      <c r="HL2100" s="181" t="s">
        <v>987</v>
      </c>
    </row>
    <row r="2101" spans="1:220">
      <c r="A2101" s="181" t="s">
        <v>1245</v>
      </c>
      <c r="D2101" s="181" t="s">
        <v>958</v>
      </c>
      <c r="E2101" s="181" t="s">
        <v>666</v>
      </c>
      <c r="DP2101" s="181" t="s">
        <v>43</v>
      </c>
      <c r="DX2101" s="181" t="s">
        <v>966</v>
      </c>
      <c r="HG2101" s="181" t="s">
        <v>981</v>
      </c>
      <c r="HL2101" s="181" t="s">
        <v>988</v>
      </c>
    </row>
    <row r="2102" spans="1:220">
      <c r="A2102" s="181" t="s">
        <v>1245</v>
      </c>
      <c r="D2102" s="181" t="s">
        <v>959</v>
      </c>
      <c r="E2102" s="181" t="s">
        <v>666</v>
      </c>
      <c r="DP2102" s="181" t="s">
        <v>44</v>
      </c>
      <c r="DX2102" s="181" t="s">
        <v>967</v>
      </c>
      <c r="HG2102" s="181" t="s">
        <v>982</v>
      </c>
      <c r="HL2102" s="181" t="s">
        <v>773</v>
      </c>
    </row>
    <row r="2103" spans="1:220">
      <c r="A2103" s="181" t="s">
        <v>1245</v>
      </c>
      <c r="D2103" s="181" t="s">
        <v>960</v>
      </c>
      <c r="E2103" s="181" t="s">
        <v>666</v>
      </c>
      <c r="DP2103" s="181" t="s">
        <v>46</v>
      </c>
      <c r="DX2103" s="181" t="s">
        <v>968</v>
      </c>
      <c r="HG2103" s="181" t="s">
        <v>983</v>
      </c>
      <c r="HL2103" s="181" t="s">
        <v>774</v>
      </c>
    </row>
    <row r="2104" spans="1:220">
      <c r="A2104" s="181" t="s">
        <v>1245</v>
      </c>
      <c r="DP2104" s="181" t="s">
        <v>47</v>
      </c>
      <c r="DX2104" s="181" t="s">
        <v>333</v>
      </c>
      <c r="HG2104" s="181" t="s">
        <v>333</v>
      </c>
      <c r="HL2104" s="181" t="s">
        <v>775</v>
      </c>
    </row>
    <row r="2105" spans="1:220">
      <c r="A2105" s="181" t="s">
        <v>1245</v>
      </c>
      <c r="DP2105" s="181" t="s">
        <v>48</v>
      </c>
      <c r="HG2105" s="181" t="s">
        <v>984</v>
      </c>
    </row>
    <row r="2106" spans="1:220">
      <c r="A2106" s="181" t="s">
        <v>1245</v>
      </c>
      <c r="DP2106" s="181" t="s">
        <v>49</v>
      </c>
    </row>
    <row r="2107" spans="1:220">
      <c r="A2107" s="181" t="s">
        <v>1245</v>
      </c>
    </row>
    <row r="2108" spans="1:220">
      <c r="A2108" s="181" t="s">
        <v>1245</v>
      </c>
    </row>
    <row r="2109" spans="1:220">
      <c r="A2109" s="181" t="s">
        <v>1245</v>
      </c>
    </row>
    <row r="2110" spans="1:220">
      <c r="A2110" s="181" t="s">
        <v>1245</v>
      </c>
    </row>
    <row r="2111" spans="1:220">
      <c r="A2111" s="181" t="s">
        <v>1245</v>
      </c>
    </row>
    <row r="2112" spans="1:220">
      <c r="A2112" s="181" t="s">
        <v>1245</v>
      </c>
    </row>
    <row r="2113" spans="1:1">
      <c r="A2113" s="181" t="s">
        <v>1245</v>
      </c>
    </row>
    <row r="2114" spans="1:1">
      <c r="A2114" s="181" t="s">
        <v>1245</v>
      </c>
    </row>
    <row r="2115" spans="1:1">
      <c r="A2115" s="181" t="s">
        <v>1245</v>
      </c>
    </row>
    <row r="2116" spans="1:1">
      <c r="A2116" s="181" t="s">
        <v>1245</v>
      </c>
    </row>
    <row r="2117" spans="1:1">
      <c r="A2117" s="181" t="s">
        <v>1245</v>
      </c>
    </row>
    <row r="2118" spans="1:1">
      <c r="A2118" s="181" t="s">
        <v>1245</v>
      </c>
    </row>
    <row r="2119" spans="1:1">
      <c r="A2119" s="181" t="s">
        <v>1245</v>
      </c>
    </row>
    <row r="2120" spans="1:1">
      <c r="A2120" s="181" t="s">
        <v>1245</v>
      </c>
    </row>
    <row r="2121" spans="1:1">
      <c r="A2121" s="181" t="s">
        <v>1245</v>
      </c>
    </row>
    <row r="2122" spans="1:1">
      <c r="A2122" s="181" t="s">
        <v>1245</v>
      </c>
    </row>
    <row r="2123" spans="1:1">
      <c r="A2123" s="181" t="s">
        <v>1245</v>
      </c>
    </row>
    <row r="2124" spans="1:1">
      <c r="A2124" s="181" t="s">
        <v>1245</v>
      </c>
    </row>
    <row r="2125" spans="1:1">
      <c r="A2125" s="181" t="s">
        <v>1245</v>
      </c>
    </row>
    <row r="2126" spans="1:1">
      <c r="A2126" s="181" t="s">
        <v>1245</v>
      </c>
    </row>
    <row r="2127" spans="1:1">
      <c r="A2127" s="181" t="s">
        <v>1245</v>
      </c>
    </row>
    <row r="2128" spans="1:1">
      <c r="A2128" s="181" t="s">
        <v>1245</v>
      </c>
    </row>
    <row r="2129" spans="1:1">
      <c r="A2129" s="181" t="s">
        <v>1245</v>
      </c>
    </row>
    <row r="2130" spans="1:1">
      <c r="A2130" s="181" t="s">
        <v>1245</v>
      </c>
    </row>
    <row r="2131" spans="1:1">
      <c r="A2131" s="181" t="s">
        <v>1245</v>
      </c>
    </row>
    <row r="2132" spans="1:1">
      <c r="A2132" s="181" t="s">
        <v>1245</v>
      </c>
    </row>
    <row r="2133" spans="1:1">
      <c r="A2133" s="181" t="s">
        <v>1245</v>
      </c>
    </row>
    <row r="2134" spans="1:1">
      <c r="A2134" s="181" t="s">
        <v>1245</v>
      </c>
    </row>
    <row r="2135" spans="1:1">
      <c r="A2135" s="181" t="s">
        <v>1245</v>
      </c>
    </row>
    <row r="2136" spans="1:1">
      <c r="A2136" s="181" t="s">
        <v>1245</v>
      </c>
    </row>
    <row r="2137" spans="1:1">
      <c r="A2137" s="181" t="s">
        <v>1245</v>
      </c>
    </row>
    <row r="2138" spans="1:1">
      <c r="A2138" s="181" t="s">
        <v>1245</v>
      </c>
    </row>
    <row r="2139" spans="1:1">
      <c r="A2139" s="181" t="s">
        <v>1245</v>
      </c>
    </row>
    <row r="2140" spans="1:1">
      <c r="A2140" s="181" t="s">
        <v>1245</v>
      </c>
    </row>
    <row r="2141" spans="1:1">
      <c r="A2141" s="181" t="s">
        <v>1245</v>
      </c>
    </row>
    <row r="2142" spans="1:1">
      <c r="A2142" s="181" t="s">
        <v>1245</v>
      </c>
    </row>
    <row r="2143" spans="1:1">
      <c r="A2143" s="181" t="s">
        <v>1245</v>
      </c>
    </row>
    <row r="2144" spans="1:1">
      <c r="A2144" s="181" t="s">
        <v>1245</v>
      </c>
    </row>
    <row r="2145" spans="1:1">
      <c r="A2145" s="181" t="s">
        <v>1245</v>
      </c>
    </row>
    <row r="2146" spans="1:1">
      <c r="A2146" s="181" t="s">
        <v>1245</v>
      </c>
    </row>
    <row r="2147" spans="1:1">
      <c r="A2147" s="181" t="s">
        <v>1245</v>
      </c>
    </row>
    <row r="2148" spans="1:1">
      <c r="A2148" s="181" t="s">
        <v>1245</v>
      </c>
    </row>
    <row r="2149" spans="1:1">
      <c r="A2149" s="181" t="s">
        <v>1245</v>
      </c>
    </row>
    <row r="2150" spans="1:1">
      <c r="A2150" s="181" t="s">
        <v>1245</v>
      </c>
    </row>
    <row r="2151" spans="1:1">
      <c r="A2151" s="181" t="s">
        <v>1245</v>
      </c>
    </row>
    <row r="2152" spans="1:1">
      <c r="A2152" s="181" t="s">
        <v>1245</v>
      </c>
    </row>
    <row r="2153" spans="1:1">
      <c r="A2153" s="181" t="s">
        <v>1245</v>
      </c>
    </row>
    <row r="2154" spans="1:1">
      <c r="A2154" s="181" t="s">
        <v>1245</v>
      </c>
    </row>
    <row r="2155" spans="1:1">
      <c r="A2155" s="181" t="s">
        <v>1245</v>
      </c>
    </row>
    <row r="2156" spans="1:1">
      <c r="A2156" s="181" t="s">
        <v>1245</v>
      </c>
    </row>
    <row r="2157" spans="1:1">
      <c r="A2157" s="181" t="s">
        <v>1245</v>
      </c>
    </row>
    <row r="2158" spans="1:1">
      <c r="A2158" s="181" t="s">
        <v>1245</v>
      </c>
    </row>
    <row r="2159" spans="1:1">
      <c r="A2159" s="181" t="s">
        <v>1245</v>
      </c>
    </row>
    <row r="2160" spans="1:1">
      <c r="A2160" s="181" t="s">
        <v>1245</v>
      </c>
    </row>
    <row r="2161" spans="1:1">
      <c r="A2161" s="181" t="s">
        <v>1245</v>
      </c>
    </row>
    <row r="2162" spans="1:1">
      <c r="A2162" s="181" t="s">
        <v>1245</v>
      </c>
    </row>
    <row r="2163" spans="1:1">
      <c r="A2163" s="181" t="s">
        <v>1245</v>
      </c>
    </row>
    <row r="2164" spans="1:1">
      <c r="A2164" s="181" t="s">
        <v>1245</v>
      </c>
    </row>
    <row r="2165" spans="1:1">
      <c r="A2165" s="181" t="s">
        <v>1245</v>
      </c>
    </row>
    <row r="2166" spans="1:1">
      <c r="A2166" s="181" t="s">
        <v>1245</v>
      </c>
    </row>
    <row r="2167" spans="1:1">
      <c r="A2167" s="181" t="s">
        <v>1245</v>
      </c>
    </row>
    <row r="2168" spans="1:1">
      <c r="A2168" s="181" t="s">
        <v>1245</v>
      </c>
    </row>
    <row r="2169" spans="1:1">
      <c r="A2169" s="181" t="s">
        <v>1245</v>
      </c>
    </row>
    <row r="2170" spans="1:1">
      <c r="A2170" s="181" t="s">
        <v>1245</v>
      </c>
    </row>
    <row r="2171" spans="1:1">
      <c r="A2171" s="181" t="s">
        <v>1245</v>
      </c>
    </row>
    <row r="2172" spans="1:1">
      <c r="A2172" s="181" t="s">
        <v>1245</v>
      </c>
    </row>
    <row r="2173" spans="1:1">
      <c r="A2173" s="181" t="s">
        <v>1245</v>
      </c>
    </row>
    <row r="2174" spans="1:1">
      <c r="A2174" s="181" t="s">
        <v>1245</v>
      </c>
    </row>
    <row r="2175" spans="1:1">
      <c r="A2175" s="181" t="s">
        <v>1245</v>
      </c>
    </row>
    <row r="2176" spans="1:1">
      <c r="A2176" s="181" t="s">
        <v>1245</v>
      </c>
    </row>
    <row r="2177" spans="1:1">
      <c r="A2177" s="181" t="s">
        <v>1245</v>
      </c>
    </row>
    <row r="2178" spans="1:1">
      <c r="A2178" s="181" t="s">
        <v>1245</v>
      </c>
    </row>
    <row r="2179" spans="1:1">
      <c r="A2179" s="181" t="s">
        <v>1245</v>
      </c>
    </row>
    <row r="2180" spans="1:1">
      <c r="A2180" s="181" t="s">
        <v>1245</v>
      </c>
    </row>
    <row r="2181" spans="1:1">
      <c r="A2181" s="181" t="s">
        <v>1245</v>
      </c>
    </row>
    <row r="2182" spans="1:1">
      <c r="A2182" s="181" t="s">
        <v>1245</v>
      </c>
    </row>
    <row r="2183" spans="1:1">
      <c r="A2183" s="181" t="s">
        <v>1245</v>
      </c>
    </row>
    <row r="2184" spans="1:1">
      <c r="A2184" s="181" t="s">
        <v>1245</v>
      </c>
    </row>
    <row r="2185" spans="1:1">
      <c r="A2185" s="181" t="s">
        <v>1245</v>
      </c>
    </row>
    <row r="2186" spans="1:1">
      <c r="A2186" s="181" t="s">
        <v>1245</v>
      </c>
    </row>
    <row r="2187" spans="1:1">
      <c r="A2187" s="181" t="s">
        <v>1245</v>
      </c>
    </row>
    <row r="2188" spans="1:1">
      <c r="A2188" s="181" t="s">
        <v>1245</v>
      </c>
    </row>
    <row r="2189" spans="1:1">
      <c r="A2189" s="181" t="s">
        <v>1245</v>
      </c>
    </row>
    <row r="2190" spans="1:1">
      <c r="A2190" s="181" t="s">
        <v>1245</v>
      </c>
    </row>
    <row r="2191" spans="1:1">
      <c r="A2191" s="181" t="s">
        <v>1245</v>
      </c>
    </row>
    <row r="2192" spans="1:1">
      <c r="A2192" s="181" t="s">
        <v>1245</v>
      </c>
    </row>
    <row r="2193" spans="1:1">
      <c r="A2193" s="181" t="s">
        <v>1245</v>
      </c>
    </row>
    <row r="2194" spans="1:1">
      <c r="A2194" s="181" t="s">
        <v>1245</v>
      </c>
    </row>
    <row r="2195" spans="1:1">
      <c r="A2195" s="181" t="s">
        <v>1245</v>
      </c>
    </row>
    <row r="2196" spans="1:1">
      <c r="A2196" s="181" t="s">
        <v>1245</v>
      </c>
    </row>
    <row r="2197" spans="1:1">
      <c r="A2197" s="181" t="s">
        <v>1245</v>
      </c>
    </row>
    <row r="2198" spans="1:1">
      <c r="A2198" s="181" t="s">
        <v>1245</v>
      </c>
    </row>
    <row r="2199" spans="1:1">
      <c r="A2199" s="181" t="s">
        <v>1245</v>
      </c>
    </row>
    <row r="2200" spans="1:1">
      <c r="A2200" s="181" t="s">
        <v>1245</v>
      </c>
    </row>
    <row r="2201" spans="1:1">
      <c r="A2201" s="181" t="s">
        <v>1245</v>
      </c>
    </row>
    <row r="2202" spans="1:1">
      <c r="A2202" s="181" t="s">
        <v>1245</v>
      </c>
    </row>
    <row r="2203" spans="1:1">
      <c r="A2203" s="181" t="s">
        <v>1245</v>
      </c>
    </row>
    <row r="2204" spans="1:1">
      <c r="A2204" s="181" t="s">
        <v>1245</v>
      </c>
    </row>
    <row r="2205" spans="1:1">
      <c r="A2205" s="181" t="s">
        <v>1245</v>
      </c>
    </row>
    <row r="2206" spans="1:1">
      <c r="A2206" s="181" t="s">
        <v>1245</v>
      </c>
    </row>
    <row r="2207" spans="1:1">
      <c r="A2207" s="181" t="s">
        <v>1245</v>
      </c>
    </row>
    <row r="2208" spans="1:1">
      <c r="A2208" s="181" t="s">
        <v>1245</v>
      </c>
    </row>
    <row r="2209" spans="1:1">
      <c r="A2209" s="181" t="s">
        <v>1245</v>
      </c>
    </row>
    <row r="2210" spans="1:1">
      <c r="A2210" s="181" t="s">
        <v>1245</v>
      </c>
    </row>
    <row r="2211" spans="1:1">
      <c r="A2211" s="181" t="s">
        <v>1245</v>
      </c>
    </row>
    <row r="2212" spans="1:1">
      <c r="A2212" s="181" t="s">
        <v>1245</v>
      </c>
    </row>
    <row r="2213" spans="1:1">
      <c r="A2213" s="181" t="s">
        <v>1245</v>
      </c>
    </row>
    <row r="2214" spans="1:1">
      <c r="A2214" s="181" t="s">
        <v>1245</v>
      </c>
    </row>
    <row r="2215" spans="1:1">
      <c r="A2215" s="181" t="s">
        <v>1245</v>
      </c>
    </row>
    <row r="2216" spans="1:1">
      <c r="A2216" s="181" t="s">
        <v>1245</v>
      </c>
    </row>
    <row r="2217" spans="1:1">
      <c r="A2217" s="181" t="s">
        <v>1245</v>
      </c>
    </row>
    <row r="2218" spans="1:1">
      <c r="A2218" s="181" t="s">
        <v>1245</v>
      </c>
    </row>
    <row r="2219" spans="1:1">
      <c r="A2219" s="181" t="s">
        <v>1245</v>
      </c>
    </row>
    <row r="2220" spans="1:1">
      <c r="A2220" s="181" t="s">
        <v>1245</v>
      </c>
    </row>
    <row r="2221" spans="1:1">
      <c r="A2221" s="181" t="s">
        <v>1245</v>
      </c>
    </row>
    <row r="2222" spans="1:1">
      <c r="A2222" s="181" t="s">
        <v>1245</v>
      </c>
    </row>
    <row r="2223" spans="1:1">
      <c r="A2223" s="181" t="s">
        <v>1245</v>
      </c>
    </row>
    <row r="2224" spans="1:1">
      <c r="A2224" s="181" t="s">
        <v>1245</v>
      </c>
    </row>
    <row r="2225" spans="1:1">
      <c r="A2225" s="181" t="s">
        <v>1245</v>
      </c>
    </row>
    <row r="2226" spans="1:1">
      <c r="A2226" s="181" t="s">
        <v>1245</v>
      </c>
    </row>
    <row r="2227" spans="1:1">
      <c r="A2227" s="181" t="s">
        <v>1245</v>
      </c>
    </row>
    <row r="2228" spans="1:1">
      <c r="A2228" s="181" t="s">
        <v>1245</v>
      </c>
    </row>
    <row r="2229" spans="1:1">
      <c r="A2229" s="181" t="s">
        <v>1245</v>
      </c>
    </row>
    <row r="2230" spans="1:1">
      <c r="A2230" s="181" t="s">
        <v>1245</v>
      </c>
    </row>
    <row r="2231" spans="1:1">
      <c r="A2231" s="181" t="s">
        <v>1245</v>
      </c>
    </row>
    <row r="2232" spans="1:1">
      <c r="A2232" s="181" t="s">
        <v>1245</v>
      </c>
    </row>
    <row r="2233" spans="1:1">
      <c r="A2233" s="181" t="s">
        <v>1245</v>
      </c>
    </row>
    <row r="2234" spans="1:1">
      <c r="A2234" s="181" t="s">
        <v>1245</v>
      </c>
    </row>
    <row r="2235" spans="1:1">
      <c r="A2235" s="181" t="s">
        <v>1245</v>
      </c>
    </row>
    <row r="2236" spans="1:1">
      <c r="A2236" s="181" t="s">
        <v>1245</v>
      </c>
    </row>
    <row r="2237" spans="1:1">
      <c r="A2237" s="181" t="s">
        <v>1245</v>
      </c>
    </row>
    <row r="2238" spans="1:1">
      <c r="A2238" s="181" t="s">
        <v>1245</v>
      </c>
    </row>
    <row r="2239" spans="1:1">
      <c r="A2239" s="181" t="s">
        <v>1245</v>
      </c>
    </row>
    <row r="2240" spans="1:1">
      <c r="A2240" s="181" t="s">
        <v>1245</v>
      </c>
    </row>
    <row r="2241" spans="1:1">
      <c r="A2241" s="181" t="s">
        <v>1245</v>
      </c>
    </row>
    <row r="2242" spans="1:1">
      <c r="A2242" s="181" t="s">
        <v>1245</v>
      </c>
    </row>
    <row r="2243" spans="1:1">
      <c r="A2243" s="181" t="s">
        <v>1245</v>
      </c>
    </row>
    <row r="2244" spans="1:1">
      <c r="A2244" s="181" t="s">
        <v>1245</v>
      </c>
    </row>
    <row r="2245" spans="1:1">
      <c r="A2245" s="181" t="s">
        <v>1245</v>
      </c>
    </row>
    <row r="2246" spans="1:1">
      <c r="A2246" s="181" t="s">
        <v>1245</v>
      </c>
    </row>
    <row r="2247" spans="1:1">
      <c r="A2247" s="181" t="s">
        <v>1245</v>
      </c>
    </row>
    <row r="2248" spans="1:1">
      <c r="A2248" s="181" t="s">
        <v>1245</v>
      </c>
    </row>
    <row r="2249" spans="1:1">
      <c r="A2249" s="181" t="s">
        <v>1245</v>
      </c>
    </row>
    <row r="2250" spans="1:1">
      <c r="A2250" s="181" t="s">
        <v>1245</v>
      </c>
    </row>
    <row r="2251" spans="1:1">
      <c r="A2251" s="181" t="s">
        <v>1245</v>
      </c>
    </row>
    <row r="2252" spans="1:1">
      <c r="A2252" s="181" t="s">
        <v>1245</v>
      </c>
    </row>
    <row r="2253" spans="1:1">
      <c r="A2253" s="181" t="s">
        <v>1245</v>
      </c>
    </row>
    <row r="2254" spans="1:1">
      <c r="A2254" s="181" t="s">
        <v>1245</v>
      </c>
    </row>
    <row r="2255" spans="1:1">
      <c r="A2255" s="181" t="s">
        <v>1245</v>
      </c>
    </row>
    <row r="2256" spans="1:1">
      <c r="A2256" s="181" t="s">
        <v>1245</v>
      </c>
    </row>
    <row r="2257" spans="1:1">
      <c r="A2257" s="181" t="s">
        <v>1245</v>
      </c>
    </row>
    <row r="2258" spans="1:1">
      <c r="A2258" s="181" t="s">
        <v>1245</v>
      </c>
    </row>
    <row r="2259" spans="1:1">
      <c r="A2259" s="181" t="s">
        <v>1245</v>
      </c>
    </row>
    <row r="2260" spans="1:1">
      <c r="A2260" s="181" t="s">
        <v>1245</v>
      </c>
    </row>
    <row r="2261" spans="1:1">
      <c r="A2261" s="181" t="s">
        <v>1245</v>
      </c>
    </row>
    <row r="2262" spans="1:1">
      <c r="A2262" s="181" t="s">
        <v>1245</v>
      </c>
    </row>
    <row r="2263" spans="1:1">
      <c r="A2263" s="181" t="s">
        <v>1245</v>
      </c>
    </row>
    <row r="2264" spans="1:1">
      <c r="A2264" s="181" t="s">
        <v>1245</v>
      </c>
    </row>
    <row r="2265" spans="1:1">
      <c r="A2265" s="181" t="s">
        <v>1245</v>
      </c>
    </row>
    <row r="2266" spans="1:1">
      <c r="A2266" s="181" t="s">
        <v>1245</v>
      </c>
    </row>
    <row r="2267" spans="1:1">
      <c r="A2267" s="181" t="s">
        <v>1245</v>
      </c>
    </row>
    <row r="2268" spans="1:1">
      <c r="A2268" s="181" t="s">
        <v>1245</v>
      </c>
    </row>
    <row r="2269" spans="1:1">
      <c r="A2269" s="181" t="s">
        <v>1245</v>
      </c>
    </row>
    <row r="2270" spans="1:1">
      <c r="A2270" s="181" t="s">
        <v>1245</v>
      </c>
    </row>
    <row r="2271" spans="1:1">
      <c r="A2271" s="181" t="s">
        <v>1245</v>
      </c>
    </row>
    <row r="2272" spans="1:1">
      <c r="A2272" s="181" t="s">
        <v>1245</v>
      </c>
    </row>
    <row r="2273" spans="1:1">
      <c r="A2273" s="181" t="s">
        <v>1245</v>
      </c>
    </row>
    <row r="2274" spans="1:1">
      <c r="A2274" s="181" t="s">
        <v>1245</v>
      </c>
    </row>
    <row r="2275" spans="1:1">
      <c r="A2275" s="181" t="s">
        <v>1245</v>
      </c>
    </row>
    <row r="2276" spans="1:1">
      <c r="A2276" s="181" t="s">
        <v>1245</v>
      </c>
    </row>
    <row r="2277" spans="1:1">
      <c r="A2277" s="181" t="s">
        <v>1245</v>
      </c>
    </row>
    <row r="2278" spans="1:1">
      <c r="A2278" s="181" t="s">
        <v>1245</v>
      </c>
    </row>
    <row r="2279" spans="1:1">
      <c r="A2279" s="181" t="s">
        <v>1245</v>
      </c>
    </row>
    <row r="2280" spans="1:1">
      <c r="A2280" s="181" t="s">
        <v>1245</v>
      </c>
    </row>
    <row r="2281" spans="1:1">
      <c r="A2281" s="181" t="s">
        <v>1245</v>
      </c>
    </row>
    <row r="2282" spans="1:1">
      <c r="A2282" s="181" t="s">
        <v>1245</v>
      </c>
    </row>
    <row r="2283" spans="1:1">
      <c r="A2283" s="181" t="s">
        <v>1245</v>
      </c>
    </row>
    <row r="2284" spans="1:1">
      <c r="A2284" s="181" t="s">
        <v>1245</v>
      </c>
    </row>
    <row r="2285" spans="1:1">
      <c r="A2285" s="181" t="s">
        <v>1245</v>
      </c>
    </row>
    <row r="2286" spans="1:1">
      <c r="A2286" s="181" t="s">
        <v>1245</v>
      </c>
    </row>
    <row r="2287" spans="1:1">
      <c r="A2287" s="181" t="s">
        <v>1245</v>
      </c>
    </row>
    <row r="2288" spans="1:1">
      <c r="A2288" s="181" t="s">
        <v>1245</v>
      </c>
    </row>
    <row r="2289" spans="1:233">
      <c r="A2289" s="181" t="s">
        <v>1245</v>
      </c>
    </row>
    <row r="2290" spans="1:233">
      <c r="A2290" s="181" t="s">
        <v>1245</v>
      </c>
    </row>
    <row r="2291" spans="1:233">
      <c r="A2291" s="181" t="s">
        <v>1245</v>
      </c>
    </row>
    <row r="2292" spans="1:233">
      <c r="A2292" s="181" t="s">
        <v>1245</v>
      </c>
    </row>
    <row r="2293" spans="1:233">
      <c r="A2293" s="181" t="s">
        <v>1245</v>
      </c>
    </row>
    <row r="2294" spans="1:233">
      <c r="A2294" s="181" t="s">
        <v>242</v>
      </c>
      <c r="D2294" s="181" t="s">
        <v>1111</v>
      </c>
      <c r="E2294" s="181" t="s">
        <v>1114</v>
      </c>
      <c r="F2294" s="181" t="s">
        <v>635</v>
      </c>
      <c r="G2294" s="181">
        <v>319996</v>
      </c>
      <c r="H2294" s="181">
        <v>5</v>
      </c>
      <c r="I2294" s="181" t="s">
        <v>1327</v>
      </c>
      <c r="J2294" s="181" t="s">
        <v>1111</v>
      </c>
      <c r="K2294" s="181">
        <v>2000</v>
      </c>
      <c r="L2294" s="181" t="s">
        <v>1114</v>
      </c>
      <c r="M2294" s="181">
        <v>1</v>
      </c>
      <c r="N2294" s="181" t="s">
        <v>1283</v>
      </c>
      <c r="O2294" s="181" t="s">
        <v>1284</v>
      </c>
      <c r="DP2294" s="181" t="s">
        <v>37</v>
      </c>
      <c r="DX2294" s="181" t="s">
        <v>1116</v>
      </c>
      <c r="FP2294" s="181" t="s">
        <v>630</v>
      </c>
      <c r="HD2294" s="181" t="s">
        <v>1128</v>
      </c>
      <c r="HG2294" s="181" t="s">
        <v>1122</v>
      </c>
      <c r="HL2294" s="181" t="s">
        <v>83</v>
      </c>
      <c r="HY2294" s="181" t="s">
        <v>970</v>
      </c>
    </row>
    <row r="2295" spans="1:233">
      <c r="A2295" s="181" t="s">
        <v>242</v>
      </c>
      <c r="D2295" s="181" t="s">
        <v>1112</v>
      </c>
      <c r="E2295" s="181" t="s">
        <v>1114</v>
      </c>
      <c r="F2295" s="181" t="s">
        <v>656</v>
      </c>
      <c r="G2295" s="181">
        <v>1</v>
      </c>
      <c r="I2295" s="181" t="s">
        <v>1331</v>
      </c>
      <c r="J2295" s="181" t="s">
        <v>1112</v>
      </c>
      <c r="K2295" s="181">
        <v>676</v>
      </c>
      <c r="L2295" s="181" t="s">
        <v>1114</v>
      </c>
      <c r="M2295" s="181">
        <v>1</v>
      </c>
      <c r="N2295" s="181" t="s">
        <v>1283</v>
      </c>
      <c r="O2295" s="181" t="s">
        <v>1284</v>
      </c>
      <c r="DP2295" s="181" t="s">
        <v>38</v>
      </c>
      <c r="DX2295" s="181" t="s">
        <v>1117</v>
      </c>
      <c r="HD2295" s="181" t="s">
        <v>972</v>
      </c>
      <c r="HG2295" s="181" t="s">
        <v>1123</v>
      </c>
      <c r="HL2295" s="181" t="s">
        <v>1359</v>
      </c>
    </row>
    <row r="2296" spans="1:233">
      <c r="A2296" s="181" t="s">
        <v>242</v>
      </c>
      <c r="D2296" s="181" t="s">
        <v>1113</v>
      </c>
      <c r="E2296" s="181" t="s">
        <v>1115</v>
      </c>
      <c r="F2296" s="181" t="s">
        <v>764</v>
      </c>
      <c r="G2296" s="181">
        <v>1</v>
      </c>
      <c r="I2296" s="181" t="s">
        <v>1332</v>
      </c>
      <c r="J2296" s="181" t="s">
        <v>1113</v>
      </c>
      <c r="K2296" s="181">
        <v>1856</v>
      </c>
      <c r="L2296" s="181" t="s">
        <v>1115</v>
      </c>
      <c r="M2296" s="181">
        <v>1</v>
      </c>
      <c r="N2296" s="181" t="s">
        <v>1283</v>
      </c>
      <c r="O2296" s="181" t="s">
        <v>1284</v>
      </c>
      <c r="DP2296" s="181" t="s">
        <v>39</v>
      </c>
      <c r="DX2296" s="181" t="s">
        <v>1355</v>
      </c>
      <c r="HD2296" s="181" t="s">
        <v>1101</v>
      </c>
      <c r="HG2296" s="181" t="s">
        <v>1124</v>
      </c>
      <c r="HL2296" s="181" t="s">
        <v>931</v>
      </c>
    </row>
    <row r="2297" spans="1:233">
      <c r="A2297" s="181" t="s">
        <v>242</v>
      </c>
      <c r="D2297" s="181" t="s">
        <v>1308</v>
      </c>
      <c r="E2297" s="181" t="s">
        <v>1114</v>
      </c>
      <c r="F2297" s="181" t="s">
        <v>731</v>
      </c>
      <c r="G2297" s="181">
        <v>1</v>
      </c>
      <c r="I2297" s="181" t="s">
        <v>1329</v>
      </c>
      <c r="J2297" s="181" t="s">
        <v>1302</v>
      </c>
      <c r="K2297" s="181">
        <v>593001</v>
      </c>
      <c r="L2297" s="181" t="s">
        <v>1114</v>
      </c>
      <c r="M2297" s="181">
        <v>1</v>
      </c>
      <c r="N2297" s="181" t="s">
        <v>1283</v>
      </c>
      <c r="O2297" s="181" t="s">
        <v>1284</v>
      </c>
      <c r="DP2297" s="181" t="s">
        <v>40</v>
      </c>
      <c r="DX2297" s="181" t="s">
        <v>1356</v>
      </c>
      <c r="HD2297" s="181" t="s">
        <v>947</v>
      </c>
      <c r="HG2297" s="181" t="s">
        <v>1125</v>
      </c>
    </row>
    <row r="2298" spans="1:233">
      <c r="A2298" s="181" t="s">
        <v>242</v>
      </c>
      <c r="D2298" s="181" t="s">
        <v>1309</v>
      </c>
      <c r="E2298" s="181" t="s">
        <v>1114</v>
      </c>
      <c r="F2298" s="181" t="s">
        <v>732</v>
      </c>
      <c r="G2298" s="181">
        <v>1</v>
      </c>
      <c r="I2298" s="181" t="s">
        <v>1330</v>
      </c>
      <c r="J2298" s="181" t="s">
        <v>1303</v>
      </c>
      <c r="K2298" s="181">
        <v>14600</v>
      </c>
      <c r="L2298" s="181" t="s">
        <v>1115</v>
      </c>
      <c r="M2298" s="181">
        <v>1</v>
      </c>
      <c r="N2298" s="181" t="s">
        <v>1283</v>
      </c>
      <c r="O2298" s="181" t="s">
        <v>1284</v>
      </c>
      <c r="DP2298" s="181" t="s">
        <v>41</v>
      </c>
      <c r="DX2298" s="181" t="s">
        <v>1118</v>
      </c>
      <c r="HD2298" s="181" t="s">
        <v>927</v>
      </c>
      <c r="HG2298" s="181" t="s">
        <v>654</v>
      </c>
    </row>
    <row r="2299" spans="1:233">
      <c r="A2299" s="181" t="s">
        <v>242</v>
      </c>
      <c r="D2299" s="181" t="s">
        <v>1310</v>
      </c>
      <c r="E2299" s="181" t="s">
        <v>1114</v>
      </c>
      <c r="J2299" s="181" t="s">
        <v>1304</v>
      </c>
      <c r="K2299" s="181">
        <v>3293</v>
      </c>
      <c r="L2299" s="181" t="s">
        <v>1305</v>
      </c>
      <c r="M2299" s="181">
        <v>1</v>
      </c>
      <c r="N2299" s="181" t="s">
        <v>1283</v>
      </c>
      <c r="O2299" s="181" t="s">
        <v>1284</v>
      </c>
      <c r="DP2299" s="181" t="s">
        <v>42</v>
      </c>
      <c r="DX2299" s="181" t="s">
        <v>1119</v>
      </c>
      <c r="HD2299" s="181" t="s">
        <v>923</v>
      </c>
      <c r="HG2299" s="181" t="s">
        <v>1127</v>
      </c>
    </row>
    <row r="2300" spans="1:233">
      <c r="A2300" s="181" t="s">
        <v>242</v>
      </c>
      <c r="D2300" s="181" t="s">
        <v>1311</v>
      </c>
      <c r="E2300" s="181" t="s">
        <v>1115</v>
      </c>
      <c r="J2300" s="181" t="s">
        <v>1306</v>
      </c>
      <c r="K2300" s="181">
        <v>6587</v>
      </c>
      <c r="L2300" s="181" t="s">
        <v>1305</v>
      </c>
      <c r="M2300" s="181">
        <v>1</v>
      </c>
      <c r="N2300" s="181" t="s">
        <v>1283</v>
      </c>
      <c r="O2300" s="181" t="s">
        <v>1284</v>
      </c>
      <c r="DP2300" s="181" t="s">
        <v>43</v>
      </c>
      <c r="DX2300" s="181" t="s">
        <v>1120</v>
      </c>
      <c r="HD2300" s="181" t="s">
        <v>1129</v>
      </c>
      <c r="HG2300" s="181" t="s">
        <v>983</v>
      </c>
    </row>
    <row r="2301" spans="1:233">
      <c r="A2301" s="181" t="s">
        <v>242</v>
      </c>
      <c r="D2301" s="181" t="s">
        <v>1312</v>
      </c>
      <c r="E2301" s="181" t="s">
        <v>1114</v>
      </c>
      <c r="J2301" s="181" t="s">
        <v>1307</v>
      </c>
      <c r="K2301" s="181">
        <v>194633</v>
      </c>
      <c r="L2301" s="181" t="s">
        <v>1114</v>
      </c>
      <c r="M2301" s="181">
        <v>1</v>
      </c>
      <c r="N2301" s="181" t="s">
        <v>1283</v>
      </c>
      <c r="O2301" s="181" t="s">
        <v>1284</v>
      </c>
      <c r="DP2301" s="181" t="s">
        <v>45</v>
      </c>
      <c r="DX2301" s="181" t="s">
        <v>778</v>
      </c>
      <c r="HD2301" s="181" t="s">
        <v>943</v>
      </c>
      <c r="HG2301" s="181" t="s">
        <v>887</v>
      </c>
    </row>
    <row r="2302" spans="1:233">
      <c r="A2302" s="181" t="s">
        <v>242</v>
      </c>
      <c r="D2302" s="181" t="s">
        <v>1313</v>
      </c>
      <c r="E2302" s="181" t="s">
        <v>1115</v>
      </c>
      <c r="DP2302" s="181" t="s">
        <v>46</v>
      </c>
      <c r="DX2302" s="181" t="s">
        <v>946</v>
      </c>
      <c r="HD2302" s="181" t="s">
        <v>1067</v>
      </c>
      <c r="HG2302" s="181" t="s">
        <v>1119</v>
      </c>
    </row>
    <row r="2303" spans="1:233">
      <c r="A2303" s="181" t="s">
        <v>242</v>
      </c>
      <c r="D2303" s="181" t="s">
        <v>1314</v>
      </c>
      <c r="E2303" s="181" t="s">
        <v>1305</v>
      </c>
      <c r="DP2303" s="181" t="s">
        <v>908</v>
      </c>
      <c r="DX2303" s="181" t="s">
        <v>1121</v>
      </c>
      <c r="HD2303" s="181" t="s">
        <v>333</v>
      </c>
      <c r="HG2303" s="181" t="s">
        <v>916</v>
      </c>
    </row>
    <row r="2304" spans="1:233">
      <c r="A2304" s="181" t="s">
        <v>242</v>
      </c>
      <c r="D2304" s="181" t="s">
        <v>1315</v>
      </c>
      <c r="E2304" s="181" t="s">
        <v>1305</v>
      </c>
      <c r="DP2304" s="181" t="s">
        <v>47</v>
      </c>
      <c r="DX2304" s="181" t="s">
        <v>1122</v>
      </c>
      <c r="HD2304" s="181" t="s">
        <v>1098</v>
      </c>
      <c r="HG2304" s="181" t="s">
        <v>778</v>
      </c>
    </row>
    <row r="2305" spans="1:215">
      <c r="A2305" s="181" t="s">
        <v>242</v>
      </c>
      <c r="D2305" s="181" t="s">
        <v>1316</v>
      </c>
      <c r="E2305" s="181" t="s">
        <v>1114</v>
      </c>
      <c r="DP2305" s="181" t="s">
        <v>49</v>
      </c>
      <c r="DX2305" s="181" t="s">
        <v>1123</v>
      </c>
      <c r="HD2305" s="181" t="s">
        <v>944</v>
      </c>
      <c r="HG2305" s="181" t="s">
        <v>946</v>
      </c>
    </row>
    <row r="2306" spans="1:215">
      <c r="A2306" s="181" t="s">
        <v>242</v>
      </c>
      <c r="DP2306" s="181" t="s">
        <v>50</v>
      </c>
      <c r="DX2306" s="181" t="s">
        <v>1124</v>
      </c>
      <c r="HD2306" s="181" t="s">
        <v>653</v>
      </c>
      <c r="HG2306" s="181" t="s">
        <v>1121</v>
      </c>
    </row>
    <row r="2307" spans="1:215">
      <c r="A2307" s="181" t="s">
        <v>242</v>
      </c>
      <c r="DP2307" s="181" t="s">
        <v>51</v>
      </c>
      <c r="DX2307" s="181" t="s">
        <v>1125</v>
      </c>
      <c r="HD2307" s="181" t="s">
        <v>1358</v>
      </c>
      <c r="HG2307" s="181" t="s">
        <v>650</v>
      </c>
    </row>
    <row r="2308" spans="1:215">
      <c r="A2308" s="181" t="s">
        <v>242</v>
      </c>
      <c r="DP2308" s="181" t="s">
        <v>333</v>
      </c>
      <c r="DX2308" s="181" t="s">
        <v>654</v>
      </c>
      <c r="HD2308" s="181" t="s">
        <v>1158</v>
      </c>
      <c r="HG2308" s="181" t="s">
        <v>333</v>
      </c>
    </row>
    <row r="2309" spans="1:215">
      <c r="A2309" s="181" t="s">
        <v>242</v>
      </c>
      <c r="DP2309" s="181" t="s">
        <v>1158</v>
      </c>
      <c r="DX2309" s="181" t="s">
        <v>1126</v>
      </c>
      <c r="HD2309" s="181" t="s">
        <v>1031</v>
      </c>
      <c r="HG2309" s="181" t="s">
        <v>748</v>
      </c>
    </row>
    <row r="2310" spans="1:215">
      <c r="A2310" s="181" t="s">
        <v>242</v>
      </c>
      <c r="DX2310" s="181" t="s">
        <v>887</v>
      </c>
    </row>
    <row r="2311" spans="1:215">
      <c r="A2311" s="181" t="s">
        <v>242</v>
      </c>
      <c r="DX2311" s="181" t="s">
        <v>748</v>
      </c>
    </row>
    <row r="2312" spans="1:215">
      <c r="A2312" s="181" t="s">
        <v>242</v>
      </c>
      <c r="DX2312" s="181" t="s">
        <v>1357</v>
      </c>
    </row>
    <row r="2313" spans="1:215">
      <c r="A2313" s="181" t="s">
        <v>242</v>
      </c>
    </row>
    <row r="2314" spans="1:215">
      <c r="A2314" s="181" t="s">
        <v>242</v>
      </c>
    </row>
    <row r="2315" spans="1:215">
      <c r="A2315" s="181" t="s">
        <v>242</v>
      </c>
    </row>
    <row r="2316" spans="1:215">
      <c r="A2316" s="181" t="s">
        <v>242</v>
      </c>
    </row>
    <row r="2317" spans="1:215">
      <c r="A2317" s="181" t="s">
        <v>242</v>
      </c>
    </row>
    <row r="2318" spans="1:215">
      <c r="A2318" s="181" t="s">
        <v>242</v>
      </c>
    </row>
    <row r="2319" spans="1:215">
      <c r="A2319" s="181" t="s">
        <v>242</v>
      </c>
    </row>
    <row r="2320" spans="1:215">
      <c r="A2320" s="181" t="s">
        <v>242</v>
      </c>
    </row>
    <row r="2321" spans="1:1">
      <c r="A2321" s="181" t="s">
        <v>242</v>
      </c>
    </row>
    <row r="2322" spans="1:1">
      <c r="A2322" s="181" t="s">
        <v>242</v>
      </c>
    </row>
    <row r="2323" spans="1:1">
      <c r="A2323" s="181" t="s">
        <v>242</v>
      </c>
    </row>
    <row r="2324" spans="1:1">
      <c r="A2324" s="181" t="s">
        <v>242</v>
      </c>
    </row>
    <row r="2325" spans="1:1">
      <c r="A2325" s="181" t="s">
        <v>242</v>
      </c>
    </row>
    <row r="2326" spans="1:1">
      <c r="A2326" s="181" t="s">
        <v>242</v>
      </c>
    </row>
    <row r="2327" spans="1:1">
      <c r="A2327" s="181" t="s">
        <v>242</v>
      </c>
    </row>
    <row r="2328" spans="1:1">
      <c r="A2328" s="181" t="s">
        <v>242</v>
      </c>
    </row>
    <row r="2329" spans="1:1">
      <c r="A2329" s="181" t="s">
        <v>242</v>
      </c>
    </row>
    <row r="2330" spans="1:1">
      <c r="A2330" s="181" t="s">
        <v>242</v>
      </c>
    </row>
    <row r="2331" spans="1:1">
      <c r="A2331" s="181" t="s">
        <v>242</v>
      </c>
    </row>
    <row r="2332" spans="1:1">
      <c r="A2332" s="181" t="s">
        <v>242</v>
      </c>
    </row>
    <row r="2333" spans="1:1">
      <c r="A2333" s="181" t="s">
        <v>242</v>
      </c>
    </row>
    <row r="2334" spans="1:1">
      <c r="A2334" s="181" t="s">
        <v>242</v>
      </c>
    </row>
    <row r="2335" spans="1:1">
      <c r="A2335" s="181" t="s">
        <v>242</v>
      </c>
    </row>
    <row r="2336" spans="1:1">
      <c r="A2336" s="181" t="s">
        <v>242</v>
      </c>
    </row>
    <row r="2337" spans="1:1">
      <c r="A2337" s="181" t="s">
        <v>242</v>
      </c>
    </row>
    <row r="2338" spans="1:1">
      <c r="A2338" s="181" t="s">
        <v>242</v>
      </c>
    </row>
    <row r="2339" spans="1:1">
      <c r="A2339" s="181" t="s">
        <v>242</v>
      </c>
    </row>
    <row r="2340" spans="1:1">
      <c r="A2340" s="181" t="s">
        <v>242</v>
      </c>
    </row>
    <row r="2341" spans="1:1">
      <c r="A2341" s="181" t="s">
        <v>242</v>
      </c>
    </row>
    <row r="2342" spans="1:1">
      <c r="A2342" s="181" t="s">
        <v>242</v>
      </c>
    </row>
    <row r="2343" spans="1:1">
      <c r="A2343" s="181" t="s">
        <v>242</v>
      </c>
    </row>
    <row r="2344" spans="1:1">
      <c r="A2344" s="181" t="s">
        <v>242</v>
      </c>
    </row>
    <row r="2345" spans="1:1">
      <c r="A2345" s="181" t="s">
        <v>242</v>
      </c>
    </row>
    <row r="2346" spans="1:1">
      <c r="A2346" s="181" t="s">
        <v>242</v>
      </c>
    </row>
    <row r="2347" spans="1:1">
      <c r="A2347" s="181" t="s">
        <v>242</v>
      </c>
    </row>
    <row r="2348" spans="1:1">
      <c r="A2348" s="181" t="s">
        <v>242</v>
      </c>
    </row>
    <row r="2349" spans="1:1">
      <c r="A2349" s="181" t="s">
        <v>242</v>
      </c>
    </row>
    <row r="2350" spans="1:1">
      <c r="A2350" s="181" t="s">
        <v>242</v>
      </c>
    </row>
    <row r="2351" spans="1:1">
      <c r="A2351" s="181" t="s">
        <v>242</v>
      </c>
    </row>
    <row r="2352" spans="1:1">
      <c r="A2352" s="181" t="s">
        <v>242</v>
      </c>
    </row>
    <row r="2353" spans="1:1">
      <c r="A2353" s="181" t="s">
        <v>242</v>
      </c>
    </row>
    <row r="2354" spans="1:1">
      <c r="A2354" s="181" t="s">
        <v>242</v>
      </c>
    </row>
    <row r="2355" spans="1:1">
      <c r="A2355" s="181" t="s">
        <v>242</v>
      </c>
    </row>
    <row r="2356" spans="1:1">
      <c r="A2356" s="181" t="s">
        <v>242</v>
      </c>
    </row>
    <row r="2357" spans="1:1">
      <c r="A2357" s="181" t="s">
        <v>242</v>
      </c>
    </row>
    <row r="2358" spans="1:1">
      <c r="A2358" s="181" t="s">
        <v>242</v>
      </c>
    </row>
    <row r="2359" spans="1:1">
      <c r="A2359" s="181" t="s">
        <v>242</v>
      </c>
    </row>
    <row r="2360" spans="1:1">
      <c r="A2360" s="181" t="s">
        <v>242</v>
      </c>
    </row>
    <row r="2361" spans="1:1">
      <c r="A2361" s="181" t="s">
        <v>242</v>
      </c>
    </row>
    <row r="2362" spans="1:1">
      <c r="A2362" s="181" t="s">
        <v>242</v>
      </c>
    </row>
    <row r="2363" spans="1:1">
      <c r="A2363" s="181" t="s">
        <v>242</v>
      </c>
    </row>
    <row r="2364" spans="1:1">
      <c r="A2364" s="181" t="s">
        <v>242</v>
      </c>
    </row>
    <row r="2365" spans="1:1">
      <c r="A2365" s="181" t="s">
        <v>242</v>
      </c>
    </row>
    <row r="2366" spans="1:1">
      <c r="A2366" s="181" t="s">
        <v>242</v>
      </c>
    </row>
    <row r="2367" spans="1:1">
      <c r="A2367" s="181" t="s">
        <v>242</v>
      </c>
    </row>
    <row r="2368" spans="1:1">
      <c r="A2368" s="181" t="s">
        <v>242</v>
      </c>
    </row>
    <row r="2369" spans="1:1">
      <c r="A2369" s="181" t="s">
        <v>242</v>
      </c>
    </row>
    <row r="2370" spans="1:1">
      <c r="A2370" s="181" t="s">
        <v>242</v>
      </c>
    </row>
    <row r="2371" spans="1:1">
      <c r="A2371" s="181" t="s">
        <v>242</v>
      </c>
    </row>
    <row r="2372" spans="1:1">
      <c r="A2372" s="181" t="s">
        <v>242</v>
      </c>
    </row>
    <row r="2373" spans="1:1">
      <c r="A2373" s="181" t="s">
        <v>242</v>
      </c>
    </row>
    <row r="2374" spans="1:1">
      <c r="A2374" s="181" t="s">
        <v>242</v>
      </c>
    </row>
    <row r="2375" spans="1:1">
      <c r="A2375" s="181" t="s">
        <v>242</v>
      </c>
    </row>
    <row r="2376" spans="1:1">
      <c r="A2376" s="181" t="s">
        <v>242</v>
      </c>
    </row>
    <row r="2377" spans="1:1">
      <c r="A2377" s="181" t="s">
        <v>242</v>
      </c>
    </row>
    <row r="2378" spans="1:1">
      <c r="A2378" s="181" t="s">
        <v>242</v>
      </c>
    </row>
    <row r="2379" spans="1:1">
      <c r="A2379" s="181" t="s">
        <v>242</v>
      </c>
    </row>
    <row r="2380" spans="1:1">
      <c r="A2380" s="181" t="s">
        <v>242</v>
      </c>
    </row>
    <row r="2381" spans="1:1">
      <c r="A2381" s="181" t="s">
        <v>242</v>
      </c>
    </row>
    <row r="2382" spans="1:1">
      <c r="A2382" s="181" t="s">
        <v>242</v>
      </c>
    </row>
    <row r="2383" spans="1:1">
      <c r="A2383" s="181" t="s">
        <v>242</v>
      </c>
    </row>
    <row r="2384" spans="1:1">
      <c r="A2384" s="181" t="s">
        <v>242</v>
      </c>
    </row>
    <row r="2385" spans="1:1">
      <c r="A2385" s="181" t="s">
        <v>242</v>
      </c>
    </row>
    <row r="2386" spans="1:1">
      <c r="A2386" s="181" t="s">
        <v>242</v>
      </c>
    </row>
    <row r="2387" spans="1:1">
      <c r="A2387" s="181" t="s">
        <v>242</v>
      </c>
    </row>
    <row r="2388" spans="1:1">
      <c r="A2388" s="181" t="s">
        <v>242</v>
      </c>
    </row>
    <row r="2389" spans="1:1">
      <c r="A2389" s="181" t="s">
        <v>242</v>
      </c>
    </row>
    <row r="2390" spans="1:1">
      <c r="A2390" s="181" t="s">
        <v>242</v>
      </c>
    </row>
    <row r="2391" spans="1:1">
      <c r="A2391" s="181" t="s">
        <v>242</v>
      </c>
    </row>
    <row r="2392" spans="1:1">
      <c r="A2392" s="181" t="s">
        <v>242</v>
      </c>
    </row>
    <row r="2393" spans="1:1">
      <c r="A2393" s="181" t="s">
        <v>242</v>
      </c>
    </row>
    <row r="2394" spans="1:1">
      <c r="A2394" s="181" t="s">
        <v>242</v>
      </c>
    </row>
    <row r="2395" spans="1:1">
      <c r="A2395" s="181" t="s">
        <v>242</v>
      </c>
    </row>
    <row r="2396" spans="1:1">
      <c r="A2396" s="181" t="s">
        <v>242</v>
      </c>
    </row>
    <row r="2397" spans="1:1">
      <c r="A2397" s="181" t="s">
        <v>242</v>
      </c>
    </row>
    <row r="2398" spans="1:1">
      <c r="A2398" s="181" t="s">
        <v>242</v>
      </c>
    </row>
    <row r="2399" spans="1:1">
      <c r="A2399" s="181" t="s">
        <v>242</v>
      </c>
    </row>
    <row r="2400" spans="1:1">
      <c r="A2400" s="181" t="s">
        <v>242</v>
      </c>
    </row>
    <row r="2401" spans="1:1">
      <c r="A2401" s="181" t="s">
        <v>242</v>
      </c>
    </row>
    <row r="2402" spans="1:1">
      <c r="A2402" s="181" t="s">
        <v>242</v>
      </c>
    </row>
    <row r="2403" spans="1:1">
      <c r="A2403" s="181" t="s">
        <v>242</v>
      </c>
    </row>
    <row r="2404" spans="1:1">
      <c r="A2404" s="181" t="s">
        <v>242</v>
      </c>
    </row>
    <row r="2405" spans="1:1">
      <c r="A2405" s="181" t="s">
        <v>242</v>
      </c>
    </row>
    <row r="2406" spans="1:1">
      <c r="A2406" s="181" t="s">
        <v>242</v>
      </c>
    </row>
    <row r="2407" spans="1:1">
      <c r="A2407" s="181" t="s">
        <v>242</v>
      </c>
    </row>
    <row r="2408" spans="1:1">
      <c r="A2408" s="181" t="s">
        <v>242</v>
      </c>
    </row>
    <row r="2409" spans="1:1">
      <c r="A2409" s="181" t="s">
        <v>242</v>
      </c>
    </row>
    <row r="2410" spans="1:1">
      <c r="A2410" s="181" t="s">
        <v>242</v>
      </c>
    </row>
    <row r="2411" spans="1:1">
      <c r="A2411" s="181" t="s">
        <v>242</v>
      </c>
    </row>
    <row r="2412" spans="1:1">
      <c r="A2412" s="181" t="s">
        <v>242</v>
      </c>
    </row>
    <row r="2413" spans="1:1">
      <c r="A2413" s="181" t="s">
        <v>242</v>
      </c>
    </row>
    <row r="2414" spans="1:1">
      <c r="A2414" s="181" t="s">
        <v>242</v>
      </c>
    </row>
    <row r="2415" spans="1:1">
      <c r="A2415" s="181" t="s">
        <v>242</v>
      </c>
    </row>
    <row r="2416" spans="1:1">
      <c r="A2416" s="181" t="s">
        <v>242</v>
      </c>
    </row>
    <row r="2417" spans="1:1">
      <c r="A2417" s="181" t="s">
        <v>242</v>
      </c>
    </row>
    <row r="2418" spans="1:1">
      <c r="A2418" s="181" t="s">
        <v>242</v>
      </c>
    </row>
    <row r="2419" spans="1:1">
      <c r="A2419" s="181" t="s">
        <v>242</v>
      </c>
    </row>
    <row r="2420" spans="1:1">
      <c r="A2420" s="181" t="s">
        <v>242</v>
      </c>
    </row>
    <row r="2421" spans="1:1">
      <c r="A2421" s="181" t="s">
        <v>242</v>
      </c>
    </row>
    <row r="2422" spans="1:1">
      <c r="A2422" s="181" t="s">
        <v>242</v>
      </c>
    </row>
    <row r="2423" spans="1:1">
      <c r="A2423" s="181" t="s">
        <v>242</v>
      </c>
    </row>
    <row r="2424" spans="1:1">
      <c r="A2424" s="181" t="s">
        <v>242</v>
      </c>
    </row>
    <row r="2425" spans="1:1">
      <c r="A2425" s="181" t="s">
        <v>242</v>
      </c>
    </row>
    <row r="2426" spans="1:1">
      <c r="A2426" s="181" t="s">
        <v>242</v>
      </c>
    </row>
    <row r="2427" spans="1:1">
      <c r="A2427" s="181" t="s">
        <v>242</v>
      </c>
    </row>
    <row r="2428" spans="1:1">
      <c r="A2428" s="181" t="s">
        <v>242</v>
      </c>
    </row>
    <row r="2429" spans="1:1">
      <c r="A2429" s="181" t="s">
        <v>242</v>
      </c>
    </row>
    <row r="2430" spans="1:1">
      <c r="A2430" s="181" t="s">
        <v>242</v>
      </c>
    </row>
    <row r="2431" spans="1:1">
      <c r="A2431" s="181" t="s">
        <v>242</v>
      </c>
    </row>
    <row r="2432" spans="1:1">
      <c r="A2432" s="181" t="s">
        <v>242</v>
      </c>
    </row>
    <row r="2433" spans="1:1">
      <c r="A2433" s="181" t="s">
        <v>242</v>
      </c>
    </row>
    <row r="2434" spans="1:1">
      <c r="A2434" s="181" t="s">
        <v>242</v>
      </c>
    </row>
    <row r="2435" spans="1:1">
      <c r="A2435" s="181" t="s">
        <v>242</v>
      </c>
    </row>
    <row r="2436" spans="1:1">
      <c r="A2436" s="181" t="s">
        <v>242</v>
      </c>
    </row>
    <row r="2437" spans="1:1">
      <c r="A2437" s="181" t="s">
        <v>242</v>
      </c>
    </row>
    <row r="2438" spans="1:1">
      <c r="A2438" s="181" t="s">
        <v>242</v>
      </c>
    </row>
    <row r="2439" spans="1:1">
      <c r="A2439" s="181" t="s">
        <v>242</v>
      </c>
    </row>
    <row r="2440" spans="1:1">
      <c r="A2440" s="181" t="s">
        <v>242</v>
      </c>
    </row>
    <row r="2441" spans="1:1">
      <c r="A2441" s="181" t="s">
        <v>242</v>
      </c>
    </row>
    <row r="2442" spans="1:1">
      <c r="A2442" s="181" t="s">
        <v>242</v>
      </c>
    </row>
    <row r="2443" spans="1:1">
      <c r="A2443" s="181" t="s">
        <v>242</v>
      </c>
    </row>
    <row r="2444" spans="1:1">
      <c r="A2444" s="181" t="s">
        <v>242</v>
      </c>
    </row>
    <row r="2445" spans="1:1">
      <c r="A2445" s="181" t="s">
        <v>242</v>
      </c>
    </row>
    <row r="2446" spans="1:1">
      <c r="A2446" s="181" t="s">
        <v>242</v>
      </c>
    </row>
    <row r="2447" spans="1:1">
      <c r="A2447" s="181" t="s">
        <v>242</v>
      </c>
    </row>
    <row r="2448" spans="1:1">
      <c r="A2448" s="181" t="s">
        <v>242</v>
      </c>
    </row>
    <row r="2449" spans="1:1">
      <c r="A2449" s="181" t="s">
        <v>242</v>
      </c>
    </row>
    <row r="2450" spans="1:1">
      <c r="A2450" s="181" t="s">
        <v>242</v>
      </c>
    </row>
    <row r="2451" spans="1:1">
      <c r="A2451" s="181" t="s">
        <v>242</v>
      </c>
    </row>
    <row r="2452" spans="1:1">
      <c r="A2452" s="181" t="s">
        <v>242</v>
      </c>
    </row>
    <row r="2453" spans="1:1">
      <c r="A2453" s="181" t="s">
        <v>242</v>
      </c>
    </row>
    <row r="2454" spans="1:1">
      <c r="A2454" s="181" t="s">
        <v>242</v>
      </c>
    </row>
    <row r="2455" spans="1:1">
      <c r="A2455" s="181" t="s">
        <v>242</v>
      </c>
    </row>
    <row r="2456" spans="1:1">
      <c r="A2456" s="181" t="s">
        <v>242</v>
      </c>
    </row>
    <row r="2457" spans="1:1">
      <c r="A2457" s="181" t="s">
        <v>242</v>
      </c>
    </row>
    <row r="2458" spans="1:1">
      <c r="A2458" s="181" t="s">
        <v>242</v>
      </c>
    </row>
    <row r="2459" spans="1:1">
      <c r="A2459" s="181" t="s">
        <v>242</v>
      </c>
    </row>
    <row r="2460" spans="1:1">
      <c r="A2460" s="181" t="s">
        <v>242</v>
      </c>
    </row>
    <row r="2461" spans="1:1">
      <c r="A2461" s="181" t="s">
        <v>242</v>
      </c>
    </row>
    <row r="2462" spans="1:1">
      <c r="A2462" s="181" t="s">
        <v>242</v>
      </c>
    </row>
    <row r="2463" spans="1:1">
      <c r="A2463" s="181" t="s">
        <v>242</v>
      </c>
    </row>
    <row r="2464" spans="1:1">
      <c r="A2464" s="181" t="s">
        <v>242</v>
      </c>
    </row>
    <row r="2465" spans="1:1">
      <c r="A2465" s="181" t="s">
        <v>242</v>
      </c>
    </row>
    <row r="2466" spans="1:1">
      <c r="A2466" s="181" t="s">
        <v>242</v>
      </c>
    </row>
    <row r="2467" spans="1:1">
      <c r="A2467" s="181" t="s">
        <v>242</v>
      </c>
    </row>
    <row r="2468" spans="1:1">
      <c r="A2468" s="181" t="s">
        <v>242</v>
      </c>
    </row>
    <row r="2469" spans="1:1">
      <c r="A2469" s="181" t="s">
        <v>242</v>
      </c>
    </row>
    <row r="2470" spans="1:1">
      <c r="A2470" s="181" t="s">
        <v>242</v>
      </c>
    </row>
    <row r="2471" spans="1:1">
      <c r="A2471" s="181" t="s">
        <v>242</v>
      </c>
    </row>
    <row r="2472" spans="1:1">
      <c r="A2472" s="181" t="s">
        <v>242</v>
      </c>
    </row>
    <row r="2473" spans="1:1">
      <c r="A2473" s="181" t="s">
        <v>242</v>
      </c>
    </row>
    <row r="2474" spans="1:1">
      <c r="A2474" s="181" t="s">
        <v>242</v>
      </c>
    </row>
    <row r="2475" spans="1:1">
      <c r="A2475" s="181" t="s">
        <v>242</v>
      </c>
    </row>
    <row r="2476" spans="1:1">
      <c r="A2476" s="181" t="s">
        <v>242</v>
      </c>
    </row>
    <row r="2477" spans="1:1">
      <c r="A2477" s="181" t="s">
        <v>242</v>
      </c>
    </row>
    <row r="2478" spans="1:1">
      <c r="A2478" s="181" t="s">
        <v>242</v>
      </c>
    </row>
    <row r="2479" spans="1:1">
      <c r="A2479" s="181" t="s">
        <v>242</v>
      </c>
    </row>
    <row r="2480" spans="1:1">
      <c r="A2480" s="181" t="s">
        <v>242</v>
      </c>
    </row>
    <row r="2481" spans="1:295">
      <c r="A2481" s="181" t="s">
        <v>242</v>
      </c>
    </row>
    <row r="2482" spans="1:295">
      <c r="A2482" s="181" t="s">
        <v>242</v>
      </c>
    </row>
    <row r="2483" spans="1:295">
      <c r="A2483" s="181" t="s">
        <v>242</v>
      </c>
    </row>
    <row r="2484" spans="1:295">
      <c r="A2484" s="181" t="s">
        <v>242</v>
      </c>
    </row>
    <row r="2485" spans="1:295">
      <c r="A2485" s="181" t="s">
        <v>242</v>
      </c>
    </row>
    <row r="2486" spans="1:295">
      <c r="A2486" s="181" t="s">
        <v>242</v>
      </c>
    </row>
    <row r="2487" spans="1:295">
      <c r="A2487" s="181" t="s">
        <v>242</v>
      </c>
    </row>
    <row r="2488" spans="1:295">
      <c r="A2488" s="181" t="s">
        <v>242</v>
      </c>
    </row>
    <row r="2489" spans="1:295">
      <c r="A2489" s="181" t="s">
        <v>242</v>
      </c>
    </row>
    <row r="2490" spans="1:295">
      <c r="A2490" s="181" t="s">
        <v>242</v>
      </c>
    </row>
    <row r="2491" spans="1:295">
      <c r="A2491" s="181" t="s">
        <v>243</v>
      </c>
      <c r="D2491" s="181" t="s">
        <v>952</v>
      </c>
      <c r="E2491" s="181" t="s">
        <v>919</v>
      </c>
      <c r="F2491" s="181" t="s">
        <v>2589</v>
      </c>
      <c r="G2491" s="181">
        <v>549576856</v>
      </c>
      <c r="H2491" s="181">
        <v>20</v>
      </c>
      <c r="I2491" s="181" t="s">
        <v>2591</v>
      </c>
      <c r="J2491" s="1185" t="s">
        <v>2606</v>
      </c>
      <c r="K2491" s="181">
        <v>1</v>
      </c>
      <c r="L2491" s="181" t="s">
        <v>720</v>
      </c>
      <c r="M2491" s="181">
        <v>1</v>
      </c>
      <c r="N2491" s="181" t="s">
        <v>2043</v>
      </c>
      <c r="O2491" s="181" t="s">
        <v>2041</v>
      </c>
      <c r="P2491" s="181">
        <v>0</v>
      </c>
      <c r="Q2491" s="181">
        <v>100</v>
      </c>
      <c r="S2491" s="181">
        <v>2236784</v>
      </c>
      <c r="AL2491" s="181">
        <v>36218.965517241377</v>
      </c>
      <c r="AM2491" s="181">
        <v>263184.4827586207</v>
      </c>
      <c r="AN2491" s="181">
        <v>54670165.556370094</v>
      </c>
      <c r="AO2491" s="181">
        <v>63212314.215773426</v>
      </c>
      <c r="DC2491" s="181">
        <v>36218.965517241377</v>
      </c>
      <c r="DD2491" s="181">
        <v>263184.48275862075</v>
      </c>
      <c r="DN2491" s="181" t="s">
        <v>37</v>
      </c>
      <c r="DO2491" s="181">
        <v>2779958.6662995457</v>
      </c>
      <c r="DP2491" s="181">
        <v>5635728.3325990913</v>
      </c>
      <c r="DQ2491" s="181">
        <v>-774108.68232222483</v>
      </c>
      <c r="DR2491" s="181">
        <v>-1548217.3646444497</v>
      </c>
      <c r="DX2491" s="181" t="s">
        <v>1634</v>
      </c>
      <c r="DY2491" s="181">
        <v>80405.651664674995</v>
      </c>
      <c r="DZ2491" s="181">
        <v>160811.30332934999</v>
      </c>
      <c r="FY2491" s="181">
        <v>0</v>
      </c>
      <c r="FZ2491" s="181">
        <v>0</v>
      </c>
      <c r="GA2491" s="181">
        <v>0</v>
      </c>
      <c r="GB2491" s="181">
        <v>0</v>
      </c>
      <c r="GC2491" s="181">
        <v>0</v>
      </c>
      <c r="GD2491" s="181">
        <v>0</v>
      </c>
      <c r="GL2491" s="181">
        <v>-38689</v>
      </c>
      <c r="GR2491" s="181" t="s">
        <v>176</v>
      </c>
      <c r="GS2491" s="181">
        <v>0</v>
      </c>
      <c r="GT2491" s="181">
        <v>0</v>
      </c>
      <c r="HD2491" s="181" t="s">
        <v>971</v>
      </c>
      <c r="HE2491" s="181">
        <v>312276.30147119798</v>
      </c>
      <c r="HF2491" s="181">
        <v>624552.60294239596</v>
      </c>
      <c r="HG2491" s="181" t="s">
        <v>1634</v>
      </c>
      <c r="HH2491" s="181">
        <v>30547.852883426669</v>
      </c>
      <c r="HI2491" s="181">
        <v>61095.705766853338</v>
      </c>
      <c r="HJ2491" s="181">
        <v>774108.68232222483</v>
      </c>
      <c r="HK2491" s="181">
        <v>1548217.3646444497</v>
      </c>
      <c r="HL2491" s="181" t="s">
        <v>932</v>
      </c>
      <c r="HS2491" s="181" t="s">
        <v>969</v>
      </c>
      <c r="HT2491" s="181">
        <v>11980.016</v>
      </c>
      <c r="HU2491" s="181">
        <v>23960.031999999999</v>
      </c>
      <c r="HV2491" s="181" t="s">
        <v>1362</v>
      </c>
      <c r="HW2491" s="181">
        <v>1724376</v>
      </c>
      <c r="HX2491" s="181">
        <v>3448752</v>
      </c>
      <c r="HY2491" s="181" t="s">
        <v>2485</v>
      </c>
      <c r="HZ2491" s="181">
        <v>2756.9352439499994</v>
      </c>
      <c r="IA2491" s="181">
        <v>5513.8704878999988</v>
      </c>
      <c r="IO2491" s="181" t="s">
        <v>989</v>
      </c>
      <c r="IP2491" s="182" t="s">
        <v>990</v>
      </c>
      <c r="IQ2491" s="181">
        <v>0</v>
      </c>
      <c r="IR2491" s="181">
        <v>0</v>
      </c>
      <c r="IS2491" s="181">
        <v>0</v>
      </c>
      <c r="IT2491" s="181">
        <v>0</v>
      </c>
      <c r="IU2491" s="181" t="s">
        <v>989</v>
      </c>
      <c r="IV2491" s="181">
        <v>173</v>
      </c>
      <c r="IW2491" s="181">
        <v>785</v>
      </c>
      <c r="IX2491" s="181">
        <v>1.7</v>
      </c>
      <c r="IY2491" s="181">
        <v>1.6991341991341991</v>
      </c>
      <c r="IZ2491" s="181">
        <v>10200</v>
      </c>
      <c r="JA2491" s="181">
        <v>60600</v>
      </c>
      <c r="JB2491" s="181">
        <v>11480</v>
      </c>
      <c r="JC2491" s="181">
        <v>54740</v>
      </c>
      <c r="JD2491" s="181">
        <v>55084651.3125</v>
      </c>
      <c r="JE2491" s="181">
        <v>62987464.611732736</v>
      </c>
      <c r="JF2491" s="181" t="s">
        <v>989</v>
      </c>
      <c r="JH2491" s="181">
        <v>68</v>
      </c>
      <c r="JJ2491" s="181">
        <v>1.7</v>
      </c>
      <c r="JL2491" s="181">
        <v>5600</v>
      </c>
      <c r="JN2491" s="181">
        <v>5600</v>
      </c>
      <c r="JP2491" s="181">
        <v>70340576.904375002</v>
      </c>
      <c r="JQ2491" s="181" t="s">
        <v>1013</v>
      </c>
      <c r="JR2491" s="181">
        <v>764.99999999999989</v>
      </c>
      <c r="JS2491" s="181">
        <v>1377</v>
      </c>
      <c r="JT2491" s="181">
        <v>677348</v>
      </c>
      <c r="JU2491" s="181">
        <v>2419100</v>
      </c>
      <c r="JV2491" s="181">
        <v>306045.69587614882</v>
      </c>
      <c r="JW2491" s="181">
        <v>306045.69587614888</v>
      </c>
      <c r="JX2491" s="181">
        <v>102</v>
      </c>
      <c r="JY2491" s="181">
        <v>204</v>
      </c>
      <c r="JZ2491" s="181">
        <v>11480</v>
      </c>
      <c r="KA2491" s="181">
        <v>54740</v>
      </c>
      <c r="KB2491" s="181">
        <v>2757834</v>
      </c>
      <c r="KC2491" s="181">
        <v>2757833.9999999995</v>
      </c>
      <c r="KD2491" s="181">
        <v>334141957.5</v>
      </c>
      <c r="KE2491" s="181">
        <v>334141957.5</v>
      </c>
      <c r="KF2491" s="181">
        <v>460136687.49173599</v>
      </c>
      <c r="KG2491" s="181">
        <v>460136687.49173599</v>
      </c>
      <c r="KI2491" s="181">
        <v>-77378</v>
      </c>
    </row>
    <row r="2492" spans="1:295">
      <c r="A2492" s="181" t="s">
        <v>243</v>
      </c>
      <c r="D2492" s="181" t="s">
        <v>955</v>
      </c>
      <c r="E2492" s="181" t="s">
        <v>919</v>
      </c>
      <c r="F2492" s="181" t="s">
        <v>765</v>
      </c>
      <c r="G2492" s="181">
        <v>422744</v>
      </c>
      <c r="I2492" s="181" t="s">
        <v>2592</v>
      </c>
      <c r="J2492" s="1185" t="s">
        <v>2607</v>
      </c>
      <c r="K2492" s="181">
        <v>2</v>
      </c>
      <c r="L2492" s="181" t="s">
        <v>720</v>
      </c>
      <c r="M2492" s="181">
        <v>1</v>
      </c>
      <c r="N2492" s="181" t="s">
        <v>2140</v>
      </c>
      <c r="O2492" s="181" t="s">
        <v>2037</v>
      </c>
      <c r="P2492" s="181">
        <v>100</v>
      </c>
      <c r="Q2492" s="181">
        <v>100</v>
      </c>
      <c r="R2492" s="181">
        <v>2795980</v>
      </c>
      <c r="S2492" s="181">
        <v>2795980</v>
      </c>
      <c r="AL2492" s="181">
        <v>0</v>
      </c>
      <c r="AM2492" s="181">
        <v>5600.0000000000009</v>
      </c>
      <c r="AN2492" s="181">
        <v>0</v>
      </c>
      <c r="AO2492" s="181">
        <v>70340576.904374987</v>
      </c>
      <c r="DC2492" s="181">
        <v>0</v>
      </c>
      <c r="DD2492" s="181">
        <v>5600</v>
      </c>
      <c r="DN2492" s="181" t="s">
        <v>2610</v>
      </c>
      <c r="DO2492" s="181">
        <v>0</v>
      </c>
      <c r="DP2492" s="181">
        <v>0</v>
      </c>
      <c r="DX2492" s="181" t="s">
        <v>961</v>
      </c>
      <c r="DY2492" s="181">
        <v>448516.82273008366</v>
      </c>
      <c r="DZ2492" s="181">
        <v>3231990.1848958223</v>
      </c>
      <c r="FY2492" s="181">
        <v>0</v>
      </c>
      <c r="FZ2492" s="181">
        <v>0</v>
      </c>
      <c r="GA2492" s="181">
        <v>0</v>
      </c>
      <c r="GB2492" s="181">
        <v>0</v>
      </c>
      <c r="GC2492" s="181">
        <v>0</v>
      </c>
      <c r="GD2492" s="181">
        <v>0</v>
      </c>
      <c r="GR2492" s="181" t="s">
        <v>177</v>
      </c>
      <c r="GS2492" s="181">
        <v>0</v>
      </c>
      <c r="GT2492" s="181">
        <v>0</v>
      </c>
      <c r="HD2492" s="181" t="s">
        <v>972</v>
      </c>
      <c r="HE2492" s="181">
        <v>116084.73386835295</v>
      </c>
      <c r="HF2492" s="181">
        <v>232169.4677367059</v>
      </c>
      <c r="HG2492" s="181" t="s">
        <v>977</v>
      </c>
      <c r="HH2492" s="181">
        <v>68907.370070560006</v>
      </c>
      <c r="HI2492" s="181">
        <v>578950.20768571005</v>
      </c>
      <c r="HL2492" s="181" t="s">
        <v>1224</v>
      </c>
      <c r="HS2492" s="181" t="s">
        <v>1808</v>
      </c>
      <c r="HT2492" s="181">
        <f>392200.131425267+22</f>
        <v>392222.13142526703</v>
      </c>
      <c r="HU2492" s="181">
        <v>784400.26285053336</v>
      </c>
      <c r="HV2492" s="181" t="s">
        <v>1436</v>
      </c>
      <c r="HW2492" s="181">
        <v>1390335.7288214443</v>
      </c>
      <c r="HX2492" s="181">
        <v>3032790.5881799581</v>
      </c>
      <c r="HY2492" s="181" t="s">
        <v>2632</v>
      </c>
      <c r="HZ2492" s="181">
        <v>2335.3228750000003</v>
      </c>
      <c r="IA2492" s="181">
        <v>4670.6457500000006</v>
      </c>
      <c r="IO2492" s="181" t="s">
        <v>989</v>
      </c>
      <c r="IP2492" s="181" t="s">
        <v>991</v>
      </c>
      <c r="IQ2492" s="181">
        <v>0</v>
      </c>
      <c r="IR2492" s="181">
        <v>0</v>
      </c>
      <c r="IS2492" s="181">
        <v>0</v>
      </c>
      <c r="IT2492" s="181">
        <v>0</v>
      </c>
      <c r="IU2492" s="181" t="s">
        <v>994</v>
      </c>
      <c r="IV2492" s="181">
        <v>391</v>
      </c>
      <c r="IW2492" s="181">
        <v>3271</v>
      </c>
      <c r="IX2492" s="181">
        <v>1.6</v>
      </c>
      <c r="IY2492" s="181">
        <v>1.600293542074364</v>
      </c>
      <c r="IZ2492" s="181">
        <v>24400</v>
      </c>
      <c r="JA2492" s="181">
        <v>204400</v>
      </c>
      <c r="JB2492" s="181">
        <v>20031</v>
      </c>
      <c r="JC2492" s="181">
        <v>174231</v>
      </c>
      <c r="JD2492" s="181">
        <v>54432613</v>
      </c>
      <c r="JE2492" s="181">
        <v>63282932.403550461</v>
      </c>
      <c r="JF2492" s="181" t="s">
        <v>1006</v>
      </c>
      <c r="JQ2492" s="181" t="s">
        <v>1014</v>
      </c>
      <c r="JR2492" s="181">
        <v>0</v>
      </c>
      <c r="JS2492" s="181">
        <v>68</v>
      </c>
      <c r="JT2492" s="181">
        <v>0</v>
      </c>
      <c r="JU2492" s="181">
        <v>193528</v>
      </c>
      <c r="JW2492" s="181">
        <v>306045.69587614882</v>
      </c>
      <c r="JX2492" s="181">
        <v>0</v>
      </c>
      <c r="JY2492" s="181">
        <v>40</v>
      </c>
      <c r="JZ2492" s="181">
        <v>0</v>
      </c>
      <c r="KA2492" s="181">
        <v>5600</v>
      </c>
      <c r="KC2492" s="181">
        <v>3823773.75</v>
      </c>
      <c r="KE2492" s="181">
        <v>3421048017.0000005</v>
      </c>
      <c r="KG2492" s="181">
        <v>4303813988</v>
      </c>
    </row>
    <row r="2493" spans="1:295">
      <c r="A2493" s="181" t="s">
        <v>243</v>
      </c>
      <c r="D2493" s="181" t="s">
        <v>956</v>
      </c>
      <c r="E2493" s="181" t="s">
        <v>666</v>
      </c>
      <c r="F2493" s="181" t="s">
        <v>766</v>
      </c>
      <c r="G2493" s="181">
        <v>100</v>
      </c>
      <c r="I2493" s="181" t="s">
        <v>2593</v>
      </c>
      <c r="J2493" s="1185" t="s">
        <v>2607</v>
      </c>
      <c r="K2493" s="181">
        <v>2</v>
      </c>
      <c r="L2493" s="181" t="s">
        <v>720</v>
      </c>
      <c r="M2493" s="181">
        <v>1</v>
      </c>
      <c r="N2493" s="181" t="s">
        <v>2609</v>
      </c>
      <c r="O2493" s="181" t="s">
        <v>2115</v>
      </c>
      <c r="P2493" s="181">
        <v>0</v>
      </c>
      <c r="Q2493" s="181">
        <v>0</v>
      </c>
      <c r="S2493" s="181">
        <v>0</v>
      </c>
      <c r="AL2493" s="181">
        <v>17226.842517639998</v>
      </c>
      <c r="AM2493" s="181">
        <v>148676.6242280725</v>
      </c>
      <c r="AN2493" s="181">
        <v>999999.99999999965</v>
      </c>
      <c r="AO2493" s="181">
        <v>999999.99999999942</v>
      </c>
      <c r="DC2493" s="181">
        <v>47307.160328854312</v>
      </c>
      <c r="DD2493" s="181">
        <v>408285.43549452536</v>
      </c>
      <c r="DN2493" s="181" t="s">
        <v>39</v>
      </c>
      <c r="DO2493" s="181">
        <v>0</v>
      </c>
      <c r="DP2493" s="181">
        <v>0</v>
      </c>
      <c r="DX2493" s="181" t="s">
        <v>962</v>
      </c>
      <c r="DY2493" s="181">
        <v>152857.00538415706</v>
      </c>
      <c r="DZ2493" s="181">
        <v>1174857.8164011822</v>
      </c>
      <c r="FY2493" s="181">
        <v>474</v>
      </c>
      <c r="FZ2493" s="181">
        <v>1297</v>
      </c>
      <c r="GA2493" s="181">
        <v>30.3</v>
      </c>
      <c r="GB2493" s="181">
        <v>474</v>
      </c>
      <c r="GC2493" s="181">
        <v>1297</v>
      </c>
      <c r="GD2493" s="181">
        <v>30.3</v>
      </c>
      <c r="GR2493" s="181" t="s">
        <v>178</v>
      </c>
      <c r="GS2493" s="181">
        <v>1827936.1158438215</v>
      </c>
      <c r="GT2493" s="181">
        <v>15755913.122533772</v>
      </c>
      <c r="HD2493" s="181" t="s">
        <v>973</v>
      </c>
      <c r="HE2493" s="181">
        <v>70352.738940571682</v>
      </c>
      <c r="HF2493" s="181">
        <v>140705.47788114336</v>
      </c>
      <c r="HG2493" s="181" t="s">
        <v>978</v>
      </c>
      <c r="HH2493" s="181">
        <v>37049.682897666666</v>
      </c>
      <c r="HI2493" s="181">
        <v>74099.365795333331</v>
      </c>
      <c r="HL2493" s="181" t="s">
        <v>2625</v>
      </c>
      <c r="HS2493" s="181" t="s">
        <v>1361</v>
      </c>
      <c r="HT2493" s="181">
        <v>807065.19466666668</v>
      </c>
      <c r="HU2493" s="181">
        <v>1614130.3893333334</v>
      </c>
      <c r="HY2493" s="181" t="s">
        <v>1364</v>
      </c>
      <c r="HZ2493" s="181">
        <v>8736.460913375</v>
      </c>
      <c r="IA2493" s="181">
        <v>17472.92182675</v>
      </c>
      <c r="IO2493" s="181" t="s">
        <v>989</v>
      </c>
      <c r="IP2493" s="181" t="s">
        <v>992</v>
      </c>
      <c r="IQ2493" s="181">
        <v>26</v>
      </c>
      <c r="IR2493" s="181">
        <v>173</v>
      </c>
      <c r="IS2493" s="181">
        <v>101</v>
      </c>
      <c r="IT2493" s="181">
        <v>853</v>
      </c>
      <c r="IU2493" s="181" t="s">
        <v>1003</v>
      </c>
      <c r="IV2493" s="181">
        <v>0</v>
      </c>
      <c r="IW2493" s="181">
        <v>0</v>
      </c>
      <c r="IX2493" s="181">
        <v>0</v>
      </c>
      <c r="JF2493" s="181" t="s">
        <v>1003</v>
      </c>
      <c r="JQ2493" s="181" t="s">
        <v>994</v>
      </c>
      <c r="JR2493" s="181">
        <v>391</v>
      </c>
      <c r="JS2493" s="181">
        <v>3271</v>
      </c>
      <c r="JT2493" s="181">
        <v>1113728</v>
      </c>
      <c r="JU2493" s="181">
        <v>8273408</v>
      </c>
      <c r="JV2493" s="181">
        <v>306045.69587614882</v>
      </c>
      <c r="JW2493" s="181">
        <v>306045.69587614882</v>
      </c>
      <c r="JX2493" s="181">
        <v>244</v>
      </c>
      <c r="JY2493" s="181">
        <v>2044</v>
      </c>
      <c r="JZ2493" s="181">
        <v>20031</v>
      </c>
      <c r="KA2493" s="181">
        <v>174231</v>
      </c>
      <c r="KB2493" s="181">
        <v>2369439</v>
      </c>
      <c r="KC2493" s="181">
        <v>2369439</v>
      </c>
      <c r="KD2493" s="181">
        <v>277374457.5</v>
      </c>
      <c r="KE2493" s="181">
        <v>277374457.5</v>
      </c>
      <c r="KF2493" s="181">
        <v>372360580</v>
      </c>
      <c r="KG2493" s="181">
        <v>372360580</v>
      </c>
    </row>
    <row r="2494" spans="1:295">
      <c r="A2494" s="181" t="s">
        <v>243</v>
      </c>
      <c r="D2494" s="181" t="s">
        <v>957</v>
      </c>
      <c r="E2494" s="181" t="s">
        <v>666</v>
      </c>
      <c r="F2494" s="181" t="s">
        <v>767</v>
      </c>
      <c r="G2494" s="181">
        <v>100</v>
      </c>
      <c r="I2494" s="181" t="s">
        <v>2594</v>
      </c>
      <c r="J2494" s="1185" t="s">
        <v>2608</v>
      </c>
      <c r="K2494" s="181">
        <v>100</v>
      </c>
      <c r="L2494" s="181" t="s">
        <v>933</v>
      </c>
      <c r="M2494" s="181">
        <v>1</v>
      </c>
      <c r="N2494" s="181" t="s">
        <v>2043</v>
      </c>
      <c r="O2494" s="181" t="s">
        <v>2115</v>
      </c>
      <c r="P2494" s="181">
        <v>0</v>
      </c>
      <c r="Q2494" s="181">
        <v>33</v>
      </c>
      <c r="S2494" s="181">
        <v>1242658</v>
      </c>
      <c r="AL2494" s="181">
        <v>88025.021562181631</v>
      </c>
      <c r="AM2494" s="181">
        <v>739574.07549845253</v>
      </c>
      <c r="AN2494" s="181">
        <v>999999.99999999965</v>
      </c>
      <c r="AO2494" s="181">
        <v>999999.99999999953</v>
      </c>
      <c r="DC2494" s="181">
        <v>39958.316027882458</v>
      </c>
      <c r="DD2494" s="181">
        <v>335724.25328996126</v>
      </c>
      <c r="DN2494" s="181" t="s">
        <v>2615</v>
      </c>
      <c r="DO2494" s="181">
        <v>0</v>
      </c>
      <c r="DP2494" s="181">
        <v>0</v>
      </c>
      <c r="DX2494" s="181" t="s">
        <v>963</v>
      </c>
      <c r="DY2494" s="181">
        <v>102593.97066750001</v>
      </c>
      <c r="DZ2494" s="181">
        <v>859001.01954750007</v>
      </c>
      <c r="FY2494" s="181">
        <v>0</v>
      </c>
      <c r="FZ2494" s="181">
        <v>0</v>
      </c>
      <c r="GA2494" s="181">
        <v>0</v>
      </c>
      <c r="GB2494" s="181">
        <v>0</v>
      </c>
      <c r="GC2494" s="181">
        <v>0</v>
      </c>
      <c r="GD2494" s="181">
        <v>0</v>
      </c>
      <c r="GR2494" s="181" t="s">
        <v>1707</v>
      </c>
      <c r="GS2494" s="181">
        <v>0</v>
      </c>
      <c r="GT2494" s="181">
        <v>0</v>
      </c>
      <c r="HD2494" s="181" t="s">
        <v>974</v>
      </c>
      <c r="HE2494" s="181">
        <v>20804.040534784071</v>
      </c>
      <c r="HF2494" s="181">
        <v>52010.081069568143</v>
      </c>
      <c r="HG2494" s="181" t="s">
        <v>2624</v>
      </c>
      <c r="HH2494" s="181">
        <v>56867.864374500001</v>
      </c>
      <c r="HI2494" s="181">
        <v>113735.728749</v>
      </c>
      <c r="HL2494" s="181" t="s">
        <v>1742</v>
      </c>
      <c r="HY2494" s="181" t="s">
        <v>667</v>
      </c>
      <c r="HZ2494" s="181">
        <v>149.98445716666669</v>
      </c>
      <c r="IA2494" s="181">
        <v>299.96891433333337</v>
      </c>
      <c r="IO2494" s="181" t="s">
        <v>989</v>
      </c>
      <c r="IP2494" s="181" t="s">
        <v>1366</v>
      </c>
      <c r="IQ2494" s="181">
        <v>0</v>
      </c>
      <c r="IR2494" s="181">
        <v>0</v>
      </c>
      <c r="IS2494" s="181">
        <v>0</v>
      </c>
      <c r="IT2494" s="181">
        <v>0</v>
      </c>
      <c r="IU2494" s="181" t="s">
        <v>1006</v>
      </c>
      <c r="IV2494" s="181">
        <v>0</v>
      </c>
      <c r="IW2494" s="181">
        <v>0</v>
      </c>
      <c r="IX2494" s="181">
        <v>0</v>
      </c>
      <c r="JQ2494" s="181" t="s">
        <v>1003</v>
      </c>
      <c r="JR2494" s="181">
        <v>0</v>
      </c>
      <c r="JS2494" s="181">
        <v>0</v>
      </c>
      <c r="JT2494" s="181">
        <v>0</v>
      </c>
      <c r="JU2494" s="181">
        <v>0</v>
      </c>
      <c r="JX2494" s="181">
        <v>0</v>
      </c>
    </row>
    <row r="2495" spans="1:295">
      <c r="A2495" s="181" t="s">
        <v>243</v>
      </c>
      <c r="D2495" s="181" t="s">
        <v>958</v>
      </c>
      <c r="E2495" s="181" t="s">
        <v>666</v>
      </c>
      <c r="F2495" s="181" t="s">
        <v>2590</v>
      </c>
      <c r="G2495" s="181">
        <v>100</v>
      </c>
      <c r="I2495" s="181" t="s">
        <v>2595</v>
      </c>
      <c r="J2495" s="1185"/>
      <c r="AL2495" s="181">
        <v>463319.18932672002</v>
      </c>
      <c r="AM2495" s="181">
        <v>926638.37865344004</v>
      </c>
      <c r="AN2495" s="181">
        <v>999999.99999999965</v>
      </c>
      <c r="AO2495" s="181">
        <v>999999.99999999965</v>
      </c>
      <c r="DC2495" s="181">
        <v>359517.27128767996</v>
      </c>
      <c r="DD2495" s="181">
        <v>719034.54257535993</v>
      </c>
      <c r="DN2495" s="181" t="s">
        <v>41</v>
      </c>
      <c r="DO2495" s="181">
        <v>1066672.0700976958</v>
      </c>
      <c r="DP2495" s="181">
        <v>2133344.1401953916</v>
      </c>
      <c r="DX2495" s="181" t="s">
        <v>964</v>
      </c>
      <c r="DY2495" s="181">
        <v>97907.012819999989</v>
      </c>
      <c r="DZ2495" s="181">
        <v>684813.99941999989</v>
      </c>
      <c r="FY2495" s="181">
        <v>45</v>
      </c>
      <c r="FZ2495" s="181">
        <v>158</v>
      </c>
      <c r="GA2495" s="181">
        <v>11.7</v>
      </c>
      <c r="GB2495" s="181">
        <v>45</v>
      </c>
      <c r="GC2495" s="181">
        <v>158</v>
      </c>
      <c r="GD2495" s="181">
        <v>11.7</v>
      </c>
      <c r="GR2495" s="181" t="s">
        <v>175</v>
      </c>
      <c r="GS2495" s="181">
        <v>0</v>
      </c>
      <c r="GT2495" s="181">
        <v>0</v>
      </c>
      <c r="HD2495" s="181" t="s">
        <v>975</v>
      </c>
      <c r="HE2495" s="181">
        <v>1332.3501398044339</v>
      </c>
      <c r="HF2495" s="181">
        <v>3330.7002796088677</v>
      </c>
      <c r="HG2495" s="181" t="s">
        <v>2617</v>
      </c>
      <c r="HH2495" s="181">
        <v>42583.641549363332</v>
      </c>
      <c r="HI2495" s="181">
        <v>85167.283098726664</v>
      </c>
      <c r="HL2495" s="181" t="s">
        <v>917</v>
      </c>
      <c r="HY2495" s="181" t="s">
        <v>1812</v>
      </c>
      <c r="HZ2495" s="181">
        <v>923.00995423125164</v>
      </c>
      <c r="IA2495" s="181">
        <v>1846.0199084625033</v>
      </c>
      <c r="IO2495" s="181" t="s">
        <v>989</v>
      </c>
      <c r="IP2495" s="181" t="s">
        <v>1367</v>
      </c>
      <c r="IQ2495" s="181">
        <v>0</v>
      </c>
      <c r="IR2495" s="181">
        <v>0</v>
      </c>
      <c r="IS2495" s="181">
        <v>0</v>
      </c>
      <c r="IT2495" s="181">
        <v>0</v>
      </c>
      <c r="IU2495" s="181" t="s">
        <v>1011</v>
      </c>
      <c r="IV2495" s="181">
        <v>0</v>
      </c>
      <c r="IW2495" s="181">
        <v>0</v>
      </c>
      <c r="IX2495" s="181">
        <v>0</v>
      </c>
      <c r="JQ2495" s="181" t="s">
        <v>1012</v>
      </c>
      <c r="JR2495" s="181">
        <v>0</v>
      </c>
      <c r="JS2495" s="181">
        <v>0</v>
      </c>
      <c r="JT2495" s="181">
        <v>0</v>
      </c>
      <c r="JU2495" s="181">
        <v>0</v>
      </c>
      <c r="JX2495" s="181">
        <v>0</v>
      </c>
    </row>
    <row r="2496" spans="1:295">
      <c r="A2496" s="181" t="s">
        <v>243</v>
      </c>
      <c r="D2496" s="181" t="s">
        <v>959</v>
      </c>
      <c r="E2496" s="181" t="s">
        <v>666</v>
      </c>
      <c r="F2496" s="181" t="s">
        <v>1680</v>
      </c>
      <c r="G2496" s="181">
        <v>100</v>
      </c>
      <c r="I2496" s="181" t="s">
        <v>2596</v>
      </c>
      <c r="J2496" s="1185"/>
      <c r="AL2496" s="181">
        <v>72113.319131550001</v>
      </c>
      <c r="AM2496" s="181">
        <v>144226.6382631</v>
      </c>
      <c r="AN2496" s="181">
        <v>999999.99999999965</v>
      </c>
      <c r="AO2496" s="181">
        <v>999999.99999999965</v>
      </c>
      <c r="DC2496" s="181">
        <v>265370.99578286248</v>
      </c>
      <c r="DD2496" s="181">
        <v>530741.99156572495</v>
      </c>
      <c r="DN2496" s="181" t="s">
        <v>2616</v>
      </c>
      <c r="DO2496" s="181">
        <v>245645.73807623613</v>
      </c>
      <c r="DP2496" s="181">
        <v>491291.47615247226</v>
      </c>
      <c r="DX2496" s="181" t="s">
        <v>887</v>
      </c>
      <c r="DY2496" s="181">
        <v>509922.56249999988</v>
      </c>
      <c r="DZ2496" s="181">
        <v>1035378.3328001099</v>
      </c>
      <c r="GR2496" s="181" t="s">
        <v>1804</v>
      </c>
      <c r="GS2496" s="181">
        <v>0</v>
      </c>
      <c r="GT2496" s="181">
        <v>0</v>
      </c>
      <c r="HD2496" s="181" t="s">
        <v>976</v>
      </c>
      <c r="HE2496" s="181">
        <v>137.7746282040724</v>
      </c>
      <c r="HF2496" s="181">
        <v>275.5492564081448</v>
      </c>
      <c r="HG2496" s="181" t="s">
        <v>2623</v>
      </c>
      <c r="HH2496" s="181">
        <v>15013.519937986503</v>
      </c>
      <c r="HI2496" s="181">
        <v>30027.039875973005</v>
      </c>
      <c r="HL2496" s="181" t="s">
        <v>894</v>
      </c>
      <c r="IO2496" s="181" t="s">
        <v>989</v>
      </c>
      <c r="IP2496" s="181" t="s">
        <v>993</v>
      </c>
      <c r="IQ2496" s="181">
        <v>26</v>
      </c>
      <c r="IR2496" s="181">
        <v>173</v>
      </c>
      <c r="IS2496" s="181">
        <v>101</v>
      </c>
      <c r="IT2496" s="181">
        <v>853</v>
      </c>
      <c r="JQ2496" s="181" t="s">
        <v>1015</v>
      </c>
      <c r="JR2496" s="181">
        <v>0</v>
      </c>
      <c r="JS2496" s="181">
        <v>0</v>
      </c>
      <c r="JT2496" s="181">
        <v>0</v>
      </c>
      <c r="JU2496" s="181">
        <v>0</v>
      </c>
      <c r="JX2496" s="181">
        <v>0</v>
      </c>
      <c r="JZ2496" s="181">
        <v>0</v>
      </c>
    </row>
    <row r="2497" spans="1:286">
      <c r="A2497" s="181" t="s">
        <v>243</v>
      </c>
      <c r="D2497" s="181" t="s">
        <v>960</v>
      </c>
      <c r="E2497" s="181" t="s">
        <v>666</v>
      </c>
      <c r="I2497" s="181" t="s">
        <v>2597</v>
      </c>
      <c r="J2497" s="1185"/>
      <c r="AL2497" s="181">
        <v>28535.946788262499</v>
      </c>
      <c r="AM2497" s="181">
        <v>57071.893576524999</v>
      </c>
      <c r="AN2497" s="181">
        <v>999999.99999999988</v>
      </c>
      <c r="AO2497" s="181">
        <v>999999.99999999988</v>
      </c>
      <c r="DC2497" s="181">
        <v>73930.915436400013</v>
      </c>
      <c r="DD2497" s="181">
        <v>147861.83087280003</v>
      </c>
      <c r="DN2497" s="181" t="s">
        <v>2611</v>
      </c>
      <c r="DO2497" s="181">
        <v>6749.7513995381942</v>
      </c>
      <c r="DP2497" s="181">
        <v>14523.502799076388</v>
      </c>
      <c r="DX2497" s="181" t="s">
        <v>965</v>
      </c>
      <c r="DY2497" s="181">
        <v>47143.927190906441</v>
      </c>
      <c r="DZ2497" s="181">
        <v>192600.76356514136</v>
      </c>
      <c r="GR2497" s="181" t="s">
        <v>1805</v>
      </c>
      <c r="GS2497" s="181">
        <v>563968.45524653257</v>
      </c>
      <c r="GT2497" s="181">
        <v>1127936.9104930651</v>
      </c>
      <c r="HD2497" s="181" t="s">
        <v>1101</v>
      </c>
      <c r="HE2497" s="181">
        <v>0</v>
      </c>
      <c r="HF2497" s="181">
        <v>0</v>
      </c>
      <c r="HG2497" s="181" t="s">
        <v>924</v>
      </c>
      <c r="HH2497" s="181">
        <v>49799.1997463675</v>
      </c>
      <c r="HI2497" s="181">
        <v>99598.399492735</v>
      </c>
      <c r="HL2497" s="181" t="s">
        <v>2125</v>
      </c>
      <c r="IO2497" s="181" t="s">
        <v>994</v>
      </c>
      <c r="IP2497" s="181" t="s">
        <v>995</v>
      </c>
      <c r="IQ2497" s="181">
        <v>0</v>
      </c>
      <c r="IR2497" s="181">
        <v>0</v>
      </c>
      <c r="IS2497" s="181">
        <v>0</v>
      </c>
      <c r="IT2497" s="181">
        <v>0</v>
      </c>
      <c r="JQ2497" s="181" t="s">
        <v>1016</v>
      </c>
      <c r="JR2497" s="181">
        <v>0</v>
      </c>
      <c r="JS2497" s="181">
        <v>0</v>
      </c>
      <c r="JT2497" s="181">
        <v>0</v>
      </c>
      <c r="JU2497" s="181">
        <v>0</v>
      </c>
      <c r="JX2497" s="181">
        <v>0</v>
      </c>
      <c r="JZ2497" s="181">
        <v>0</v>
      </c>
    </row>
    <row r="2498" spans="1:286">
      <c r="A2498" s="181" t="s">
        <v>243</v>
      </c>
      <c r="D2498" s="181" t="s">
        <v>895</v>
      </c>
      <c r="E2498" s="181" t="s">
        <v>919</v>
      </c>
      <c r="I2498" s="181" t="s">
        <v>2598</v>
      </c>
      <c r="J2498" s="1185"/>
      <c r="AL2498" s="181">
        <v>-4708.4655172413795</v>
      </c>
      <c r="AM2498" s="181">
        <v>-34213.982758620688</v>
      </c>
      <c r="AN2498" s="181">
        <v>54670165.556370117</v>
      </c>
      <c r="AO2498" s="181">
        <v>63212314.215773448</v>
      </c>
      <c r="DN2498" s="181" t="s">
        <v>2612</v>
      </c>
      <c r="DO2498" s="181">
        <v>124419.51198073869</v>
      </c>
      <c r="DP2498" s="181">
        <v>248839.02396147739</v>
      </c>
      <c r="DX2498" s="181" t="s">
        <v>966</v>
      </c>
      <c r="DY2498" s="181">
        <v>1103756.39784992</v>
      </c>
      <c r="DZ2498" s="181">
        <v>2483451.8951623198</v>
      </c>
      <c r="GR2498" s="181" t="s">
        <v>1806</v>
      </c>
      <c r="GS2498" s="181">
        <v>0</v>
      </c>
      <c r="GT2498" s="181">
        <v>0</v>
      </c>
      <c r="HD2498" s="181" t="s">
        <v>2619</v>
      </c>
      <c r="HE2498" s="181">
        <v>6260.0038221082359</v>
      </c>
      <c r="HF2498" s="181">
        <v>12520.007644216472</v>
      </c>
      <c r="HG2498" s="181" t="s">
        <v>981</v>
      </c>
      <c r="HH2498" s="181">
        <v>73.777411333333333</v>
      </c>
      <c r="HI2498" s="181">
        <v>147.55482266666667</v>
      </c>
      <c r="HL2498" s="181" t="s">
        <v>2121</v>
      </c>
      <c r="IO2498" s="181" t="s">
        <v>994</v>
      </c>
      <c r="IP2498" s="181" t="s">
        <v>996</v>
      </c>
      <c r="IQ2498" s="181">
        <v>0</v>
      </c>
      <c r="IR2498" s="181">
        <v>0</v>
      </c>
      <c r="IS2498" s="181">
        <v>75</v>
      </c>
      <c r="IT2498" s="181">
        <v>960</v>
      </c>
      <c r="JS2498" s="181">
        <v>0</v>
      </c>
      <c r="JU2498" s="181">
        <v>0</v>
      </c>
    </row>
    <row r="2499" spans="1:286" ht="108">
      <c r="A2499" s="181" t="s">
        <v>243</v>
      </c>
      <c r="I2499" s="2057" t="s">
        <v>2599</v>
      </c>
      <c r="J2499" s="1185"/>
      <c r="DN2499" s="181" t="s">
        <v>2613</v>
      </c>
      <c r="DO2499" s="181">
        <v>648165.80233699898</v>
      </c>
      <c r="DP2499" s="181">
        <v>1296331.604673998</v>
      </c>
      <c r="DX2499" s="181" t="s">
        <v>967</v>
      </c>
      <c r="DY2499" s="181">
        <v>50000.854034811739</v>
      </c>
      <c r="DZ2499" s="181">
        <v>100001.70806962348</v>
      </c>
      <c r="GR2499" s="181" t="s">
        <v>871</v>
      </c>
      <c r="GS2499" s="181">
        <v>0</v>
      </c>
      <c r="GT2499" s="181">
        <v>0</v>
      </c>
      <c r="HD2499" s="181" t="s">
        <v>2622</v>
      </c>
      <c r="HE2499" s="181">
        <v>27380.660103659498</v>
      </c>
      <c r="HF2499" s="181">
        <v>54761.320207318997</v>
      </c>
      <c r="HG2499" s="181" t="s">
        <v>982</v>
      </c>
      <c r="HH2499" s="181">
        <v>861.11534540000002</v>
      </c>
      <c r="HI2499" s="181">
        <v>1722.2306908</v>
      </c>
      <c r="HL2499" s="181" t="s">
        <v>2626</v>
      </c>
      <c r="IO2499" s="181" t="s">
        <v>994</v>
      </c>
      <c r="IP2499" s="181" t="s">
        <v>997</v>
      </c>
      <c r="IQ2499" s="181">
        <v>0</v>
      </c>
      <c r="IR2499" s="181">
        <v>0</v>
      </c>
      <c r="IS2499" s="181">
        <v>0</v>
      </c>
      <c r="IT2499" s="181">
        <v>0</v>
      </c>
    </row>
    <row r="2500" spans="1:286">
      <c r="A2500" s="181" t="s">
        <v>243</v>
      </c>
      <c r="I2500" s="181" t="s">
        <v>2600</v>
      </c>
      <c r="J2500" s="1185"/>
      <c r="DN2500" s="181" t="s">
        <v>2614</v>
      </c>
      <c r="DO2500" s="181">
        <v>99850.843269985038</v>
      </c>
      <c r="DP2500" s="181">
        <v>199701.68653997008</v>
      </c>
      <c r="DX2500" s="181" t="s">
        <v>2617</v>
      </c>
      <c r="DY2500" s="181">
        <v>531668.44262700505</v>
      </c>
      <c r="DZ2500" s="181">
        <v>1063336.8852540101</v>
      </c>
      <c r="GR2500" s="181" t="s">
        <v>871</v>
      </c>
      <c r="GS2500" s="181">
        <v>0</v>
      </c>
      <c r="GT2500" s="181">
        <v>0</v>
      </c>
      <c r="HD2500" s="181" t="s">
        <v>2620</v>
      </c>
      <c r="HE2500" s="181">
        <v>0</v>
      </c>
      <c r="HF2500" s="181">
        <v>0</v>
      </c>
      <c r="HG2500" s="181" t="s">
        <v>983</v>
      </c>
      <c r="HH2500" s="181">
        <v>22658.678873250003</v>
      </c>
      <c r="HI2500" s="181">
        <v>45317.357746500005</v>
      </c>
      <c r="HL2500" s="181" t="s">
        <v>2627</v>
      </c>
      <c r="IO2500" s="181" t="s">
        <v>994</v>
      </c>
      <c r="IP2500" s="181" t="s">
        <v>998</v>
      </c>
      <c r="IQ2500" s="181">
        <v>0</v>
      </c>
      <c r="IR2500" s="181">
        <v>0</v>
      </c>
      <c r="IS2500" s="181">
        <v>0</v>
      </c>
      <c r="IT2500" s="181">
        <v>0</v>
      </c>
    </row>
    <row r="2501" spans="1:286">
      <c r="A2501" s="181" t="s">
        <v>243</v>
      </c>
      <c r="I2501" s="181" t="s">
        <v>2601</v>
      </c>
      <c r="J2501" s="1185"/>
      <c r="DX2501" s="181" t="s">
        <v>333</v>
      </c>
      <c r="DY2501" s="181">
        <v>27773.410354768061</v>
      </c>
      <c r="DZ2501" s="181">
        <v>55546.820709536121</v>
      </c>
      <c r="GR2501" s="181" t="s">
        <v>871</v>
      </c>
      <c r="GS2501" s="181">
        <v>0</v>
      </c>
      <c r="GT2501" s="181">
        <v>0</v>
      </c>
      <c r="HD2501" s="181" t="s">
        <v>2621</v>
      </c>
      <c r="HE2501" s="181">
        <v>0</v>
      </c>
      <c r="HF2501" s="181">
        <v>0</v>
      </c>
      <c r="HG2501" s="181" t="s">
        <v>333</v>
      </c>
      <c r="HH2501" s="181">
        <v>23902.618642957565</v>
      </c>
      <c r="HI2501" s="181">
        <v>47805.237285915129</v>
      </c>
      <c r="HL2501" s="181" t="s">
        <v>2628</v>
      </c>
      <c r="HM2501" s="181">
        <v>4003843.6464</v>
      </c>
      <c r="HN2501" s="181">
        <v>1775015.8459200002</v>
      </c>
      <c r="IO2501" s="181" t="s">
        <v>994</v>
      </c>
      <c r="IP2501" s="181" t="s">
        <v>999</v>
      </c>
      <c r="IQ2501" s="181">
        <v>35</v>
      </c>
      <c r="IR2501" s="181">
        <v>191</v>
      </c>
      <c r="IS2501" s="181">
        <v>110</v>
      </c>
      <c r="IT2501" s="181">
        <v>1151</v>
      </c>
    </row>
    <row r="2502" spans="1:286">
      <c r="A2502" s="181" t="s">
        <v>243</v>
      </c>
      <c r="I2502" s="181" t="s">
        <v>2602</v>
      </c>
      <c r="J2502" s="1185"/>
      <c r="GR2502" s="181" t="s">
        <v>871</v>
      </c>
      <c r="GS2502" s="181">
        <v>0</v>
      </c>
      <c r="GT2502" s="181">
        <v>0</v>
      </c>
      <c r="HL2502" s="181" t="s">
        <v>2629</v>
      </c>
      <c r="HM2502" s="181">
        <v>2271577.3376088003</v>
      </c>
      <c r="HN2502" s="181">
        <v>843169.27925453999</v>
      </c>
      <c r="IO2502" s="181" t="s">
        <v>994</v>
      </c>
      <c r="IP2502" s="181" t="s">
        <v>1000</v>
      </c>
      <c r="IQ2502" s="181">
        <v>0</v>
      </c>
      <c r="IR2502" s="181">
        <v>0</v>
      </c>
      <c r="IS2502" s="181">
        <v>0</v>
      </c>
      <c r="IT2502" s="181">
        <v>0</v>
      </c>
    </row>
    <row r="2503" spans="1:286">
      <c r="A2503" s="181" t="s">
        <v>243</v>
      </c>
      <c r="I2503" s="181" t="s">
        <v>2603</v>
      </c>
      <c r="J2503" s="1185"/>
      <c r="GR2503" s="181" t="s">
        <v>871</v>
      </c>
      <c r="GS2503" s="181">
        <v>0</v>
      </c>
      <c r="GT2503" s="181">
        <v>0</v>
      </c>
      <c r="HL2503" s="181" t="s">
        <v>2630</v>
      </c>
      <c r="HM2503" s="181">
        <v>6088</v>
      </c>
      <c r="HN2503" s="181">
        <v>6088</v>
      </c>
      <c r="IO2503" s="181" t="s">
        <v>994</v>
      </c>
      <c r="IP2503" s="181" t="s">
        <v>1001</v>
      </c>
      <c r="IQ2503" s="181">
        <v>0</v>
      </c>
      <c r="IR2503" s="181">
        <v>0</v>
      </c>
      <c r="IS2503" s="181">
        <v>0</v>
      </c>
      <c r="IT2503" s="181">
        <v>0</v>
      </c>
    </row>
    <row r="2504" spans="1:286">
      <c r="A2504" s="181" t="s">
        <v>243</v>
      </c>
      <c r="I2504" s="181" t="s">
        <v>2604</v>
      </c>
      <c r="GR2504" s="181" t="s">
        <v>871</v>
      </c>
      <c r="GS2504" s="181">
        <v>0</v>
      </c>
      <c r="GT2504" s="181">
        <v>0</v>
      </c>
      <c r="IO2504" s="181" t="s">
        <v>994</v>
      </c>
      <c r="IP2504" s="181" t="s">
        <v>1002</v>
      </c>
      <c r="IQ2504" s="181">
        <v>34</v>
      </c>
      <c r="IR2504" s="181">
        <v>200</v>
      </c>
      <c r="IS2504" s="181">
        <v>109</v>
      </c>
      <c r="IT2504" s="181">
        <v>1160</v>
      </c>
    </row>
    <row r="2505" spans="1:286">
      <c r="A2505" s="181" t="s">
        <v>243</v>
      </c>
      <c r="I2505" s="181" t="s">
        <v>2605</v>
      </c>
      <c r="GR2505" s="181" t="s">
        <v>872</v>
      </c>
      <c r="GS2505" s="181">
        <v>0</v>
      </c>
      <c r="GT2505" s="181">
        <v>0</v>
      </c>
      <c r="IO2505" s="181" t="s">
        <v>994</v>
      </c>
      <c r="IP2505" s="181" t="s">
        <v>993</v>
      </c>
      <c r="IQ2505" s="181">
        <v>69</v>
      </c>
      <c r="IR2505" s="181">
        <v>391</v>
      </c>
      <c r="IS2505" s="181">
        <v>294</v>
      </c>
      <c r="IT2505" s="181">
        <v>3271</v>
      </c>
    </row>
    <row r="2506" spans="1:286">
      <c r="A2506" s="181" t="s">
        <v>243</v>
      </c>
      <c r="I2506" s="181" t="s">
        <v>2150</v>
      </c>
      <c r="GR2506" s="181" t="s">
        <v>1807</v>
      </c>
      <c r="GS2506" s="181">
        <v>0</v>
      </c>
      <c r="GT2506" s="181">
        <v>0</v>
      </c>
      <c r="IO2506" s="181" t="s">
        <v>1003</v>
      </c>
      <c r="IP2506" s="181" t="s">
        <v>1004</v>
      </c>
      <c r="IQ2506" s="181">
        <v>0</v>
      </c>
      <c r="IR2506" s="181">
        <v>0</v>
      </c>
      <c r="IS2506" s="181">
        <v>0</v>
      </c>
      <c r="IT2506" s="181">
        <v>0</v>
      </c>
    </row>
    <row r="2507" spans="1:286">
      <c r="A2507" s="181" t="s">
        <v>243</v>
      </c>
      <c r="I2507" s="181" t="s">
        <v>2134</v>
      </c>
      <c r="GR2507" s="181" t="s">
        <v>873</v>
      </c>
      <c r="GS2507" s="181">
        <v>0</v>
      </c>
      <c r="GT2507" s="181">
        <v>0</v>
      </c>
      <c r="IO2507" s="181" t="s">
        <v>1003</v>
      </c>
      <c r="IP2507" s="181" t="s">
        <v>1005</v>
      </c>
      <c r="IS2507" s="181">
        <v>0</v>
      </c>
      <c r="IT2507" s="181">
        <v>0</v>
      </c>
    </row>
    <row r="2508" spans="1:286">
      <c r="A2508" s="181" t="s">
        <v>243</v>
      </c>
      <c r="I2508" s="181" t="s">
        <v>2185</v>
      </c>
      <c r="GR2508" s="181" t="s">
        <v>873</v>
      </c>
      <c r="GS2508" s="181">
        <v>0</v>
      </c>
      <c r="GT2508" s="181">
        <v>0</v>
      </c>
      <c r="IO2508" s="181" t="s">
        <v>1003</v>
      </c>
      <c r="IP2508" s="181" t="s">
        <v>1005</v>
      </c>
      <c r="IS2508" s="181">
        <v>0</v>
      </c>
      <c r="IT2508" s="181">
        <v>0</v>
      </c>
    </row>
    <row r="2509" spans="1:286">
      <c r="A2509" s="181" t="s">
        <v>243</v>
      </c>
      <c r="I2509" s="181" t="s">
        <v>2158</v>
      </c>
      <c r="GR2509" s="181" t="s">
        <v>873</v>
      </c>
      <c r="GS2509" s="181">
        <v>0</v>
      </c>
      <c r="GT2509" s="181">
        <v>0</v>
      </c>
      <c r="IO2509" s="181" t="s">
        <v>1003</v>
      </c>
      <c r="IP2509" s="181" t="s">
        <v>993</v>
      </c>
      <c r="IQ2509" s="181">
        <v>0</v>
      </c>
      <c r="IR2509" s="181">
        <v>0</v>
      </c>
      <c r="IS2509" s="181">
        <v>0</v>
      </c>
      <c r="IT2509" s="181">
        <v>0</v>
      </c>
    </row>
    <row r="2510" spans="1:286">
      <c r="A2510" s="181" t="s">
        <v>243</v>
      </c>
      <c r="I2510" s="181" t="s">
        <v>1330</v>
      </c>
      <c r="GR2510" s="181" t="s">
        <v>308</v>
      </c>
      <c r="GS2510" s="181">
        <v>0</v>
      </c>
      <c r="GT2510" s="181">
        <v>0</v>
      </c>
      <c r="IO2510" s="181" t="s">
        <v>1006</v>
      </c>
      <c r="IP2510" s="181" t="s">
        <v>1007</v>
      </c>
      <c r="IQ2510" s="181">
        <v>0</v>
      </c>
      <c r="IR2510" s="181">
        <v>0</v>
      </c>
      <c r="IS2510" s="181">
        <v>0</v>
      </c>
      <c r="IT2510" s="181">
        <v>0</v>
      </c>
    </row>
    <row r="2511" spans="1:286">
      <c r="A2511" s="181" t="s">
        <v>243</v>
      </c>
      <c r="GR2511" s="181" t="s">
        <v>874</v>
      </c>
      <c r="GS2511" s="181">
        <v>0</v>
      </c>
      <c r="GT2511" s="181">
        <v>0</v>
      </c>
      <c r="IO2511" s="181" t="s">
        <v>1006</v>
      </c>
      <c r="IP2511" s="181" t="s">
        <v>1008</v>
      </c>
      <c r="IQ2511" s="181">
        <v>0</v>
      </c>
      <c r="IR2511" s="181">
        <v>0</v>
      </c>
      <c r="IS2511" s="181">
        <v>0</v>
      </c>
      <c r="IT2511" s="181">
        <v>0</v>
      </c>
    </row>
    <row r="2512" spans="1:286">
      <c r="A2512" s="181" t="s">
        <v>243</v>
      </c>
      <c r="GR2512" s="181" t="s">
        <v>874</v>
      </c>
      <c r="GS2512" s="181">
        <v>0</v>
      </c>
      <c r="GT2512" s="181">
        <v>0</v>
      </c>
      <c r="IO2512" s="181" t="s">
        <v>1006</v>
      </c>
      <c r="IP2512" s="181" t="s">
        <v>1009</v>
      </c>
      <c r="IQ2512" s="181">
        <v>0</v>
      </c>
      <c r="IR2512" s="181">
        <v>0</v>
      </c>
      <c r="IS2512" s="181">
        <v>0</v>
      </c>
      <c r="IT2512" s="181">
        <v>0</v>
      </c>
    </row>
    <row r="2513" spans="1:254">
      <c r="A2513" s="181" t="s">
        <v>243</v>
      </c>
      <c r="GR2513" s="181" t="s">
        <v>874</v>
      </c>
      <c r="GS2513" s="181">
        <v>0</v>
      </c>
      <c r="GT2513" s="181">
        <v>0</v>
      </c>
      <c r="IO2513" s="181" t="s">
        <v>1006</v>
      </c>
      <c r="IP2513" s="181" t="s">
        <v>1010</v>
      </c>
      <c r="IQ2513" s="181">
        <v>0</v>
      </c>
      <c r="IR2513" s="181">
        <v>0</v>
      </c>
      <c r="IS2513" s="181">
        <v>0</v>
      </c>
      <c r="IT2513" s="181">
        <v>0</v>
      </c>
    </row>
    <row r="2514" spans="1:254">
      <c r="A2514" s="181" t="s">
        <v>243</v>
      </c>
      <c r="GR2514" s="181" t="s">
        <v>874</v>
      </c>
      <c r="GS2514" s="181">
        <v>0</v>
      </c>
      <c r="GT2514" s="181">
        <v>0</v>
      </c>
      <c r="IO2514" s="181" t="s">
        <v>1006</v>
      </c>
      <c r="IP2514" s="181" t="s">
        <v>993</v>
      </c>
      <c r="IQ2514" s="181">
        <v>0</v>
      </c>
      <c r="IR2514" s="181">
        <v>0</v>
      </c>
      <c r="IS2514" s="181">
        <v>0</v>
      </c>
      <c r="IT2514" s="181">
        <v>0</v>
      </c>
    </row>
    <row r="2515" spans="1:254">
      <c r="A2515" s="181" t="s">
        <v>243</v>
      </c>
      <c r="GR2515" s="181" t="s">
        <v>969</v>
      </c>
      <c r="GS2515" s="181">
        <v>11980.016</v>
      </c>
      <c r="GT2515" s="181">
        <v>23960.031999999999</v>
      </c>
    </row>
    <row r="2516" spans="1:254">
      <c r="A2516" s="181" t="s">
        <v>243</v>
      </c>
      <c r="GR2516" s="181" t="s">
        <v>1360</v>
      </c>
      <c r="GS2516" s="181">
        <v>22.194666666666667</v>
      </c>
      <c r="GT2516" s="181">
        <v>44.389333333333333</v>
      </c>
    </row>
    <row r="2517" spans="1:254">
      <c r="A2517" s="181" t="s">
        <v>243</v>
      </c>
      <c r="GR2517" s="181" t="s">
        <v>1808</v>
      </c>
      <c r="GS2517" s="181">
        <v>392200.13142526668</v>
      </c>
      <c r="GT2517" s="181">
        <v>784400.26285053336</v>
      </c>
    </row>
    <row r="2518" spans="1:254">
      <c r="A2518" s="181" t="s">
        <v>243</v>
      </c>
      <c r="GR2518" s="181" t="s">
        <v>1361</v>
      </c>
      <c r="GS2518" s="181">
        <v>46896.5</v>
      </c>
      <c r="GT2518" s="181">
        <v>93793</v>
      </c>
    </row>
    <row r="2519" spans="1:254">
      <c r="A2519" s="181" t="s">
        <v>243</v>
      </c>
      <c r="GR2519" s="181">
        <v>0</v>
      </c>
      <c r="GS2519" s="181">
        <v>0</v>
      </c>
      <c r="GT2519" s="181">
        <v>0</v>
      </c>
    </row>
    <row r="2520" spans="1:254">
      <c r="A2520" s="181" t="s">
        <v>243</v>
      </c>
      <c r="GR2520" s="181">
        <v>0</v>
      </c>
      <c r="GS2520" s="181">
        <v>0</v>
      </c>
      <c r="GT2520" s="181">
        <v>0</v>
      </c>
    </row>
    <row r="2521" spans="1:254">
      <c r="A2521" s="181" t="s">
        <v>243</v>
      </c>
      <c r="GR2521" s="181">
        <v>0</v>
      </c>
      <c r="GS2521" s="181">
        <v>0</v>
      </c>
      <c r="GT2521" s="181">
        <v>0</v>
      </c>
    </row>
    <row r="2522" spans="1:254">
      <c r="A2522" s="181" t="s">
        <v>243</v>
      </c>
      <c r="GR2522" s="181">
        <v>0</v>
      </c>
      <c r="GS2522" s="181">
        <v>0</v>
      </c>
      <c r="GT2522" s="181">
        <v>0</v>
      </c>
    </row>
    <row r="2523" spans="1:254">
      <c r="A2523" s="181" t="s">
        <v>243</v>
      </c>
      <c r="GR2523" s="181">
        <v>0</v>
      </c>
      <c r="GS2523" s="181">
        <v>0</v>
      </c>
      <c r="GT2523" s="181">
        <v>0</v>
      </c>
    </row>
    <row r="2524" spans="1:254">
      <c r="A2524" s="181" t="s">
        <v>243</v>
      </c>
      <c r="GR2524" s="181">
        <v>0</v>
      </c>
      <c r="GS2524" s="181">
        <v>0</v>
      </c>
      <c r="GT2524" s="181">
        <v>0</v>
      </c>
    </row>
    <row r="2525" spans="1:254">
      <c r="A2525" s="181" t="s">
        <v>243</v>
      </c>
      <c r="GR2525" s="181">
        <v>0</v>
      </c>
      <c r="GS2525" s="181">
        <v>0</v>
      </c>
      <c r="GT2525" s="181">
        <v>0</v>
      </c>
    </row>
    <row r="2526" spans="1:254">
      <c r="A2526" s="181" t="s">
        <v>243</v>
      </c>
      <c r="GR2526" s="181">
        <v>0</v>
      </c>
      <c r="GS2526" s="181">
        <v>0</v>
      </c>
      <c r="GT2526" s="181">
        <v>0</v>
      </c>
    </row>
    <row r="2527" spans="1:254">
      <c r="A2527" s="181" t="s">
        <v>243</v>
      </c>
      <c r="GR2527" s="181">
        <v>0</v>
      </c>
      <c r="GS2527" s="181">
        <v>0</v>
      </c>
      <c r="GT2527" s="181">
        <v>0</v>
      </c>
    </row>
    <row r="2528" spans="1:254">
      <c r="A2528" s="181" t="s">
        <v>243</v>
      </c>
      <c r="GR2528" s="181">
        <v>0</v>
      </c>
      <c r="GS2528" s="181">
        <v>0</v>
      </c>
      <c r="GT2528" s="181">
        <v>0</v>
      </c>
    </row>
    <row r="2529" spans="1:202">
      <c r="A2529" s="181" t="s">
        <v>243</v>
      </c>
      <c r="GR2529" s="181">
        <v>0</v>
      </c>
      <c r="GS2529" s="181">
        <v>0</v>
      </c>
      <c r="GT2529" s="181">
        <v>0</v>
      </c>
    </row>
    <row r="2530" spans="1:202">
      <c r="A2530" s="181" t="s">
        <v>243</v>
      </c>
      <c r="GR2530" s="181" t="s">
        <v>1809</v>
      </c>
      <c r="GS2530" s="181">
        <v>0</v>
      </c>
      <c r="GT2530" s="181">
        <v>0</v>
      </c>
    </row>
    <row r="2531" spans="1:202">
      <c r="A2531" s="181" t="s">
        <v>243</v>
      </c>
      <c r="GR2531" s="181" t="s">
        <v>1810</v>
      </c>
      <c r="GS2531" s="181">
        <v>0</v>
      </c>
      <c r="GT2531" s="181">
        <v>0</v>
      </c>
    </row>
    <row r="2532" spans="1:202">
      <c r="A2532" s="181" t="s">
        <v>243</v>
      </c>
      <c r="GR2532" s="181" t="s">
        <v>1810</v>
      </c>
      <c r="GS2532" s="181">
        <v>0</v>
      </c>
      <c r="GT2532" s="181">
        <v>0</v>
      </c>
    </row>
    <row r="2533" spans="1:202">
      <c r="A2533" s="181" t="s">
        <v>243</v>
      </c>
      <c r="GS2533" s="181">
        <v>2843003.4131822879</v>
      </c>
      <c r="GT2533" s="181">
        <v>17786047.717210706</v>
      </c>
    </row>
    <row r="2534" spans="1:202">
      <c r="A2534" s="181" t="s">
        <v>243</v>
      </c>
      <c r="GR2534" s="181" t="s">
        <v>151</v>
      </c>
      <c r="GS2534" s="181">
        <v>0</v>
      </c>
      <c r="GT2534" s="181">
        <v>0</v>
      </c>
    </row>
    <row r="2535" spans="1:202">
      <c r="A2535" s="181" t="s">
        <v>243</v>
      </c>
      <c r="GR2535" s="181" t="s">
        <v>875</v>
      </c>
      <c r="GS2535" s="181">
        <v>0</v>
      </c>
      <c r="GT2535" s="181">
        <v>0</v>
      </c>
    </row>
    <row r="2536" spans="1:202">
      <c r="A2536" s="181" t="s">
        <v>243</v>
      </c>
      <c r="GR2536" s="181" t="s">
        <v>875</v>
      </c>
      <c r="GS2536" s="181">
        <v>0</v>
      </c>
      <c r="GT2536" s="181">
        <v>0</v>
      </c>
    </row>
    <row r="2537" spans="1:202">
      <c r="A2537" s="181" t="s">
        <v>243</v>
      </c>
      <c r="GR2537" s="181" t="s">
        <v>875</v>
      </c>
      <c r="GS2537" s="181">
        <v>0</v>
      </c>
      <c r="GT2537" s="181">
        <v>0</v>
      </c>
    </row>
    <row r="2538" spans="1:202">
      <c r="A2538" s="181" t="s">
        <v>243</v>
      </c>
      <c r="GR2538" s="181" t="s">
        <v>875</v>
      </c>
      <c r="GS2538" s="181">
        <v>0</v>
      </c>
      <c r="GT2538" s="181">
        <v>0</v>
      </c>
    </row>
    <row r="2539" spans="1:202">
      <c r="A2539" s="181" t="s">
        <v>243</v>
      </c>
      <c r="GR2539" s="181" t="s">
        <v>875</v>
      </c>
      <c r="GS2539" s="181">
        <v>0</v>
      </c>
      <c r="GT2539" s="181">
        <v>0</v>
      </c>
    </row>
    <row r="2540" spans="1:202">
      <c r="A2540" s="181" t="s">
        <v>243</v>
      </c>
      <c r="GR2540" s="181" t="s">
        <v>310</v>
      </c>
      <c r="GS2540" s="181">
        <v>0</v>
      </c>
      <c r="GT2540" s="181">
        <v>0</v>
      </c>
    </row>
    <row r="2541" spans="1:202">
      <c r="A2541" s="181" t="s">
        <v>243</v>
      </c>
      <c r="GR2541" s="181" t="s">
        <v>310</v>
      </c>
      <c r="GS2541" s="181">
        <v>0</v>
      </c>
      <c r="GT2541" s="181">
        <v>0</v>
      </c>
    </row>
    <row r="2542" spans="1:202">
      <c r="A2542" s="181" t="s">
        <v>243</v>
      </c>
      <c r="GR2542" s="181" t="s">
        <v>310</v>
      </c>
      <c r="GS2542" s="181">
        <v>0</v>
      </c>
      <c r="GT2542" s="181">
        <v>0</v>
      </c>
    </row>
    <row r="2543" spans="1:202">
      <c r="A2543" s="181" t="s">
        <v>243</v>
      </c>
      <c r="GR2543" s="181" t="s">
        <v>310</v>
      </c>
      <c r="GS2543" s="181">
        <v>0</v>
      </c>
      <c r="GT2543" s="181">
        <v>0</v>
      </c>
    </row>
    <row r="2544" spans="1:202">
      <c r="A2544" s="181" t="s">
        <v>243</v>
      </c>
      <c r="GR2544" s="181" t="s">
        <v>876</v>
      </c>
      <c r="GS2544" s="181">
        <v>1000000</v>
      </c>
      <c r="GT2544" s="181">
        <v>1000000</v>
      </c>
    </row>
    <row r="2545" spans="1:202">
      <c r="A2545" s="181" t="s">
        <v>243</v>
      </c>
      <c r="GR2545" s="181" t="s">
        <v>876</v>
      </c>
      <c r="GS2545" s="181">
        <v>0</v>
      </c>
      <c r="GT2545" s="181">
        <v>0</v>
      </c>
    </row>
    <row r="2546" spans="1:202">
      <c r="A2546" s="181" t="s">
        <v>243</v>
      </c>
      <c r="GR2546" s="181" t="s">
        <v>876</v>
      </c>
      <c r="GS2546" s="181">
        <v>0</v>
      </c>
      <c r="GT2546" s="181">
        <v>0</v>
      </c>
    </row>
    <row r="2547" spans="1:202">
      <c r="A2547" s="181" t="s">
        <v>243</v>
      </c>
      <c r="GR2547" s="181" t="s">
        <v>876</v>
      </c>
      <c r="GS2547" s="181">
        <v>0</v>
      </c>
      <c r="GT2547" s="181">
        <v>0</v>
      </c>
    </row>
    <row r="2548" spans="1:202">
      <c r="A2548" s="181" t="s">
        <v>243</v>
      </c>
      <c r="GR2548" s="181" t="s">
        <v>876</v>
      </c>
      <c r="GS2548" s="181">
        <v>0</v>
      </c>
      <c r="GT2548" s="181">
        <v>0</v>
      </c>
    </row>
    <row r="2549" spans="1:202">
      <c r="A2549" s="181" t="s">
        <v>243</v>
      </c>
      <c r="GR2549" s="181" t="s">
        <v>970</v>
      </c>
      <c r="GS2549" s="181">
        <v>2756.9352439499994</v>
      </c>
      <c r="GT2549" s="181">
        <v>5513.8704878999988</v>
      </c>
    </row>
    <row r="2550" spans="1:202">
      <c r="A2550" s="181" t="s">
        <v>243</v>
      </c>
      <c r="GR2550" s="181" t="s">
        <v>1811</v>
      </c>
      <c r="GS2550" s="181">
        <v>2335.3228750000003</v>
      </c>
      <c r="GT2550" s="181">
        <v>4670.6457500000006</v>
      </c>
    </row>
    <row r="2551" spans="1:202">
      <c r="A2551" s="181" t="s">
        <v>243</v>
      </c>
      <c r="GR2551" s="181" t="s">
        <v>1364</v>
      </c>
      <c r="GS2551" s="181">
        <v>8736.460913375</v>
      </c>
      <c r="GT2551" s="181">
        <v>17472.92182675</v>
      </c>
    </row>
    <row r="2552" spans="1:202">
      <c r="A2552" s="181" t="s">
        <v>243</v>
      </c>
      <c r="GR2552" s="181" t="s">
        <v>667</v>
      </c>
      <c r="GS2552" s="181">
        <v>0</v>
      </c>
      <c r="GT2552" s="181">
        <v>0</v>
      </c>
    </row>
    <row r="2553" spans="1:202">
      <c r="A2553" s="181" t="s">
        <v>243</v>
      </c>
      <c r="GR2553" s="181" t="s">
        <v>1812</v>
      </c>
      <c r="GS2553" s="181">
        <v>923.00995423125164</v>
      </c>
      <c r="GT2553" s="181">
        <v>1846.0199084625033</v>
      </c>
    </row>
    <row r="2554" spans="1:202">
      <c r="A2554" s="181" t="s">
        <v>243</v>
      </c>
      <c r="GR2554" s="181">
        <v>0</v>
      </c>
      <c r="GS2554" s="181">
        <v>0</v>
      </c>
      <c r="GT2554" s="181">
        <v>0</v>
      </c>
    </row>
    <row r="2555" spans="1:202">
      <c r="A2555" s="181" t="s">
        <v>243</v>
      </c>
      <c r="GR2555" s="181">
        <v>0</v>
      </c>
      <c r="GS2555" s="181">
        <v>0</v>
      </c>
      <c r="GT2555" s="181">
        <v>0</v>
      </c>
    </row>
    <row r="2556" spans="1:202">
      <c r="A2556" s="181" t="s">
        <v>243</v>
      </c>
      <c r="GR2556" s="181">
        <v>0</v>
      </c>
      <c r="GS2556" s="181">
        <v>0</v>
      </c>
      <c r="GT2556" s="181">
        <v>0</v>
      </c>
    </row>
    <row r="2557" spans="1:202">
      <c r="A2557" s="181" t="s">
        <v>243</v>
      </c>
      <c r="GR2557" s="181">
        <v>0</v>
      </c>
      <c r="GS2557" s="181">
        <v>0</v>
      </c>
      <c r="GT2557" s="181">
        <v>0</v>
      </c>
    </row>
    <row r="2558" spans="1:202">
      <c r="A2558" s="181" t="s">
        <v>243</v>
      </c>
      <c r="GR2558" s="181">
        <v>0</v>
      </c>
      <c r="GS2558" s="181">
        <v>0</v>
      </c>
      <c r="GT2558" s="181">
        <v>0</v>
      </c>
    </row>
    <row r="2559" spans="1:202">
      <c r="A2559" s="181" t="s">
        <v>243</v>
      </c>
      <c r="GR2559" s="181">
        <v>0</v>
      </c>
      <c r="GS2559" s="181">
        <v>0</v>
      </c>
      <c r="GT2559" s="181">
        <v>0</v>
      </c>
    </row>
    <row r="2560" spans="1:202">
      <c r="A2560" s="181" t="s">
        <v>243</v>
      </c>
      <c r="GR2560" s="181">
        <v>0</v>
      </c>
      <c r="GS2560" s="181">
        <v>0</v>
      </c>
      <c r="GT2560" s="181">
        <v>0</v>
      </c>
    </row>
    <row r="2561" spans="1:202">
      <c r="A2561" s="181" t="s">
        <v>243</v>
      </c>
      <c r="GR2561" s="181">
        <v>0</v>
      </c>
      <c r="GS2561" s="181">
        <v>0</v>
      </c>
      <c r="GT2561" s="181">
        <v>0</v>
      </c>
    </row>
    <row r="2562" spans="1:202">
      <c r="A2562" s="181" t="s">
        <v>243</v>
      </c>
      <c r="GR2562" s="181">
        <v>0</v>
      </c>
      <c r="GS2562" s="181">
        <v>0</v>
      </c>
      <c r="GT2562" s="181">
        <v>0</v>
      </c>
    </row>
    <row r="2563" spans="1:202">
      <c r="A2563" s="181" t="s">
        <v>243</v>
      </c>
      <c r="GR2563" s="181">
        <v>0</v>
      </c>
      <c r="GS2563" s="181">
        <v>0</v>
      </c>
      <c r="GT2563" s="181">
        <v>0</v>
      </c>
    </row>
    <row r="2564" spans="1:202">
      <c r="A2564" s="181" t="s">
        <v>243</v>
      </c>
      <c r="GS2564" s="181">
        <v>1014751.7289865561</v>
      </c>
      <c r="GT2564" s="181">
        <v>1029503.4579731122</v>
      </c>
    </row>
    <row r="2565" spans="1:202">
      <c r="A2565" s="181" t="s">
        <v>243</v>
      </c>
      <c r="GR2565" s="181" t="s">
        <v>1813</v>
      </c>
      <c r="GS2565" s="181">
        <v>0</v>
      </c>
      <c r="GT2565" s="181">
        <v>0</v>
      </c>
    </row>
    <row r="2566" spans="1:202">
      <c r="A2566" s="181" t="s">
        <v>243</v>
      </c>
      <c r="GS2566" s="181">
        <v>3857755.1421688441</v>
      </c>
      <c r="GT2566" s="181">
        <v>18815551.175183818</v>
      </c>
    </row>
    <row r="2567" spans="1:202">
      <c r="A2567" s="181" t="s">
        <v>243</v>
      </c>
      <c r="GR2567" s="181" t="s">
        <v>312</v>
      </c>
      <c r="GS2567" s="181">
        <v>0</v>
      </c>
      <c r="GT2567" s="181">
        <v>0</v>
      </c>
    </row>
    <row r="2568" spans="1:202">
      <c r="A2568" s="181" t="s">
        <v>243</v>
      </c>
      <c r="GR2568" s="181" t="s">
        <v>312</v>
      </c>
      <c r="GS2568" s="181">
        <v>0</v>
      </c>
      <c r="GT2568" s="181">
        <v>0</v>
      </c>
    </row>
    <row r="2569" spans="1:202">
      <c r="A2569" s="181" t="s">
        <v>243</v>
      </c>
      <c r="GR2569" s="181" t="s">
        <v>312</v>
      </c>
      <c r="GS2569" s="181">
        <v>0</v>
      </c>
      <c r="GT2569" s="181">
        <v>0</v>
      </c>
    </row>
    <row r="2570" spans="1:202">
      <c r="A2570" s="181" t="s">
        <v>243</v>
      </c>
      <c r="GR2570" s="181" t="s">
        <v>312</v>
      </c>
      <c r="GS2570" s="181">
        <v>0</v>
      </c>
      <c r="GT2570" s="181">
        <v>0</v>
      </c>
    </row>
    <row r="2571" spans="1:202">
      <c r="A2571" s="181" t="s">
        <v>243</v>
      </c>
      <c r="GR2571" s="181" t="s">
        <v>312</v>
      </c>
      <c r="GS2571" s="181">
        <v>0</v>
      </c>
      <c r="GT2571" s="181">
        <v>0</v>
      </c>
    </row>
    <row r="2572" spans="1:202">
      <c r="A2572" s="181" t="s">
        <v>243</v>
      </c>
      <c r="GR2572" s="181" t="s">
        <v>312</v>
      </c>
      <c r="GS2572" s="181">
        <v>0</v>
      </c>
      <c r="GT2572" s="181">
        <v>0</v>
      </c>
    </row>
    <row r="2573" spans="1:202">
      <c r="A2573" s="181" t="s">
        <v>243</v>
      </c>
      <c r="GR2573" s="181" t="s">
        <v>312</v>
      </c>
      <c r="GS2573" s="181">
        <v>0</v>
      </c>
      <c r="GT2573" s="181">
        <v>0</v>
      </c>
    </row>
    <row r="2574" spans="1:202">
      <c r="A2574" s="181" t="s">
        <v>243</v>
      </c>
      <c r="GR2574" s="181" t="s">
        <v>1823</v>
      </c>
      <c r="GS2574" s="181">
        <v>0</v>
      </c>
      <c r="GT2574" s="181">
        <v>0</v>
      </c>
    </row>
    <row r="2575" spans="1:202">
      <c r="A2575" s="181" t="s">
        <v>243</v>
      </c>
      <c r="GR2575" s="181" t="s">
        <v>1824</v>
      </c>
      <c r="GS2575" s="181">
        <v>0</v>
      </c>
      <c r="GT2575" s="181">
        <v>0</v>
      </c>
    </row>
    <row r="2576" spans="1:202">
      <c r="A2576" s="181" t="s">
        <v>243</v>
      </c>
      <c r="GR2576" s="181" t="s">
        <v>1824</v>
      </c>
      <c r="GS2576" s="181">
        <v>0</v>
      </c>
      <c r="GT2576" s="181">
        <v>0</v>
      </c>
    </row>
    <row r="2577" spans="1:202">
      <c r="A2577" s="181" t="s">
        <v>243</v>
      </c>
      <c r="GR2577" s="181" t="s">
        <v>1824</v>
      </c>
      <c r="GS2577" s="181">
        <v>0</v>
      </c>
      <c r="GT2577" s="181">
        <v>0</v>
      </c>
    </row>
    <row r="2578" spans="1:202">
      <c r="A2578" s="181" t="s">
        <v>243</v>
      </c>
      <c r="GR2578" s="181" t="s">
        <v>1824</v>
      </c>
      <c r="GS2578" s="181">
        <v>0</v>
      </c>
      <c r="GT2578" s="181">
        <v>0</v>
      </c>
    </row>
    <row r="2579" spans="1:202">
      <c r="A2579" s="181" t="s">
        <v>243</v>
      </c>
      <c r="GR2579" s="181" t="s">
        <v>1824</v>
      </c>
      <c r="GS2579" s="181">
        <v>0</v>
      </c>
      <c r="GT2579" s="181">
        <v>0</v>
      </c>
    </row>
    <row r="2580" spans="1:202">
      <c r="A2580" s="181" t="s">
        <v>243</v>
      </c>
      <c r="GR2580" s="181" t="s">
        <v>1824</v>
      </c>
      <c r="GS2580" s="181">
        <v>0</v>
      </c>
      <c r="GT2580" s="181">
        <v>0</v>
      </c>
    </row>
    <row r="2581" spans="1:202">
      <c r="A2581" s="181" t="s">
        <v>243</v>
      </c>
      <c r="GR2581" s="181" t="s">
        <v>1824</v>
      </c>
      <c r="GS2581" s="181">
        <v>0</v>
      </c>
      <c r="GT2581" s="181">
        <v>0</v>
      </c>
    </row>
    <row r="2582" spans="1:202">
      <c r="A2582" s="181" t="s">
        <v>243</v>
      </c>
      <c r="GR2582" s="181" t="s">
        <v>1824</v>
      </c>
      <c r="GS2582" s="181">
        <v>0</v>
      </c>
      <c r="GT2582" s="181">
        <v>0</v>
      </c>
    </row>
    <row r="2583" spans="1:202">
      <c r="A2583" s="181" t="s">
        <v>243</v>
      </c>
      <c r="GR2583" s="181" t="s">
        <v>1824</v>
      </c>
      <c r="GS2583" s="181">
        <v>0</v>
      </c>
      <c r="GT2583" s="181">
        <v>0</v>
      </c>
    </row>
    <row r="2584" spans="1:202">
      <c r="A2584" s="181" t="s">
        <v>243</v>
      </c>
      <c r="GR2584" s="181" t="s">
        <v>1825</v>
      </c>
      <c r="GS2584" s="181">
        <v>0</v>
      </c>
      <c r="GT2584" s="181">
        <v>0</v>
      </c>
    </row>
    <row r="2585" spans="1:202">
      <c r="A2585" s="181" t="s">
        <v>243</v>
      </c>
      <c r="GR2585" s="181" t="s">
        <v>1715</v>
      </c>
      <c r="GS2585" s="181">
        <v>1002993.4518391212</v>
      </c>
      <c r="GT2585" s="181">
        <v>6806751.0001513865</v>
      </c>
    </row>
    <row r="2586" spans="1:202">
      <c r="A2586" s="181" t="s">
        <v>243</v>
      </c>
      <c r="GR2586" s="181" t="s">
        <v>880</v>
      </c>
      <c r="GS2586" s="181">
        <v>297605.00664104411</v>
      </c>
      <c r="GT2586" s="181">
        <v>836345.48082667822</v>
      </c>
    </row>
    <row r="2587" spans="1:202">
      <c r="A2587" s="181" t="s">
        <v>243</v>
      </c>
      <c r="GR2587" s="181" t="s">
        <v>881</v>
      </c>
      <c r="GS2587" s="181">
        <v>1469704.445691851</v>
      </c>
      <c r="GT2587" s="181">
        <v>7971419.8913837019</v>
      </c>
    </row>
    <row r="2588" spans="1:202">
      <c r="A2588" s="181" t="s">
        <v>243</v>
      </c>
      <c r="GR2588" s="181" t="s">
        <v>1362</v>
      </c>
      <c r="GS2588" s="181">
        <v>0</v>
      </c>
      <c r="GT2588" s="181">
        <v>0</v>
      </c>
    </row>
    <row r="2589" spans="1:202">
      <c r="A2589" s="181" t="s">
        <v>243</v>
      </c>
      <c r="GR2589" s="181" t="s">
        <v>1363</v>
      </c>
      <c r="GS2589" s="181">
        <v>0</v>
      </c>
      <c r="GT2589" s="181">
        <v>0</v>
      </c>
    </row>
    <row r="2590" spans="1:202">
      <c r="A2590" s="181" t="s">
        <v>243</v>
      </c>
      <c r="GR2590" s="181" t="s">
        <v>1814</v>
      </c>
      <c r="GS2590" s="181">
        <v>0</v>
      </c>
      <c r="GT2590" s="181">
        <v>0</v>
      </c>
    </row>
    <row r="2591" spans="1:202">
      <c r="A2591" s="181" t="s">
        <v>243</v>
      </c>
      <c r="GR2591" s="181">
        <v>0</v>
      </c>
      <c r="GS2591" s="181">
        <v>0</v>
      </c>
      <c r="GT2591" s="181">
        <v>0</v>
      </c>
    </row>
    <row r="2592" spans="1:202">
      <c r="A2592" s="181" t="s">
        <v>243</v>
      </c>
      <c r="GR2592" s="181">
        <v>0</v>
      </c>
      <c r="GS2592" s="181">
        <v>0</v>
      </c>
      <c r="GT2592" s="181">
        <v>0</v>
      </c>
    </row>
    <row r="2593" spans="1:202">
      <c r="A2593" s="181" t="s">
        <v>243</v>
      </c>
      <c r="GR2593" s="181">
        <v>0</v>
      </c>
      <c r="GS2593" s="181">
        <v>0</v>
      </c>
      <c r="GT2593" s="181">
        <v>0</v>
      </c>
    </row>
    <row r="2594" spans="1:202">
      <c r="A2594" s="181" t="s">
        <v>243</v>
      </c>
      <c r="GR2594" s="181">
        <v>0</v>
      </c>
      <c r="GS2594" s="181">
        <v>0</v>
      </c>
      <c r="GT2594" s="181">
        <v>0</v>
      </c>
    </row>
    <row r="2595" spans="1:202">
      <c r="A2595" s="181" t="s">
        <v>243</v>
      </c>
      <c r="GR2595" s="181">
        <v>0</v>
      </c>
      <c r="GS2595" s="181">
        <v>0</v>
      </c>
      <c r="GT2595" s="181">
        <v>0</v>
      </c>
    </row>
    <row r="2596" spans="1:202">
      <c r="A2596" s="181" t="s">
        <v>243</v>
      </c>
      <c r="GR2596" s="181">
        <v>0</v>
      </c>
      <c r="GS2596" s="181">
        <v>0</v>
      </c>
      <c r="GT2596" s="181">
        <v>0</v>
      </c>
    </row>
    <row r="2597" spans="1:202">
      <c r="A2597" s="181" t="s">
        <v>243</v>
      </c>
      <c r="GR2597" s="181">
        <v>0</v>
      </c>
      <c r="GS2597" s="181">
        <v>0</v>
      </c>
      <c r="GT2597" s="181">
        <v>0</v>
      </c>
    </row>
    <row r="2598" spans="1:202">
      <c r="A2598" s="181" t="s">
        <v>243</v>
      </c>
      <c r="GR2598" s="181">
        <v>0</v>
      </c>
      <c r="GS2598" s="181">
        <v>0</v>
      </c>
      <c r="GT2598" s="181">
        <v>0</v>
      </c>
    </row>
    <row r="2599" spans="1:202">
      <c r="A2599" s="181" t="s">
        <v>243</v>
      </c>
      <c r="GR2599" s="181">
        <v>0</v>
      </c>
      <c r="GS2599" s="181">
        <v>0</v>
      </c>
      <c r="GT2599" s="181">
        <v>0</v>
      </c>
    </row>
    <row r="2600" spans="1:202">
      <c r="A2600" s="181" t="s">
        <v>243</v>
      </c>
      <c r="GR2600" s="181">
        <v>0</v>
      </c>
      <c r="GS2600" s="181">
        <v>0</v>
      </c>
      <c r="GT2600" s="181">
        <v>0</v>
      </c>
    </row>
    <row r="2601" spans="1:202">
      <c r="A2601" s="181" t="s">
        <v>243</v>
      </c>
      <c r="GR2601" s="181">
        <v>0</v>
      </c>
      <c r="GS2601" s="181">
        <v>0</v>
      </c>
      <c r="GT2601" s="181">
        <v>0</v>
      </c>
    </row>
    <row r="2602" spans="1:202">
      <c r="A2602" s="181" t="s">
        <v>243</v>
      </c>
      <c r="GR2602" s="181">
        <v>0</v>
      </c>
      <c r="GS2602" s="181">
        <v>0</v>
      </c>
      <c r="GT2602" s="181">
        <v>0</v>
      </c>
    </row>
    <row r="2603" spans="1:202">
      <c r="A2603" s="181" t="s">
        <v>243</v>
      </c>
      <c r="GR2603" s="181" t="s">
        <v>876</v>
      </c>
      <c r="GS2603" s="181">
        <v>0</v>
      </c>
      <c r="GT2603" s="181">
        <v>0</v>
      </c>
    </row>
    <row r="2604" spans="1:202">
      <c r="A2604" s="181" t="s">
        <v>243</v>
      </c>
      <c r="GR2604" s="181" t="s">
        <v>1815</v>
      </c>
      <c r="GS2604" s="181">
        <v>55624.974958837498</v>
      </c>
      <c r="GT2604" s="181">
        <v>111249.949917675</v>
      </c>
    </row>
    <row r="2605" spans="1:202">
      <c r="A2605" s="181" t="s">
        <v>243</v>
      </c>
      <c r="GR2605" s="181" t="s">
        <v>1816</v>
      </c>
      <c r="GS2605" s="181">
        <v>38821.291125525</v>
      </c>
      <c r="GT2605" s="181">
        <v>77642.58225105</v>
      </c>
    </row>
    <row r="2606" spans="1:202">
      <c r="A2606" s="181" t="s">
        <v>243</v>
      </c>
      <c r="GR2606" s="181" t="s">
        <v>882</v>
      </c>
      <c r="GS2606" s="181">
        <v>0</v>
      </c>
      <c r="GT2606" s="181">
        <v>0</v>
      </c>
    </row>
    <row r="2607" spans="1:202">
      <c r="A2607" s="181" t="s">
        <v>243</v>
      </c>
      <c r="GR2607" s="181" t="s">
        <v>882</v>
      </c>
      <c r="GS2607" s="181">
        <v>0</v>
      </c>
      <c r="GT2607" s="181">
        <v>0</v>
      </c>
    </row>
    <row r="2608" spans="1:202">
      <c r="A2608" s="181" t="s">
        <v>243</v>
      </c>
      <c r="GR2608" s="181" t="s">
        <v>882</v>
      </c>
      <c r="GS2608" s="181">
        <v>0</v>
      </c>
      <c r="GT2608" s="181">
        <v>0</v>
      </c>
    </row>
    <row r="2609" spans="1:202">
      <c r="A2609" s="181" t="s">
        <v>243</v>
      </c>
      <c r="GR2609" s="181" t="s">
        <v>882</v>
      </c>
      <c r="GS2609" s="181">
        <v>0</v>
      </c>
      <c r="GT2609" s="181">
        <v>0</v>
      </c>
    </row>
    <row r="2610" spans="1:202">
      <c r="A2610" s="181" t="s">
        <v>243</v>
      </c>
      <c r="GR2610" s="181" t="s">
        <v>882</v>
      </c>
      <c r="GS2610" s="181">
        <v>0</v>
      </c>
      <c r="GT2610" s="181">
        <v>0</v>
      </c>
    </row>
    <row r="2611" spans="1:202">
      <c r="A2611" s="181" t="s">
        <v>243</v>
      </c>
      <c r="GR2611" s="181" t="s">
        <v>882</v>
      </c>
      <c r="GS2611" s="181">
        <v>0</v>
      </c>
      <c r="GT2611" s="181">
        <v>0</v>
      </c>
    </row>
    <row r="2612" spans="1:202">
      <c r="A2612" s="181" t="s">
        <v>243</v>
      </c>
      <c r="GR2612" s="181" t="s">
        <v>882</v>
      </c>
      <c r="GS2612" s="181">
        <v>0</v>
      </c>
      <c r="GT2612" s="181">
        <v>0</v>
      </c>
    </row>
    <row r="2613" spans="1:202">
      <c r="A2613" s="181" t="s">
        <v>243</v>
      </c>
      <c r="GR2613" s="181" t="s">
        <v>882</v>
      </c>
      <c r="GS2613" s="181">
        <v>0</v>
      </c>
      <c r="GT2613" s="181">
        <v>0</v>
      </c>
    </row>
    <row r="2614" spans="1:202">
      <c r="A2614" s="181" t="s">
        <v>243</v>
      </c>
      <c r="GR2614" s="181" t="s">
        <v>882</v>
      </c>
      <c r="GS2614" s="181">
        <v>0</v>
      </c>
      <c r="GT2614" s="181">
        <v>0</v>
      </c>
    </row>
    <row r="2615" spans="1:202">
      <c r="A2615" s="181" t="s">
        <v>243</v>
      </c>
      <c r="GR2615" s="181" t="s">
        <v>883</v>
      </c>
      <c r="GS2615" s="181">
        <v>0</v>
      </c>
      <c r="GT2615" s="181">
        <v>0</v>
      </c>
    </row>
    <row r="2616" spans="1:202">
      <c r="A2616" s="181" t="s">
        <v>243</v>
      </c>
      <c r="GR2616" s="181" t="s">
        <v>161</v>
      </c>
      <c r="GS2616" s="181">
        <v>0</v>
      </c>
      <c r="GT2616" s="181">
        <v>0</v>
      </c>
    </row>
    <row r="2617" spans="1:202">
      <c r="A2617" s="181" t="s">
        <v>243</v>
      </c>
      <c r="GR2617" s="181" t="s">
        <v>873</v>
      </c>
      <c r="GS2617" s="181">
        <v>0</v>
      </c>
      <c r="GT2617" s="181">
        <v>0</v>
      </c>
    </row>
    <row r="2618" spans="1:202">
      <c r="A2618" s="181" t="s">
        <v>243</v>
      </c>
      <c r="GR2618" s="181" t="s">
        <v>873</v>
      </c>
      <c r="GS2618" s="181">
        <v>0</v>
      </c>
      <c r="GT2618" s="181">
        <v>0</v>
      </c>
    </row>
    <row r="2619" spans="1:202">
      <c r="A2619" s="181" t="s">
        <v>243</v>
      </c>
      <c r="GR2619" s="181" t="s">
        <v>873</v>
      </c>
      <c r="GS2619" s="181">
        <v>0</v>
      </c>
      <c r="GT2619" s="181">
        <v>0</v>
      </c>
    </row>
    <row r="2620" spans="1:202">
      <c r="A2620" s="181" t="s">
        <v>243</v>
      </c>
      <c r="GR2620" s="181" t="s">
        <v>308</v>
      </c>
      <c r="GS2620" s="181">
        <v>0</v>
      </c>
      <c r="GT2620" s="181">
        <v>0</v>
      </c>
    </row>
    <row r="2621" spans="1:202">
      <c r="A2621" s="181" t="s">
        <v>243</v>
      </c>
      <c r="GR2621" s="181" t="s">
        <v>874</v>
      </c>
      <c r="GS2621" s="181">
        <v>0</v>
      </c>
      <c r="GT2621" s="181">
        <v>0</v>
      </c>
    </row>
    <row r="2622" spans="1:202">
      <c r="A2622" s="181" t="s">
        <v>243</v>
      </c>
      <c r="GR2622" s="181" t="s">
        <v>874</v>
      </c>
      <c r="GS2622" s="181">
        <v>0</v>
      </c>
      <c r="GT2622" s="181">
        <v>0</v>
      </c>
    </row>
    <row r="2623" spans="1:202">
      <c r="A2623" s="181" t="s">
        <v>243</v>
      </c>
      <c r="GR2623" s="181" t="s">
        <v>874</v>
      </c>
      <c r="GS2623" s="181">
        <v>0</v>
      </c>
      <c r="GT2623" s="181">
        <v>0</v>
      </c>
    </row>
    <row r="2624" spans="1:202">
      <c r="A2624" s="181" t="s">
        <v>243</v>
      </c>
      <c r="GR2624" s="181" t="s">
        <v>874</v>
      </c>
      <c r="GS2624" s="181">
        <v>0</v>
      </c>
      <c r="GT2624" s="181">
        <v>0</v>
      </c>
    </row>
    <row r="2625" spans="1:202">
      <c r="A2625" s="181" t="s">
        <v>243</v>
      </c>
      <c r="GR2625" s="181" t="s">
        <v>870</v>
      </c>
      <c r="GS2625" s="181">
        <v>136169.875</v>
      </c>
      <c r="GT2625" s="181">
        <v>272339.75</v>
      </c>
    </row>
    <row r="2626" spans="1:202">
      <c r="A2626" s="181" t="s">
        <v>243</v>
      </c>
      <c r="GR2626" s="181" t="s">
        <v>1817</v>
      </c>
      <c r="GS2626" s="181">
        <v>5145.6863281460364</v>
      </c>
      <c r="GT2626" s="181">
        <v>25097.218685643053</v>
      </c>
    </row>
    <row r="2627" spans="1:202">
      <c r="A2627" s="181" t="s">
        <v>243</v>
      </c>
      <c r="GR2627" s="181" t="s">
        <v>1826</v>
      </c>
      <c r="GS2627" s="181">
        <v>0</v>
      </c>
      <c r="GT2627" s="181">
        <v>0</v>
      </c>
    </row>
    <row r="2628" spans="1:202">
      <c r="A2628" s="181" t="s">
        <v>243</v>
      </c>
      <c r="GR2628" s="181" t="s">
        <v>1826</v>
      </c>
      <c r="GS2628" s="181">
        <v>0</v>
      </c>
      <c r="GT2628" s="181">
        <v>0</v>
      </c>
    </row>
    <row r="2629" spans="1:202">
      <c r="A2629" s="181" t="s">
        <v>243</v>
      </c>
      <c r="GS2629" s="181">
        <v>3006064.7315845247</v>
      </c>
      <c r="GT2629" s="181">
        <v>16100845.873216134</v>
      </c>
    </row>
    <row r="2630" spans="1:202">
      <c r="A2630" s="181" t="s">
        <v>243</v>
      </c>
      <c r="GR2630" s="181" t="s">
        <v>1818</v>
      </c>
      <c r="GS2630" s="181">
        <v>887507.92296000011</v>
      </c>
      <c r="GT2630" s="181">
        <v>1775015.8459200002</v>
      </c>
    </row>
    <row r="2631" spans="1:202">
      <c r="A2631" s="181" t="s">
        <v>243</v>
      </c>
      <c r="GR2631" s="181" t="s">
        <v>1819</v>
      </c>
      <c r="GS2631" s="181">
        <v>421584.63962726999</v>
      </c>
      <c r="GT2631" s="181">
        <v>843169.2792545401</v>
      </c>
    </row>
    <row r="2632" spans="1:202">
      <c r="A2632" s="181" t="s">
        <v>243</v>
      </c>
      <c r="GR2632" s="181" t="s">
        <v>1820</v>
      </c>
      <c r="GS2632" s="181">
        <v>3043.9999999999418</v>
      </c>
      <c r="GT2632" s="181">
        <v>6087.9999999998836</v>
      </c>
    </row>
    <row r="2633" spans="1:202">
      <c r="A2633" s="181" t="s">
        <v>243</v>
      </c>
      <c r="GR2633" s="181" t="s">
        <v>1821</v>
      </c>
      <c r="GS2633" s="181">
        <v>0</v>
      </c>
      <c r="GT2633" s="181">
        <v>0</v>
      </c>
    </row>
    <row r="2634" spans="1:202">
      <c r="A2634" s="181" t="s">
        <v>243</v>
      </c>
      <c r="GR2634" s="181" t="s">
        <v>875</v>
      </c>
      <c r="GS2634" s="181">
        <v>0</v>
      </c>
      <c r="GT2634" s="181">
        <v>0</v>
      </c>
    </row>
    <row r="2635" spans="1:202">
      <c r="A2635" s="181" t="s">
        <v>243</v>
      </c>
      <c r="GR2635" s="181" t="s">
        <v>875</v>
      </c>
      <c r="GS2635" s="181">
        <v>0</v>
      </c>
      <c r="GT2635" s="181">
        <v>0</v>
      </c>
    </row>
    <row r="2636" spans="1:202">
      <c r="A2636" s="181" t="s">
        <v>243</v>
      </c>
      <c r="GR2636" s="181" t="s">
        <v>310</v>
      </c>
      <c r="GS2636" s="181">
        <v>132507</v>
      </c>
      <c r="GT2636" s="181">
        <v>265014</v>
      </c>
    </row>
    <row r="2637" spans="1:202">
      <c r="A2637" s="181" t="s">
        <v>243</v>
      </c>
      <c r="GR2637" s="181" t="s">
        <v>310</v>
      </c>
      <c r="GS2637" s="181">
        <v>0</v>
      </c>
      <c r="GT2637" s="181">
        <v>0</v>
      </c>
    </row>
    <row r="2638" spans="1:202">
      <c r="A2638" s="181" t="s">
        <v>243</v>
      </c>
      <c r="GR2638" s="181" t="s">
        <v>310</v>
      </c>
      <c r="GS2638" s="181">
        <v>0</v>
      </c>
      <c r="GT2638" s="181">
        <v>0</v>
      </c>
    </row>
    <row r="2639" spans="1:202">
      <c r="A2639" s="181" t="s">
        <v>243</v>
      </c>
      <c r="GR2639" s="181" t="s">
        <v>949</v>
      </c>
      <c r="GS2639" s="181">
        <v>861.11534540000002</v>
      </c>
      <c r="GT2639" s="181">
        <v>1722.2306908000003</v>
      </c>
    </row>
    <row r="2640" spans="1:202">
      <c r="A2640" s="181" t="s">
        <v>243</v>
      </c>
      <c r="GR2640" s="181" t="s">
        <v>310</v>
      </c>
      <c r="GS2640" s="181">
        <v>0</v>
      </c>
      <c r="GT2640" s="181">
        <v>0</v>
      </c>
    </row>
    <row r="2641" spans="1:202">
      <c r="A2641" s="181" t="s">
        <v>243</v>
      </c>
      <c r="GR2641" s="181" t="s">
        <v>310</v>
      </c>
      <c r="GS2641" s="181">
        <v>0</v>
      </c>
      <c r="GT2641" s="181">
        <v>0</v>
      </c>
    </row>
    <row r="2642" spans="1:202">
      <c r="A2642" s="181" t="s">
        <v>243</v>
      </c>
      <c r="GR2642" s="181" t="s">
        <v>310</v>
      </c>
      <c r="GS2642" s="181">
        <v>0</v>
      </c>
      <c r="GT2642" s="181">
        <v>0</v>
      </c>
    </row>
    <row r="2643" spans="1:202">
      <c r="A2643" s="181" t="s">
        <v>243</v>
      </c>
      <c r="GR2643" s="181" t="s">
        <v>310</v>
      </c>
      <c r="GS2643" s="181">
        <v>0</v>
      </c>
      <c r="GT2643" s="181">
        <v>0</v>
      </c>
    </row>
    <row r="2644" spans="1:202">
      <c r="A2644" s="181" t="s">
        <v>243</v>
      </c>
      <c r="GR2644" s="181" t="s">
        <v>876</v>
      </c>
      <c r="GS2644" s="181">
        <v>0</v>
      </c>
      <c r="GT2644" s="181">
        <v>0</v>
      </c>
    </row>
    <row r="2645" spans="1:202">
      <c r="A2645" s="181" t="s">
        <v>243</v>
      </c>
      <c r="GR2645" s="181" t="s">
        <v>876</v>
      </c>
      <c r="GS2645" s="181">
        <v>0</v>
      </c>
      <c r="GT2645" s="181">
        <v>0</v>
      </c>
    </row>
    <row r="2646" spans="1:202">
      <c r="A2646" s="181" t="s">
        <v>243</v>
      </c>
      <c r="GR2646" s="181" t="s">
        <v>876</v>
      </c>
      <c r="GS2646" s="181">
        <v>0</v>
      </c>
      <c r="GT2646" s="181">
        <v>0</v>
      </c>
    </row>
    <row r="2647" spans="1:202">
      <c r="A2647" s="181" t="s">
        <v>243</v>
      </c>
      <c r="GR2647" s="181" t="s">
        <v>876</v>
      </c>
      <c r="GS2647" s="181">
        <v>0</v>
      </c>
      <c r="GT2647" s="181">
        <v>0</v>
      </c>
    </row>
    <row r="2648" spans="1:202">
      <c r="A2648" s="181" t="s">
        <v>243</v>
      </c>
      <c r="GR2648" s="181" t="s">
        <v>876</v>
      </c>
      <c r="GS2648" s="181">
        <v>0</v>
      </c>
      <c r="GT2648" s="181">
        <v>0</v>
      </c>
    </row>
    <row r="2649" spans="1:202">
      <c r="A2649" s="181" t="s">
        <v>243</v>
      </c>
      <c r="GR2649" s="181">
        <v>0</v>
      </c>
      <c r="GS2649" s="181">
        <v>0</v>
      </c>
      <c r="GT2649" s="181">
        <v>0</v>
      </c>
    </row>
    <row r="2650" spans="1:202">
      <c r="A2650" s="181" t="s">
        <v>243</v>
      </c>
      <c r="GR2650" s="181">
        <v>0</v>
      </c>
      <c r="GS2650" s="181">
        <v>0</v>
      </c>
      <c r="GT2650" s="181">
        <v>0</v>
      </c>
    </row>
    <row r="2651" spans="1:202">
      <c r="A2651" s="181" t="s">
        <v>243</v>
      </c>
      <c r="GR2651" s="181">
        <v>0</v>
      </c>
      <c r="GS2651" s="181">
        <v>0</v>
      </c>
      <c r="GT2651" s="181">
        <v>0</v>
      </c>
    </row>
    <row r="2652" spans="1:202">
      <c r="A2652" s="181" t="s">
        <v>243</v>
      </c>
      <c r="GR2652" s="181">
        <v>0</v>
      </c>
      <c r="GS2652" s="181">
        <v>0</v>
      </c>
      <c r="GT2652" s="181">
        <v>0</v>
      </c>
    </row>
    <row r="2653" spans="1:202">
      <c r="A2653" s="181" t="s">
        <v>243</v>
      </c>
      <c r="GR2653" s="181">
        <v>0</v>
      </c>
      <c r="GS2653" s="181">
        <v>0</v>
      </c>
      <c r="GT2653" s="181">
        <v>0</v>
      </c>
    </row>
    <row r="2654" spans="1:202">
      <c r="A2654" s="181" t="s">
        <v>243</v>
      </c>
      <c r="GR2654" s="181">
        <v>0</v>
      </c>
      <c r="GS2654" s="181">
        <v>0</v>
      </c>
      <c r="GT2654" s="181">
        <v>0</v>
      </c>
    </row>
    <row r="2655" spans="1:202">
      <c r="A2655" s="181" t="s">
        <v>243</v>
      </c>
      <c r="GR2655" s="181">
        <v>0</v>
      </c>
      <c r="GS2655" s="181">
        <v>0</v>
      </c>
      <c r="GT2655" s="181">
        <v>0</v>
      </c>
    </row>
    <row r="2656" spans="1:202">
      <c r="A2656" s="181" t="s">
        <v>243</v>
      </c>
      <c r="GR2656" s="181">
        <v>0</v>
      </c>
      <c r="GS2656" s="181">
        <v>0</v>
      </c>
      <c r="GT2656" s="181">
        <v>0</v>
      </c>
    </row>
    <row r="2657" spans="1:202">
      <c r="A2657" s="181" t="s">
        <v>243</v>
      </c>
      <c r="GR2657" s="181">
        <v>0</v>
      </c>
      <c r="GS2657" s="181">
        <v>0</v>
      </c>
      <c r="GT2657" s="181">
        <v>0</v>
      </c>
    </row>
    <row r="2658" spans="1:202">
      <c r="A2658" s="181" t="s">
        <v>243</v>
      </c>
      <c r="GR2658" s="181">
        <v>0</v>
      </c>
      <c r="GS2658" s="181">
        <v>0</v>
      </c>
      <c r="GT2658" s="181">
        <v>0</v>
      </c>
    </row>
    <row r="2659" spans="1:202">
      <c r="A2659" s="181" t="s">
        <v>243</v>
      </c>
      <c r="GR2659" s="181">
        <v>0</v>
      </c>
      <c r="GS2659" s="181">
        <v>0</v>
      </c>
      <c r="GT2659" s="181">
        <v>0</v>
      </c>
    </row>
    <row r="2660" spans="1:202">
      <c r="A2660" s="181" t="s">
        <v>243</v>
      </c>
      <c r="GR2660" s="181">
        <v>0</v>
      </c>
      <c r="GS2660" s="181">
        <v>0</v>
      </c>
      <c r="GT2660" s="181">
        <v>0</v>
      </c>
    </row>
    <row r="2661" spans="1:202">
      <c r="A2661" s="181" t="s">
        <v>243</v>
      </c>
      <c r="GR2661" s="181">
        <v>0</v>
      </c>
      <c r="GS2661" s="181">
        <v>0</v>
      </c>
      <c r="GT2661" s="181">
        <v>0</v>
      </c>
    </row>
    <row r="2662" spans="1:202">
      <c r="A2662" s="181" t="s">
        <v>243</v>
      </c>
      <c r="GR2662" s="181">
        <v>0</v>
      </c>
      <c r="GS2662" s="181">
        <v>0</v>
      </c>
      <c r="GT2662" s="181">
        <v>0</v>
      </c>
    </row>
    <row r="2663" spans="1:202">
      <c r="A2663" s="181" t="s">
        <v>243</v>
      </c>
      <c r="GR2663" s="181">
        <v>0</v>
      </c>
      <c r="GS2663" s="181">
        <v>0</v>
      </c>
      <c r="GT2663" s="181">
        <v>0</v>
      </c>
    </row>
    <row r="2664" spans="1:202">
      <c r="A2664" s="181" t="s">
        <v>243</v>
      </c>
      <c r="GS2664" s="181">
        <v>1445504.6779326701</v>
      </c>
      <c r="GT2664" s="181">
        <v>2891009.3558653402</v>
      </c>
    </row>
    <row r="2665" spans="1:202">
      <c r="A2665" s="181" t="s">
        <v>243</v>
      </c>
      <c r="GR2665" s="181" t="s">
        <v>1822</v>
      </c>
      <c r="GS2665" s="181">
        <v>0</v>
      </c>
      <c r="GT2665" s="181">
        <v>0</v>
      </c>
    </row>
    <row r="2666" spans="1:202">
      <c r="A2666" s="181" t="s">
        <v>243</v>
      </c>
      <c r="GS2666" s="181">
        <v>4451569.4095171951</v>
      </c>
      <c r="GT2666" s="181">
        <v>18991855.229081474</v>
      </c>
    </row>
    <row r="2667" spans="1:202">
      <c r="A2667" s="181" t="s">
        <v>243</v>
      </c>
      <c r="GS2667" s="181">
        <v>-593814.26734835096</v>
      </c>
      <c r="GT2667" s="181">
        <v>-176304.05389765557</v>
      </c>
    </row>
    <row r="2668" spans="1:202">
      <c r="A2668" s="181" t="s">
        <v>243</v>
      </c>
      <c r="GS2668" s="181">
        <v>1064683.3682990074</v>
      </c>
      <c r="GT2668" s="181">
        <v>1064683.3682990074</v>
      </c>
    </row>
    <row r="2669" spans="1:202">
      <c r="A2669" s="181" t="s">
        <v>243</v>
      </c>
    </row>
    <row r="2670" spans="1:202">
      <c r="A2670" s="181" t="s">
        <v>243</v>
      </c>
    </row>
    <row r="2671" spans="1:202">
      <c r="A2671" s="181" t="s">
        <v>243</v>
      </c>
    </row>
    <row r="2672" spans="1:202">
      <c r="A2672" s="181" t="s">
        <v>243</v>
      </c>
    </row>
    <row r="2673" spans="1:1">
      <c r="A2673" s="181" t="s">
        <v>243</v>
      </c>
    </row>
    <row r="2674" spans="1:1">
      <c r="A2674" s="181" t="s">
        <v>243</v>
      </c>
    </row>
    <row r="2675" spans="1:1">
      <c r="A2675" s="181" t="s">
        <v>243</v>
      </c>
    </row>
    <row r="2676" spans="1:1">
      <c r="A2676" s="181" t="s">
        <v>243</v>
      </c>
    </row>
    <row r="2677" spans="1:1">
      <c r="A2677" s="181" t="s">
        <v>243</v>
      </c>
    </row>
    <row r="2678" spans="1:1">
      <c r="A2678" s="181" t="s">
        <v>243</v>
      </c>
    </row>
    <row r="2679" spans="1:1">
      <c r="A2679" s="181" t="s">
        <v>243</v>
      </c>
    </row>
    <row r="2680" spans="1:1">
      <c r="A2680" s="181" t="s">
        <v>243</v>
      </c>
    </row>
    <row r="2681" spans="1:1">
      <c r="A2681" s="181" t="s">
        <v>243</v>
      </c>
    </row>
    <row r="2682" spans="1:1">
      <c r="A2682" s="181" t="s">
        <v>243</v>
      </c>
    </row>
    <row r="2683" spans="1:1">
      <c r="A2683" s="181" t="s">
        <v>243</v>
      </c>
    </row>
    <row r="2684" spans="1:1">
      <c r="A2684" s="181" t="s">
        <v>243</v>
      </c>
    </row>
    <row r="2685" spans="1:1">
      <c r="A2685" s="181" t="s">
        <v>243</v>
      </c>
    </row>
    <row r="2686" spans="1:1">
      <c r="A2686" s="181" t="s">
        <v>243</v>
      </c>
    </row>
    <row r="2687" spans="1:1">
      <c r="A2687" s="181" t="s">
        <v>243</v>
      </c>
    </row>
    <row r="2688" spans="1:1">
      <c r="A2688" s="181" t="s">
        <v>243</v>
      </c>
    </row>
    <row r="2689" spans="1:240">
      <c r="A2689" s="181" t="s">
        <v>243</v>
      </c>
    </row>
    <row r="2690" spans="1:240">
      <c r="A2690" s="181" t="s">
        <v>2691</v>
      </c>
      <c r="B2690" s="181" t="s">
        <v>2665</v>
      </c>
      <c r="C2690" s="181" t="s">
        <v>1110</v>
      </c>
      <c r="D2690" s="181" t="s">
        <v>2666</v>
      </c>
      <c r="E2690" s="181" t="s">
        <v>1017</v>
      </c>
      <c r="F2690" s="181" t="s">
        <v>635</v>
      </c>
      <c r="G2690" s="181">
        <v>99999980</v>
      </c>
      <c r="H2690" s="181">
        <v>15</v>
      </c>
      <c r="I2690" s="181" t="s">
        <v>2633</v>
      </c>
      <c r="J2690" s="181" t="s">
        <v>2642</v>
      </c>
      <c r="K2690" s="181">
        <v>46</v>
      </c>
      <c r="L2690" s="181" t="s">
        <v>1058</v>
      </c>
      <c r="M2690" s="181">
        <v>1</v>
      </c>
      <c r="N2690" s="181" t="s">
        <v>2140</v>
      </c>
      <c r="O2690" s="181" t="s">
        <v>2115</v>
      </c>
      <c r="P2690" s="181">
        <v>25</v>
      </c>
      <c r="Q2690" s="181">
        <v>50</v>
      </c>
      <c r="X2690" s="181">
        <v>171561.1986</v>
      </c>
      <c r="Y2690" s="181">
        <v>444499.46909999999</v>
      </c>
      <c r="Z2690" s="181">
        <v>6066216.9689858519</v>
      </c>
      <c r="AA2690" s="181">
        <v>6209481.2023964487</v>
      </c>
      <c r="AL2690" s="181">
        <v>63727.804799999998</v>
      </c>
      <c r="AM2690" s="181">
        <v>165112.94880000001</v>
      </c>
      <c r="AN2690" s="181">
        <v>28320628.750105638</v>
      </c>
      <c r="AO2690" s="181">
        <v>28900290.74206686</v>
      </c>
      <c r="AY2690" s="181">
        <v>171561.1986</v>
      </c>
      <c r="AZ2690" s="181">
        <v>444499.46909999999</v>
      </c>
      <c r="BA2690" s="181" t="s">
        <v>2667</v>
      </c>
      <c r="BB2690" s="181" t="s">
        <v>666</v>
      </c>
      <c r="BC2690" s="181">
        <v>155236.81401599979</v>
      </c>
      <c r="BD2690" s="181">
        <v>903493.0211199997</v>
      </c>
      <c r="BE2690" s="181">
        <v>1000000</v>
      </c>
      <c r="BF2690" s="181">
        <v>1000000</v>
      </c>
      <c r="BG2690" s="181">
        <v>525371.37945599994</v>
      </c>
      <c r="BH2690" s="181">
        <v>1361189.4831359996</v>
      </c>
      <c r="BI2690" s="181">
        <v>1000000</v>
      </c>
      <c r="BJ2690" s="181">
        <v>1000000</v>
      </c>
      <c r="BK2690" s="181" t="s">
        <v>971</v>
      </c>
      <c r="BL2690" s="181">
        <v>498341.692891068</v>
      </c>
      <c r="BM2690" s="181">
        <v>996683.385782136</v>
      </c>
      <c r="BU2690" s="181" t="s">
        <v>1634</v>
      </c>
      <c r="BV2690" s="181">
        <v>0</v>
      </c>
      <c r="BW2690" s="181">
        <v>0</v>
      </c>
      <c r="BZ2690" s="181">
        <v>648740.60000000009</v>
      </c>
      <c r="CI2690" s="181">
        <v>3.0622972078955848</v>
      </c>
      <c r="DC2690" s="181">
        <v>63727.804799999998</v>
      </c>
      <c r="DD2690" s="181">
        <v>165112.94880000001</v>
      </c>
      <c r="DE2690" s="181" t="s">
        <v>2672</v>
      </c>
      <c r="DF2690" s="181" t="s">
        <v>666</v>
      </c>
      <c r="DG2690" s="181">
        <v>99787.746883842687</v>
      </c>
      <c r="DH2690" s="181">
        <v>234458.67460984268</v>
      </c>
      <c r="DI2690" s="181">
        <v>1000000</v>
      </c>
      <c r="DJ2690" s="181">
        <v>1000000</v>
      </c>
      <c r="DL2690" s="181">
        <v>540239</v>
      </c>
      <c r="DM2690" s="181">
        <v>524891</v>
      </c>
      <c r="DN2690" s="181" t="s">
        <v>971</v>
      </c>
      <c r="DO2690" s="181">
        <v>615368.20491743134</v>
      </c>
      <c r="DP2690" s="181">
        <v>1230736.4098348627</v>
      </c>
      <c r="DX2690" s="181" t="s">
        <v>1634</v>
      </c>
      <c r="DY2690" s="181">
        <v>0</v>
      </c>
      <c r="DZ2690" s="181">
        <v>0</v>
      </c>
      <c r="EC2690" s="181">
        <v>126326.40337215731</v>
      </c>
      <c r="FY2690" s="181">
        <v>48</v>
      </c>
      <c r="FZ2690" s="181">
        <v>173</v>
      </c>
      <c r="GA2690" s="181">
        <v>0</v>
      </c>
      <c r="GB2690" s="181">
        <v>48</v>
      </c>
      <c r="GC2690" s="181">
        <v>173</v>
      </c>
      <c r="GD2690" s="181">
        <v>0</v>
      </c>
      <c r="GR2690" s="181" t="s">
        <v>176</v>
      </c>
      <c r="GS2690" s="181">
        <v>836051.05484738713</v>
      </c>
      <c r="GT2690" s="181">
        <v>2232897.5274197753</v>
      </c>
      <c r="HD2690" s="181" t="s">
        <v>2673</v>
      </c>
      <c r="HE2690" s="181">
        <v>502687.24424445652</v>
      </c>
      <c r="HF2690" s="181">
        <v>1005374.488488913</v>
      </c>
      <c r="HG2690" s="181" t="s">
        <v>1634</v>
      </c>
      <c r="HH2690" s="181">
        <v>0</v>
      </c>
      <c r="HI2690" s="181">
        <v>0</v>
      </c>
      <c r="HJ2690" s="181">
        <v>-39553.824999999997</v>
      </c>
      <c r="HK2690" s="181">
        <v>-79107.649999999994</v>
      </c>
      <c r="HL2690" s="181" t="s">
        <v>932</v>
      </c>
      <c r="HS2690" s="181" t="s">
        <v>1827</v>
      </c>
      <c r="HT2690" s="181">
        <v>78935</v>
      </c>
      <c r="HU2690" s="181">
        <v>157870</v>
      </c>
      <c r="HY2690" s="181" t="s">
        <v>2686</v>
      </c>
      <c r="HZ2690" s="181">
        <v>551.85</v>
      </c>
      <c r="IA2690" s="181">
        <v>1103.7</v>
      </c>
      <c r="IB2690" s="181" t="s">
        <v>1369</v>
      </c>
      <c r="IC2690" s="181">
        <v>71185.400000000009</v>
      </c>
      <c r="ID2690" s="181">
        <v>142370.80000000002</v>
      </c>
      <c r="IE2690" s="181" t="s">
        <v>2687</v>
      </c>
      <c r="IF2690" s="181">
        <v>2103.1971305909988</v>
      </c>
    </row>
    <row r="2691" spans="1:240">
      <c r="A2691" s="181" t="s">
        <v>2691</v>
      </c>
      <c r="F2691" s="181" t="s">
        <v>741</v>
      </c>
      <c r="G2691" s="181">
        <v>99999998</v>
      </c>
      <c r="I2691" s="181" t="s">
        <v>2634</v>
      </c>
      <c r="J2691" s="181" t="s">
        <v>2643</v>
      </c>
      <c r="K2691" s="181">
        <v>8</v>
      </c>
      <c r="L2691" s="181" t="s">
        <v>2657</v>
      </c>
      <c r="M2691" s="181">
        <v>1</v>
      </c>
      <c r="N2691" s="181" t="s">
        <v>2043</v>
      </c>
      <c r="O2691" s="181" t="s">
        <v>2040</v>
      </c>
      <c r="P2691" s="181">
        <v>0</v>
      </c>
      <c r="Q2691" s="181">
        <v>25</v>
      </c>
      <c r="BK2691" s="181" t="s">
        <v>972</v>
      </c>
      <c r="BL2691" s="181">
        <v>69978.299636555224</v>
      </c>
      <c r="BM2691" s="181">
        <v>139956.59927311045</v>
      </c>
      <c r="BU2691" s="181" t="s">
        <v>887</v>
      </c>
      <c r="BV2691" s="181">
        <v>11582.009414773551</v>
      </c>
      <c r="BW2691" s="181">
        <v>24171.150083005668</v>
      </c>
      <c r="CA2691" s="181">
        <v>278606.03455999994</v>
      </c>
      <c r="CB2691" s="181">
        <v>191044.137984</v>
      </c>
      <c r="DN2691" s="181" t="s">
        <v>972</v>
      </c>
      <c r="DO2691" s="181">
        <v>108695.48179439268</v>
      </c>
      <c r="DP2691" s="181">
        <v>217390.96358878535</v>
      </c>
      <c r="DX2691" s="181" t="s">
        <v>887</v>
      </c>
      <c r="DY2691" s="181">
        <v>35519.701405933316</v>
      </c>
      <c r="DZ2691" s="181">
        <v>74128.07249933909</v>
      </c>
      <c r="ED2691" s="181">
        <v>116382.28322</v>
      </c>
      <c r="EE2691" s="181">
        <v>76479.786115999988</v>
      </c>
      <c r="FY2691" s="181">
        <v>0</v>
      </c>
      <c r="FZ2691" s="181">
        <v>0</v>
      </c>
      <c r="GA2691" s="181">
        <v>0</v>
      </c>
      <c r="GB2691" s="181">
        <v>0</v>
      </c>
      <c r="GC2691" s="181">
        <v>0</v>
      </c>
      <c r="GD2691" s="181">
        <v>0</v>
      </c>
      <c r="GR2691" s="181" t="s">
        <v>177</v>
      </c>
      <c r="GS2691" s="181">
        <v>0</v>
      </c>
      <c r="GT2691" s="181">
        <v>0</v>
      </c>
      <c r="HD2691" s="181" t="s">
        <v>2674</v>
      </c>
      <c r="HE2691" s="181">
        <v>79892.415423960512</v>
      </c>
      <c r="HF2691" s="181">
        <v>159784.83084792102</v>
      </c>
      <c r="HG2691" s="181" t="s">
        <v>2678</v>
      </c>
      <c r="HH2691" s="181">
        <v>4382.5853878945427</v>
      </c>
      <c r="HI2691" s="181">
        <v>9146.265157345133</v>
      </c>
      <c r="HL2691" s="181" t="s">
        <v>1224</v>
      </c>
      <c r="HM2691" s="181">
        <v>820000</v>
      </c>
      <c r="HN2691" s="181">
        <v>820000</v>
      </c>
      <c r="HQ2691" s="181">
        <v>80000</v>
      </c>
      <c r="HY2691" s="181" t="s">
        <v>1829</v>
      </c>
      <c r="HZ2691" s="181">
        <v>49175.49</v>
      </c>
      <c r="IA2691" s="181">
        <v>98350.98</v>
      </c>
      <c r="IE2691" s="181" t="s">
        <v>2688</v>
      </c>
      <c r="IF2691" s="181">
        <v>6519.9111048320938</v>
      </c>
    </row>
    <row r="2692" spans="1:240">
      <c r="A2692" s="181" t="s">
        <v>2691</v>
      </c>
      <c r="F2692" s="181" t="s">
        <v>656</v>
      </c>
      <c r="G2692" s="181">
        <v>10</v>
      </c>
      <c r="I2692" s="181" t="s">
        <v>2635</v>
      </c>
      <c r="J2692" s="181" t="s">
        <v>2644</v>
      </c>
      <c r="K2692" s="181">
        <v>3</v>
      </c>
      <c r="L2692" s="181" t="s">
        <v>200</v>
      </c>
      <c r="M2692" s="181">
        <v>2</v>
      </c>
      <c r="N2692" s="181" t="s">
        <v>2114</v>
      </c>
      <c r="O2692" s="181" t="s">
        <v>2659</v>
      </c>
      <c r="P2692" s="181">
        <v>0</v>
      </c>
      <c r="Q2692" s="181">
        <v>0</v>
      </c>
      <c r="BK2692" s="181" t="s">
        <v>2049</v>
      </c>
      <c r="BL2692" s="181">
        <v>42750.696277327377</v>
      </c>
      <c r="BM2692" s="181">
        <v>85501.392554654754</v>
      </c>
      <c r="BU2692" s="181" t="s">
        <v>2669</v>
      </c>
      <c r="BV2692" s="181">
        <v>14066.080993706057</v>
      </c>
      <c r="BW2692" s="181">
        <v>36443.937120056602</v>
      </c>
      <c r="DN2692" s="181" t="s">
        <v>2049</v>
      </c>
      <c r="DO2692" s="181">
        <v>83309.619383070312</v>
      </c>
      <c r="DP2692" s="181">
        <v>166619.23876614062</v>
      </c>
      <c r="DX2692" s="181" t="s">
        <v>2669</v>
      </c>
      <c r="DY2692" s="181">
        <v>39249.106921786341</v>
      </c>
      <c r="DZ2692" s="181">
        <v>82859.22572377116</v>
      </c>
      <c r="FY2692" s="181">
        <v>27</v>
      </c>
      <c r="FZ2692" s="181">
        <v>320</v>
      </c>
      <c r="GA2692" s="181">
        <v>0</v>
      </c>
      <c r="GB2692" s="181">
        <v>27</v>
      </c>
      <c r="GC2692" s="181">
        <v>320</v>
      </c>
      <c r="GD2692" s="181">
        <v>0</v>
      </c>
      <c r="GR2692" s="181" t="s">
        <v>178</v>
      </c>
      <c r="GS2692" s="181">
        <v>1720586.964096</v>
      </c>
      <c r="GT2692" s="181">
        <v>4568907.6599040003</v>
      </c>
      <c r="HD2692" s="181" t="s">
        <v>2675</v>
      </c>
      <c r="HE2692" s="181">
        <v>75147.925795981879</v>
      </c>
      <c r="HF2692" s="181">
        <v>150295.85159196376</v>
      </c>
      <c r="HG2692" s="181" t="s">
        <v>2679</v>
      </c>
      <c r="HH2692" s="181">
        <v>10548.639435267407</v>
      </c>
      <c r="HI2692" s="181">
        <v>22535.729702616733</v>
      </c>
      <c r="HL2692" s="181" t="s">
        <v>1670</v>
      </c>
      <c r="HM2692" s="181">
        <v>80000</v>
      </c>
      <c r="HN2692" s="181">
        <v>80000</v>
      </c>
      <c r="HY2692" s="181" t="s">
        <v>753</v>
      </c>
      <c r="HZ2692" s="181">
        <v>27612</v>
      </c>
      <c r="IA2692" s="181">
        <v>55224</v>
      </c>
      <c r="IE2692" s="181" t="s">
        <v>2689</v>
      </c>
      <c r="IF2692" s="181">
        <v>1892.8774175318986</v>
      </c>
    </row>
    <row r="2693" spans="1:240">
      <c r="A2693" s="181" t="s">
        <v>2691</v>
      </c>
      <c r="F2693" s="181" t="s">
        <v>742</v>
      </c>
      <c r="G2693" s="181">
        <v>1</v>
      </c>
      <c r="I2693" s="181" t="s">
        <v>2636</v>
      </c>
      <c r="J2693" s="181" t="s">
        <v>2645</v>
      </c>
      <c r="K2693" s="181">
        <v>5</v>
      </c>
      <c r="L2693" s="181" t="s">
        <v>2657</v>
      </c>
      <c r="M2693" s="181">
        <v>2</v>
      </c>
      <c r="N2693" s="181" t="s">
        <v>2114</v>
      </c>
      <c r="O2693" s="181" t="s">
        <v>2660</v>
      </c>
      <c r="P2693" s="181">
        <v>0</v>
      </c>
      <c r="Q2693" s="181">
        <v>0</v>
      </c>
      <c r="BK2693" s="181" t="s">
        <v>2668</v>
      </c>
      <c r="BL2693" s="181">
        <v>305.07102834052785</v>
      </c>
      <c r="BM2693" s="181">
        <v>610.14205668105569</v>
      </c>
      <c r="BU2693" s="181" t="s">
        <v>2670</v>
      </c>
      <c r="BV2693" s="181">
        <v>4233.768892858373</v>
      </c>
      <c r="BW2693" s="181">
        <v>9118.8868461564962</v>
      </c>
      <c r="DN2693" s="181" t="s">
        <v>2668</v>
      </c>
      <c r="DO2693" s="181">
        <v>845.35073871203213</v>
      </c>
      <c r="DP2693" s="181">
        <v>1690.7014774240643</v>
      </c>
      <c r="DX2693" s="181" t="s">
        <v>2670</v>
      </c>
      <c r="DY2693" s="181">
        <v>14736.699760720203</v>
      </c>
      <c r="DZ2693" s="181">
        <v>33839.82908017232</v>
      </c>
      <c r="FY2693" s="181">
        <v>0</v>
      </c>
      <c r="FZ2693" s="181">
        <v>0</v>
      </c>
      <c r="GA2693" s="181">
        <v>0</v>
      </c>
      <c r="GB2693" s="181">
        <v>0</v>
      </c>
      <c r="GC2693" s="181">
        <v>0</v>
      </c>
      <c r="GD2693" s="181">
        <v>0</v>
      </c>
      <c r="GR2693" s="181" t="s">
        <v>1707</v>
      </c>
      <c r="GS2693" s="181">
        <v>0</v>
      </c>
      <c r="GT2693" s="181">
        <v>0</v>
      </c>
      <c r="HD2693" s="181" t="s">
        <v>2676</v>
      </c>
      <c r="HE2693" s="181">
        <v>3803.0243232100293</v>
      </c>
      <c r="HF2693" s="181">
        <v>7606.0486464200585</v>
      </c>
      <c r="HG2693" s="181" t="s">
        <v>2680</v>
      </c>
      <c r="HH2693" s="181">
        <v>11000.924999999999</v>
      </c>
      <c r="HI2693" s="181">
        <v>23271.1875</v>
      </c>
      <c r="HL2693" s="181" t="s">
        <v>2120</v>
      </c>
      <c r="HM2693" s="181">
        <v>60000</v>
      </c>
      <c r="HN2693" s="181">
        <v>60000</v>
      </c>
      <c r="HY2693" s="181" t="s">
        <v>1831</v>
      </c>
      <c r="HZ2693" s="181">
        <v>0</v>
      </c>
      <c r="IA2693" s="181">
        <v>0</v>
      </c>
    </row>
    <row r="2694" spans="1:240">
      <c r="A2694" s="181" t="s">
        <v>2691</v>
      </c>
      <c r="F2694" s="181" t="s">
        <v>743</v>
      </c>
      <c r="G2694" s="181">
        <v>10</v>
      </c>
      <c r="I2694" s="181" t="s">
        <v>2637</v>
      </c>
      <c r="J2694" s="181" t="s">
        <v>2646</v>
      </c>
      <c r="K2694" s="181">
        <v>4</v>
      </c>
      <c r="L2694" s="181" t="s">
        <v>2657</v>
      </c>
      <c r="M2694" s="181">
        <v>2</v>
      </c>
      <c r="N2694" s="181" t="s">
        <v>2114</v>
      </c>
      <c r="O2694" s="181" t="s">
        <v>2661</v>
      </c>
      <c r="P2694" s="181">
        <v>0</v>
      </c>
      <c r="Q2694" s="181">
        <v>0</v>
      </c>
      <c r="BK2694" s="181" t="s">
        <v>333</v>
      </c>
      <c r="BL2694" s="181">
        <v>3342.3151667088614</v>
      </c>
      <c r="BM2694" s="181">
        <v>6684.6303334177228</v>
      </c>
      <c r="BU2694" s="181" t="s">
        <v>2671</v>
      </c>
      <c r="BV2694" s="181">
        <v>19382.602603825944</v>
      </c>
      <c r="BW2694" s="181">
        <v>42641.725728417077</v>
      </c>
      <c r="DN2694" s="181" t="s">
        <v>333</v>
      </c>
      <c r="DO2694" s="181">
        <v>81139.580666393711</v>
      </c>
      <c r="DP2694" s="181">
        <v>162279.16133278742</v>
      </c>
      <c r="DX2694" s="181" t="s">
        <v>2671</v>
      </c>
      <c r="DY2694" s="181">
        <v>91453.484393248204</v>
      </c>
      <c r="DZ2694" s="181">
        <v>201197.66566514605</v>
      </c>
      <c r="FY2694" s="181">
        <v>23</v>
      </c>
      <c r="FZ2694" s="181">
        <v>227</v>
      </c>
      <c r="GA2694" s="181">
        <v>0</v>
      </c>
      <c r="GB2694" s="181">
        <v>23</v>
      </c>
      <c r="GC2694" s="181">
        <v>227</v>
      </c>
      <c r="GD2694" s="181">
        <v>0</v>
      </c>
      <c r="GR2694" s="181" t="s">
        <v>175</v>
      </c>
      <c r="GS2694" s="181">
        <v>0</v>
      </c>
      <c r="GT2694" s="181">
        <v>0</v>
      </c>
      <c r="HD2694" s="181" t="s">
        <v>333</v>
      </c>
      <c r="HE2694" s="181">
        <v>4492.090212391</v>
      </c>
      <c r="HF2694" s="181">
        <v>8984.180424782</v>
      </c>
      <c r="HG2694" s="181" t="s">
        <v>2681</v>
      </c>
      <c r="HH2694" s="181">
        <v>16242.983285636168</v>
      </c>
      <c r="HI2694" s="181">
        <v>35734.563228399573</v>
      </c>
      <c r="HL2694" s="181" t="s">
        <v>1742</v>
      </c>
    </row>
    <row r="2695" spans="1:240">
      <c r="A2695" s="181" t="s">
        <v>2691</v>
      </c>
      <c r="F2695" s="181" t="s">
        <v>744</v>
      </c>
      <c r="G2695" s="181">
        <v>1</v>
      </c>
      <c r="I2695" s="181" t="s">
        <v>2638</v>
      </c>
      <c r="J2695" s="181" t="s">
        <v>2647</v>
      </c>
      <c r="K2695" s="181">
        <v>5</v>
      </c>
      <c r="L2695" s="181" t="s">
        <v>2657</v>
      </c>
      <c r="M2695" s="181">
        <v>2</v>
      </c>
      <c r="N2695" s="181" t="s">
        <v>2114</v>
      </c>
      <c r="O2695" s="181" t="s">
        <v>2661</v>
      </c>
      <c r="P2695" s="181">
        <v>0</v>
      </c>
      <c r="Q2695" s="181">
        <v>0</v>
      </c>
      <c r="BU2695" s="181" t="s">
        <v>333</v>
      </c>
      <c r="BV2695" s="181">
        <v>91246.103592270942</v>
      </c>
      <c r="BW2695" s="181">
        <v>203513.26247823649</v>
      </c>
      <c r="DX2695" s="181" t="s">
        <v>333</v>
      </c>
      <c r="DY2695" s="181">
        <v>79632.989814639135</v>
      </c>
      <c r="DZ2695" s="181">
        <v>180639.04032343678</v>
      </c>
      <c r="GR2695" s="181" t="s">
        <v>871</v>
      </c>
      <c r="GS2695" s="181">
        <v>307041.59355171095</v>
      </c>
      <c r="GT2695" s="181">
        <v>827039.37472694938</v>
      </c>
      <c r="HD2695" s="181" t="s">
        <v>2677</v>
      </c>
      <c r="HE2695" s="181">
        <v>39553.824999999997</v>
      </c>
      <c r="HF2695" s="181">
        <v>79107.649999999994</v>
      </c>
      <c r="HG2695" s="181" t="s">
        <v>2682</v>
      </c>
      <c r="HH2695" s="181">
        <v>1027.1849115844434</v>
      </c>
      <c r="HI2695" s="181">
        <v>2054.3698231688868</v>
      </c>
      <c r="HL2695" s="181" t="s">
        <v>917</v>
      </c>
      <c r="HM2695" s="181">
        <v>440000</v>
      </c>
      <c r="HN2695" s="181">
        <v>440000</v>
      </c>
    </row>
    <row r="2696" spans="1:240" ht="108">
      <c r="A2696" s="181" t="s">
        <v>2691</v>
      </c>
      <c r="I2696" s="2057" t="s">
        <v>2639</v>
      </c>
      <c r="J2696" s="181" t="s">
        <v>2648</v>
      </c>
      <c r="K2696" s="181">
        <v>3</v>
      </c>
      <c r="L2696" s="181" t="s">
        <v>2657</v>
      </c>
      <c r="M2696" s="181">
        <v>2</v>
      </c>
      <c r="N2696" s="181" t="s">
        <v>2114</v>
      </c>
      <c r="O2696" s="181" t="s">
        <v>2662</v>
      </c>
      <c r="P2696" s="181">
        <v>0</v>
      </c>
      <c r="Q2696" s="181">
        <v>0</v>
      </c>
      <c r="GR2696" s="181" t="s">
        <v>871</v>
      </c>
      <c r="GS2696" s="181">
        <v>0</v>
      </c>
      <c r="GT2696" s="181">
        <v>0</v>
      </c>
      <c r="HG2696" s="181" t="s">
        <v>2683</v>
      </c>
      <c r="HH2696" s="181">
        <v>20574.133340180259</v>
      </c>
      <c r="HI2696" s="181">
        <v>41148.266680360517</v>
      </c>
      <c r="HL2696" s="181" t="s">
        <v>2125</v>
      </c>
      <c r="HM2696" s="181">
        <v>200000</v>
      </c>
      <c r="HN2696" s="181">
        <v>200000</v>
      </c>
      <c r="HR2696" s="181">
        <v>80000</v>
      </c>
    </row>
    <row r="2697" spans="1:240">
      <c r="A2697" s="181" t="s">
        <v>2691</v>
      </c>
      <c r="I2697" s="181" t="s">
        <v>2640</v>
      </c>
      <c r="J2697" s="181" t="s">
        <v>2649</v>
      </c>
      <c r="K2697" s="181">
        <v>12</v>
      </c>
      <c r="L2697" s="181" t="s">
        <v>2657</v>
      </c>
      <c r="M2697" s="181">
        <v>2</v>
      </c>
      <c r="N2697" s="181" t="s">
        <v>2663</v>
      </c>
      <c r="O2697" s="181" t="s">
        <v>2660</v>
      </c>
      <c r="P2697" s="181">
        <v>0</v>
      </c>
      <c r="Q2697" s="181">
        <v>0</v>
      </c>
      <c r="GR2697" s="181" t="s">
        <v>871</v>
      </c>
      <c r="GS2697" s="181">
        <v>0</v>
      </c>
      <c r="GT2697" s="181">
        <v>0</v>
      </c>
      <c r="HG2697" s="181" t="s">
        <v>2684</v>
      </c>
      <c r="HH2697" s="181">
        <v>1182.2869067809547</v>
      </c>
      <c r="HI2697" s="181">
        <v>2364.5738135619094</v>
      </c>
      <c r="HL2697" s="181" t="s">
        <v>2685</v>
      </c>
    </row>
    <row r="2698" spans="1:240">
      <c r="A2698" s="181" t="s">
        <v>2691</v>
      </c>
      <c r="I2698" s="181" t="s">
        <v>2641</v>
      </c>
      <c r="J2698" s="181" t="s">
        <v>2650</v>
      </c>
      <c r="K2698" s="181">
        <v>4</v>
      </c>
      <c r="L2698" s="181" t="s">
        <v>2657</v>
      </c>
      <c r="M2698" s="181">
        <v>2</v>
      </c>
      <c r="N2698" s="181" t="s">
        <v>2663</v>
      </c>
      <c r="O2698" s="181" t="s">
        <v>2661</v>
      </c>
      <c r="P2698" s="181">
        <v>0</v>
      </c>
      <c r="Q2698" s="181">
        <v>0</v>
      </c>
      <c r="GR2698" s="181" t="s">
        <v>871</v>
      </c>
      <c r="GS2698" s="181">
        <v>0</v>
      </c>
      <c r="GT2698" s="181">
        <v>0</v>
      </c>
      <c r="HG2698" s="181" t="s">
        <v>753</v>
      </c>
      <c r="HH2698" s="181">
        <v>152766.09267480488</v>
      </c>
      <c r="HI2698" s="181">
        <v>323084.82080696075</v>
      </c>
    </row>
    <row r="2699" spans="1:240">
      <c r="A2699" s="181" t="s">
        <v>2691</v>
      </c>
      <c r="I2699" s="181" t="s">
        <v>2150</v>
      </c>
      <c r="J2699" s="181" t="s">
        <v>2651</v>
      </c>
      <c r="K2699" s="181">
        <v>100</v>
      </c>
      <c r="L2699" s="181" t="s">
        <v>2658</v>
      </c>
      <c r="M2699" s="181">
        <v>1</v>
      </c>
      <c r="N2699" s="181" t="s">
        <v>2664</v>
      </c>
      <c r="O2699" s="181" t="s">
        <v>2115</v>
      </c>
      <c r="P2699" s="181">
        <v>0</v>
      </c>
      <c r="Q2699" s="181">
        <v>66.666666666666671</v>
      </c>
      <c r="S2699" s="181">
        <v>100000</v>
      </c>
      <c r="GR2699" s="181" t="s">
        <v>871</v>
      </c>
      <c r="GS2699" s="181">
        <v>0</v>
      </c>
      <c r="GT2699" s="181">
        <v>0</v>
      </c>
    </row>
    <row r="2700" spans="1:240">
      <c r="A2700" s="181" t="s">
        <v>2691</v>
      </c>
      <c r="I2700" s="181" t="s">
        <v>2475</v>
      </c>
      <c r="J2700" s="181" t="s">
        <v>1318</v>
      </c>
      <c r="K2700" s="181">
        <v>100</v>
      </c>
      <c r="L2700" s="181" t="s">
        <v>2658</v>
      </c>
      <c r="M2700" s="181">
        <v>2</v>
      </c>
      <c r="N2700" s="181" t="s">
        <v>2664</v>
      </c>
      <c r="O2700" s="181" t="s">
        <v>2115</v>
      </c>
      <c r="P2700" s="181">
        <v>0</v>
      </c>
      <c r="Q2700" s="181">
        <v>57.142857142857146</v>
      </c>
      <c r="S2700" s="181">
        <v>200000</v>
      </c>
      <c r="GR2700" s="181" t="s">
        <v>871</v>
      </c>
      <c r="GS2700" s="181">
        <v>0</v>
      </c>
      <c r="GT2700" s="181">
        <v>0</v>
      </c>
    </row>
    <row r="2701" spans="1:240">
      <c r="A2701" s="181" t="s">
        <v>2691</v>
      </c>
      <c r="I2701" s="181" t="s">
        <v>1328</v>
      </c>
      <c r="J2701" s="181" t="s">
        <v>1319</v>
      </c>
      <c r="K2701" s="181">
        <v>100</v>
      </c>
      <c r="L2701" s="181" t="s">
        <v>2658</v>
      </c>
      <c r="M2701" s="181">
        <v>2</v>
      </c>
      <c r="N2701" s="181" t="s">
        <v>2664</v>
      </c>
      <c r="O2701" s="181" t="s">
        <v>2115</v>
      </c>
      <c r="P2701" s="181">
        <v>0</v>
      </c>
      <c r="Q2701" s="181">
        <v>58.139534883720927</v>
      </c>
      <c r="S2701" s="181">
        <v>250000</v>
      </c>
      <c r="GR2701" s="181" t="s">
        <v>871</v>
      </c>
      <c r="GS2701" s="181">
        <v>0</v>
      </c>
      <c r="GT2701" s="181">
        <v>0</v>
      </c>
    </row>
    <row r="2702" spans="1:240">
      <c r="A2702" s="181" t="s">
        <v>2691</v>
      </c>
      <c r="I2702" s="181" t="s">
        <v>2158</v>
      </c>
      <c r="J2702" s="181" t="s">
        <v>2652</v>
      </c>
      <c r="K2702" s="181">
        <v>100</v>
      </c>
      <c r="L2702" s="181" t="s">
        <v>2658</v>
      </c>
      <c r="M2702" s="181">
        <v>2</v>
      </c>
      <c r="N2702" s="181" t="s">
        <v>2664</v>
      </c>
      <c r="O2702" s="181" t="s">
        <v>2115</v>
      </c>
      <c r="P2702" s="181">
        <v>0</v>
      </c>
      <c r="Q2702" s="181">
        <v>67.567567567567565</v>
      </c>
      <c r="S2702" s="181">
        <v>250000</v>
      </c>
      <c r="GR2702" s="181" t="s">
        <v>871</v>
      </c>
      <c r="GS2702" s="181">
        <v>0</v>
      </c>
      <c r="GT2702" s="181">
        <v>0</v>
      </c>
    </row>
    <row r="2703" spans="1:240">
      <c r="A2703" s="181" t="s">
        <v>2691</v>
      </c>
      <c r="I2703" s="181" t="s">
        <v>2022</v>
      </c>
      <c r="J2703" s="181" t="s">
        <v>2653</v>
      </c>
      <c r="K2703" s="181">
        <v>100</v>
      </c>
      <c r="L2703" s="181" t="s">
        <v>2658</v>
      </c>
      <c r="M2703" s="181">
        <v>2</v>
      </c>
      <c r="N2703" s="181" t="s">
        <v>2664</v>
      </c>
      <c r="O2703" s="181" t="s">
        <v>2115</v>
      </c>
      <c r="P2703" s="181">
        <v>0</v>
      </c>
      <c r="Q2703" s="181">
        <v>58.394160583941606</v>
      </c>
      <c r="S2703" s="181">
        <v>200000</v>
      </c>
      <c r="GR2703" s="181" t="s">
        <v>871</v>
      </c>
      <c r="GS2703" s="181">
        <v>0</v>
      </c>
      <c r="GT2703" s="181">
        <v>0</v>
      </c>
    </row>
    <row r="2704" spans="1:240">
      <c r="A2704" s="181" t="s">
        <v>2691</v>
      </c>
      <c r="I2704" s="181" t="s">
        <v>2023</v>
      </c>
      <c r="J2704" s="181" t="s">
        <v>2654</v>
      </c>
      <c r="K2704" s="181">
        <v>100</v>
      </c>
      <c r="L2704" s="181" t="s">
        <v>2658</v>
      </c>
      <c r="M2704" s="181">
        <v>2</v>
      </c>
      <c r="N2704" s="181" t="s">
        <v>2664</v>
      </c>
      <c r="O2704" s="181" t="s">
        <v>2115</v>
      </c>
      <c r="P2704" s="181">
        <v>0</v>
      </c>
      <c r="Q2704" s="181">
        <v>76.92307692307692</v>
      </c>
      <c r="S2704" s="181">
        <v>200000</v>
      </c>
      <c r="GR2704" s="181" t="s">
        <v>872</v>
      </c>
      <c r="GS2704" s="181">
        <v>0</v>
      </c>
      <c r="GT2704" s="181">
        <v>0</v>
      </c>
    </row>
    <row r="2705" spans="1:222">
      <c r="A2705" s="181" t="s">
        <v>2691</v>
      </c>
      <c r="J2705" s="181" t="s">
        <v>2655</v>
      </c>
      <c r="K2705" s="181">
        <v>100</v>
      </c>
      <c r="L2705" s="181" t="s">
        <v>2658</v>
      </c>
      <c r="M2705" s="181">
        <v>2</v>
      </c>
      <c r="N2705" s="181" t="s">
        <v>2664</v>
      </c>
      <c r="O2705" s="181" t="s">
        <v>2115</v>
      </c>
      <c r="P2705" s="181">
        <v>0</v>
      </c>
      <c r="Q2705" s="181">
        <v>57.142857142857146</v>
      </c>
      <c r="S2705" s="181">
        <v>200000</v>
      </c>
      <c r="GR2705" s="181" t="s">
        <v>873</v>
      </c>
      <c r="GS2705" s="181">
        <v>21452.995643941169</v>
      </c>
      <c r="GT2705" s="181">
        <v>69490.101448403919</v>
      </c>
    </row>
    <row r="2706" spans="1:222">
      <c r="A2706" s="181" t="s">
        <v>2691</v>
      </c>
      <c r="J2706" s="181" t="s">
        <v>2656</v>
      </c>
      <c r="K2706" s="181">
        <v>100</v>
      </c>
      <c r="L2706" s="181" t="s">
        <v>2658</v>
      </c>
      <c r="M2706" s="181">
        <v>2</v>
      </c>
      <c r="N2706" s="181" t="s">
        <v>2664</v>
      </c>
      <c r="O2706" s="181" t="s">
        <v>2115</v>
      </c>
      <c r="P2706" s="181">
        <v>0</v>
      </c>
      <c r="S2706" s="181">
        <v>200000</v>
      </c>
      <c r="GR2706" s="181" t="s">
        <v>873</v>
      </c>
      <c r="GS2706" s="181">
        <v>0</v>
      </c>
      <c r="GT2706" s="181">
        <v>0</v>
      </c>
    </row>
    <row r="2707" spans="1:222">
      <c r="A2707" s="181" t="s">
        <v>2691</v>
      </c>
      <c r="GR2707" s="181" t="s">
        <v>873</v>
      </c>
      <c r="GS2707" s="181">
        <v>0</v>
      </c>
      <c r="GT2707" s="181">
        <v>0</v>
      </c>
    </row>
    <row r="2708" spans="1:222">
      <c r="A2708" s="181" t="s">
        <v>2691</v>
      </c>
      <c r="GR2708" s="181" t="s">
        <v>873</v>
      </c>
      <c r="GS2708" s="181">
        <v>0</v>
      </c>
      <c r="GT2708" s="181">
        <v>0</v>
      </c>
    </row>
    <row r="2709" spans="1:222">
      <c r="A2709" s="181" t="s">
        <v>2691</v>
      </c>
      <c r="GR2709" s="181" t="s">
        <v>308</v>
      </c>
      <c r="GS2709" s="181">
        <v>0</v>
      </c>
      <c r="GT2709" s="181">
        <v>0</v>
      </c>
      <c r="HL2709" s="181" t="s">
        <v>1946</v>
      </c>
      <c r="HM2709" s="181">
        <v>10000</v>
      </c>
      <c r="HN2709" s="181">
        <v>10000</v>
      </c>
    </row>
    <row r="2710" spans="1:222">
      <c r="A2710" s="181" t="s">
        <v>2691</v>
      </c>
      <c r="GR2710" s="181" t="s">
        <v>874</v>
      </c>
      <c r="GS2710" s="181">
        <v>0</v>
      </c>
      <c r="GT2710" s="181">
        <v>0</v>
      </c>
    </row>
    <row r="2711" spans="1:222">
      <c r="A2711" s="181" t="s">
        <v>2691</v>
      </c>
      <c r="GR2711" s="181" t="s">
        <v>874</v>
      </c>
      <c r="GS2711" s="181">
        <v>0</v>
      </c>
      <c r="GT2711" s="181">
        <v>0</v>
      </c>
    </row>
    <row r="2712" spans="1:222">
      <c r="A2712" s="181" t="s">
        <v>2691</v>
      </c>
      <c r="GR2712" s="181" t="s">
        <v>874</v>
      </c>
      <c r="GS2712" s="181">
        <v>0</v>
      </c>
      <c r="GT2712" s="181">
        <v>0</v>
      </c>
    </row>
    <row r="2713" spans="1:222">
      <c r="A2713" s="181" t="s">
        <v>2691</v>
      </c>
      <c r="GR2713" s="181" t="s">
        <v>874</v>
      </c>
      <c r="GS2713" s="181">
        <v>0</v>
      </c>
      <c r="GT2713" s="181">
        <v>0</v>
      </c>
    </row>
    <row r="2714" spans="1:222">
      <c r="A2714" s="181" t="s">
        <v>2691</v>
      </c>
      <c r="GR2714" s="181" t="s">
        <v>1827</v>
      </c>
      <c r="GS2714" s="181">
        <v>0</v>
      </c>
      <c r="GT2714" s="181">
        <v>0</v>
      </c>
    </row>
    <row r="2715" spans="1:222">
      <c r="A2715" s="181" t="s">
        <v>2691</v>
      </c>
      <c r="GR2715" s="181">
        <v>0</v>
      </c>
      <c r="GS2715" s="181">
        <v>0</v>
      </c>
      <c r="GT2715" s="181">
        <v>0</v>
      </c>
    </row>
    <row r="2716" spans="1:222">
      <c r="A2716" s="181" t="s">
        <v>2691</v>
      </c>
      <c r="GR2716" s="181">
        <v>0</v>
      </c>
      <c r="GS2716" s="181">
        <v>0</v>
      </c>
      <c r="GT2716" s="181">
        <v>0</v>
      </c>
    </row>
    <row r="2717" spans="1:222">
      <c r="A2717" s="181" t="s">
        <v>2691</v>
      </c>
      <c r="GR2717" s="181">
        <v>0</v>
      </c>
      <c r="GS2717" s="181">
        <v>0</v>
      </c>
      <c r="GT2717" s="181">
        <v>0</v>
      </c>
    </row>
    <row r="2718" spans="1:222">
      <c r="A2718" s="181" t="s">
        <v>2691</v>
      </c>
      <c r="GR2718" s="181">
        <v>0</v>
      </c>
      <c r="GS2718" s="181">
        <v>0</v>
      </c>
      <c r="GT2718" s="181">
        <v>0</v>
      </c>
    </row>
    <row r="2719" spans="1:222">
      <c r="A2719" s="181" t="s">
        <v>2691</v>
      </c>
      <c r="GR2719" s="181">
        <v>0</v>
      </c>
      <c r="GS2719" s="181">
        <v>0</v>
      </c>
      <c r="GT2719" s="181">
        <v>0</v>
      </c>
    </row>
    <row r="2720" spans="1:222">
      <c r="A2720" s="181" t="s">
        <v>2691</v>
      </c>
      <c r="GR2720" s="181">
        <v>0</v>
      </c>
      <c r="GS2720" s="181">
        <v>0</v>
      </c>
      <c r="GT2720" s="181">
        <v>0</v>
      </c>
    </row>
    <row r="2721" spans="1:202">
      <c r="A2721" s="181" t="s">
        <v>2691</v>
      </c>
      <c r="GR2721" s="181">
        <v>0</v>
      </c>
      <c r="GS2721" s="181">
        <v>0</v>
      </c>
      <c r="GT2721" s="181">
        <v>0</v>
      </c>
    </row>
    <row r="2722" spans="1:202">
      <c r="A2722" s="181" t="s">
        <v>2691</v>
      </c>
      <c r="GR2722" s="181">
        <v>0</v>
      </c>
      <c r="GS2722" s="181">
        <v>0</v>
      </c>
      <c r="GT2722" s="181">
        <v>0</v>
      </c>
    </row>
    <row r="2723" spans="1:202">
      <c r="A2723" s="181" t="s">
        <v>2691</v>
      </c>
      <c r="GR2723" s="181">
        <v>0</v>
      </c>
      <c r="GS2723" s="181">
        <v>0</v>
      </c>
      <c r="GT2723" s="181">
        <v>0</v>
      </c>
    </row>
    <row r="2724" spans="1:202">
      <c r="A2724" s="181" t="s">
        <v>2691</v>
      </c>
      <c r="GR2724" s="181">
        <v>0</v>
      </c>
      <c r="GS2724" s="181">
        <v>0</v>
      </c>
      <c r="GT2724" s="181">
        <v>0</v>
      </c>
    </row>
    <row r="2725" spans="1:202">
      <c r="A2725" s="181" t="s">
        <v>2691</v>
      </c>
      <c r="GR2725" s="181">
        <v>0</v>
      </c>
      <c r="GS2725" s="181">
        <v>0</v>
      </c>
      <c r="GT2725" s="181">
        <v>0</v>
      </c>
    </row>
    <row r="2726" spans="1:202">
      <c r="A2726" s="181" t="s">
        <v>2691</v>
      </c>
      <c r="GR2726" s="181">
        <v>0</v>
      </c>
      <c r="GS2726" s="181">
        <v>0</v>
      </c>
      <c r="GT2726" s="181">
        <v>0</v>
      </c>
    </row>
    <row r="2727" spans="1:202">
      <c r="A2727" s="181" t="s">
        <v>2691</v>
      </c>
      <c r="GR2727" s="181">
        <v>0</v>
      </c>
      <c r="GS2727" s="181">
        <v>0</v>
      </c>
      <c r="GT2727" s="181">
        <v>0</v>
      </c>
    </row>
    <row r="2728" spans="1:202">
      <c r="A2728" s="181" t="s">
        <v>2691</v>
      </c>
      <c r="GR2728" s="181">
        <v>0</v>
      </c>
      <c r="GS2728" s="181">
        <v>0</v>
      </c>
      <c r="GT2728" s="181">
        <v>0</v>
      </c>
    </row>
    <row r="2729" spans="1:202">
      <c r="A2729" s="181" t="s">
        <v>2691</v>
      </c>
      <c r="GR2729" s="181" t="s">
        <v>309</v>
      </c>
      <c r="GS2729" s="181">
        <v>0</v>
      </c>
      <c r="GT2729" s="181">
        <v>0</v>
      </c>
    </row>
    <row r="2730" spans="1:202">
      <c r="A2730" s="181" t="s">
        <v>2691</v>
      </c>
      <c r="GR2730" s="181" t="s">
        <v>309</v>
      </c>
      <c r="GS2730" s="181">
        <v>0</v>
      </c>
      <c r="GT2730" s="181">
        <v>0</v>
      </c>
    </row>
    <row r="2731" spans="1:202">
      <c r="A2731" s="181" t="s">
        <v>2691</v>
      </c>
      <c r="GR2731" s="181" t="s">
        <v>309</v>
      </c>
      <c r="GS2731" s="181">
        <v>0</v>
      </c>
      <c r="GT2731" s="181">
        <v>0</v>
      </c>
    </row>
    <row r="2732" spans="1:202">
      <c r="A2732" s="181" t="s">
        <v>2691</v>
      </c>
      <c r="GS2732" s="181">
        <v>2885132.608139039</v>
      </c>
      <c r="GT2732" s="181">
        <v>7698334.663499129</v>
      </c>
    </row>
    <row r="2733" spans="1:202">
      <c r="A2733" s="181" t="s">
        <v>2691</v>
      </c>
      <c r="GR2733" s="181" t="s">
        <v>875</v>
      </c>
      <c r="GS2733" s="181">
        <v>0</v>
      </c>
      <c r="GT2733" s="181">
        <v>2000</v>
      </c>
    </row>
    <row r="2734" spans="1:202">
      <c r="A2734" s="181" t="s">
        <v>2691</v>
      </c>
      <c r="GR2734" s="181" t="s">
        <v>875</v>
      </c>
      <c r="GS2734" s="181">
        <v>0</v>
      </c>
      <c r="GT2734" s="181">
        <v>0</v>
      </c>
    </row>
    <row r="2735" spans="1:202">
      <c r="A2735" s="181" t="s">
        <v>2691</v>
      </c>
      <c r="GR2735" s="181" t="s">
        <v>875</v>
      </c>
      <c r="GS2735" s="181">
        <v>0</v>
      </c>
      <c r="GT2735" s="181">
        <v>0</v>
      </c>
    </row>
    <row r="2736" spans="1:202">
      <c r="A2736" s="181" t="s">
        <v>2691</v>
      </c>
      <c r="GR2736" s="181" t="s">
        <v>875</v>
      </c>
      <c r="GS2736" s="181">
        <v>0</v>
      </c>
      <c r="GT2736" s="181">
        <v>0</v>
      </c>
    </row>
    <row r="2737" spans="1:202">
      <c r="A2737" s="181" t="s">
        <v>2691</v>
      </c>
      <c r="GR2737" s="181" t="s">
        <v>875</v>
      </c>
      <c r="GS2737" s="181">
        <v>0</v>
      </c>
      <c r="GT2737" s="181">
        <v>0</v>
      </c>
    </row>
    <row r="2738" spans="1:202">
      <c r="A2738" s="181" t="s">
        <v>2691</v>
      </c>
      <c r="GR2738" s="181" t="s">
        <v>875</v>
      </c>
      <c r="GS2738" s="181">
        <v>0</v>
      </c>
      <c r="GT2738" s="181">
        <v>0</v>
      </c>
    </row>
    <row r="2739" spans="1:202">
      <c r="A2739" s="181" t="s">
        <v>2691</v>
      </c>
      <c r="GR2739" s="181" t="s">
        <v>310</v>
      </c>
      <c r="GS2739" s="181">
        <v>0</v>
      </c>
      <c r="GT2739" s="181">
        <v>0</v>
      </c>
    </row>
    <row r="2740" spans="1:202">
      <c r="A2740" s="181" t="s">
        <v>2691</v>
      </c>
      <c r="GR2740" s="181" t="s">
        <v>310</v>
      </c>
      <c r="GS2740" s="181">
        <v>0</v>
      </c>
      <c r="GT2740" s="181">
        <v>0</v>
      </c>
    </row>
    <row r="2741" spans="1:202">
      <c r="A2741" s="181" t="s">
        <v>2691</v>
      </c>
      <c r="GR2741" s="181" t="s">
        <v>310</v>
      </c>
      <c r="GS2741" s="181">
        <v>0</v>
      </c>
      <c r="GT2741" s="181">
        <v>0</v>
      </c>
    </row>
    <row r="2742" spans="1:202">
      <c r="A2742" s="181" t="s">
        <v>2691</v>
      </c>
      <c r="GR2742" s="181" t="s">
        <v>310</v>
      </c>
      <c r="GS2742" s="181">
        <v>0</v>
      </c>
      <c r="GT2742" s="181">
        <v>0</v>
      </c>
    </row>
    <row r="2743" spans="1:202">
      <c r="A2743" s="181" t="s">
        <v>2691</v>
      </c>
      <c r="GR2743" s="181" t="s">
        <v>876</v>
      </c>
      <c r="GS2743" s="181">
        <v>0</v>
      </c>
      <c r="GT2743" s="181">
        <v>0</v>
      </c>
    </row>
    <row r="2744" spans="1:202">
      <c r="A2744" s="181" t="s">
        <v>2691</v>
      </c>
      <c r="GR2744" s="181" t="s">
        <v>876</v>
      </c>
      <c r="GS2744" s="181">
        <v>0</v>
      </c>
      <c r="GT2744" s="181">
        <v>0</v>
      </c>
    </row>
    <row r="2745" spans="1:202">
      <c r="A2745" s="181" t="s">
        <v>2691</v>
      </c>
      <c r="GR2745" s="181" t="s">
        <v>876</v>
      </c>
      <c r="GS2745" s="181">
        <v>0</v>
      </c>
      <c r="GT2745" s="181">
        <v>0</v>
      </c>
    </row>
    <row r="2746" spans="1:202">
      <c r="A2746" s="181" t="s">
        <v>2691</v>
      </c>
      <c r="GR2746" s="181" t="s">
        <v>876</v>
      </c>
      <c r="GS2746" s="181">
        <v>0</v>
      </c>
      <c r="GT2746" s="181">
        <v>0</v>
      </c>
    </row>
    <row r="2747" spans="1:202">
      <c r="A2747" s="181" t="s">
        <v>2691</v>
      </c>
      <c r="GR2747" s="181" t="s">
        <v>876</v>
      </c>
      <c r="GS2747" s="181">
        <v>0</v>
      </c>
      <c r="GT2747" s="181">
        <v>0</v>
      </c>
    </row>
    <row r="2748" spans="1:202">
      <c r="A2748" s="181" t="s">
        <v>2691</v>
      </c>
      <c r="GR2748" s="181" t="s">
        <v>1828</v>
      </c>
      <c r="GS2748" s="181">
        <v>0</v>
      </c>
      <c r="GT2748" s="181">
        <v>0</v>
      </c>
    </row>
    <row r="2749" spans="1:202">
      <c r="A2749" s="181" t="s">
        <v>2691</v>
      </c>
      <c r="GR2749" s="181" t="s">
        <v>1829</v>
      </c>
      <c r="GS2749" s="181">
        <v>49175</v>
      </c>
      <c r="GT2749" s="181">
        <v>98350</v>
      </c>
    </row>
    <row r="2750" spans="1:202">
      <c r="A2750" s="181" t="s">
        <v>2691</v>
      </c>
      <c r="GR2750" s="181" t="s">
        <v>1830</v>
      </c>
      <c r="GS2750" s="181">
        <v>0</v>
      </c>
      <c r="GT2750" s="181">
        <v>0</v>
      </c>
    </row>
    <row r="2751" spans="1:202">
      <c r="A2751" s="181" t="s">
        <v>2691</v>
      </c>
      <c r="GR2751" s="181" t="s">
        <v>753</v>
      </c>
      <c r="GS2751" s="181">
        <v>0</v>
      </c>
      <c r="GT2751" s="181">
        <v>0</v>
      </c>
    </row>
    <row r="2752" spans="1:202">
      <c r="A2752" s="181" t="s">
        <v>2691</v>
      </c>
      <c r="GR2752" s="181" t="s">
        <v>1831</v>
      </c>
      <c r="GS2752" s="181">
        <v>0</v>
      </c>
      <c r="GT2752" s="181">
        <v>0</v>
      </c>
    </row>
    <row r="2753" spans="1:202">
      <c r="A2753" s="181" t="s">
        <v>2691</v>
      </c>
      <c r="GR2753" s="181">
        <v>0</v>
      </c>
      <c r="GS2753" s="181">
        <v>0</v>
      </c>
      <c r="GT2753" s="181">
        <v>0</v>
      </c>
    </row>
    <row r="2754" spans="1:202">
      <c r="A2754" s="181" t="s">
        <v>2691</v>
      </c>
      <c r="GR2754" s="181">
        <v>0</v>
      </c>
      <c r="GS2754" s="181">
        <v>0</v>
      </c>
      <c r="GT2754" s="181">
        <v>0</v>
      </c>
    </row>
    <row r="2755" spans="1:202">
      <c r="A2755" s="181" t="s">
        <v>2691</v>
      </c>
      <c r="GR2755" s="181">
        <v>0</v>
      </c>
      <c r="GS2755" s="181">
        <v>0</v>
      </c>
      <c r="GT2755" s="181">
        <v>0</v>
      </c>
    </row>
    <row r="2756" spans="1:202">
      <c r="A2756" s="181" t="s">
        <v>2691</v>
      </c>
      <c r="GR2756" s="181">
        <v>0</v>
      </c>
      <c r="GS2756" s="181">
        <v>0</v>
      </c>
      <c r="GT2756" s="181">
        <v>0</v>
      </c>
    </row>
    <row r="2757" spans="1:202">
      <c r="A2757" s="181" t="s">
        <v>2691</v>
      </c>
      <c r="GR2757" s="181">
        <v>0</v>
      </c>
      <c r="GS2757" s="181">
        <v>0</v>
      </c>
      <c r="GT2757" s="181">
        <v>0</v>
      </c>
    </row>
    <row r="2758" spans="1:202">
      <c r="A2758" s="181" t="s">
        <v>2691</v>
      </c>
      <c r="GR2758" s="181">
        <v>0</v>
      </c>
      <c r="GS2758" s="181">
        <v>0</v>
      </c>
      <c r="GT2758" s="181">
        <v>0</v>
      </c>
    </row>
    <row r="2759" spans="1:202">
      <c r="A2759" s="181" t="s">
        <v>2691</v>
      </c>
      <c r="GR2759" s="181">
        <v>0</v>
      </c>
      <c r="GS2759" s="181">
        <v>0</v>
      </c>
      <c r="GT2759" s="181">
        <v>0</v>
      </c>
    </row>
    <row r="2760" spans="1:202">
      <c r="A2760" s="181" t="s">
        <v>2691</v>
      </c>
      <c r="GR2760" s="181">
        <v>0</v>
      </c>
      <c r="GS2760" s="181">
        <v>0</v>
      </c>
      <c r="GT2760" s="181">
        <v>0</v>
      </c>
    </row>
    <row r="2761" spans="1:202">
      <c r="A2761" s="181" t="s">
        <v>2691</v>
      </c>
      <c r="GR2761" s="181">
        <v>0</v>
      </c>
      <c r="GS2761" s="181">
        <v>0</v>
      </c>
      <c r="GT2761" s="181">
        <v>0</v>
      </c>
    </row>
    <row r="2762" spans="1:202">
      <c r="A2762" s="181" t="s">
        <v>2691</v>
      </c>
      <c r="GR2762" s="181">
        <v>0</v>
      </c>
      <c r="GS2762" s="181">
        <v>0</v>
      </c>
      <c r="GT2762" s="181">
        <v>0</v>
      </c>
    </row>
    <row r="2763" spans="1:202">
      <c r="A2763" s="181" t="s">
        <v>2691</v>
      </c>
      <c r="GS2763" s="181">
        <v>49175</v>
      </c>
      <c r="GT2763" s="181">
        <v>100350</v>
      </c>
    </row>
    <row r="2764" spans="1:202">
      <c r="A2764" s="181" t="s">
        <v>2691</v>
      </c>
      <c r="GR2764" s="181" t="s">
        <v>309</v>
      </c>
      <c r="GS2764" s="181">
        <v>0</v>
      </c>
      <c r="GT2764" s="181">
        <v>0</v>
      </c>
    </row>
    <row r="2765" spans="1:202">
      <c r="A2765" s="181" t="s">
        <v>2691</v>
      </c>
      <c r="GS2765" s="181">
        <v>2934307.608139039</v>
      </c>
      <c r="GT2765" s="181">
        <v>7798684.663499129</v>
      </c>
    </row>
    <row r="2766" spans="1:202">
      <c r="A2766" s="181" t="s">
        <v>2691</v>
      </c>
      <c r="GR2766" s="181" t="s">
        <v>312</v>
      </c>
      <c r="GS2766" s="181">
        <v>0</v>
      </c>
      <c r="GT2766" s="181">
        <v>0</v>
      </c>
    </row>
    <row r="2767" spans="1:202">
      <c r="A2767" s="181" t="s">
        <v>2691</v>
      </c>
      <c r="GR2767" s="181" t="s">
        <v>312</v>
      </c>
      <c r="GS2767" s="181">
        <v>0</v>
      </c>
      <c r="GT2767" s="181">
        <v>0</v>
      </c>
    </row>
    <row r="2768" spans="1:202">
      <c r="A2768" s="181" t="s">
        <v>2691</v>
      </c>
      <c r="GR2768" s="181" t="s">
        <v>312</v>
      </c>
      <c r="GS2768" s="181">
        <v>0</v>
      </c>
      <c r="GT2768" s="181">
        <v>0</v>
      </c>
    </row>
    <row r="2769" spans="1:202">
      <c r="A2769" s="181" t="s">
        <v>2691</v>
      </c>
      <c r="GR2769" s="181" t="s">
        <v>312</v>
      </c>
      <c r="GS2769" s="181">
        <v>0</v>
      </c>
      <c r="GT2769" s="181">
        <v>0</v>
      </c>
    </row>
    <row r="2770" spans="1:202">
      <c r="A2770" s="181" t="s">
        <v>2691</v>
      </c>
      <c r="GR2770" s="181" t="s">
        <v>312</v>
      </c>
      <c r="GS2770" s="181">
        <v>0</v>
      </c>
      <c r="GT2770" s="181">
        <v>0</v>
      </c>
    </row>
    <row r="2771" spans="1:202">
      <c r="A2771" s="181" t="s">
        <v>2691</v>
      </c>
      <c r="GR2771" s="181" t="s">
        <v>312</v>
      </c>
      <c r="GS2771" s="181">
        <v>0</v>
      </c>
      <c r="GT2771" s="181">
        <v>0</v>
      </c>
    </row>
    <row r="2772" spans="1:202">
      <c r="A2772" s="181" t="s">
        <v>2691</v>
      </c>
      <c r="GR2772" s="181" t="s">
        <v>312</v>
      </c>
      <c r="GS2772" s="181">
        <v>0</v>
      </c>
      <c r="GT2772" s="181">
        <v>0</v>
      </c>
    </row>
    <row r="2773" spans="1:202">
      <c r="A2773" s="181" t="s">
        <v>2691</v>
      </c>
      <c r="GR2773" s="181" t="s">
        <v>877</v>
      </c>
      <c r="GS2773" s="181">
        <v>0</v>
      </c>
      <c r="GT2773" s="181">
        <v>0</v>
      </c>
    </row>
    <row r="2774" spans="1:202">
      <c r="A2774" s="181" t="s">
        <v>2691</v>
      </c>
      <c r="GR2774" s="181" t="s">
        <v>878</v>
      </c>
      <c r="GS2774" s="181">
        <v>420736</v>
      </c>
      <c r="GT2774" s="181">
        <v>1142652</v>
      </c>
    </row>
    <row r="2775" spans="1:202">
      <c r="A2775" s="181" t="s">
        <v>2691</v>
      </c>
      <c r="GR2775" s="181" t="s">
        <v>878</v>
      </c>
      <c r="GS2775" s="181">
        <v>0</v>
      </c>
      <c r="GT2775" s="181">
        <v>0</v>
      </c>
    </row>
    <row r="2776" spans="1:202">
      <c r="A2776" s="181" t="s">
        <v>2691</v>
      </c>
      <c r="GR2776" s="181" t="s">
        <v>878</v>
      </c>
      <c r="GS2776" s="181">
        <v>0</v>
      </c>
      <c r="GT2776" s="181">
        <v>0</v>
      </c>
    </row>
    <row r="2777" spans="1:202">
      <c r="A2777" s="181" t="s">
        <v>2691</v>
      </c>
      <c r="GR2777" s="181" t="s">
        <v>878</v>
      </c>
      <c r="GS2777" s="181">
        <v>0</v>
      </c>
      <c r="GT2777" s="181">
        <v>0</v>
      </c>
    </row>
    <row r="2778" spans="1:202">
      <c r="A2778" s="181" t="s">
        <v>2691</v>
      </c>
      <c r="GR2778" s="181" t="s">
        <v>878</v>
      </c>
      <c r="GS2778" s="181">
        <v>0</v>
      </c>
      <c r="GT2778" s="181">
        <v>0</v>
      </c>
    </row>
    <row r="2779" spans="1:202">
      <c r="A2779" s="181" t="s">
        <v>2691</v>
      </c>
      <c r="GR2779" s="181" t="s">
        <v>878</v>
      </c>
      <c r="GS2779" s="181">
        <v>0</v>
      </c>
      <c r="GT2779" s="181">
        <v>0</v>
      </c>
    </row>
    <row r="2780" spans="1:202">
      <c r="A2780" s="181" t="s">
        <v>2691</v>
      </c>
      <c r="GR2780" s="181" t="s">
        <v>878</v>
      </c>
      <c r="GS2780" s="181">
        <v>0</v>
      </c>
      <c r="GT2780" s="181">
        <v>0</v>
      </c>
    </row>
    <row r="2781" spans="1:202">
      <c r="A2781" s="181" t="s">
        <v>2691</v>
      </c>
      <c r="GR2781" s="181" t="s">
        <v>878</v>
      </c>
      <c r="GS2781" s="181">
        <v>0</v>
      </c>
      <c r="GT2781" s="181">
        <v>0</v>
      </c>
    </row>
    <row r="2782" spans="1:202">
      <c r="A2782" s="181" t="s">
        <v>2691</v>
      </c>
      <c r="GR2782" s="181" t="s">
        <v>878</v>
      </c>
      <c r="GS2782" s="181">
        <v>0</v>
      </c>
      <c r="GT2782" s="181" t="e">
        <v>#VALUE!</v>
      </c>
    </row>
    <row r="2783" spans="1:202">
      <c r="A2783" s="181" t="s">
        <v>2691</v>
      </c>
      <c r="GR2783" s="181" t="s">
        <v>879</v>
      </c>
      <c r="GS2783" s="181">
        <v>0</v>
      </c>
      <c r="GT2783" s="181">
        <v>0</v>
      </c>
    </row>
    <row r="2784" spans="1:202">
      <c r="A2784" s="181" t="s">
        <v>2691</v>
      </c>
      <c r="GR2784" s="181" t="s">
        <v>1715</v>
      </c>
      <c r="GS2784" s="181">
        <v>301773</v>
      </c>
      <c r="GT2784" s="181">
        <v>647992</v>
      </c>
    </row>
    <row r="2785" spans="1:202">
      <c r="A2785" s="181" t="s">
        <v>2691</v>
      </c>
      <c r="GR2785" s="181" t="s">
        <v>880</v>
      </c>
      <c r="GS2785" s="181">
        <v>135419</v>
      </c>
      <c r="GT2785" s="181">
        <v>285444</v>
      </c>
    </row>
    <row r="2786" spans="1:202">
      <c r="A2786" s="181" t="s">
        <v>2691</v>
      </c>
      <c r="GR2786" s="181" t="s">
        <v>881</v>
      </c>
      <c r="GS2786" s="181">
        <v>1839298</v>
      </c>
      <c r="GT2786" s="181">
        <v>3747596</v>
      </c>
    </row>
    <row r="2787" spans="1:202">
      <c r="A2787" s="181" t="s">
        <v>2691</v>
      </c>
      <c r="GR2787" s="181">
        <v>0</v>
      </c>
      <c r="GS2787" s="181">
        <v>0</v>
      </c>
      <c r="GT2787" s="181">
        <v>0</v>
      </c>
    </row>
    <row r="2788" spans="1:202">
      <c r="A2788" s="181" t="s">
        <v>2691</v>
      </c>
      <c r="GR2788" s="181">
        <v>0</v>
      </c>
      <c r="GS2788" s="181">
        <v>0</v>
      </c>
      <c r="GT2788" s="181">
        <v>0</v>
      </c>
    </row>
    <row r="2789" spans="1:202">
      <c r="A2789" s="181" t="s">
        <v>2691</v>
      </c>
      <c r="GR2789" s="181">
        <v>0</v>
      </c>
      <c r="GS2789" s="181">
        <v>0</v>
      </c>
      <c r="GT2789" s="181">
        <v>0</v>
      </c>
    </row>
    <row r="2790" spans="1:202">
      <c r="A2790" s="181" t="s">
        <v>2691</v>
      </c>
      <c r="GR2790" s="181">
        <v>0</v>
      </c>
      <c r="GS2790" s="181">
        <v>0</v>
      </c>
      <c r="GT2790" s="181">
        <v>0</v>
      </c>
    </row>
    <row r="2791" spans="1:202">
      <c r="A2791" s="181" t="s">
        <v>2691</v>
      </c>
      <c r="GR2791" s="181">
        <v>0</v>
      </c>
      <c r="GS2791" s="181">
        <v>0</v>
      </c>
      <c r="GT2791" s="181">
        <v>0</v>
      </c>
    </row>
    <row r="2792" spans="1:202">
      <c r="A2792" s="181" t="s">
        <v>2691</v>
      </c>
      <c r="GR2792" s="181">
        <v>0</v>
      </c>
      <c r="GS2792" s="181">
        <v>0</v>
      </c>
      <c r="GT2792" s="181">
        <v>0</v>
      </c>
    </row>
    <row r="2793" spans="1:202">
      <c r="A2793" s="181" t="s">
        <v>2691</v>
      </c>
      <c r="GR2793" s="181">
        <v>0</v>
      </c>
      <c r="GS2793" s="181">
        <v>0</v>
      </c>
      <c r="GT2793" s="181">
        <v>0</v>
      </c>
    </row>
    <row r="2794" spans="1:202">
      <c r="A2794" s="181" t="s">
        <v>2691</v>
      </c>
      <c r="GR2794" s="181">
        <v>0</v>
      </c>
      <c r="GS2794" s="181">
        <v>0</v>
      </c>
      <c r="GT2794" s="181">
        <v>0</v>
      </c>
    </row>
    <row r="2795" spans="1:202">
      <c r="A2795" s="181" t="s">
        <v>2691</v>
      </c>
      <c r="GR2795" s="181">
        <v>0</v>
      </c>
      <c r="GS2795" s="181">
        <v>0</v>
      </c>
      <c r="GT2795" s="181">
        <v>0</v>
      </c>
    </row>
    <row r="2796" spans="1:202">
      <c r="A2796" s="181" t="s">
        <v>2691</v>
      </c>
      <c r="GR2796" s="181">
        <v>0</v>
      </c>
      <c r="GS2796" s="181">
        <v>0</v>
      </c>
      <c r="GT2796" s="181">
        <v>0</v>
      </c>
    </row>
    <row r="2797" spans="1:202">
      <c r="A2797" s="181" t="s">
        <v>2691</v>
      </c>
      <c r="GR2797" s="181">
        <v>0</v>
      </c>
      <c r="GS2797" s="181">
        <v>0</v>
      </c>
      <c r="GT2797" s="181">
        <v>0</v>
      </c>
    </row>
    <row r="2798" spans="1:202">
      <c r="A2798" s="181" t="s">
        <v>2691</v>
      </c>
      <c r="GR2798" s="181">
        <v>0</v>
      </c>
      <c r="GS2798" s="181">
        <v>0</v>
      </c>
      <c r="GT2798" s="181">
        <v>0</v>
      </c>
    </row>
    <row r="2799" spans="1:202">
      <c r="A2799" s="181" t="s">
        <v>2691</v>
      </c>
      <c r="GR2799" s="181">
        <v>0</v>
      </c>
      <c r="GS2799" s="181">
        <v>0</v>
      </c>
      <c r="GT2799" s="181">
        <v>0</v>
      </c>
    </row>
    <row r="2800" spans="1:202">
      <c r="A2800" s="181" t="s">
        <v>2691</v>
      </c>
      <c r="GR2800" s="181">
        <v>0</v>
      </c>
      <c r="GS2800" s="181">
        <v>0</v>
      </c>
      <c r="GT2800" s="181">
        <v>0</v>
      </c>
    </row>
    <row r="2801" spans="1:202">
      <c r="A2801" s="181" t="s">
        <v>2691</v>
      </c>
      <c r="GR2801" s="181">
        <v>0</v>
      </c>
      <c r="GS2801" s="181">
        <v>0</v>
      </c>
      <c r="GT2801" s="181">
        <v>0</v>
      </c>
    </row>
    <row r="2802" spans="1:202">
      <c r="A2802" s="181" t="s">
        <v>2691</v>
      </c>
      <c r="GR2802" s="181" t="s">
        <v>876</v>
      </c>
      <c r="GS2802" s="181">
        <v>136000</v>
      </c>
      <c r="GT2802" s="181">
        <v>300000</v>
      </c>
    </row>
    <row r="2803" spans="1:202">
      <c r="A2803" s="181" t="s">
        <v>2691</v>
      </c>
      <c r="GR2803" s="181" t="s">
        <v>876</v>
      </c>
      <c r="GS2803" s="181">
        <v>0</v>
      </c>
      <c r="GT2803" s="181">
        <v>0</v>
      </c>
    </row>
    <row r="2804" spans="1:202">
      <c r="A2804" s="181" t="s">
        <v>2691</v>
      </c>
      <c r="GR2804" s="181" t="s">
        <v>876</v>
      </c>
      <c r="GS2804" s="181">
        <v>0</v>
      </c>
      <c r="GT2804" s="181">
        <v>0</v>
      </c>
    </row>
    <row r="2805" spans="1:202">
      <c r="A2805" s="181" t="s">
        <v>2691</v>
      </c>
      <c r="GR2805" s="181" t="s">
        <v>882</v>
      </c>
      <c r="GS2805" s="181">
        <v>0</v>
      </c>
      <c r="GT2805" s="181">
        <v>0</v>
      </c>
    </row>
    <row r="2806" spans="1:202">
      <c r="A2806" s="181" t="s">
        <v>2691</v>
      </c>
      <c r="GR2806" s="181" t="s">
        <v>882</v>
      </c>
      <c r="GS2806" s="181">
        <v>0</v>
      </c>
      <c r="GT2806" s="181">
        <v>0</v>
      </c>
    </row>
    <row r="2807" spans="1:202">
      <c r="A2807" s="181" t="s">
        <v>2691</v>
      </c>
      <c r="GR2807" s="181" t="s">
        <v>882</v>
      </c>
      <c r="GS2807" s="181">
        <v>0</v>
      </c>
      <c r="GT2807" s="181">
        <v>0</v>
      </c>
    </row>
    <row r="2808" spans="1:202">
      <c r="A2808" s="181" t="s">
        <v>2691</v>
      </c>
      <c r="GR2808" s="181" t="s">
        <v>882</v>
      </c>
      <c r="GS2808" s="181">
        <v>0</v>
      </c>
      <c r="GT2808" s="181">
        <v>0</v>
      </c>
    </row>
    <row r="2809" spans="1:202">
      <c r="A2809" s="181" t="s">
        <v>2691</v>
      </c>
      <c r="GR2809" s="181" t="s">
        <v>882</v>
      </c>
      <c r="GS2809" s="181">
        <v>0</v>
      </c>
      <c r="GT2809" s="181">
        <v>0</v>
      </c>
    </row>
    <row r="2810" spans="1:202">
      <c r="A2810" s="181" t="s">
        <v>2691</v>
      </c>
      <c r="GR2810" s="181" t="s">
        <v>882</v>
      </c>
      <c r="GS2810" s="181">
        <v>0</v>
      </c>
      <c r="GT2810" s="181">
        <v>0</v>
      </c>
    </row>
    <row r="2811" spans="1:202">
      <c r="A2811" s="181" t="s">
        <v>2691</v>
      </c>
      <c r="GR2811" s="181" t="s">
        <v>882</v>
      </c>
      <c r="GS2811" s="181">
        <v>0</v>
      </c>
      <c r="GT2811" s="181">
        <v>0</v>
      </c>
    </row>
    <row r="2812" spans="1:202">
      <c r="A2812" s="181" t="s">
        <v>2691</v>
      </c>
      <c r="GR2812" s="181" t="s">
        <v>882</v>
      </c>
      <c r="GS2812" s="181">
        <v>0</v>
      </c>
      <c r="GT2812" s="181">
        <v>0</v>
      </c>
    </row>
    <row r="2813" spans="1:202">
      <c r="A2813" s="181" t="s">
        <v>2691</v>
      </c>
      <c r="GR2813" s="181" t="s">
        <v>882</v>
      </c>
      <c r="GS2813" s="181">
        <v>0</v>
      </c>
      <c r="GT2813" s="181">
        <v>0</v>
      </c>
    </row>
    <row r="2814" spans="1:202">
      <c r="A2814" s="181" t="s">
        <v>2691</v>
      </c>
      <c r="GR2814" s="181" t="s">
        <v>883</v>
      </c>
      <c r="GS2814" s="181">
        <v>0</v>
      </c>
      <c r="GT2814" s="181">
        <v>0</v>
      </c>
    </row>
    <row r="2815" spans="1:202">
      <c r="A2815" s="181" t="s">
        <v>2691</v>
      </c>
      <c r="GR2815" s="181" t="s">
        <v>873</v>
      </c>
      <c r="GS2815" s="181">
        <v>88500</v>
      </c>
      <c r="GT2815" s="181">
        <v>105020</v>
      </c>
    </row>
    <row r="2816" spans="1:202">
      <c r="A2816" s="181" t="s">
        <v>2691</v>
      </c>
      <c r="GR2816" s="181" t="s">
        <v>873</v>
      </c>
      <c r="GS2816" s="181">
        <v>0</v>
      </c>
      <c r="GT2816" s="181">
        <v>0</v>
      </c>
    </row>
    <row r="2817" spans="1:202">
      <c r="A2817" s="181" t="s">
        <v>2691</v>
      </c>
      <c r="GR2817" s="181" t="s">
        <v>873</v>
      </c>
      <c r="GS2817" s="181">
        <v>0</v>
      </c>
      <c r="GT2817" s="181">
        <v>0</v>
      </c>
    </row>
    <row r="2818" spans="1:202">
      <c r="A2818" s="181" t="s">
        <v>2691</v>
      </c>
      <c r="GR2818" s="181" t="s">
        <v>873</v>
      </c>
      <c r="GS2818" s="181">
        <v>0</v>
      </c>
      <c r="GT2818" s="181">
        <v>0</v>
      </c>
    </row>
    <row r="2819" spans="1:202">
      <c r="A2819" s="181" t="s">
        <v>2691</v>
      </c>
      <c r="GR2819" s="181" t="s">
        <v>308</v>
      </c>
      <c r="GS2819" s="181">
        <v>0</v>
      </c>
      <c r="GT2819" s="181">
        <v>0</v>
      </c>
    </row>
    <row r="2820" spans="1:202">
      <c r="A2820" s="181" t="s">
        <v>2691</v>
      </c>
      <c r="GR2820" s="181" t="s">
        <v>874</v>
      </c>
      <c r="GS2820" s="181">
        <v>0</v>
      </c>
      <c r="GT2820" s="181">
        <v>0</v>
      </c>
    </row>
    <row r="2821" spans="1:202">
      <c r="A2821" s="181" t="s">
        <v>2691</v>
      </c>
      <c r="GR2821" s="181" t="s">
        <v>874</v>
      </c>
      <c r="GS2821" s="181">
        <v>0</v>
      </c>
      <c r="GT2821" s="181">
        <v>0</v>
      </c>
    </row>
    <row r="2822" spans="1:202">
      <c r="A2822" s="181" t="s">
        <v>2691</v>
      </c>
      <c r="GR2822" s="181" t="s">
        <v>874</v>
      </c>
      <c r="GS2822" s="181">
        <v>0</v>
      </c>
      <c r="GT2822" s="181">
        <v>0</v>
      </c>
    </row>
    <row r="2823" spans="1:202">
      <c r="A2823" s="181" t="s">
        <v>2691</v>
      </c>
      <c r="GR2823" s="181" t="s">
        <v>874</v>
      </c>
      <c r="GS2823" s="181">
        <v>0</v>
      </c>
      <c r="GT2823" s="181">
        <v>0</v>
      </c>
    </row>
    <row r="2824" spans="1:202">
      <c r="A2824" s="181" t="s">
        <v>2691</v>
      </c>
      <c r="GR2824" s="181" t="s">
        <v>870</v>
      </c>
      <c r="GS2824" s="181">
        <v>91325</v>
      </c>
      <c r="GT2824" s="181">
        <v>182325</v>
      </c>
    </row>
    <row r="2825" spans="1:202">
      <c r="A2825" s="181" t="s">
        <v>2691</v>
      </c>
      <c r="GR2825" s="181" t="s">
        <v>309</v>
      </c>
      <c r="GS2825" s="181">
        <v>0</v>
      </c>
      <c r="GT2825" s="181">
        <v>0</v>
      </c>
    </row>
    <row r="2826" spans="1:202">
      <c r="A2826" s="181" t="s">
        <v>2691</v>
      </c>
      <c r="GR2826" s="181" t="s">
        <v>309</v>
      </c>
      <c r="GS2826" s="181">
        <v>0</v>
      </c>
      <c r="GT2826" s="181">
        <v>0</v>
      </c>
    </row>
    <row r="2827" spans="1:202">
      <c r="A2827" s="181" t="s">
        <v>2691</v>
      </c>
      <c r="GR2827" s="181" t="s">
        <v>309</v>
      </c>
      <c r="GS2827" s="181">
        <v>0</v>
      </c>
      <c r="GT2827" s="181">
        <v>0</v>
      </c>
    </row>
    <row r="2828" spans="1:202">
      <c r="A2828" s="181" t="s">
        <v>2691</v>
      </c>
      <c r="GS2828" s="181">
        <v>3013051</v>
      </c>
      <c r="GT2828" s="181">
        <v>6411029</v>
      </c>
    </row>
    <row r="2829" spans="1:202">
      <c r="A2829" s="181" t="s">
        <v>2691</v>
      </c>
      <c r="GR2829" s="181" t="s">
        <v>1832</v>
      </c>
      <c r="GS2829" s="181">
        <v>300000</v>
      </c>
      <c r="GT2829" s="181">
        <v>1600000</v>
      </c>
    </row>
    <row r="2830" spans="1:202">
      <c r="A2830" s="181" t="s">
        <v>2691</v>
      </c>
      <c r="GR2830" s="181" t="s">
        <v>1833</v>
      </c>
      <c r="GS2830" s="181">
        <v>5000</v>
      </c>
      <c r="GT2830" s="181">
        <v>10000</v>
      </c>
    </row>
    <row r="2831" spans="1:202">
      <c r="A2831" s="181" t="s">
        <v>2691</v>
      </c>
      <c r="GR2831" s="181" t="s">
        <v>875</v>
      </c>
      <c r="GS2831" s="181">
        <v>0</v>
      </c>
      <c r="GT2831" s="181">
        <v>0</v>
      </c>
    </row>
    <row r="2832" spans="1:202">
      <c r="A2832" s="181" t="s">
        <v>2691</v>
      </c>
      <c r="GR2832" s="181" t="s">
        <v>875</v>
      </c>
      <c r="GS2832" s="181">
        <v>0</v>
      </c>
      <c r="GT2832" s="181">
        <v>0</v>
      </c>
    </row>
    <row r="2833" spans="1:202">
      <c r="A2833" s="181" t="s">
        <v>2691</v>
      </c>
      <c r="GR2833" s="181" t="s">
        <v>875</v>
      </c>
      <c r="GS2833" s="181">
        <v>0</v>
      </c>
      <c r="GT2833" s="181">
        <v>0</v>
      </c>
    </row>
    <row r="2834" spans="1:202">
      <c r="A2834" s="181" t="s">
        <v>2691</v>
      </c>
      <c r="GR2834" s="181" t="s">
        <v>875</v>
      </c>
      <c r="GS2834" s="181">
        <v>0</v>
      </c>
      <c r="GT2834" s="181">
        <v>0</v>
      </c>
    </row>
    <row r="2835" spans="1:202">
      <c r="A2835" s="181" t="s">
        <v>2691</v>
      </c>
      <c r="GR2835" s="181" t="s">
        <v>310</v>
      </c>
      <c r="GS2835" s="181">
        <v>0</v>
      </c>
      <c r="GT2835" s="181">
        <v>0</v>
      </c>
    </row>
    <row r="2836" spans="1:202">
      <c r="A2836" s="181" t="s">
        <v>2691</v>
      </c>
      <c r="GR2836" s="181" t="s">
        <v>310</v>
      </c>
      <c r="GS2836" s="181">
        <v>0</v>
      </c>
      <c r="GT2836" s="181">
        <v>0</v>
      </c>
    </row>
    <row r="2837" spans="1:202">
      <c r="A2837" s="181" t="s">
        <v>2691</v>
      </c>
      <c r="GR2837" s="181" t="s">
        <v>310</v>
      </c>
      <c r="GS2837" s="181">
        <v>0</v>
      </c>
      <c r="GT2837" s="181">
        <v>0</v>
      </c>
    </row>
    <row r="2838" spans="1:202">
      <c r="A2838" s="181" t="s">
        <v>2691</v>
      </c>
      <c r="GR2838" s="181" t="s">
        <v>310</v>
      </c>
      <c r="GS2838" s="181">
        <v>0</v>
      </c>
      <c r="GT2838" s="181">
        <v>0</v>
      </c>
    </row>
    <row r="2839" spans="1:202">
      <c r="A2839" s="181" t="s">
        <v>2691</v>
      </c>
      <c r="GR2839" s="181" t="s">
        <v>310</v>
      </c>
      <c r="GS2839" s="181">
        <v>0</v>
      </c>
      <c r="GT2839" s="181">
        <v>0</v>
      </c>
    </row>
    <row r="2840" spans="1:202">
      <c r="A2840" s="181" t="s">
        <v>2691</v>
      </c>
      <c r="GR2840" s="181" t="s">
        <v>310</v>
      </c>
      <c r="GS2840" s="181">
        <v>0</v>
      </c>
      <c r="GT2840" s="181">
        <v>0</v>
      </c>
    </row>
    <row r="2841" spans="1:202">
      <c r="A2841" s="181" t="s">
        <v>2691</v>
      </c>
      <c r="GR2841" s="181" t="s">
        <v>310</v>
      </c>
      <c r="GS2841" s="181">
        <v>0</v>
      </c>
      <c r="GT2841" s="181">
        <v>0</v>
      </c>
    </row>
    <row r="2842" spans="1:202">
      <c r="A2842" s="181" t="s">
        <v>2691</v>
      </c>
      <c r="GR2842" s="181" t="s">
        <v>310</v>
      </c>
      <c r="GS2842" s="181">
        <v>0</v>
      </c>
      <c r="GT2842" s="181">
        <v>0</v>
      </c>
    </row>
    <row r="2843" spans="1:202">
      <c r="A2843" s="181" t="s">
        <v>2691</v>
      </c>
      <c r="GR2843" s="181" t="s">
        <v>1834</v>
      </c>
      <c r="GS2843" s="181">
        <v>0</v>
      </c>
      <c r="GT2843" s="181">
        <v>0</v>
      </c>
    </row>
    <row r="2844" spans="1:202">
      <c r="A2844" s="181" t="s">
        <v>2691</v>
      </c>
      <c r="GR2844" s="181" t="s">
        <v>1835</v>
      </c>
      <c r="GS2844" s="181">
        <v>0</v>
      </c>
      <c r="GT2844" s="181">
        <v>0</v>
      </c>
    </row>
    <row r="2845" spans="1:202">
      <c r="A2845" s="181" t="s">
        <v>2691</v>
      </c>
      <c r="GR2845" s="181" t="s">
        <v>876</v>
      </c>
      <c r="GS2845" s="181">
        <v>0</v>
      </c>
      <c r="GT2845" s="181">
        <v>0</v>
      </c>
    </row>
    <row r="2846" spans="1:202">
      <c r="A2846" s="181" t="s">
        <v>2691</v>
      </c>
      <c r="GR2846" s="181" t="s">
        <v>876</v>
      </c>
      <c r="GS2846" s="181">
        <v>0</v>
      </c>
      <c r="GT2846" s="181">
        <v>0</v>
      </c>
    </row>
    <row r="2847" spans="1:202">
      <c r="A2847" s="181" t="s">
        <v>2691</v>
      </c>
      <c r="GR2847" s="181" t="s">
        <v>876</v>
      </c>
      <c r="GS2847" s="181">
        <v>0</v>
      </c>
      <c r="GT2847" s="181">
        <v>0</v>
      </c>
    </row>
    <row r="2848" spans="1:202">
      <c r="A2848" s="181" t="s">
        <v>2691</v>
      </c>
      <c r="GR2848" s="181" t="s">
        <v>1369</v>
      </c>
      <c r="GS2848" s="181">
        <v>34306</v>
      </c>
      <c r="GT2848" s="181">
        <v>68608</v>
      </c>
    </row>
    <row r="2849" spans="1:202">
      <c r="A2849" s="181" t="s">
        <v>2691</v>
      </c>
      <c r="GR2849" s="181">
        <v>0</v>
      </c>
      <c r="GS2849" s="181">
        <v>0</v>
      </c>
      <c r="GT2849" s="181">
        <v>0</v>
      </c>
    </row>
    <row r="2850" spans="1:202">
      <c r="A2850" s="181" t="s">
        <v>2691</v>
      </c>
      <c r="GR2850" s="181">
        <v>0</v>
      </c>
      <c r="GS2850" s="181">
        <v>0</v>
      </c>
      <c r="GT2850" s="181">
        <v>0</v>
      </c>
    </row>
    <row r="2851" spans="1:202">
      <c r="A2851" s="181" t="s">
        <v>2691</v>
      </c>
      <c r="GR2851" s="181">
        <v>0</v>
      </c>
      <c r="GS2851" s="181">
        <v>0</v>
      </c>
      <c r="GT2851" s="181">
        <v>0</v>
      </c>
    </row>
    <row r="2852" spans="1:202">
      <c r="A2852" s="181" t="s">
        <v>2691</v>
      </c>
      <c r="GR2852" s="181">
        <v>0</v>
      </c>
      <c r="GS2852" s="181">
        <v>0</v>
      </c>
      <c r="GT2852" s="181">
        <v>0</v>
      </c>
    </row>
    <row r="2853" spans="1:202">
      <c r="A2853" s="181" t="s">
        <v>2691</v>
      </c>
      <c r="GR2853" s="181">
        <v>0</v>
      </c>
      <c r="GS2853" s="181">
        <v>0</v>
      </c>
      <c r="GT2853" s="181">
        <v>0</v>
      </c>
    </row>
    <row r="2854" spans="1:202">
      <c r="A2854" s="181" t="s">
        <v>2691</v>
      </c>
      <c r="GR2854" s="181">
        <v>0</v>
      </c>
      <c r="GS2854" s="181">
        <v>0</v>
      </c>
      <c r="GT2854" s="181">
        <v>0</v>
      </c>
    </row>
    <row r="2855" spans="1:202">
      <c r="A2855" s="181" t="s">
        <v>2691</v>
      </c>
      <c r="GR2855" s="181">
        <v>0</v>
      </c>
      <c r="GS2855" s="181">
        <v>0</v>
      </c>
      <c r="GT2855" s="181">
        <v>0</v>
      </c>
    </row>
    <row r="2856" spans="1:202">
      <c r="A2856" s="181" t="s">
        <v>2691</v>
      </c>
      <c r="GR2856" s="181">
        <v>0</v>
      </c>
      <c r="GS2856" s="181">
        <v>0</v>
      </c>
      <c r="GT2856" s="181">
        <v>0</v>
      </c>
    </row>
    <row r="2857" spans="1:202">
      <c r="A2857" s="181" t="s">
        <v>2691</v>
      </c>
      <c r="GR2857" s="181">
        <v>0</v>
      </c>
      <c r="GS2857" s="181">
        <v>0</v>
      </c>
      <c r="GT2857" s="181">
        <v>0</v>
      </c>
    </row>
    <row r="2858" spans="1:202">
      <c r="A2858" s="181" t="s">
        <v>2691</v>
      </c>
      <c r="GR2858" s="181">
        <v>0</v>
      </c>
      <c r="GS2858" s="181">
        <v>0</v>
      </c>
      <c r="GT2858" s="181">
        <v>0</v>
      </c>
    </row>
    <row r="2859" spans="1:202">
      <c r="A2859" s="181" t="s">
        <v>2691</v>
      </c>
      <c r="GR2859" s="181">
        <v>0</v>
      </c>
      <c r="GS2859" s="181">
        <v>0</v>
      </c>
      <c r="GT2859" s="181">
        <v>0</v>
      </c>
    </row>
    <row r="2860" spans="1:202">
      <c r="A2860" s="181" t="s">
        <v>2691</v>
      </c>
      <c r="GR2860" s="181">
        <v>0</v>
      </c>
      <c r="GS2860" s="181">
        <v>0</v>
      </c>
      <c r="GT2860" s="181">
        <v>0</v>
      </c>
    </row>
    <row r="2861" spans="1:202">
      <c r="A2861" s="181" t="s">
        <v>2691</v>
      </c>
      <c r="GR2861" s="181">
        <v>0</v>
      </c>
      <c r="GS2861" s="181">
        <v>0</v>
      </c>
      <c r="GT2861" s="181">
        <v>0</v>
      </c>
    </row>
    <row r="2862" spans="1:202">
      <c r="A2862" s="181" t="s">
        <v>2691</v>
      </c>
      <c r="GR2862" s="181">
        <v>0</v>
      </c>
      <c r="GS2862" s="181">
        <v>0</v>
      </c>
      <c r="GT2862" s="181">
        <v>0</v>
      </c>
    </row>
    <row r="2863" spans="1:202">
      <c r="A2863" s="181" t="s">
        <v>2691</v>
      </c>
      <c r="GS2863" s="181">
        <v>339306</v>
      </c>
      <c r="GT2863" s="181">
        <v>1678608</v>
      </c>
    </row>
    <row r="2864" spans="1:202">
      <c r="A2864" s="181" t="s">
        <v>2691</v>
      </c>
      <c r="GR2864" s="181" t="s">
        <v>309</v>
      </c>
      <c r="GS2864" s="181">
        <v>0</v>
      </c>
      <c r="GT2864" s="181">
        <v>0</v>
      </c>
    </row>
    <row r="2865" spans="1:202">
      <c r="A2865" s="181" t="s">
        <v>2691</v>
      </c>
      <c r="GS2865" s="181">
        <v>3352357</v>
      </c>
      <c r="GT2865" s="181">
        <v>8089637</v>
      </c>
    </row>
    <row r="2866" spans="1:202">
      <c r="A2866" s="181" t="s">
        <v>2691</v>
      </c>
      <c r="GS2866" s="181">
        <v>-418049.39186096098</v>
      </c>
      <c r="GT2866" s="181">
        <v>-290952.33650087123</v>
      </c>
    </row>
    <row r="2867" spans="1:202">
      <c r="A2867" s="181" t="s">
        <v>2691</v>
      </c>
      <c r="GS2867" s="181">
        <v>1066829.1300426638</v>
      </c>
      <c r="GT2867" s="181">
        <v>1066829.1300426638</v>
      </c>
    </row>
    <row r="2868" spans="1:202">
      <c r="A2868" s="181" t="s">
        <v>2691</v>
      </c>
    </row>
    <row r="2869" spans="1:202">
      <c r="A2869" s="181" t="s">
        <v>2691</v>
      </c>
    </row>
    <row r="2870" spans="1:202">
      <c r="A2870" s="181" t="s">
        <v>2691</v>
      </c>
    </row>
    <row r="2871" spans="1:202">
      <c r="A2871" s="181" t="s">
        <v>2691</v>
      </c>
    </row>
    <row r="2872" spans="1:202">
      <c r="A2872" s="181" t="s">
        <v>2691</v>
      </c>
    </row>
    <row r="2873" spans="1:202">
      <c r="A2873" s="181" t="s">
        <v>2691</v>
      </c>
    </row>
    <row r="2874" spans="1:202">
      <c r="A2874" s="181" t="s">
        <v>2691</v>
      </c>
    </row>
    <row r="2875" spans="1:202">
      <c r="A2875" s="181" t="s">
        <v>2691</v>
      </c>
    </row>
    <row r="2876" spans="1:202">
      <c r="A2876" s="181" t="s">
        <v>2691</v>
      </c>
    </row>
    <row r="2877" spans="1:202">
      <c r="A2877" s="181" t="s">
        <v>2691</v>
      </c>
    </row>
    <row r="2878" spans="1:202">
      <c r="A2878" s="181" t="s">
        <v>2691</v>
      </c>
    </row>
    <row r="2879" spans="1:202">
      <c r="A2879" s="181" t="s">
        <v>2691</v>
      </c>
    </row>
    <row r="2880" spans="1:202">
      <c r="A2880" s="181" t="s">
        <v>2691</v>
      </c>
    </row>
    <row r="2881" spans="1:295">
      <c r="A2881" s="181" t="s">
        <v>2691</v>
      </c>
    </row>
    <row r="2882" spans="1:295">
      <c r="A2882" s="181" t="s">
        <v>2691</v>
      </c>
    </row>
    <row r="2883" spans="1:295">
      <c r="A2883" s="181" t="s">
        <v>2691</v>
      </c>
    </row>
    <row r="2884" spans="1:295">
      <c r="A2884" s="181" t="s">
        <v>2691</v>
      </c>
    </row>
    <row r="2885" spans="1:295">
      <c r="A2885" s="181" t="s">
        <v>2691</v>
      </c>
    </row>
    <row r="2886" spans="1:295">
      <c r="A2886" s="181" t="s">
        <v>2691</v>
      </c>
    </row>
    <row r="2887" spans="1:295">
      <c r="A2887" s="181" t="s">
        <v>2691</v>
      </c>
    </row>
    <row r="2888" spans="1:295">
      <c r="A2888" s="181" t="s">
        <v>2691</v>
      </c>
    </row>
    <row r="2889" spans="1:295">
      <c r="A2889" s="181" t="s">
        <v>2692</v>
      </c>
      <c r="B2889" s="181" t="s">
        <v>2720</v>
      </c>
      <c r="C2889" s="181" t="s">
        <v>919</v>
      </c>
      <c r="F2889" s="181" t="s">
        <v>2693</v>
      </c>
      <c r="G2889" s="181">
        <v>194490022</v>
      </c>
      <c r="H2889" s="181">
        <v>16</v>
      </c>
      <c r="I2889" s="181" t="s">
        <v>2700</v>
      </c>
      <c r="J2889" s="181" t="s">
        <v>2711</v>
      </c>
      <c r="K2889" s="181">
        <v>13</v>
      </c>
      <c r="L2889" s="181" t="s">
        <v>1017</v>
      </c>
      <c r="M2889" s="181">
        <v>1</v>
      </c>
      <c r="N2889" s="181" t="s">
        <v>2043</v>
      </c>
      <c r="O2889" s="181" t="s">
        <v>2115</v>
      </c>
      <c r="P2889" s="181">
        <v>0</v>
      </c>
      <c r="Q2889" s="181">
        <v>33.333333333333329</v>
      </c>
      <c r="S2889" s="181">
        <v>200000</v>
      </c>
      <c r="V2889" s="181">
        <v>720000</v>
      </c>
      <c r="W2889" s="181">
        <v>480000</v>
      </c>
      <c r="X2889" s="181">
        <v>44431.66</v>
      </c>
      <c r="Y2889" s="181">
        <v>155510.81</v>
      </c>
      <c r="Z2889" s="181">
        <v>481872.21679316054</v>
      </c>
      <c r="AA2889" s="181">
        <v>504078.30973293755</v>
      </c>
      <c r="AB2889" s="181">
        <v>71606.348385000005</v>
      </c>
      <c r="AC2889" s="181">
        <v>155665.97474999999</v>
      </c>
      <c r="AD2889" s="181">
        <v>38260730.003450595</v>
      </c>
      <c r="AE2889" s="181">
        <v>39736501.017869413</v>
      </c>
      <c r="AY2889" s="181">
        <v>42619.199999999997</v>
      </c>
      <c r="AZ2889" s="181">
        <v>149167.20000000001</v>
      </c>
      <c r="BA2889" s="181" t="s">
        <v>2741</v>
      </c>
      <c r="BB2889" s="181" t="s">
        <v>899</v>
      </c>
      <c r="BC2889" s="181">
        <v>43979.6</v>
      </c>
      <c r="BD2889" s="181">
        <v>125666.4</v>
      </c>
      <c r="BE2889" s="181">
        <v>582692.90579208289</v>
      </c>
      <c r="BF2889" s="181">
        <v>607129.50365028146</v>
      </c>
      <c r="BG2889" s="181">
        <v>21309.599999999999</v>
      </c>
      <c r="BH2889" s="181">
        <v>74583.600000000006</v>
      </c>
      <c r="BI2889" s="181">
        <v>344511.73470419727</v>
      </c>
      <c r="BJ2889" s="181">
        <v>449847.68622681859</v>
      </c>
      <c r="BK2889" s="181" t="s">
        <v>881</v>
      </c>
      <c r="BL2889" s="181">
        <v>2384.25</v>
      </c>
      <c r="BM2889" s="181">
        <v>5364.5625</v>
      </c>
      <c r="BU2889" s="181" t="s">
        <v>1634</v>
      </c>
      <c r="BV2889" s="181">
        <v>0</v>
      </c>
      <c r="BW2889" s="181">
        <v>0</v>
      </c>
      <c r="BZ2889" s="181">
        <v>17429.456513764399</v>
      </c>
      <c r="CG2889" s="181">
        <v>5818</v>
      </c>
      <c r="CH2889" s="181">
        <v>5818</v>
      </c>
      <c r="CI2889" s="181">
        <v>0.5</v>
      </c>
      <c r="CJ2889" s="181">
        <v>0.5</v>
      </c>
      <c r="FF2889" s="181" t="s">
        <v>2721</v>
      </c>
      <c r="FG2889" s="181" t="s">
        <v>2722</v>
      </c>
      <c r="FH2889" s="181">
        <v>23000</v>
      </c>
      <c r="FI2889" s="181">
        <v>112000</v>
      </c>
      <c r="FJ2889" s="181">
        <v>18652173.913043477</v>
      </c>
      <c r="FK2889" s="181">
        <v>19714285.714285713</v>
      </c>
      <c r="FL2889" s="181">
        <v>71606.348385000005</v>
      </c>
      <c r="FM2889" s="181">
        <v>155665.97474999999</v>
      </c>
      <c r="FN2889" s="181">
        <v>12006421.789563796</v>
      </c>
      <c r="FO2889" s="181">
        <v>12784979.148483517</v>
      </c>
      <c r="FP2889" s="181">
        <v>10804707.354120879</v>
      </c>
      <c r="FQ2889" s="181">
        <v>10112339.748618754</v>
      </c>
      <c r="FR2889" s="181">
        <v>10112339.748618754</v>
      </c>
      <c r="FY2889" s="181">
        <v>0</v>
      </c>
      <c r="FZ2889" s="181">
        <v>4</v>
      </c>
      <c r="GA2889" s="181">
        <v>0</v>
      </c>
      <c r="GB2889" s="181">
        <v>0</v>
      </c>
      <c r="GC2889" s="181">
        <v>4.5</v>
      </c>
      <c r="GD2889" s="181">
        <v>0</v>
      </c>
      <c r="GL2889" s="181">
        <v>-9583</v>
      </c>
      <c r="GN2889" s="181">
        <v>0</v>
      </c>
      <c r="GR2889" s="181" t="s">
        <v>176</v>
      </c>
      <c r="GS2889" s="181">
        <v>21410.3825</v>
      </c>
      <c r="GT2889" s="181">
        <v>78389.626250000001</v>
      </c>
      <c r="HD2889" s="181" t="s">
        <v>971</v>
      </c>
      <c r="HE2889" s="181">
        <v>777053.40141384036</v>
      </c>
      <c r="HF2889" s="181">
        <v>1557797.5059526807</v>
      </c>
      <c r="HG2889" s="181" t="s">
        <v>1634</v>
      </c>
      <c r="HH2889" s="181">
        <v>0</v>
      </c>
      <c r="HI2889" s="181">
        <v>0</v>
      </c>
      <c r="HL2889" s="181" t="s">
        <v>932</v>
      </c>
      <c r="HS2889" s="181" t="s">
        <v>1372</v>
      </c>
      <c r="HT2889" s="181">
        <v>74100</v>
      </c>
      <c r="HU2889" s="181">
        <v>148200</v>
      </c>
      <c r="HV2889" s="181" t="s">
        <v>1850</v>
      </c>
      <c r="HW2889" s="181">
        <v>0</v>
      </c>
      <c r="HX2889" s="181">
        <v>0</v>
      </c>
      <c r="HY2889" s="181" t="s">
        <v>2485</v>
      </c>
      <c r="HZ2889" s="181">
        <v>622</v>
      </c>
      <c r="IA2889" s="181">
        <v>1244</v>
      </c>
      <c r="IE2889" s="181" t="s">
        <v>2759</v>
      </c>
      <c r="IF2889" s="181">
        <v>50000</v>
      </c>
      <c r="KI2889" s="181">
        <v>-40249</v>
      </c>
    </row>
    <row r="2890" spans="1:295">
      <c r="A2890" s="181" t="s">
        <v>2692</v>
      </c>
      <c r="F2890" s="181" t="s">
        <v>2694</v>
      </c>
      <c r="G2890" s="181">
        <v>6070389</v>
      </c>
      <c r="I2890" s="181" t="s">
        <v>2701</v>
      </c>
      <c r="J2890" s="181" t="s">
        <v>1106</v>
      </c>
      <c r="K2890" s="181">
        <v>100</v>
      </c>
      <c r="L2890" s="181" t="s">
        <v>745</v>
      </c>
      <c r="M2890" s="181">
        <v>1</v>
      </c>
      <c r="N2890" s="181" t="s">
        <v>2140</v>
      </c>
      <c r="O2890" s="181" t="s">
        <v>2115</v>
      </c>
      <c r="P2890" s="181">
        <v>12.5</v>
      </c>
      <c r="Q2890" s="181">
        <v>37.5</v>
      </c>
      <c r="R2890" s="181">
        <v>50000</v>
      </c>
      <c r="S2890" s="181">
        <v>150000</v>
      </c>
      <c r="AB2890" s="181">
        <v>27018.906985184425</v>
      </c>
      <c r="AC2890" s="181">
        <v>59440.129400357298</v>
      </c>
      <c r="AD2890" s="181">
        <v>10067151.746899895</v>
      </c>
      <c r="AE2890" s="181">
        <v>10459370.377125219</v>
      </c>
      <c r="BA2890" s="181" t="s">
        <v>2742</v>
      </c>
      <c r="BB2890" s="181" t="s">
        <v>666</v>
      </c>
      <c r="BC2890" s="181">
        <v>2198.98</v>
      </c>
      <c r="BD2890" s="181">
        <v>6283.32</v>
      </c>
      <c r="BE2890" s="181">
        <v>1000000</v>
      </c>
      <c r="BF2890" s="181">
        <v>1000000</v>
      </c>
      <c r="BG2890" s="181">
        <v>801</v>
      </c>
      <c r="BH2890" s="181">
        <v>2706.7259999999997</v>
      </c>
      <c r="BI2890" s="181">
        <v>1000000</v>
      </c>
      <c r="BJ2890" s="181">
        <v>1000000</v>
      </c>
      <c r="BK2890" s="181" t="s">
        <v>922</v>
      </c>
      <c r="BL2890" s="181">
        <v>539.625</v>
      </c>
      <c r="BM2890" s="181">
        <v>1214.15625</v>
      </c>
      <c r="BU2890" s="181" t="s">
        <v>887</v>
      </c>
      <c r="BV2890" s="181">
        <v>125.35</v>
      </c>
      <c r="BW2890" s="181">
        <v>250.7</v>
      </c>
      <c r="CA2890" s="181">
        <v>37487.438171485323</v>
      </c>
      <c r="CB2890" s="181">
        <v>64125.377680815582</v>
      </c>
      <c r="CG2890" s="181">
        <v>10000</v>
      </c>
      <c r="CH2890" s="181">
        <v>10000</v>
      </c>
      <c r="CI2890" s="181">
        <v>0.01</v>
      </c>
      <c r="CJ2890" s="181">
        <v>0.01</v>
      </c>
      <c r="FF2890" s="181" t="s">
        <v>2723</v>
      </c>
      <c r="FG2890" s="181" t="s">
        <v>2722</v>
      </c>
      <c r="FH2890" s="181">
        <v>26000</v>
      </c>
      <c r="FI2890" s="181">
        <v>60000</v>
      </c>
      <c r="FJ2890" s="181">
        <v>5961538.461538462</v>
      </c>
      <c r="FK2890" s="181">
        <v>6216666.666666667</v>
      </c>
      <c r="FL2890" s="181">
        <v>27018.906985184425</v>
      </c>
      <c r="FM2890" s="181">
        <v>59440.129400357298</v>
      </c>
      <c r="FN2890" s="181">
        <v>3850993.2952115824</v>
      </c>
      <c r="FO2890" s="181">
        <v>4104250.3203152907</v>
      </c>
      <c r="FQ2890" s="181">
        <v>1594.4961971638602</v>
      </c>
      <c r="FR2890" s="181">
        <v>1532.5338458923757</v>
      </c>
      <c r="FY2890" s="181">
        <v>0</v>
      </c>
      <c r="FZ2890" s="181">
        <v>0</v>
      </c>
      <c r="GA2890" s="181">
        <v>0</v>
      </c>
      <c r="GB2890" s="181">
        <v>0</v>
      </c>
      <c r="GC2890" s="181">
        <v>0</v>
      </c>
      <c r="GD2890" s="181">
        <v>0</v>
      </c>
      <c r="GN2890" s="181">
        <v>0</v>
      </c>
      <c r="GR2890" s="181" t="s">
        <v>177</v>
      </c>
      <c r="GS2890" s="181">
        <v>4729226.4777648896</v>
      </c>
      <c r="GT2890" s="181">
        <v>10840203.346629536</v>
      </c>
      <c r="HD2890" s="181" t="s">
        <v>2746</v>
      </c>
      <c r="HE2890" s="181">
        <v>165126.01339285713</v>
      </c>
      <c r="HF2890" s="181">
        <v>331053.609375</v>
      </c>
      <c r="HG2890" s="181" t="s">
        <v>2749</v>
      </c>
      <c r="HH2890" s="181">
        <v>24364.5</v>
      </c>
      <c r="HI2890" s="181">
        <v>48729</v>
      </c>
      <c r="HL2890" s="181" t="s">
        <v>1224</v>
      </c>
      <c r="HM2890" s="181">
        <v>200000</v>
      </c>
      <c r="HN2890" s="181">
        <v>200000</v>
      </c>
      <c r="HS2890" s="181" t="s">
        <v>1840</v>
      </c>
      <c r="HY2890" s="181" t="s">
        <v>333</v>
      </c>
      <c r="HZ2890" s="181">
        <v>3750</v>
      </c>
      <c r="IA2890" s="181">
        <v>7500</v>
      </c>
      <c r="IE2890" s="181" t="s">
        <v>2760</v>
      </c>
      <c r="IF2890" s="181">
        <v>40000</v>
      </c>
    </row>
    <row r="2891" spans="1:295">
      <c r="A2891" s="181" t="s">
        <v>2692</v>
      </c>
      <c r="F2891" s="181" t="s">
        <v>2695</v>
      </c>
      <c r="G2891" s="181">
        <v>5060480</v>
      </c>
      <c r="I2891" s="181" t="s">
        <v>2702</v>
      </c>
      <c r="J2891" s="181" t="s">
        <v>2712</v>
      </c>
      <c r="K2891" s="181">
        <v>40</v>
      </c>
      <c r="L2891" s="181" t="s">
        <v>1320</v>
      </c>
      <c r="M2891" s="181">
        <v>1</v>
      </c>
      <c r="N2891" s="181" t="s">
        <v>2043</v>
      </c>
      <c r="O2891" s="181" t="s">
        <v>2115</v>
      </c>
      <c r="P2891" s="181">
        <v>0</v>
      </c>
      <c r="Q2891" s="181">
        <v>25</v>
      </c>
      <c r="S2891" s="181">
        <v>100000</v>
      </c>
      <c r="AB2891" s="181">
        <v>15366.2963275826</v>
      </c>
      <c r="AC2891" s="181">
        <v>33801.393214624659</v>
      </c>
      <c r="AD2891" s="181">
        <v>14276042.270792978</v>
      </c>
      <c r="AE2891" s="181">
        <v>14832190.569082027</v>
      </c>
      <c r="BK2891" s="181" t="s">
        <v>1040</v>
      </c>
      <c r="BL2891" s="181">
        <v>548.25</v>
      </c>
      <c r="BM2891" s="181">
        <v>1233.5625</v>
      </c>
      <c r="BU2891" s="181" t="s">
        <v>1107</v>
      </c>
      <c r="BV2891" s="181">
        <v>312.75</v>
      </c>
      <c r="BW2891" s="181">
        <v>625.5</v>
      </c>
      <c r="FF2891" s="181" t="s">
        <v>2724</v>
      </c>
      <c r="FG2891" s="181" t="s">
        <v>2722</v>
      </c>
      <c r="FH2891" s="181">
        <v>9000</v>
      </c>
      <c r="FI2891" s="181">
        <v>26000</v>
      </c>
      <c r="FJ2891" s="181">
        <v>11333333.333333334</v>
      </c>
      <c r="FK2891" s="181">
        <v>11884615.384615384</v>
      </c>
      <c r="FL2891" s="181">
        <v>15366.2963275826</v>
      </c>
      <c r="FM2891" s="181">
        <v>33801.393214624659</v>
      </c>
      <c r="FN2891" s="181">
        <v>7084830.2364795627</v>
      </c>
      <c r="FO2891" s="181">
        <v>7585975.9587127501</v>
      </c>
      <c r="FY2891" s="181">
        <v>0</v>
      </c>
      <c r="FZ2891" s="181">
        <v>0</v>
      </c>
      <c r="GA2891" s="181">
        <v>0</v>
      </c>
      <c r="GB2891" s="181">
        <v>0</v>
      </c>
      <c r="GC2891" s="181">
        <v>0</v>
      </c>
      <c r="GD2891" s="181">
        <v>0</v>
      </c>
      <c r="GM2891" s="181">
        <v>91740.599999999991</v>
      </c>
      <c r="GN2891" s="181">
        <v>183481.19999999998</v>
      </c>
      <c r="GR2891" s="181" t="s">
        <v>178</v>
      </c>
      <c r="GS2891" s="181">
        <v>75000</v>
      </c>
      <c r="GT2891" s="181">
        <v>150000</v>
      </c>
      <c r="HD2891" s="181" t="s">
        <v>2747</v>
      </c>
      <c r="HE2891" s="181">
        <v>84322.764204545456</v>
      </c>
      <c r="HF2891" s="181">
        <v>169054.86221590909</v>
      </c>
      <c r="HG2891" s="181" t="s">
        <v>887</v>
      </c>
      <c r="HH2891" s="181">
        <v>31092.837500000001</v>
      </c>
      <c r="HI2891" s="181">
        <v>62185.675000000003</v>
      </c>
      <c r="HL2891" s="181" t="s">
        <v>1742</v>
      </c>
      <c r="HS2891" s="181" t="s">
        <v>1841</v>
      </c>
      <c r="HY2891" s="181" t="s">
        <v>667</v>
      </c>
      <c r="HZ2891" s="181">
        <v>862</v>
      </c>
      <c r="IA2891" s="181">
        <v>1724</v>
      </c>
      <c r="IE2891" s="181" t="s">
        <v>2761</v>
      </c>
      <c r="IF2891" s="181">
        <v>90000</v>
      </c>
    </row>
    <row r="2892" spans="1:295">
      <c r="A2892" s="181" t="s">
        <v>2692</v>
      </c>
      <c r="F2892" s="181" t="s">
        <v>2696</v>
      </c>
      <c r="G2892" s="181">
        <v>2857458</v>
      </c>
      <c r="I2892" s="181" t="s">
        <v>2703</v>
      </c>
      <c r="J2892" s="182" t="s">
        <v>2713</v>
      </c>
      <c r="K2892" s="181">
        <v>70</v>
      </c>
      <c r="L2892" s="181" t="s">
        <v>720</v>
      </c>
      <c r="M2892" s="181">
        <v>1</v>
      </c>
      <c r="N2892" s="181" t="s">
        <v>2043</v>
      </c>
      <c r="O2892" s="181" t="s">
        <v>2115</v>
      </c>
      <c r="P2892" s="181">
        <v>0</v>
      </c>
      <c r="Q2892" s="181">
        <v>33.333333333333329</v>
      </c>
      <c r="S2892" s="181">
        <v>30000</v>
      </c>
      <c r="AB2892" s="181">
        <v>40299.723267941743</v>
      </c>
      <c r="AC2892" s="181">
        <v>88647.697765343954</v>
      </c>
      <c r="AD2892" s="181">
        <v>24154403.448823728</v>
      </c>
      <c r="AE2892" s="181">
        <v>25095380.655211918</v>
      </c>
      <c r="BK2892" s="181" t="s">
        <v>927</v>
      </c>
      <c r="BL2892" s="181">
        <v>178.125</v>
      </c>
      <c r="BM2892" s="181">
        <v>400.78125</v>
      </c>
      <c r="BU2892" s="181" t="s">
        <v>2743</v>
      </c>
      <c r="BV2892" s="181">
        <v>13.34</v>
      </c>
      <c r="BW2892" s="181">
        <v>33.35</v>
      </c>
      <c r="FF2892" s="181" t="s">
        <v>2725</v>
      </c>
      <c r="FG2892" s="181" t="s">
        <v>2722</v>
      </c>
      <c r="FH2892" s="181">
        <v>11000</v>
      </c>
      <c r="FI2892" s="181">
        <v>64000</v>
      </c>
      <c r="FJ2892" s="181">
        <v>14727272.727272727</v>
      </c>
      <c r="FK2892" s="181">
        <v>15640625</v>
      </c>
      <c r="FL2892" s="181">
        <v>40299.723267941743</v>
      </c>
      <c r="FM2892" s="181">
        <v>88647.697765343954</v>
      </c>
      <c r="FN2892" s="181">
        <v>9028083.4420692343</v>
      </c>
      <c r="FO2892" s="181">
        <v>9696515.7038148958</v>
      </c>
      <c r="FY2892" s="181">
        <v>0</v>
      </c>
      <c r="FZ2892" s="181">
        <v>0</v>
      </c>
      <c r="GA2892" s="181">
        <v>0</v>
      </c>
      <c r="GB2892" s="181">
        <v>0</v>
      </c>
      <c r="GC2892" s="181">
        <v>0</v>
      </c>
      <c r="GD2892" s="181">
        <v>0</v>
      </c>
      <c r="GN2892" s="181">
        <v>0</v>
      </c>
      <c r="GR2892" s="181" t="s">
        <v>1707</v>
      </c>
      <c r="GS2892" s="181">
        <v>0</v>
      </c>
      <c r="GT2892" s="181">
        <v>0</v>
      </c>
      <c r="HD2892" s="181" t="s">
        <v>2748</v>
      </c>
      <c r="HE2892" s="181">
        <v>398364.25312146352</v>
      </c>
      <c r="HF2892" s="181">
        <v>851561.81410306087</v>
      </c>
      <c r="HG2892" s="181" t="s">
        <v>2750</v>
      </c>
      <c r="HH2892" s="181">
        <v>16095.386666666665</v>
      </c>
      <c r="HI2892" s="181">
        <v>38628.928</v>
      </c>
      <c r="HL2892" s="181" t="s">
        <v>917</v>
      </c>
      <c r="HM2892" s="181">
        <v>130000</v>
      </c>
      <c r="HN2892" s="181">
        <v>130000</v>
      </c>
      <c r="HS2892" s="181" t="s">
        <v>2758</v>
      </c>
      <c r="IE2892" s="181" t="s">
        <v>2764</v>
      </c>
      <c r="IF2892" s="181">
        <v>170000</v>
      </c>
    </row>
    <row r="2893" spans="1:295">
      <c r="A2893" s="181" t="s">
        <v>2692</v>
      </c>
      <c r="F2893" s="181" t="s">
        <v>2117</v>
      </c>
      <c r="G2893" s="181">
        <v>256363</v>
      </c>
      <c r="I2893" s="181" t="s">
        <v>2704</v>
      </c>
      <c r="J2893" s="181" t="s">
        <v>2719</v>
      </c>
      <c r="K2893" s="181">
        <v>100</v>
      </c>
      <c r="L2893" s="181" t="s">
        <v>745</v>
      </c>
      <c r="M2893" s="181">
        <v>1</v>
      </c>
      <c r="N2893" s="181" t="s">
        <v>2140</v>
      </c>
      <c r="O2893" s="181" t="s">
        <v>2115</v>
      </c>
      <c r="P2893" s="181">
        <v>33.333333333333329</v>
      </c>
      <c r="Q2893" s="181">
        <v>66.666666666666657</v>
      </c>
      <c r="R2893" s="181">
        <v>20000</v>
      </c>
      <c r="S2893" s="181">
        <v>40000</v>
      </c>
      <c r="AB2893" s="181">
        <v>21803.829268663667</v>
      </c>
      <c r="AC2893" s="181">
        <v>48010.652289956284</v>
      </c>
      <c r="AD2893" s="181">
        <v>10378846.791805614</v>
      </c>
      <c r="AE2893" s="181">
        <v>10783513.833782732</v>
      </c>
      <c r="BK2893" s="181" t="s">
        <v>333</v>
      </c>
      <c r="BL2893" s="181">
        <v>191.25</v>
      </c>
      <c r="BM2893" s="181">
        <v>430.3125</v>
      </c>
      <c r="BU2893" s="181" t="s">
        <v>1370</v>
      </c>
      <c r="BV2893" s="181">
        <v>266.25</v>
      </c>
      <c r="BW2893" s="181">
        <v>931.875</v>
      </c>
      <c r="FF2893" s="181" t="s">
        <v>2726</v>
      </c>
      <c r="FG2893" s="181" t="s">
        <v>2722</v>
      </c>
      <c r="FH2893" s="181">
        <v>9000</v>
      </c>
      <c r="FI2893" s="181">
        <v>26000</v>
      </c>
      <c r="FJ2893" s="181">
        <v>5333333.333333333</v>
      </c>
      <c r="FK2893" s="181">
        <v>5615384.615384615</v>
      </c>
      <c r="FL2893" s="181">
        <v>21803.829268663667</v>
      </c>
      <c r="FM2893" s="181">
        <v>48010.652289956284</v>
      </c>
      <c r="FN2893" s="181">
        <v>3555678.2450293186</v>
      </c>
      <c r="FO2893" s="181">
        <v>3776268.3478982807</v>
      </c>
      <c r="FY2893" s="181">
        <v>66</v>
      </c>
      <c r="FZ2893" s="181">
        <v>552</v>
      </c>
      <c r="GA2893" s="181">
        <v>0</v>
      </c>
      <c r="GB2893" s="181">
        <v>66</v>
      </c>
      <c r="GC2893" s="181">
        <v>553.5</v>
      </c>
      <c r="GD2893" s="181">
        <v>0</v>
      </c>
      <c r="GN2893" s="181">
        <v>0</v>
      </c>
      <c r="GR2893" s="181" t="s">
        <v>175</v>
      </c>
      <c r="GS2893" s="181">
        <v>0</v>
      </c>
      <c r="GT2893" s="181">
        <v>0</v>
      </c>
      <c r="HD2893" s="181" t="s">
        <v>944</v>
      </c>
      <c r="HE2893" s="181">
        <v>60571.39894480518</v>
      </c>
      <c r="HF2893" s="181">
        <v>121436.83380681815</v>
      </c>
      <c r="HG2893" s="181" t="s">
        <v>2751</v>
      </c>
      <c r="HH2893" s="181">
        <v>18090.552833333335</v>
      </c>
      <c r="HI2893" s="181">
        <v>44694.307000000001</v>
      </c>
      <c r="HL2893" s="181" t="s">
        <v>894</v>
      </c>
      <c r="HS2893" s="181" t="s">
        <v>1843</v>
      </c>
      <c r="IE2893" s="181" t="s">
        <v>2762</v>
      </c>
      <c r="IF2893" s="181">
        <v>30000</v>
      </c>
    </row>
    <row r="2894" spans="1:295">
      <c r="A2894" s="181" t="s">
        <v>2692</v>
      </c>
      <c r="F2894" s="181" t="s">
        <v>636</v>
      </c>
      <c r="G2894" s="181">
        <v>1050</v>
      </c>
      <c r="I2894" s="181" t="s">
        <v>2705</v>
      </c>
      <c r="J2894" s="181" t="s">
        <v>2716</v>
      </c>
      <c r="K2894" s="181">
        <v>1</v>
      </c>
      <c r="L2894" s="181" t="s">
        <v>1017</v>
      </c>
      <c r="M2894" s="181">
        <v>1</v>
      </c>
      <c r="N2894" s="181" t="s">
        <v>2140</v>
      </c>
      <c r="O2894" s="181" t="s">
        <v>2037</v>
      </c>
      <c r="P2894" s="181">
        <v>100</v>
      </c>
      <c r="Q2894" s="181">
        <v>100</v>
      </c>
      <c r="R2894" s="181">
        <v>175000</v>
      </c>
      <c r="S2894" s="181">
        <v>175000</v>
      </c>
      <c r="AB2894" s="181">
        <v>6891.0262515831009</v>
      </c>
      <c r="AC2894" s="181">
        <v>15161.827325637023</v>
      </c>
      <c r="AD2894" s="181">
        <v>12309913.300563011</v>
      </c>
      <c r="AE2894" s="181">
        <v>12789561.686893128</v>
      </c>
      <c r="BU2894" s="181" t="s">
        <v>723</v>
      </c>
      <c r="BV2894" s="181">
        <v>271.5</v>
      </c>
      <c r="BW2894" s="181">
        <v>950.25</v>
      </c>
      <c r="FF2894" s="181" t="s">
        <v>2727</v>
      </c>
      <c r="FG2894" s="181" t="s">
        <v>2722</v>
      </c>
      <c r="FH2894" s="181">
        <v>4000</v>
      </c>
      <c r="FI2894" s="181">
        <v>13000</v>
      </c>
      <c r="FJ2894" s="181">
        <v>8250000</v>
      </c>
      <c r="FK2894" s="181">
        <v>8769230.7692307699</v>
      </c>
      <c r="FL2894" s="181">
        <v>6891.0262515831009</v>
      </c>
      <c r="FM2894" s="181">
        <v>15161.827325637023</v>
      </c>
      <c r="FN2894" s="181">
        <v>5043447.0791147705</v>
      </c>
      <c r="FO2894" s="181">
        <v>5437258.587681002</v>
      </c>
      <c r="GM2894" s="181">
        <v>91740.599999999991</v>
      </c>
      <c r="GN2894" s="181">
        <v>183481.19999999998</v>
      </c>
      <c r="GR2894" s="181" t="s">
        <v>1836</v>
      </c>
      <c r="GS2894" s="181">
        <v>0</v>
      </c>
      <c r="GT2894" s="181">
        <v>0</v>
      </c>
      <c r="HD2894" s="181" t="s">
        <v>333</v>
      </c>
      <c r="HE2894" s="181">
        <v>97693.409902597399</v>
      </c>
      <c r="HF2894" s="181">
        <v>195861.05965909091</v>
      </c>
      <c r="HG2894" s="181" t="s">
        <v>2752</v>
      </c>
      <c r="HH2894" s="181">
        <v>2924.9349999999999</v>
      </c>
      <c r="HI2894" s="181">
        <v>7570.42</v>
      </c>
      <c r="IE2894" s="181" t="s">
        <v>2763</v>
      </c>
      <c r="IF2894" s="181">
        <v>20000</v>
      </c>
    </row>
    <row r="2895" spans="1:295">
      <c r="A2895" s="181" t="s">
        <v>2692</v>
      </c>
      <c r="F2895" s="181" t="s">
        <v>2697</v>
      </c>
      <c r="G2895" s="181">
        <v>1050</v>
      </c>
      <c r="I2895" s="181" t="s">
        <v>2706</v>
      </c>
      <c r="J2895" s="181" t="s">
        <v>2717</v>
      </c>
      <c r="K2895" s="181">
        <v>100</v>
      </c>
      <c r="L2895" s="181" t="s">
        <v>745</v>
      </c>
      <c r="M2895" s="181">
        <v>1</v>
      </c>
      <c r="N2895" s="181" t="s">
        <v>2043</v>
      </c>
      <c r="O2895" s="181" t="s">
        <v>2115</v>
      </c>
      <c r="P2895" s="181">
        <v>0</v>
      </c>
      <c r="Q2895" s="181">
        <v>35</v>
      </c>
      <c r="S2895" s="181">
        <v>7000</v>
      </c>
      <c r="AB2895" s="181">
        <v>3420.0853191992692</v>
      </c>
      <c r="AC2895" s="181">
        <v>7523.1953254936452</v>
      </c>
      <c r="AD2895" s="181">
        <v>5160686.7213830622</v>
      </c>
      <c r="AE2895" s="181">
        <v>5361730.3358287802</v>
      </c>
      <c r="BU2895" s="181" t="s">
        <v>2744</v>
      </c>
      <c r="BV2895" s="181">
        <v>56.78</v>
      </c>
      <c r="BW2895" s="181">
        <v>198.73</v>
      </c>
      <c r="FF2895" s="181" t="s">
        <v>2728</v>
      </c>
      <c r="FG2895" s="181" t="s">
        <v>2722</v>
      </c>
      <c r="FH2895" s="181">
        <v>4000</v>
      </c>
      <c r="FI2895" s="181">
        <v>13000</v>
      </c>
      <c r="FJ2895" s="181">
        <v>2500000</v>
      </c>
      <c r="FK2895" s="181">
        <v>2692307.6923076925</v>
      </c>
      <c r="FL2895" s="181">
        <v>3420.0853191992692</v>
      </c>
      <c r="FM2895" s="181">
        <v>7523.1953254936452</v>
      </c>
      <c r="FN2895" s="181">
        <v>1682884.4299737739</v>
      </c>
      <c r="FO2895" s="181">
        <v>1795034.1221798733</v>
      </c>
      <c r="GN2895" s="181">
        <v>0</v>
      </c>
      <c r="GR2895" s="181" t="s">
        <v>1837</v>
      </c>
      <c r="GS2895" s="181">
        <v>0</v>
      </c>
      <c r="GT2895" s="181">
        <v>0</v>
      </c>
      <c r="HG2895" s="181" t="s">
        <v>2753</v>
      </c>
      <c r="HH2895" s="181">
        <v>31460</v>
      </c>
      <c r="HI2895" s="181">
        <v>62920</v>
      </c>
    </row>
    <row r="2896" spans="1:295">
      <c r="A2896" s="181" t="s">
        <v>2692</v>
      </c>
      <c r="F2896" s="181" t="s">
        <v>2486</v>
      </c>
      <c r="G2896" s="181">
        <v>1050</v>
      </c>
      <c r="I2896" s="181" t="s">
        <v>2707</v>
      </c>
      <c r="J2896" s="181" t="s">
        <v>2718</v>
      </c>
      <c r="K2896" s="181">
        <v>100</v>
      </c>
      <c r="L2896" s="181" t="s">
        <v>2658</v>
      </c>
      <c r="M2896" s="181">
        <v>1</v>
      </c>
      <c r="N2896" s="181" t="s">
        <v>2140</v>
      </c>
      <c r="O2896" s="181" t="s">
        <v>2115</v>
      </c>
      <c r="P2896" s="181">
        <v>15</v>
      </c>
      <c r="Q2896" s="181">
        <v>30</v>
      </c>
      <c r="R2896" s="181">
        <v>3000</v>
      </c>
      <c r="S2896" s="181">
        <v>6000</v>
      </c>
      <c r="AB2896" s="181">
        <v>12698.261622491789</v>
      </c>
      <c r="AC2896" s="181">
        <v>27951.653726283297</v>
      </c>
      <c r="AD2896" s="181">
        <v>24198301.862196255</v>
      </c>
      <c r="AE2896" s="181">
        <v>25141527.900587041</v>
      </c>
      <c r="BU2896" s="181" t="s">
        <v>2048</v>
      </c>
      <c r="BV2896" s="181">
        <v>1618.23</v>
      </c>
      <c r="BW2896" s="181">
        <v>5663.8050000000003</v>
      </c>
      <c r="FF2896" s="181" t="s">
        <v>2729</v>
      </c>
      <c r="FG2896" s="181" t="s">
        <v>2722</v>
      </c>
      <c r="FH2896" s="181">
        <v>4000</v>
      </c>
      <c r="FI2896" s="181">
        <v>21000</v>
      </c>
      <c r="FJ2896" s="181">
        <v>13000000</v>
      </c>
      <c r="FK2896" s="181">
        <v>13714285.714285715</v>
      </c>
      <c r="FL2896" s="181">
        <v>12698.261622491789</v>
      </c>
      <c r="FM2896" s="181">
        <v>27951.653726283297</v>
      </c>
      <c r="FN2896" s="181">
        <v>8278753.8511275491</v>
      </c>
      <c r="FO2896" s="181">
        <v>8828532.4838381354</v>
      </c>
      <c r="GN2896" s="181">
        <v>0</v>
      </c>
      <c r="GR2896" s="181" t="s">
        <v>871</v>
      </c>
      <c r="GS2896" s="181">
        <v>60000</v>
      </c>
      <c r="GT2896" s="181">
        <v>120000</v>
      </c>
      <c r="HG2896" s="181" t="s">
        <v>2754</v>
      </c>
      <c r="HH2896" s="181">
        <v>4296.6000000000004</v>
      </c>
      <c r="HI2896" s="181">
        <v>7161</v>
      </c>
    </row>
    <row r="2897" spans="1:222">
      <c r="A2897" s="181" t="s">
        <v>2692</v>
      </c>
      <c r="F2897" s="181" t="s">
        <v>2698</v>
      </c>
      <c r="G2897" s="181">
        <v>1050</v>
      </c>
      <c r="I2897" s="181" t="s">
        <v>2708</v>
      </c>
      <c r="J2897" s="181" t="s">
        <v>1840</v>
      </c>
      <c r="K2897" s="181">
        <v>100</v>
      </c>
      <c r="L2897" s="181" t="s">
        <v>2658</v>
      </c>
      <c r="M2897" s="181">
        <v>1</v>
      </c>
      <c r="N2897" s="181" t="s">
        <v>2114</v>
      </c>
      <c r="O2897" s="181" t="s">
        <v>2115</v>
      </c>
      <c r="P2897" s="181">
        <v>0</v>
      </c>
      <c r="Q2897" s="181">
        <v>0</v>
      </c>
      <c r="S2897" s="181">
        <v>0</v>
      </c>
      <c r="AB2897" s="181">
        <v>1776.4400439629842</v>
      </c>
      <c r="AC2897" s="181">
        <v>3908.9640804380188</v>
      </c>
      <c r="AD2897" s="181">
        <v>6247782.9763854751</v>
      </c>
      <c r="AE2897" s="181">
        <v>6491244.398784494</v>
      </c>
      <c r="BU2897" s="181" t="s">
        <v>2745</v>
      </c>
      <c r="BV2897" s="181">
        <v>243.78</v>
      </c>
      <c r="BW2897" s="181">
        <v>853.23</v>
      </c>
      <c r="FF2897" s="181" t="s">
        <v>2730</v>
      </c>
      <c r="FG2897" s="181" t="s">
        <v>2722</v>
      </c>
      <c r="FH2897" s="181">
        <v>4000</v>
      </c>
      <c r="FI2897" s="181">
        <v>8000</v>
      </c>
      <c r="FJ2897" s="181">
        <v>3500000</v>
      </c>
      <c r="FK2897" s="181">
        <v>3625000</v>
      </c>
      <c r="FL2897" s="181">
        <v>1776.4400439629842</v>
      </c>
      <c r="FM2897" s="181">
        <v>3908.9640804380188</v>
      </c>
      <c r="FN2897" s="181">
        <v>2120193.0845928607</v>
      </c>
      <c r="FO2897" s="181">
        <v>2279748.0565953576</v>
      </c>
      <c r="GN2897" s="181">
        <v>0</v>
      </c>
      <c r="GR2897" s="181" t="s">
        <v>871</v>
      </c>
      <c r="GS2897" s="181">
        <v>0</v>
      </c>
      <c r="GT2897" s="181">
        <v>0</v>
      </c>
      <c r="HG2897" s="181" t="s">
        <v>333</v>
      </c>
      <c r="HH2897" s="181">
        <v>353263.5</v>
      </c>
      <c r="HI2897" s="181">
        <v>706527</v>
      </c>
    </row>
    <row r="2898" spans="1:222">
      <c r="A2898" s="181" t="s">
        <v>2692</v>
      </c>
      <c r="F2898" s="181" t="s">
        <v>2699</v>
      </c>
      <c r="G2898" s="181">
        <v>1050</v>
      </c>
      <c r="I2898" s="181" t="s">
        <v>2709</v>
      </c>
      <c r="J2898" s="181" t="s">
        <v>1841</v>
      </c>
      <c r="K2898" s="181">
        <v>100</v>
      </c>
      <c r="L2898" s="181" t="s">
        <v>745</v>
      </c>
      <c r="M2898" s="181">
        <v>1</v>
      </c>
      <c r="N2898" s="181" t="s">
        <v>2114</v>
      </c>
      <c r="O2898" s="181" t="s">
        <v>2115</v>
      </c>
      <c r="P2898" s="181">
        <v>0</v>
      </c>
      <c r="Q2898" s="181">
        <v>0</v>
      </c>
      <c r="S2898" s="181">
        <v>0</v>
      </c>
      <c r="AB2898" s="181">
        <v>14652.27263654389</v>
      </c>
      <c r="AC2898" s="181">
        <v>32241.565161558796</v>
      </c>
      <c r="AD2898" s="181">
        <v>14086733.878405282</v>
      </c>
      <c r="AE2898" s="181">
        <v>14635660.7985553</v>
      </c>
      <c r="BU2898" s="181" t="s">
        <v>1108</v>
      </c>
      <c r="BV2898" s="181">
        <v>73.875</v>
      </c>
      <c r="BW2898" s="181">
        <v>147.75</v>
      </c>
      <c r="FF2898" s="181" t="s">
        <v>2731</v>
      </c>
      <c r="FG2898" s="181" t="s">
        <v>2722</v>
      </c>
      <c r="FH2898" s="181">
        <v>9000</v>
      </c>
      <c r="FI2898" s="181">
        <v>26000</v>
      </c>
      <c r="FJ2898" s="181">
        <v>6777777.777777778</v>
      </c>
      <c r="FK2898" s="181">
        <v>7115384.615384615</v>
      </c>
      <c r="FL2898" s="181">
        <v>14652.27263654389</v>
      </c>
      <c r="FM2898" s="181">
        <v>32241.565161558796</v>
      </c>
      <c r="FN2898" s="181">
        <v>5043474.2717561945</v>
      </c>
      <c r="FO2898" s="181">
        <v>5271586.9113366008</v>
      </c>
      <c r="GM2898" s="181">
        <v>0</v>
      </c>
      <c r="GN2898" s="181">
        <v>0</v>
      </c>
      <c r="GR2898" s="181" t="s">
        <v>871</v>
      </c>
      <c r="GS2898" s="181">
        <v>0</v>
      </c>
      <c r="GT2898" s="181">
        <v>0</v>
      </c>
      <c r="HG2898" s="181" t="s">
        <v>843</v>
      </c>
      <c r="HH2898" s="181">
        <v>5425.5</v>
      </c>
      <c r="HI2898" s="181">
        <v>13563.75</v>
      </c>
    </row>
    <row r="2899" spans="1:222">
      <c r="A2899" s="181" t="s">
        <v>2692</v>
      </c>
      <c r="F2899" s="181" t="s">
        <v>755</v>
      </c>
      <c r="G2899" s="181">
        <v>38620178</v>
      </c>
      <c r="I2899" s="181" t="s">
        <v>2710</v>
      </c>
      <c r="J2899" s="181" t="s">
        <v>2714</v>
      </c>
      <c r="K2899" s="181">
        <v>100</v>
      </c>
      <c r="L2899" s="181" t="s">
        <v>745</v>
      </c>
      <c r="M2899" s="181">
        <v>1</v>
      </c>
      <c r="N2899" s="181" t="s">
        <v>2114</v>
      </c>
      <c r="O2899" s="181" t="s">
        <v>2115</v>
      </c>
      <c r="P2899" s="181">
        <v>0</v>
      </c>
      <c r="Q2899" s="181">
        <v>0</v>
      </c>
      <c r="S2899" s="181">
        <v>0</v>
      </c>
      <c r="AB2899" s="181">
        <v>55158.211082975351</v>
      </c>
      <c r="AC2899" s="181">
        <v>121883.24559265614</v>
      </c>
      <c r="AD2899" s="181">
        <v>3934292.2242680369</v>
      </c>
      <c r="AE2899" s="181">
        <v>4088137.220506019</v>
      </c>
      <c r="BU2899" s="181" t="s">
        <v>333</v>
      </c>
      <c r="BV2899" s="181">
        <v>688.17</v>
      </c>
      <c r="BW2899" s="181">
        <v>1720.4250000000002</v>
      </c>
      <c r="FF2899" s="181" t="s">
        <v>2732</v>
      </c>
      <c r="FG2899" s="181" t="s">
        <v>2722</v>
      </c>
      <c r="FH2899" s="181">
        <v>43000</v>
      </c>
      <c r="FI2899" s="181">
        <v>128000</v>
      </c>
      <c r="FJ2899" s="181">
        <v>1744186.046511628</v>
      </c>
      <c r="FK2899" s="181">
        <v>1820312.5</v>
      </c>
      <c r="FL2899" s="181">
        <v>55158.211082975351</v>
      </c>
      <c r="FM2899" s="181">
        <v>121883.24559265614</v>
      </c>
      <c r="FN2899" s="181">
        <v>1210352.2146481802</v>
      </c>
      <c r="FO2899" s="181">
        <v>1274749.725600092</v>
      </c>
      <c r="GM2899" s="181">
        <v>91740.599999999991</v>
      </c>
      <c r="GN2899" s="181">
        <v>183481.19999999998</v>
      </c>
      <c r="GR2899" s="181" t="s">
        <v>871</v>
      </c>
      <c r="GS2899" s="181">
        <v>0</v>
      </c>
      <c r="GT2899" s="181">
        <v>0</v>
      </c>
      <c r="HG2899" s="181" t="s">
        <v>653</v>
      </c>
      <c r="HH2899" s="181">
        <v>5000</v>
      </c>
      <c r="HI2899" s="181">
        <v>10000</v>
      </c>
    </row>
    <row r="2900" spans="1:222">
      <c r="A2900" s="181" t="s">
        <v>2692</v>
      </c>
      <c r="I2900" s="181" t="s">
        <v>2024</v>
      </c>
      <c r="J2900" s="181" t="s">
        <v>2715</v>
      </c>
      <c r="K2900" s="181">
        <v>100</v>
      </c>
      <c r="L2900" s="181" t="s">
        <v>2658</v>
      </c>
      <c r="M2900" s="181">
        <v>1</v>
      </c>
      <c r="N2900" s="181" t="s">
        <v>2114</v>
      </c>
      <c r="O2900" s="181" t="s">
        <v>2115</v>
      </c>
      <c r="P2900" s="181">
        <v>0</v>
      </c>
      <c r="Q2900" s="181">
        <v>0</v>
      </c>
      <c r="S2900" s="181">
        <v>0</v>
      </c>
      <c r="AB2900" s="181">
        <v>8591.5445493942152</v>
      </c>
      <c r="AC2900" s="181">
        <v>18900.931856531235</v>
      </c>
      <c r="AD2900" s="181">
        <v>13988143.840580933</v>
      </c>
      <c r="AE2900" s="181">
        <v>14533125.256822815</v>
      </c>
      <c r="FF2900" s="181" t="s">
        <v>2733</v>
      </c>
      <c r="FG2900" s="181" t="s">
        <v>2722</v>
      </c>
      <c r="FH2900" s="181">
        <v>2000</v>
      </c>
      <c r="FI2900" s="181">
        <v>7000</v>
      </c>
      <c r="FJ2900" s="181">
        <v>6000000</v>
      </c>
      <c r="FK2900" s="181">
        <v>6285714.2857142854</v>
      </c>
      <c r="FL2900" s="181">
        <v>8591.5445493942152</v>
      </c>
      <c r="FM2900" s="181">
        <v>18900.931856531235</v>
      </c>
      <c r="FN2900" s="181">
        <v>4377005.4121013861</v>
      </c>
      <c r="FO2900" s="181">
        <v>4579091.6757335588</v>
      </c>
      <c r="GM2900" s="181">
        <v>-78990.493458987199</v>
      </c>
      <c r="GN2900" s="181">
        <v>-159130.42539877573</v>
      </c>
      <c r="GR2900" s="181" t="s">
        <v>871</v>
      </c>
      <c r="GS2900" s="181">
        <v>0</v>
      </c>
      <c r="GT2900" s="181">
        <v>0</v>
      </c>
      <c r="HG2900" s="181" t="s">
        <v>2755</v>
      </c>
      <c r="HH2900" s="181">
        <v>100000</v>
      </c>
      <c r="HI2900" s="181">
        <v>200000</v>
      </c>
    </row>
    <row r="2901" spans="1:222">
      <c r="A2901" s="181" t="s">
        <v>2692</v>
      </c>
      <c r="I2901" s="181" t="s">
        <v>2020</v>
      </c>
      <c r="AB2901" s="181">
        <v>20007.723174999999</v>
      </c>
      <c r="AC2901" s="181">
        <v>40924.888312499999</v>
      </c>
      <c r="AD2901" s="181">
        <v>2253853.0930827158</v>
      </c>
      <c r="AE2901" s="181">
        <v>2336136.6187031958</v>
      </c>
      <c r="FF2901" s="181" t="s">
        <v>2734</v>
      </c>
      <c r="FG2901" s="181" t="s">
        <v>2722</v>
      </c>
      <c r="FH2901" s="181">
        <v>4000</v>
      </c>
      <c r="FI2901" s="181">
        <v>13000</v>
      </c>
      <c r="FJ2901" s="181">
        <v>1750000</v>
      </c>
      <c r="FK2901" s="181">
        <v>1846153.8461538462</v>
      </c>
      <c r="FL2901" s="181">
        <v>20007.723174999999</v>
      </c>
      <c r="FM2901" s="181">
        <v>40924.888312499999</v>
      </c>
      <c r="FN2901" s="181">
        <v>1025609.3073580329</v>
      </c>
      <c r="FO2901" s="181">
        <v>1105063.5762374103</v>
      </c>
      <c r="GM2901" s="181">
        <v>78000</v>
      </c>
      <c r="GN2901" s="181">
        <v>156000</v>
      </c>
      <c r="GR2901" s="181" t="s">
        <v>871</v>
      </c>
      <c r="GS2901" s="181">
        <v>0</v>
      </c>
      <c r="GT2901" s="181">
        <v>0</v>
      </c>
      <c r="HG2901" s="181" t="s">
        <v>2756</v>
      </c>
      <c r="HH2901" s="181">
        <v>0</v>
      </c>
      <c r="HI2901" s="181">
        <v>25000</v>
      </c>
    </row>
    <row r="2902" spans="1:222">
      <c r="A2902" s="181" t="s">
        <v>2692</v>
      </c>
      <c r="I2902" s="181" t="s">
        <v>2021</v>
      </c>
      <c r="AB2902" s="181">
        <v>2605.386429108733</v>
      </c>
      <c r="AC2902" s="181">
        <v>5731.0941614650892</v>
      </c>
      <c r="AD2902" s="181">
        <v>8057587.0671387836</v>
      </c>
      <c r="AE2902" s="181">
        <v>8371484.522098911</v>
      </c>
      <c r="FF2902" s="181" t="s">
        <v>2735</v>
      </c>
      <c r="FG2902" s="181" t="s">
        <v>2722</v>
      </c>
      <c r="FH2902" s="181">
        <v>2000</v>
      </c>
      <c r="FI2902" s="181">
        <v>7000</v>
      </c>
      <c r="FJ2902" s="181">
        <v>6000000</v>
      </c>
      <c r="FK2902" s="181">
        <v>6428571.4285714282</v>
      </c>
      <c r="FL2902" s="181">
        <v>2605.386429108733</v>
      </c>
      <c r="FM2902" s="181">
        <v>5731.0941614650892</v>
      </c>
      <c r="FN2902" s="181">
        <v>3907551.8874775846</v>
      </c>
      <c r="FO2902" s="181">
        <v>4179562.7211411325</v>
      </c>
      <c r="GM2902" s="181">
        <v>-375</v>
      </c>
      <c r="GN2902" s="181">
        <v>-750</v>
      </c>
      <c r="GR2902" s="181" t="s">
        <v>871</v>
      </c>
      <c r="GS2902" s="181">
        <v>0</v>
      </c>
      <c r="GT2902" s="181">
        <v>0</v>
      </c>
      <c r="HG2902" s="181" t="s">
        <v>2757</v>
      </c>
      <c r="HH2902" s="181">
        <v>30000</v>
      </c>
      <c r="HI2902" s="181">
        <v>60000</v>
      </c>
    </row>
    <row r="2903" spans="1:222">
      <c r="A2903" s="181" t="s">
        <v>2692</v>
      </c>
      <c r="I2903" s="181" t="s">
        <v>2022</v>
      </c>
      <c r="AB2903" s="181">
        <v>3427.5040381003814</v>
      </c>
      <c r="AC2903" s="181">
        <v>7547.1469973468538</v>
      </c>
      <c r="AD2903" s="181">
        <v>2910261.4815686275</v>
      </c>
      <c r="AE2903" s="181">
        <v>3023731.4006020348</v>
      </c>
      <c r="FF2903" s="181" t="s">
        <v>2736</v>
      </c>
      <c r="FG2903" s="181" t="s">
        <v>2722</v>
      </c>
      <c r="FH2903" s="181">
        <v>3000</v>
      </c>
      <c r="FI2903" s="181">
        <v>6000</v>
      </c>
      <c r="FJ2903" s="181">
        <v>2333333.3333333335</v>
      </c>
      <c r="FK2903" s="181">
        <v>2333333.3333333335</v>
      </c>
      <c r="FL2903" s="181">
        <v>3427.5040381003814</v>
      </c>
      <c r="FM2903" s="181">
        <v>7547.1469973468538</v>
      </c>
      <c r="FN2903" s="181">
        <v>1036633.33423887</v>
      </c>
      <c r="FO2903" s="181">
        <v>1154601.5550646191</v>
      </c>
      <c r="GM2903" s="181">
        <v>90375.106541012792</v>
      </c>
      <c r="GN2903" s="181">
        <v>179600.77460122423</v>
      </c>
      <c r="GR2903" s="181" t="s">
        <v>872</v>
      </c>
      <c r="GS2903" s="181">
        <v>0</v>
      </c>
      <c r="GT2903" s="181">
        <v>0</v>
      </c>
    </row>
    <row r="2904" spans="1:222">
      <c r="A2904" s="181" t="s">
        <v>2692</v>
      </c>
      <c r="I2904" s="181" t="s">
        <v>2023</v>
      </c>
      <c r="AB2904" s="181">
        <v>13057.900725056188</v>
      </c>
      <c r="AC2904" s="181">
        <v>28730.355799055236</v>
      </c>
      <c r="AD2904" s="181">
        <v>11852711.644541834</v>
      </c>
      <c r="AE2904" s="181">
        <v>12314545.442646706</v>
      </c>
      <c r="FF2904" s="181" t="s">
        <v>2737</v>
      </c>
      <c r="FG2904" s="181" t="s">
        <v>2722</v>
      </c>
      <c r="FH2904" s="181">
        <v>4000</v>
      </c>
      <c r="FI2904" s="181">
        <v>17000</v>
      </c>
      <c r="FJ2904" s="181">
        <v>8000000</v>
      </c>
      <c r="FK2904" s="181">
        <v>8411764.7058823537</v>
      </c>
      <c r="FL2904" s="181">
        <v>13057.900725056188</v>
      </c>
      <c r="FM2904" s="181">
        <v>28730.355799055236</v>
      </c>
      <c r="FN2904" s="181">
        <v>4110735.7543729548</v>
      </c>
      <c r="FO2904" s="181">
        <v>4537768.6406650888</v>
      </c>
      <c r="GN2904" s="181">
        <v>0</v>
      </c>
      <c r="GR2904" s="181" t="s">
        <v>1838</v>
      </c>
      <c r="GS2904" s="181">
        <v>0</v>
      </c>
      <c r="GT2904" s="181">
        <v>225000</v>
      </c>
    </row>
    <row r="2905" spans="1:222">
      <c r="A2905" s="181" t="s">
        <v>2692</v>
      </c>
      <c r="AB2905" s="181">
        <v>36125.441977473594</v>
      </c>
      <c r="AC2905" s="181">
        <v>79465.490141617774</v>
      </c>
      <c r="AD2905" s="181">
        <v>21852487.56993369</v>
      </c>
      <c r="AE2905" s="181">
        <v>22703789.600627813</v>
      </c>
      <c r="FF2905" s="181" t="s">
        <v>2738</v>
      </c>
      <c r="FG2905" s="181" t="s">
        <v>2722</v>
      </c>
      <c r="FH2905" s="181">
        <v>23000</v>
      </c>
      <c r="FI2905" s="181">
        <v>57000</v>
      </c>
      <c r="FJ2905" s="181">
        <v>13130434.782608695</v>
      </c>
      <c r="FK2905" s="181">
        <v>13701754.385964911</v>
      </c>
      <c r="FL2905" s="181">
        <v>36125.441977473594</v>
      </c>
      <c r="FM2905" s="181">
        <v>79465.490141617774</v>
      </c>
      <c r="FN2905" s="181">
        <v>7308122.4599826699</v>
      </c>
      <c r="FO2905" s="181">
        <v>7967960.2008252516</v>
      </c>
      <c r="GN2905" s="181">
        <v>0</v>
      </c>
      <c r="GR2905" s="181" t="s">
        <v>873</v>
      </c>
      <c r="GS2905" s="181">
        <v>0</v>
      </c>
      <c r="GT2905" s="181">
        <v>0</v>
      </c>
    </row>
    <row r="2906" spans="1:222">
      <c r="A2906" s="181" t="s">
        <v>2692</v>
      </c>
      <c r="AB2906" s="181">
        <v>70634.348684735131</v>
      </c>
      <c r="AC2906" s="181">
        <v>155481.66468079455</v>
      </c>
      <c r="AD2906" s="181">
        <v>2522527.5739999996</v>
      </c>
      <c r="AE2906" s="181">
        <v>2620853.2211427293</v>
      </c>
      <c r="FF2906" s="181" t="s">
        <v>2739</v>
      </c>
      <c r="FG2906" s="181" t="s">
        <v>2722</v>
      </c>
      <c r="FH2906" s="181">
        <v>43000</v>
      </c>
      <c r="FI2906" s="181">
        <v>128000</v>
      </c>
      <c r="FJ2906" s="181">
        <v>1093023.2558139535</v>
      </c>
      <c r="FK2906" s="181">
        <v>1140625</v>
      </c>
      <c r="FL2906" s="181">
        <v>70634.348684735131</v>
      </c>
      <c r="FM2906" s="181">
        <v>155481.66468079455</v>
      </c>
      <c r="FN2906" s="181">
        <v>809178.98833579023</v>
      </c>
      <c r="FO2906" s="181">
        <v>844774.33438793803</v>
      </c>
      <c r="GM2906" s="181">
        <v>90375.106541012792</v>
      </c>
      <c r="GN2906" s="181">
        <v>179600.77460122423</v>
      </c>
      <c r="GR2906" s="181" t="s">
        <v>873</v>
      </c>
      <c r="GS2906" s="181">
        <v>0</v>
      </c>
      <c r="GT2906" s="181">
        <v>0</v>
      </c>
    </row>
    <row r="2907" spans="1:222">
      <c r="A2907" s="181" t="s">
        <v>2692</v>
      </c>
      <c r="AB2907" s="181">
        <v>-15561.550543311665</v>
      </c>
      <c r="AC2907" s="181">
        <v>-34254.379470356878</v>
      </c>
      <c r="AD2907" s="181">
        <v>17379868.806657974</v>
      </c>
      <c r="AE2907" s="181">
        <v>18057319.021785088</v>
      </c>
      <c r="FF2907" s="181" t="s">
        <v>895</v>
      </c>
      <c r="FG2907" s="181" t="s">
        <v>2722</v>
      </c>
      <c r="FI2907" s="181">
        <v>0</v>
      </c>
      <c r="FM2907" s="181">
        <v>0</v>
      </c>
      <c r="GR2907" s="181" t="s">
        <v>873</v>
      </c>
      <c r="GS2907" s="181">
        <v>0</v>
      </c>
      <c r="GT2907" s="181">
        <v>0</v>
      </c>
    </row>
    <row r="2908" spans="1:222">
      <c r="A2908" s="181" t="s">
        <v>2692</v>
      </c>
      <c r="AB2908" s="181">
        <v>-1345094.0087810534</v>
      </c>
      <c r="AC2908" s="181">
        <v>-2960846.3804330146</v>
      </c>
      <c r="AD2908" s="181">
        <v>1000000</v>
      </c>
      <c r="AE2908" s="181">
        <v>1000000</v>
      </c>
      <c r="FF2908" s="181" t="s">
        <v>2740</v>
      </c>
      <c r="FG2908" s="181" t="s">
        <v>666</v>
      </c>
      <c r="GR2908" s="181" t="s">
        <v>1839</v>
      </c>
      <c r="GS2908" s="181">
        <v>0</v>
      </c>
      <c r="GT2908" s="181">
        <v>0</v>
      </c>
      <c r="HL2908" s="181" t="s">
        <v>1946</v>
      </c>
      <c r="HM2908" s="181">
        <v>46000</v>
      </c>
      <c r="HN2908" s="181">
        <v>46000</v>
      </c>
    </row>
    <row r="2909" spans="1:222">
      <c r="A2909" s="181" t="s">
        <v>2692</v>
      </c>
      <c r="GR2909" s="181" t="s">
        <v>290</v>
      </c>
      <c r="GS2909" s="181">
        <v>0</v>
      </c>
      <c r="GT2909" s="181">
        <v>0</v>
      </c>
    </row>
    <row r="2910" spans="1:222">
      <c r="A2910" s="181" t="s">
        <v>2692</v>
      </c>
      <c r="GR2910" s="181" t="s">
        <v>874</v>
      </c>
      <c r="GS2910" s="181">
        <v>0</v>
      </c>
      <c r="GT2910" s="181">
        <v>0</v>
      </c>
    </row>
    <row r="2911" spans="1:222">
      <c r="A2911" s="181" t="s">
        <v>2692</v>
      </c>
      <c r="GR2911" s="181" t="s">
        <v>874</v>
      </c>
      <c r="GS2911" s="181">
        <v>0</v>
      </c>
      <c r="GT2911" s="181">
        <v>0</v>
      </c>
    </row>
    <row r="2912" spans="1:222">
      <c r="A2912" s="181" t="s">
        <v>2692</v>
      </c>
      <c r="GR2912" s="181" t="s">
        <v>874</v>
      </c>
      <c r="GS2912" s="181">
        <v>0</v>
      </c>
      <c r="GT2912" s="181">
        <v>0</v>
      </c>
    </row>
    <row r="2913" spans="1:202">
      <c r="A2913" s="181" t="s">
        <v>2692</v>
      </c>
      <c r="GR2913" s="181" t="s">
        <v>1372</v>
      </c>
      <c r="GS2913" s="181">
        <v>45000</v>
      </c>
      <c r="GT2913" s="181">
        <v>90000</v>
      </c>
    </row>
    <row r="2914" spans="1:202">
      <c r="A2914" s="181" t="s">
        <v>2692</v>
      </c>
      <c r="GR2914" s="181" t="s">
        <v>1373</v>
      </c>
      <c r="GS2914" s="181">
        <v>0</v>
      </c>
      <c r="GT2914" s="181">
        <v>0</v>
      </c>
    </row>
    <row r="2915" spans="1:202">
      <c r="A2915" s="181" t="s">
        <v>2692</v>
      </c>
      <c r="GR2915" s="181" t="s">
        <v>1374</v>
      </c>
      <c r="GS2915" s="181">
        <v>0</v>
      </c>
      <c r="GT2915" s="181">
        <v>0</v>
      </c>
    </row>
    <row r="2916" spans="1:202">
      <c r="A2916" s="181" t="s">
        <v>2692</v>
      </c>
      <c r="GR2916" s="181" t="s">
        <v>1375</v>
      </c>
      <c r="GS2916" s="181">
        <v>0</v>
      </c>
      <c r="GT2916" s="181">
        <v>0</v>
      </c>
    </row>
    <row r="2917" spans="1:202">
      <c r="A2917" s="181" t="s">
        <v>2692</v>
      </c>
      <c r="GR2917" s="181" t="s">
        <v>1376</v>
      </c>
      <c r="GS2917" s="181">
        <v>0</v>
      </c>
      <c r="GT2917" s="181">
        <v>0</v>
      </c>
    </row>
    <row r="2918" spans="1:202">
      <c r="A2918" s="181" t="s">
        <v>2692</v>
      </c>
      <c r="GR2918" s="181" t="s">
        <v>1840</v>
      </c>
      <c r="GS2918" s="181">
        <v>0</v>
      </c>
      <c r="GT2918" s="181">
        <v>0</v>
      </c>
    </row>
    <row r="2919" spans="1:202">
      <c r="A2919" s="181" t="s">
        <v>2692</v>
      </c>
      <c r="GR2919" s="181" t="s">
        <v>1841</v>
      </c>
      <c r="GS2919" s="181">
        <v>0</v>
      </c>
      <c r="GT2919" s="181">
        <v>0</v>
      </c>
    </row>
    <row r="2920" spans="1:202">
      <c r="A2920" s="181" t="s">
        <v>2692</v>
      </c>
      <c r="GR2920" s="181" t="s">
        <v>1842</v>
      </c>
      <c r="GS2920" s="181">
        <v>0</v>
      </c>
      <c r="GT2920" s="181">
        <v>0</v>
      </c>
    </row>
    <row r="2921" spans="1:202">
      <c r="A2921" s="181" t="s">
        <v>2692</v>
      </c>
      <c r="GR2921" s="181" t="s">
        <v>1843</v>
      </c>
      <c r="GS2921" s="181">
        <v>0</v>
      </c>
      <c r="GT2921" s="181">
        <v>0</v>
      </c>
    </row>
    <row r="2922" spans="1:202">
      <c r="A2922" s="181" t="s">
        <v>2692</v>
      </c>
      <c r="GR2922" s="181" t="s">
        <v>1844</v>
      </c>
      <c r="GS2922" s="181">
        <v>0</v>
      </c>
      <c r="GT2922" s="181">
        <v>0</v>
      </c>
    </row>
    <row r="2923" spans="1:202">
      <c r="A2923" s="181" t="s">
        <v>2692</v>
      </c>
      <c r="GR2923" s="181">
        <v>0</v>
      </c>
      <c r="GS2923" s="181">
        <v>0</v>
      </c>
      <c r="GT2923" s="181">
        <v>0</v>
      </c>
    </row>
    <row r="2924" spans="1:202">
      <c r="A2924" s="181" t="s">
        <v>2692</v>
      </c>
      <c r="GR2924" s="181">
        <v>0</v>
      </c>
      <c r="GS2924" s="181">
        <v>0</v>
      </c>
      <c r="GT2924" s="181">
        <v>0</v>
      </c>
    </row>
    <row r="2925" spans="1:202">
      <c r="A2925" s="181" t="s">
        <v>2692</v>
      </c>
      <c r="GR2925" s="181">
        <v>0</v>
      </c>
      <c r="GS2925" s="181">
        <v>0</v>
      </c>
      <c r="GT2925" s="181">
        <v>0</v>
      </c>
    </row>
    <row r="2926" spans="1:202">
      <c r="A2926" s="181" t="s">
        <v>2692</v>
      </c>
      <c r="GR2926" s="181">
        <v>0</v>
      </c>
      <c r="GS2926" s="181">
        <v>0</v>
      </c>
      <c r="GT2926" s="181">
        <v>0</v>
      </c>
    </row>
    <row r="2927" spans="1:202">
      <c r="A2927" s="181" t="s">
        <v>2692</v>
      </c>
      <c r="GR2927" s="181">
        <v>0</v>
      </c>
      <c r="GS2927" s="181">
        <v>0</v>
      </c>
      <c r="GT2927" s="181">
        <v>0</v>
      </c>
    </row>
    <row r="2928" spans="1:202">
      <c r="A2928" s="181" t="s">
        <v>2692</v>
      </c>
      <c r="GR2928" s="181" t="s">
        <v>1845</v>
      </c>
      <c r="GS2928" s="181">
        <v>0</v>
      </c>
      <c r="GT2928" s="181">
        <v>0</v>
      </c>
    </row>
    <row r="2929" spans="1:202">
      <c r="A2929" s="181" t="s">
        <v>2692</v>
      </c>
      <c r="GR2929" s="181" t="s">
        <v>1846</v>
      </c>
      <c r="GS2929" s="181">
        <v>0</v>
      </c>
      <c r="GT2929" s="181">
        <v>0</v>
      </c>
    </row>
    <row r="2930" spans="1:202">
      <c r="A2930" s="181" t="s">
        <v>2692</v>
      </c>
      <c r="GR2930" s="181" t="s">
        <v>309</v>
      </c>
      <c r="GS2930" s="181">
        <v>0</v>
      </c>
      <c r="GT2930" s="181">
        <v>0</v>
      </c>
    </row>
    <row r="2931" spans="1:202">
      <c r="A2931" s="181" t="s">
        <v>2692</v>
      </c>
      <c r="GS2931" s="181">
        <v>4930636.8602648899</v>
      </c>
      <c r="GT2931" s="181">
        <v>11503592.972879538</v>
      </c>
    </row>
    <row r="2932" spans="1:202">
      <c r="A2932" s="181" t="s">
        <v>2692</v>
      </c>
      <c r="GR2932" s="181" t="s">
        <v>875</v>
      </c>
      <c r="GS2932" s="181">
        <v>0</v>
      </c>
      <c r="GT2932" s="181">
        <v>0</v>
      </c>
    </row>
    <row r="2933" spans="1:202">
      <c r="A2933" s="181" t="s">
        <v>2692</v>
      </c>
      <c r="GR2933" s="181" t="s">
        <v>875</v>
      </c>
      <c r="GS2933" s="181">
        <v>0</v>
      </c>
      <c r="GT2933" s="181">
        <v>0</v>
      </c>
    </row>
    <row r="2934" spans="1:202">
      <c r="A2934" s="181" t="s">
        <v>2692</v>
      </c>
      <c r="GR2934" s="181" t="s">
        <v>875</v>
      </c>
      <c r="GS2934" s="181">
        <v>0</v>
      </c>
      <c r="GT2934" s="181">
        <v>0</v>
      </c>
    </row>
    <row r="2935" spans="1:202">
      <c r="A2935" s="181" t="s">
        <v>2692</v>
      </c>
      <c r="GR2935" s="181" t="s">
        <v>875</v>
      </c>
      <c r="GS2935" s="181">
        <v>0</v>
      </c>
      <c r="GT2935" s="181">
        <v>0</v>
      </c>
    </row>
    <row r="2936" spans="1:202">
      <c r="A2936" s="181" t="s">
        <v>2692</v>
      </c>
      <c r="GR2936" s="181" t="s">
        <v>875</v>
      </c>
      <c r="GS2936" s="181">
        <v>0</v>
      </c>
      <c r="GT2936" s="181">
        <v>0</v>
      </c>
    </row>
    <row r="2937" spans="1:202">
      <c r="A2937" s="181" t="s">
        <v>2692</v>
      </c>
      <c r="GR2937" s="181" t="s">
        <v>875</v>
      </c>
      <c r="GS2937" s="181">
        <v>0</v>
      </c>
      <c r="GT2937" s="181">
        <v>0</v>
      </c>
    </row>
    <row r="2938" spans="1:202">
      <c r="A2938" s="181" t="s">
        <v>2692</v>
      </c>
      <c r="GR2938" s="181" t="s">
        <v>310</v>
      </c>
      <c r="GS2938" s="181">
        <v>500000</v>
      </c>
      <c r="GT2938" s="181">
        <v>550000</v>
      </c>
    </row>
    <row r="2939" spans="1:202">
      <c r="A2939" s="181" t="s">
        <v>2692</v>
      </c>
      <c r="GR2939" s="181" t="s">
        <v>310</v>
      </c>
      <c r="GS2939" s="181">
        <v>0</v>
      </c>
      <c r="GT2939" s="181">
        <v>0</v>
      </c>
    </row>
    <row r="2940" spans="1:202">
      <c r="A2940" s="181" t="s">
        <v>2692</v>
      </c>
      <c r="GR2940" s="181" t="s">
        <v>310</v>
      </c>
      <c r="GS2940" s="181">
        <v>0</v>
      </c>
      <c r="GT2940" s="181">
        <v>0</v>
      </c>
    </row>
    <row r="2941" spans="1:202">
      <c r="A2941" s="181" t="s">
        <v>2692</v>
      </c>
      <c r="GR2941" s="181" t="s">
        <v>310</v>
      </c>
      <c r="GS2941" s="181">
        <v>0</v>
      </c>
      <c r="GT2941" s="181">
        <v>0</v>
      </c>
    </row>
    <row r="2942" spans="1:202">
      <c r="A2942" s="181" t="s">
        <v>2692</v>
      </c>
      <c r="GR2942" s="181" t="s">
        <v>876</v>
      </c>
      <c r="GS2942" s="181">
        <v>0</v>
      </c>
      <c r="GT2942" s="181">
        <v>0</v>
      </c>
    </row>
    <row r="2943" spans="1:202">
      <c r="A2943" s="181" t="s">
        <v>2692</v>
      </c>
      <c r="GR2943" s="181" t="s">
        <v>876</v>
      </c>
      <c r="GS2943" s="181">
        <v>0</v>
      </c>
      <c r="GT2943" s="181">
        <v>0</v>
      </c>
    </row>
    <row r="2944" spans="1:202">
      <c r="A2944" s="181" t="s">
        <v>2692</v>
      </c>
      <c r="GR2944" s="181" t="s">
        <v>876</v>
      </c>
      <c r="GS2944" s="181">
        <v>0</v>
      </c>
      <c r="GT2944" s="181">
        <v>0</v>
      </c>
    </row>
    <row r="2945" spans="1:202">
      <c r="A2945" s="181" t="s">
        <v>2692</v>
      </c>
      <c r="GR2945" s="181" t="s">
        <v>876</v>
      </c>
      <c r="GS2945" s="181">
        <v>0</v>
      </c>
      <c r="GT2945" s="181">
        <v>0</v>
      </c>
    </row>
    <row r="2946" spans="1:202">
      <c r="A2946" s="181" t="s">
        <v>2692</v>
      </c>
      <c r="GR2946" s="181" t="s">
        <v>876</v>
      </c>
      <c r="GS2946" s="181">
        <v>0</v>
      </c>
      <c r="GT2946" s="181">
        <v>0</v>
      </c>
    </row>
    <row r="2947" spans="1:202">
      <c r="A2947" s="181" t="s">
        <v>2692</v>
      </c>
      <c r="GR2947" s="181" t="s">
        <v>970</v>
      </c>
      <c r="GS2947" s="181">
        <v>621</v>
      </c>
      <c r="GT2947" s="181">
        <v>1242</v>
      </c>
    </row>
    <row r="2948" spans="1:202">
      <c r="A2948" s="181" t="s">
        <v>2692</v>
      </c>
      <c r="GR2948" s="181" t="s">
        <v>333</v>
      </c>
      <c r="GS2948" s="181">
        <v>1083</v>
      </c>
      <c r="GT2948" s="181">
        <v>2166</v>
      </c>
    </row>
    <row r="2949" spans="1:202">
      <c r="A2949" s="181" t="s">
        <v>2692</v>
      </c>
      <c r="GR2949" s="181" t="s">
        <v>1847</v>
      </c>
      <c r="GS2949" s="181">
        <v>0</v>
      </c>
      <c r="GT2949" s="181">
        <v>0</v>
      </c>
    </row>
    <row r="2950" spans="1:202">
      <c r="A2950" s="181" t="s">
        <v>2692</v>
      </c>
      <c r="GR2950" s="181" t="s">
        <v>667</v>
      </c>
      <c r="GS2950" s="181">
        <v>452.4666666666667</v>
      </c>
      <c r="GT2950" s="181">
        <v>904.66666666666674</v>
      </c>
    </row>
    <row r="2951" spans="1:202">
      <c r="A2951" s="181" t="s">
        <v>2692</v>
      </c>
      <c r="GR2951" s="181" t="s">
        <v>1848</v>
      </c>
      <c r="GS2951" s="181">
        <v>0</v>
      </c>
      <c r="GT2951" s="181">
        <v>0</v>
      </c>
    </row>
    <row r="2952" spans="1:202">
      <c r="A2952" s="181" t="s">
        <v>2692</v>
      </c>
      <c r="GR2952" s="181">
        <v>0</v>
      </c>
      <c r="GS2952" s="181">
        <v>0</v>
      </c>
      <c r="GT2952" s="181">
        <v>0</v>
      </c>
    </row>
    <row r="2953" spans="1:202">
      <c r="A2953" s="181" t="s">
        <v>2692</v>
      </c>
      <c r="GR2953" s="181">
        <v>0</v>
      </c>
      <c r="GS2953" s="181">
        <v>0</v>
      </c>
      <c r="GT2953" s="181">
        <v>0</v>
      </c>
    </row>
    <row r="2954" spans="1:202">
      <c r="A2954" s="181" t="s">
        <v>2692</v>
      </c>
      <c r="GR2954" s="181">
        <v>0</v>
      </c>
      <c r="GS2954" s="181">
        <v>0</v>
      </c>
      <c r="GT2954" s="181">
        <v>0</v>
      </c>
    </row>
    <row r="2955" spans="1:202">
      <c r="A2955" s="181" t="s">
        <v>2692</v>
      </c>
      <c r="GR2955" s="181">
        <v>0</v>
      </c>
      <c r="GS2955" s="181">
        <v>0</v>
      </c>
      <c r="GT2955" s="181">
        <v>0</v>
      </c>
    </row>
    <row r="2956" spans="1:202">
      <c r="A2956" s="181" t="s">
        <v>2692</v>
      </c>
      <c r="GR2956" s="181">
        <v>0</v>
      </c>
      <c r="GS2956" s="181">
        <v>0</v>
      </c>
      <c r="GT2956" s="181">
        <v>0</v>
      </c>
    </row>
    <row r="2957" spans="1:202">
      <c r="A2957" s="181" t="s">
        <v>2692</v>
      </c>
      <c r="GR2957" s="181">
        <v>0</v>
      </c>
      <c r="GS2957" s="181">
        <v>0</v>
      </c>
      <c r="GT2957" s="181">
        <v>0</v>
      </c>
    </row>
    <row r="2958" spans="1:202">
      <c r="A2958" s="181" t="s">
        <v>2692</v>
      </c>
      <c r="GR2958" s="181">
        <v>0</v>
      </c>
      <c r="GS2958" s="181">
        <v>0</v>
      </c>
      <c r="GT2958" s="181">
        <v>0</v>
      </c>
    </row>
    <row r="2959" spans="1:202">
      <c r="A2959" s="181" t="s">
        <v>2692</v>
      </c>
      <c r="GR2959" s="181">
        <v>0</v>
      </c>
      <c r="GS2959" s="181">
        <v>0</v>
      </c>
      <c r="GT2959" s="181">
        <v>0</v>
      </c>
    </row>
    <row r="2960" spans="1:202">
      <c r="A2960" s="181" t="s">
        <v>2692</v>
      </c>
      <c r="GR2960" s="181">
        <v>0</v>
      </c>
      <c r="GS2960" s="181">
        <v>0</v>
      </c>
      <c r="GT2960" s="181">
        <v>0</v>
      </c>
    </row>
    <row r="2961" spans="1:202">
      <c r="A2961" s="181" t="s">
        <v>2692</v>
      </c>
      <c r="GR2961" s="181">
        <v>0</v>
      </c>
      <c r="GS2961" s="181">
        <v>0</v>
      </c>
      <c r="GT2961" s="181">
        <v>0</v>
      </c>
    </row>
    <row r="2962" spans="1:202">
      <c r="A2962" s="181" t="s">
        <v>2692</v>
      </c>
      <c r="GS2962" s="181">
        <v>502156.46666666667</v>
      </c>
      <c r="GT2962" s="181">
        <v>554312.66666666663</v>
      </c>
    </row>
    <row r="2963" spans="1:202">
      <c r="A2963" s="181" t="s">
        <v>2692</v>
      </c>
      <c r="GR2963" s="181" t="s">
        <v>309</v>
      </c>
      <c r="GS2963" s="181">
        <v>0</v>
      </c>
      <c r="GT2963" s="181">
        <v>0</v>
      </c>
    </row>
    <row r="2964" spans="1:202">
      <c r="A2964" s="181" t="s">
        <v>2692</v>
      </c>
      <c r="GS2964" s="181">
        <v>5432793.3269315567</v>
      </c>
      <c r="GT2964" s="181">
        <v>12057905.639546204</v>
      </c>
    </row>
    <row r="2965" spans="1:202">
      <c r="A2965" s="181" t="s">
        <v>2692</v>
      </c>
      <c r="GR2965" s="181" t="s">
        <v>312</v>
      </c>
      <c r="GS2965" s="181">
        <v>2944427.0736653185</v>
      </c>
      <c r="GT2965" s="181">
        <v>5888854.1473306371</v>
      </c>
    </row>
    <row r="2966" spans="1:202">
      <c r="A2966" s="181" t="s">
        <v>2692</v>
      </c>
      <c r="GR2966" s="181" t="s">
        <v>312</v>
      </c>
      <c r="GS2966" s="181">
        <v>0</v>
      </c>
      <c r="GT2966" s="181">
        <v>0</v>
      </c>
    </row>
    <row r="2967" spans="1:202">
      <c r="A2967" s="181" t="s">
        <v>2692</v>
      </c>
      <c r="GR2967" s="181" t="s">
        <v>312</v>
      </c>
      <c r="GS2967" s="181">
        <v>0</v>
      </c>
      <c r="GT2967" s="181">
        <v>0</v>
      </c>
    </row>
    <row r="2968" spans="1:202">
      <c r="A2968" s="181" t="s">
        <v>2692</v>
      </c>
      <c r="GR2968" s="181" t="s">
        <v>312</v>
      </c>
      <c r="GS2968" s="181">
        <v>0</v>
      </c>
      <c r="GT2968" s="181">
        <v>0</v>
      </c>
    </row>
    <row r="2969" spans="1:202">
      <c r="A2969" s="181" t="s">
        <v>2692</v>
      </c>
      <c r="GR2969" s="181" t="s">
        <v>312</v>
      </c>
      <c r="GS2969" s="181">
        <v>0</v>
      </c>
      <c r="GT2969" s="181">
        <v>0</v>
      </c>
    </row>
    <row r="2970" spans="1:202">
      <c r="A2970" s="181" t="s">
        <v>2692</v>
      </c>
      <c r="GR2970" s="181" t="s">
        <v>312</v>
      </c>
      <c r="GS2970" s="181">
        <v>0</v>
      </c>
      <c r="GT2970" s="181">
        <v>0</v>
      </c>
    </row>
    <row r="2971" spans="1:202">
      <c r="A2971" s="181" t="s">
        <v>2692</v>
      </c>
      <c r="GR2971" s="181" t="s">
        <v>312</v>
      </c>
      <c r="GS2971" s="181">
        <v>0</v>
      </c>
      <c r="GT2971" s="181">
        <v>0</v>
      </c>
    </row>
    <row r="2972" spans="1:202">
      <c r="A2972" s="181" t="s">
        <v>2692</v>
      </c>
      <c r="GR2972" s="181" t="s">
        <v>877</v>
      </c>
      <c r="GS2972" s="181">
        <v>0</v>
      </c>
      <c r="GT2972" s="181">
        <v>0</v>
      </c>
    </row>
    <row r="2973" spans="1:202">
      <c r="A2973" s="181" t="s">
        <v>2692</v>
      </c>
      <c r="GR2973" s="181" t="s">
        <v>1849</v>
      </c>
      <c r="GS2973" s="181">
        <v>0</v>
      </c>
      <c r="GT2973" s="181">
        <v>0</v>
      </c>
    </row>
    <row r="2974" spans="1:202">
      <c r="A2974" s="181" t="s">
        <v>2692</v>
      </c>
      <c r="GR2974" s="181" t="s">
        <v>878</v>
      </c>
      <c r="GS2974" s="181">
        <v>23601.799091068158</v>
      </c>
      <c r="GT2974" s="181">
        <v>78355.317229012406</v>
      </c>
    </row>
    <row r="2975" spans="1:202">
      <c r="A2975" s="181" t="s">
        <v>2692</v>
      </c>
      <c r="GR2975" s="181" t="s">
        <v>878</v>
      </c>
      <c r="GS2975" s="181">
        <v>0</v>
      </c>
      <c r="GT2975" s="181">
        <v>0</v>
      </c>
    </row>
    <row r="2976" spans="1:202">
      <c r="A2976" s="181" t="s">
        <v>2692</v>
      </c>
      <c r="GR2976" s="181" t="s">
        <v>878</v>
      </c>
      <c r="GS2976" s="181">
        <v>0</v>
      </c>
      <c r="GT2976" s="181">
        <v>0</v>
      </c>
    </row>
    <row r="2977" spans="1:202">
      <c r="A2977" s="181" t="s">
        <v>2692</v>
      </c>
      <c r="GR2977" s="181" t="s">
        <v>878</v>
      </c>
      <c r="GS2977" s="181">
        <v>0</v>
      </c>
      <c r="GT2977" s="181">
        <v>0</v>
      </c>
    </row>
    <row r="2978" spans="1:202">
      <c r="A2978" s="181" t="s">
        <v>2692</v>
      </c>
      <c r="GR2978" s="181" t="s">
        <v>878</v>
      </c>
      <c r="GS2978" s="181">
        <v>0</v>
      </c>
      <c r="GT2978" s="181">
        <v>0</v>
      </c>
    </row>
    <row r="2979" spans="1:202">
      <c r="A2979" s="181" t="s">
        <v>2692</v>
      </c>
      <c r="GR2979" s="181" t="s">
        <v>878</v>
      </c>
      <c r="GS2979" s="181">
        <v>0</v>
      </c>
      <c r="GT2979" s="181">
        <v>0</v>
      </c>
    </row>
    <row r="2980" spans="1:202">
      <c r="A2980" s="181" t="s">
        <v>2692</v>
      </c>
      <c r="GR2980" s="181" t="s">
        <v>878</v>
      </c>
      <c r="GS2980" s="181">
        <v>0</v>
      </c>
      <c r="GT2980" s="181">
        <v>0</v>
      </c>
    </row>
    <row r="2981" spans="1:202">
      <c r="A2981" s="181" t="s">
        <v>2692</v>
      </c>
      <c r="GR2981" s="181" t="s">
        <v>878</v>
      </c>
      <c r="GS2981" s="181">
        <v>0</v>
      </c>
      <c r="GT2981" s="181">
        <v>0</v>
      </c>
    </row>
    <row r="2982" spans="1:202">
      <c r="A2982" s="181" t="s">
        <v>2692</v>
      </c>
      <c r="GR2982" s="181" t="s">
        <v>879</v>
      </c>
      <c r="GS2982" s="181">
        <v>0</v>
      </c>
      <c r="GT2982" s="181">
        <v>0</v>
      </c>
    </row>
    <row r="2983" spans="1:202">
      <c r="A2983" s="181" t="s">
        <v>2692</v>
      </c>
      <c r="GR2983" s="181" t="s">
        <v>1715</v>
      </c>
      <c r="GS2983" s="181">
        <v>3670.0250000000001</v>
      </c>
      <c r="GT2983" s="181">
        <v>11375.615000000002</v>
      </c>
    </row>
    <row r="2984" spans="1:202">
      <c r="A2984" s="181" t="s">
        <v>2692</v>
      </c>
      <c r="GR2984" s="181" t="s">
        <v>880</v>
      </c>
      <c r="GS2984" s="181">
        <v>590913.12140000006</v>
      </c>
      <c r="GT2984" s="181">
        <v>1222631.0760000001</v>
      </c>
    </row>
    <row r="2985" spans="1:202">
      <c r="A2985" s="181" t="s">
        <v>2692</v>
      </c>
      <c r="GR2985" s="181" t="s">
        <v>881</v>
      </c>
      <c r="GS2985" s="181">
        <v>1315493.4710985781</v>
      </c>
      <c r="GT2985" s="181">
        <v>2795423.6260844786</v>
      </c>
    </row>
    <row r="2986" spans="1:202">
      <c r="A2986" s="181" t="s">
        <v>2692</v>
      </c>
      <c r="GR2986" s="181" t="s">
        <v>208</v>
      </c>
      <c r="GS2986" s="181">
        <v>0</v>
      </c>
      <c r="GT2986" s="181">
        <v>0</v>
      </c>
    </row>
    <row r="2987" spans="1:202">
      <c r="A2987" s="181" t="s">
        <v>2692</v>
      </c>
      <c r="GR2987" s="181" t="s">
        <v>1377</v>
      </c>
      <c r="GS2987" s="181">
        <v>0</v>
      </c>
      <c r="GT2987" s="181">
        <v>0</v>
      </c>
    </row>
    <row r="2988" spans="1:202">
      <c r="A2988" s="181" t="s">
        <v>2692</v>
      </c>
      <c r="GR2988" s="181" t="s">
        <v>1149</v>
      </c>
      <c r="GS2988" s="181">
        <v>0</v>
      </c>
      <c r="GT2988" s="181">
        <v>0</v>
      </c>
    </row>
    <row r="2989" spans="1:202">
      <c r="A2989" s="181" t="s">
        <v>2692</v>
      </c>
      <c r="GR2989" s="181" t="s">
        <v>1850</v>
      </c>
      <c r="GS2989" s="181">
        <v>0</v>
      </c>
      <c r="GT2989" s="181">
        <v>0</v>
      </c>
    </row>
    <row r="2990" spans="1:202">
      <c r="A2990" s="181" t="s">
        <v>2692</v>
      </c>
      <c r="GR2990" s="181">
        <v>0</v>
      </c>
      <c r="GS2990" s="181">
        <v>0</v>
      </c>
      <c r="GT2990" s="181">
        <v>0</v>
      </c>
    </row>
    <row r="2991" spans="1:202">
      <c r="A2991" s="181" t="s">
        <v>2692</v>
      </c>
      <c r="GR2991" s="181">
        <v>0</v>
      </c>
      <c r="GS2991" s="181">
        <v>0</v>
      </c>
      <c r="GT2991" s="181">
        <v>0</v>
      </c>
    </row>
    <row r="2992" spans="1:202">
      <c r="A2992" s="181" t="s">
        <v>2692</v>
      </c>
      <c r="GR2992" s="181">
        <v>0</v>
      </c>
      <c r="GS2992" s="181">
        <v>0</v>
      </c>
      <c r="GT2992" s="181">
        <v>0</v>
      </c>
    </row>
    <row r="2993" spans="1:202">
      <c r="A2993" s="181" t="s">
        <v>2692</v>
      </c>
      <c r="GR2993" s="181">
        <v>0</v>
      </c>
      <c r="GS2993" s="181">
        <v>0</v>
      </c>
      <c r="GT2993" s="181">
        <v>0</v>
      </c>
    </row>
    <row r="2994" spans="1:202">
      <c r="A2994" s="181" t="s">
        <v>2692</v>
      </c>
      <c r="GR2994" s="181">
        <v>0</v>
      </c>
      <c r="GS2994" s="181">
        <v>0</v>
      </c>
      <c r="GT2994" s="181">
        <v>0</v>
      </c>
    </row>
    <row r="2995" spans="1:202">
      <c r="A2995" s="181" t="s">
        <v>2692</v>
      </c>
      <c r="GR2995" s="181">
        <v>0</v>
      </c>
      <c r="GS2995" s="181">
        <v>0</v>
      </c>
      <c r="GT2995" s="181">
        <v>0</v>
      </c>
    </row>
    <row r="2996" spans="1:202">
      <c r="A2996" s="181" t="s">
        <v>2692</v>
      </c>
      <c r="GR2996" s="181">
        <v>0</v>
      </c>
      <c r="GS2996" s="181">
        <v>0</v>
      </c>
      <c r="GT2996" s="181">
        <v>0</v>
      </c>
    </row>
    <row r="2997" spans="1:202">
      <c r="A2997" s="181" t="s">
        <v>2692</v>
      </c>
      <c r="GR2997" s="181">
        <v>0</v>
      </c>
      <c r="GS2997" s="181">
        <v>0</v>
      </c>
      <c r="GT2997" s="181">
        <v>0</v>
      </c>
    </row>
    <row r="2998" spans="1:202">
      <c r="A2998" s="181" t="s">
        <v>2692</v>
      </c>
      <c r="GR2998" s="181">
        <v>0</v>
      </c>
      <c r="GS2998" s="181">
        <v>0</v>
      </c>
      <c r="GT2998" s="181">
        <v>0</v>
      </c>
    </row>
    <row r="2999" spans="1:202">
      <c r="A2999" s="181" t="s">
        <v>2692</v>
      </c>
      <c r="GR2999" s="181">
        <v>0</v>
      </c>
      <c r="GS2999" s="181">
        <v>0</v>
      </c>
      <c r="GT2999" s="181">
        <v>0</v>
      </c>
    </row>
    <row r="3000" spans="1:202">
      <c r="A3000" s="181" t="s">
        <v>2692</v>
      </c>
      <c r="GR3000" s="181">
        <v>0</v>
      </c>
      <c r="GS3000" s="181">
        <v>0</v>
      </c>
      <c r="GT3000" s="181">
        <v>0</v>
      </c>
    </row>
    <row r="3001" spans="1:202">
      <c r="A3001" s="181" t="s">
        <v>2692</v>
      </c>
      <c r="GR3001" s="181" t="s">
        <v>1851</v>
      </c>
      <c r="GS3001" s="181">
        <v>0</v>
      </c>
      <c r="GT3001" s="181">
        <v>0</v>
      </c>
    </row>
    <row r="3002" spans="1:202">
      <c r="A3002" s="181" t="s">
        <v>2692</v>
      </c>
      <c r="GR3002" s="181" t="s">
        <v>1852</v>
      </c>
      <c r="GS3002" s="181">
        <v>0</v>
      </c>
      <c r="GT3002" s="181">
        <v>0</v>
      </c>
    </row>
    <row r="3003" spans="1:202">
      <c r="A3003" s="181" t="s">
        <v>2692</v>
      </c>
      <c r="GR3003" s="181" t="s">
        <v>636</v>
      </c>
      <c r="GS3003" s="181">
        <v>0</v>
      </c>
      <c r="GT3003" s="181">
        <v>0</v>
      </c>
    </row>
    <row r="3004" spans="1:202">
      <c r="A3004" s="181" t="s">
        <v>2692</v>
      </c>
      <c r="GR3004" s="181" t="s">
        <v>944</v>
      </c>
      <c r="GS3004" s="181">
        <v>174021.25732905781</v>
      </c>
      <c r="GT3004" s="181">
        <v>348042.51465811563</v>
      </c>
    </row>
    <row r="3005" spans="1:202">
      <c r="A3005" s="181" t="s">
        <v>2692</v>
      </c>
      <c r="GR3005" s="181" t="s">
        <v>882</v>
      </c>
      <c r="GS3005" s="181">
        <v>0</v>
      </c>
      <c r="GT3005" s="181">
        <v>0</v>
      </c>
    </row>
    <row r="3006" spans="1:202">
      <c r="A3006" s="181" t="s">
        <v>2692</v>
      </c>
      <c r="GR3006" s="181" t="s">
        <v>882</v>
      </c>
      <c r="GS3006" s="181">
        <v>0</v>
      </c>
      <c r="GT3006" s="181">
        <v>0</v>
      </c>
    </row>
    <row r="3007" spans="1:202">
      <c r="A3007" s="181" t="s">
        <v>2692</v>
      </c>
      <c r="GR3007" s="181" t="s">
        <v>882</v>
      </c>
      <c r="GS3007" s="181">
        <v>0</v>
      </c>
      <c r="GT3007" s="181">
        <v>0</v>
      </c>
    </row>
    <row r="3008" spans="1:202">
      <c r="A3008" s="181" t="s">
        <v>2692</v>
      </c>
      <c r="GR3008" s="181" t="s">
        <v>882</v>
      </c>
      <c r="GS3008" s="181">
        <v>0</v>
      </c>
      <c r="GT3008" s="181">
        <v>0</v>
      </c>
    </row>
    <row r="3009" spans="1:202">
      <c r="A3009" s="181" t="s">
        <v>2692</v>
      </c>
      <c r="GR3009" s="181" t="s">
        <v>882</v>
      </c>
      <c r="GS3009" s="181">
        <v>0</v>
      </c>
      <c r="GT3009" s="181">
        <v>0</v>
      </c>
    </row>
    <row r="3010" spans="1:202">
      <c r="A3010" s="181" t="s">
        <v>2692</v>
      </c>
      <c r="GR3010" s="181" t="s">
        <v>882</v>
      </c>
      <c r="GS3010" s="181">
        <v>0</v>
      </c>
      <c r="GT3010" s="181">
        <v>0</v>
      </c>
    </row>
    <row r="3011" spans="1:202">
      <c r="A3011" s="181" t="s">
        <v>2692</v>
      </c>
      <c r="GR3011" s="181" t="s">
        <v>882</v>
      </c>
      <c r="GS3011" s="181">
        <v>0</v>
      </c>
      <c r="GT3011" s="181">
        <v>0</v>
      </c>
    </row>
    <row r="3012" spans="1:202">
      <c r="A3012" s="181" t="s">
        <v>2692</v>
      </c>
      <c r="GR3012" s="181" t="s">
        <v>882</v>
      </c>
      <c r="GS3012" s="181">
        <v>0</v>
      </c>
      <c r="GT3012" s="181">
        <v>0</v>
      </c>
    </row>
    <row r="3013" spans="1:202">
      <c r="A3013" s="181" t="s">
        <v>2692</v>
      </c>
      <c r="GR3013" s="181" t="s">
        <v>883</v>
      </c>
      <c r="GS3013" s="181">
        <v>0</v>
      </c>
      <c r="GT3013" s="181">
        <v>0</v>
      </c>
    </row>
    <row r="3014" spans="1:202">
      <c r="A3014" s="181" t="s">
        <v>2692</v>
      </c>
      <c r="GR3014" s="181" t="s">
        <v>873</v>
      </c>
      <c r="GS3014" s="181">
        <v>0</v>
      </c>
      <c r="GT3014" s="181">
        <v>0</v>
      </c>
    </row>
    <row r="3015" spans="1:202">
      <c r="A3015" s="181" t="s">
        <v>2692</v>
      </c>
      <c r="GR3015" s="181" t="s">
        <v>873</v>
      </c>
      <c r="GS3015" s="181">
        <v>0</v>
      </c>
      <c r="GT3015" s="181">
        <v>0</v>
      </c>
    </row>
    <row r="3016" spans="1:202">
      <c r="A3016" s="181" t="s">
        <v>2692</v>
      </c>
      <c r="GR3016" s="181" t="s">
        <v>873</v>
      </c>
      <c r="GS3016" s="181">
        <v>0</v>
      </c>
      <c r="GT3016" s="181">
        <v>0</v>
      </c>
    </row>
    <row r="3017" spans="1:202">
      <c r="A3017" s="181" t="s">
        <v>2692</v>
      </c>
      <c r="GR3017" s="181" t="s">
        <v>873</v>
      </c>
      <c r="GS3017" s="181">
        <v>0</v>
      </c>
      <c r="GT3017" s="181">
        <v>0</v>
      </c>
    </row>
    <row r="3018" spans="1:202">
      <c r="A3018" s="181" t="s">
        <v>2692</v>
      </c>
      <c r="GR3018" s="181" t="s">
        <v>308</v>
      </c>
      <c r="GS3018" s="181">
        <v>0</v>
      </c>
      <c r="GT3018" s="181">
        <v>0</v>
      </c>
    </row>
    <row r="3019" spans="1:202">
      <c r="A3019" s="181" t="s">
        <v>2692</v>
      </c>
      <c r="GR3019" s="181" t="s">
        <v>1853</v>
      </c>
      <c r="GS3019" s="181">
        <v>78000</v>
      </c>
      <c r="GT3019" s="181">
        <v>156000</v>
      </c>
    </row>
    <row r="3020" spans="1:202">
      <c r="A3020" s="181" t="s">
        <v>2692</v>
      </c>
      <c r="GR3020" s="181" t="s">
        <v>1854</v>
      </c>
      <c r="GS3020" s="181">
        <v>26250</v>
      </c>
      <c r="GT3020" s="181">
        <v>52500</v>
      </c>
    </row>
    <row r="3021" spans="1:202">
      <c r="A3021" s="181" t="s">
        <v>2692</v>
      </c>
      <c r="GR3021" s="181" t="s">
        <v>1855</v>
      </c>
      <c r="GS3021" s="181">
        <v>11250</v>
      </c>
      <c r="GT3021" s="181">
        <v>22500</v>
      </c>
    </row>
    <row r="3022" spans="1:202">
      <c r="A3022" s="181" t="s">
        <v>2692</v>
      </c>
      <c r="GR3022" s="181" t="s">
        <v>874</v>
      </c>
      <c r="GS3022" s="181">
        <v>0</v>
      </c>
      <c r="GT3022" s="181">
        <v>0</v>
      </c>
    </row>
    <row r="3023" spans="1:202">
      <c r="A3023" s="181" t="s">
        <v>2692</v>
      </c>
      <c r="GR3023" s="181" t="s">
        <v>870</v>
      </c>
      <c r="GS3023" s="181">
        <v>313192.5</v>
      </c>
      <c r="GT3023" s="181">
        <v>629385</v>
      </c>
    </row>
    <row r="3024" spans="1:202">
      <c r="A3024" s="181" t="s">
        <v>2692</v>
      </c>
      <c r="GR3024" s="181" t="s">
        <v>309</v>
      </c>
      <c r="GS3024" s="181">
        <v>0</v>
      </c>
      <c r="GT3024" s="181">
        <v>0</v>
      </c>
    </row>
    <row r="3025" spans="1:202">
      <c r="A3025" s="181" t="s">
        <v>2692</v>
      </c>
      <c r="GR3025" s="181" t="s">
        <v>309</v>
      </c>
      <c r="GS3025" s="181">
        <v>0</v>
      </c>
      <c r="GT3025" s="181">
        <v>0</v>
      </c>
    </row>
    <row r="3026" spans="1:202">
      <c r="A3026" s="181" t="s">
        <v>2692</v>
      </c>
      <c r="GR3026" s="181" t="s">
        <v>309</v>
      </c>
      <c r="GS3026" s="181">
        <v>0</v>
      </c>
      <c r="GT3026" s="181">
        <v>0</v>
      </c>
    </row>
    <row r="3027" spans="1:202">
      <c r="A3027" s="181" t="s">
        <v>2692</v>
      </c>
      <c r="GS3027" s="181">
        <v>5480819.2475840226</v>
      </c>
      <c r="GT3027" s="181">
        <v>11205067.296302244</v>
      </c>
    </row>
    <row r="3028" spans="1:202">
      <c r="A3028" s="181" t="s">
        <v>2692</v>
      </c>
      <c r="GR3028" s="181" t="s">
        <v>1856</v>
      </c>
      <c r="GS3028" s="181">
        <v>150000</v>
      </c>
      <c r="GT3028" s="181">
        <v>300000</v>
      </c>
    </row>
    <row r="3029" spans="1:202">
      <c r="A3029" s="181" t="s">
        <v>2692</v>
      </c>
      <c r="GR3029" s="181" t="s">
        <v>917</v>
      </c>
      <c r="GS3029" s="181">
        <v>25000</v>
      </c>
      <c r="GT3029" s="181">
        <v>129999.99999999994</v>
      </c>
    </row>
    <row r="3030" spans="1:202">
      <c r="A3030" s="181" t="s">
        <v>2692</v>
      </c>
      <c r="GR3030" s="181" t="s">
        <v>1833</v>
      </c>
      <c r="GS3030" s="181">
        <v>23001</v>
      </c>
      <c r="GT3030" s="181">
        <v>46000</v>
      </c>
    </row>
    <row r="3031" spans="1:202">
      <c r="A3031" s="181" t="s">
        <v>2692</v>
      </c>
      <c r="GR3031" s="181" t="s">
        <v>875</v>
      </c>
      <c r="GS3031" s="181">
        <v>0</v>
      </c>
      <c r="GT3031" s="181">
        <v>0</v>
      </c>
    </row>
    <row r="3032" spans="1:202">
      <c r="A3032" s="181" t="s">
        <v>2692</v>
      </c>
      <c r="GR3032" s="181" t="s">
        <v>875</v>
      </c>
      <c r="GS3032" s="181">
        <v>0</v>
      </c>
      <c r="GT3032" s="181">
        <v>0</v>
      </c>
    </row>
    <row r="3033" spans="1:202">
      <c r="A3033" s="181" t="s">
        <v>2692</v>
      </c>
      <c r="GR3033" s="181" t="s">
        <v>875</v>
      </c>
      <c r="GS3033" s="181">
        <v>0</v>
      </c>
      <c r="GT3033" s="181">
        <v>0</v>
      </c>
    </row>
    <row r="3034" spans="1:202">
      <c r="A3034" s="181" t="s">
        <v>2692</v>
      </c>
      <c r="GR3034" s="181" t="s">
        <v>88</v>
      </c>
      <c r="GS3034" s="181">
        <v>41667</v>
      </c>
      <c r="GT3034" s="181">
        <v>175000.99999999997</v>
      </c>
    </row>
    <row r="3035" spans="1:202">
      <c r="A3035" s="181" t="s">
        <v>2692</v>
      </c>
      <c r="GR3035" s="181" t="s">
        <v>1857</v>
      </c>
      <c r="GS3035" s="181">
        <v>9583</v>
      </c>
      <c r="GT3035" s="181">
        <v>40249.000000000007</v>
      </c>
    </row>
    <row r="3036" spans="1:202">
      <c r="A3036" s="181" t="s">
        <v>2692</v>
      </c>
      <c r="GR3036" s="181" t="s">
        <v>310</v>
      </c>
      <c r="GS3036" s="181">
        <v>0</v>
      </c>
      <c r="GT3036" s="181">
        <v>0</v>
      </c>
    </row>
    <row r="3037" spans="1:202">
      <c r="A3037" s="181" t="s">
        <v>2692</v>
      </c>
      <c r="GR3037" s="181" t="s">
        <v>310</v>
      </c>
      <c r="GS3037" s="181">
        <v>0</v>
      </c>
      <c r="GT3037" s="181">
        <v>0</v>
      </c>
    </row>
    <row r="3038" spans="1:202">
      <c r="A3038" s="181" t="s">
        <v>2692</v>
      </c>
      <c r="GR3038" s="181" t="s">
        <v>310</v>
      </c>
      <c r="GS3038" s="181">
        <v>0</v>
      </c>
      <c r="GT3038" s="181">
        <v>0</v>
      </c>
    </row>
    <row r="3039" spans="1:202">
      <c r="A3039" s="181" t="s">
        <v>2692</v>
      </c>
      <c r="GR3039" s="181" t="s">
        <v>310</v>
      </c>
      <c r="GS3039" s="181">
        <v>0</v>
      </c>
      <c r="GT3039" s="181">
        <v>0</v>
      </c>
    </row>
    <row r="3040" spans="1:202">
      <c r="A3040" s="181" t="s">
        <v>2692</v>
      </c>
      <c r="GR3040" s="181" t="s">
        <v>310</v>
      </c>
      <c r="GS3040" s="181">
        <v>0</v>
      </c>
      <c r="GT3040" s="181">
        <v>0</v>
      </c>
    </row>
    <row r="3041" spans="1:202">
      <c r="A3041" s="181" t="s">
        <v>2692</v>
      </c>
      <c r="GR3041" s="181" t="s">
        <v>310</v>
      </c>
      <c r="GS3041" s="181">
        <v>0</v>
      </c>
      <c r="GT3041" s="181">
        <v>0</v>
      </c>
    </row>
    <row r="3042" spans="1:202">
      <c r="A3042" s="181" t="s">
        <v>2692</v>
      </c>
      <c r="GR3042" s="181" t="s">
        <v>876</v>
      </c>
      <c r="GS3042" s="181">
        <v>0</v>
      </c>
      <c r="GT3042" s="181">
        <v>1000000</v>
      </c>
    </row>
    <row r="3043" spans="1:202">
      <c r="A3043" s="181" t="s">
        <v>2692</v>
      </c>
      <c r="GR3043" s="181" t="s">
        <v>876</v>
      </c>
      <c r="GS3043" s="181">
        <v>0</v>
      </c>
      <c r="GT3043" s="181">
        <v>0</v>
      </c>
    </row>
    <row r="3044" spans="1:202">
      <c r="A3044" s="181" t="s">
        <v>2692</v>
      </c>
      <c r="GR3044" s="181" t="s">
        <v>876</v>
      </c>
      <c r="GS3044" s="181">
        <v>0</v>
      </c>
      <c r="GT3044" s="181">
        <v>0</v>
      </c>
    </row>
    <row r="3045" spans="1:202">
      <c r="A3045" s="181" t="s">
        <v>2692</v>
      </c>
      <c r="GR3045" s="181" t="s">
        <v>876</v>
      </c>
      <c r="GS3045" s="181">
        <v>0</v>
      </c>
      <c r="GT3045" s="181">
        <v>0</v>
      </c>
    </row>
    <row r="3046" spans="1:202">
      <c r="A3046" s="181" t="s">
        <v>2692</v>
      </c>
      <c r="GR3046" s="181" t="s">
        <v>876</v>
      </c>
      <c r="GS3046" s="181">
        <v>0</v>
      </c>
      <c r="GT3046" s="181">
        <v>0</v>
      </c>
    </row>
    <row r="3047" spans="1:202">
      <c r="A3047" s="181" t="s">
        <v>2692</v>
      </c>
      <c r="GR3047" s="181" t="s">
        <v>1858</v>
      </c>
      <c r="GS3047" s="181">
        <v>0</v>
      </c>
      <c r="GT3047" s="181">
        <v>0</v>
      </c>
    </row>
    <row r="3048" spans="1:202">
      <c r="A3048" s="181" t="s">
        <v>2692</v>
      </c>
      <c r="GR3048" s="181" t="s">
        <v>1371</v>
      </c>
      <c r="GS3048" s="181">
        <v>0</v>
      </c>
      <c r="GT3048" s="181">
        <v>0</v>
      </c>
    </row>
    <row r="3049" spans="1:202">
      <c r="A3049" s="181" t="s">
        <v>2692</v>
      </c>
      <c r="GR3049" s="181">
        <v>0</v>
      </c>
      <c r="GS3049" s="181">
        <v>0</v>
      </c>
      <c r="GT3049" s="181">
        <v>0</v>
      </c>
    </row>
    <row r="3050" spans="1:202">
      <c r="A3050" s="181" t="s">
        <v>2692</v>
      </c>
      <c r="GR3050" s="181">
        <v>0</v>
      </c>
      <c r="GS3050" s="181">
        <v>0</v>
      </c>
      <c r="GT3050" s="181">
        <v>0</v>
      </c>
    </row>
    <row r="3051" spans="1:202">
      <c r="A3051" s="181" t="s">
        <v>2692</v>
      </c>
      <c r="GR3051" s="181">
        <v>0</v>
      </c>
      <c r="GS3051" s="181">
        <v>0</v>
      </c>
      <c r="GT3051" s="181">
        <v>0</v>
      </c>
    </row>
    <row r="3052" spans="1:202">
      <c r="A3052" s="181" t="s">
        <v>2692</v>
      </c>
      <c r="GR3052" s="181">
        <v>0</v>
      </c>
      <c r="GS3052" s="181">
        <v>0</v>
      </c>
      <c r="GT3052" s="181">
        <v>0</v>
      </c>
    </row>
    <row r="3053" spans="1:202">
      <c r="A3053" s="181" t="s">
        <v>2692</v>
      </c>
      <c r="GR3053" s="181">
        <v>0</v>
      </c>
      <c r="GS3053" s="181">
        <v>0</v>
      </c>
      <c r="GT3053" s="181">
        <v>0</v>
      </c>
    </row>
    <row r="3054" spans="1:202">
      <c r="A3054" s="181" t="s">
        <v>2692</v>
      </c>
      <c r="GR3054" s="181">
        <v>0</v>
      </c>
      <c r="GS3054" s="181">
        <v>0</v>
      </c>
      <c r="GT3054" s="181">
        <v>0</v>
      </c>
    </row>
    <row r="3055" spans="1:202">
      <c r="A3055" s="181" t="s">
        <v>2692</v>
      </c>
      <c r="GR3055" s="181">
        <v>0</v>
      </c>
      <c r="GS3055" s="181">
        <v>0</v>
      </c>
      <c r="GT3055" s="181">
        <v>0</v>
      </c>
    </row>
    <row r="3056" spans="1:202">
      <c r="A3056" s="181" t="s">
        <v>2692</v>
      </c>
      <c r="GR3056" s="181">
        <v>0</v>
      </c>
      <c r="GS3056" s="181">
        <v>0</v>
      </c>
      <c r="GT3056" s="181">
        <v>0</v>
      </c>
    </row>
    <row r="3057" spans="1:202">
      <c r="A3057" s="181" t="s">
        <v>2692</v>
      </c>
      <c r="GR3057" s="181">
        <v>0</v>
      </c>
      <c r="GS3057" s="181">
        <v>0</v>
      </c>
      <c r="GT3057" s="181">
        <v>0</v>
      </c>
    </row>
    <row r="3058" spans="1:202">
      <c r="A3058" s="181" t="s">
        <v>2692</v>
      </c>
      <c r="GR3058" s="181">
        <v>0</v>
      </c>
      <c r="GS3058" s="181">
        <v>0</v>
      </c>
      <c r="GT3058" s="181">
        <v>0</v>
      </c>
    </row>
    <row r="3059" spans="1:202">
      <c r="A3059" s="181" t="s">
        <v>2692</v>
      </c>
      <c r="GR3059" s="181">
        <v>0</v>
      </c>
      <c r="GS3059" s="181">
        <v>0</v>
      </c>
      <c r="GT3059" s="181">
        <v>0</v>
      </c>
    </row>
    <row r="3060" spans="1:202">
      <c r="A3060" s="181" t="s">
        <v>2692</v>
      </c>
      <c r="GR3060" s="181">
        <v>0</v>
      </c>
      <c r="GS3060" s="181">
        <v>0</v>
      </c>
      <c r="GT3060" s="181">
        <v>0</v>
      </c>
    </row>
    <row r="3061" spans="1:202">
      <c r="A3061" s="181" t="s">
        <v>2692</v>
      </c>
      <c r="GR3061" s="181">
        <v>0</v>
      </c>
      <c r="GS3061" s="181">
        <v>0</v>
      </c>
      <c r="GT3061" s="181">
        <v>0</v>
      </c>
    </row>
    <row r="3062" spans="1:202">
      <c r="A3062" s="181" t="s">
        <v>2692</v>
      </c>
      <c r="GS3062" s="181">
        <v>249251.00000000003</v>
      </c>
      <c r="GT3062" s="181">
        <v>1691250</v>
      </c>
    </row>
    <row r="3063" spans="1:202">
      <c r="A3063" s="181" t="s">
        <v>2692</v>
      </c>
      <c r="GR3063" s="181" t="s">
        <v>309</v>
      </c>
      <c r="GS3063" s="181">
        <v>0</v>
      </c>
      <c r="GT3063" s="181">
        <v>0</v>
      </c>
    </row>
    <row r="3064" spans="1:202">
      <c r="A3064" s="181" t="s">
        <v>2692</v>
      </c>
      <c r="GS3064" s="181">
        <v>5730070.2475840226</v>
      </c>
      <c r="GT3064" s="181">
        <v>12896317.296302242</v>
      </c>
    </row>
    <row r="3065" spans="1:202">
      <c r="A3065" s="181" t="s">
        <v>2692</v>
      </c>
      <c r="GS3065" s="181">
        <v>-297276.92065246543</v>
      </c>
      <c r="GT3065" s="181">
        <v>-838411.65675603785</v>
      </c>
    </row>
    <row r="3066" spans="1:202">
      <c r="A3066" s="181" t="s">
        <v>2692</v>
      </c>
      <c r="GS3066" s="181">
        <v>906168</v>
      </c>
      <c r="GT3066" s="181">
        <v>906168</v>
      </c>
    </row>
    <row r="3067" spans="1:202">
      <c r="A3067" s="181" t="s">
        <v>2692</v>
      </c>
    </row>
    <row r="3068" spans="1:202">
      <c r="A3068" s="181" t="s">
        <v>2692</v>
      </c>
    </row>
    <row r="3069" spans="1:202">
      <c r="A3069" s="181" t="s">
        <v>2692</v>
      </c>
    </row>
    <row r="3070" spans="1:202">
      <c r="A3070" s="181" t="s">
        <v>2692</v>
      </c>
    </row>
    <row r="3071" spans="1:202">
      <c r="A3071" s="181" t="s">
        <v>2692</v>
      </c>
    </row>
    <row r="3072" spans="1:202">
      <c r="A3072" s="181" t="s">
        <v>2692</v>
      </c>
    </row>
    <row r="3073" spans="1:1">
      <c r="A3073" s="181" t="s">
        <v>2692</v>
      </c>
    </row>
    <row r="3074" spans="1:1">
      <c r="A3074" s="181" t="s">
        <v>2692</v>
      </c>
    </row>
    <row r="3075" spans="1:1">
      <c r="A3075" s="181" t="s">
        <v>2692</v>
      </c>
    </row>
    <row r="3076" spans="1:1">
      <c r="A3076" s="181" t="s">
        <v>2692</v>
      </c>
    </row>
    <row r="3077" spans="1:1">
      <c r="A3077" s="181" t="s">
        <v>2692</v>
      </c>
    </row>
    <row r="3078" spans="1:1">
      <c r="A3078" s="181" t="s">
        <v>2692</v>
      </c>
    </row>
    <row r="3079" spans="1:1">
      <c r="A3079" s="181" t="s">
        <v>2692</v>
      </c>
    </row>
    <row r="3080" spans="1:1">
      <c r="A3080" s="181" t="s">
        <v>2692</v>
      </c>
    </row>
    <row r="3081" spans="1:1">
      <c r="A3081" s="181" t="s">
        <v>2692</v>
      </c>
    </row>
    <row r="3082" spans="1:1">
      <c r="A3082" s="181" t="s">
        <v>2692</v>
      </c>
    </row>
    <row r="3083" spans="1:1">
      <c r="A3083" s="181" t="s">
        <v>2692</v>
      </c>
    </row>
    <row r="3084" spans="1:1">
      <c r="A3084" s="181" t="s">
        <v>2692</v>
      </c>
    </row>
    <row r="3085" spans="1:1">
      <c r="A3085" s="181" t="s">
        <v>2692</v>
      </c>
    </row>
    <row r="3086" spans="1:1">
      <c r="A3086" s="181" t="s">
        <v>2692</v>
      </c>
    </row>
    <row r="3087" spans="1:1">
      <c r="A3087" s="181" t="s">
        <v>2692</v>
      </c>
    </row>
    <row r="3088" spans="1:1">
      <c r="A3088" s="181" t="s">
        <v>2692</v>
      </c>
    </row>
    <row r="3089" spans="1:295">
      <c r="A3089" s="181" t="s">
        <v>2692</v>
      </c>
    </row>
    <row r="3090" spans="1:295">
      <c r="A3090" s="181" t="s">
        <v>2692</v>
      </c>
    </row>
    <row r="3091" spans="1:295">
      <c r="A3091" s="181" t="s">
        <v>2692</v>
      </c>
    </row>
    <row r="3092" spans="1:295">
      <c r="A3092" s="181" t="s">
        <v>2692</v>
      </c>
    </row>
    <row r="3093" spans="1:295">
      <c r="A3093" s="181" t="s">
        <v>244</v>
      </c>
      <c r="B3093" s="181" t="s">
        <v>1018</v>
      </c>
      <c r="C3093" s="181" t="s">
        <v>475</v>
      </c>
      <c r="F3093" s="181" t="s">
        <v>636</v>
      </c>
      <c r="G3093" s="181">
        <v>130618286</v>
      </c>
      <c r="H3093" s="181">
        <v>12</v>
      </c>
      <c r="I3093" s="181" t="s">
        <v>2766</v>
      </c>
      <c r="J3093" s="181" t="s">
        <v>1321</v>
      </c>
      <c r="K3093" s="181">
        <v>1</v>
      </c>
      <c r="L3093" s="181" t="s">
        <v>1322</v>
      </c>
      <c r="M3093" s="181">
        <v>1</v>
      </c>
      <c r="N3093" s="181" t="s">
        <v>2609</v>
      </c>
      <c r="O3093" s="181" t="s">
        <v>2115</v>
      </c>
      <c r="P3093" s="181">
        <v>0</v>
      </c>
      <c r="Q3093" s="181">
        <v>0</v>
      </c>
      <c r="R3093" s="181">
        <v>0</v>
      </c>
      <c r="S3093" s="181">
        <v>0</v>
      </c>
      <c r="V3093" s="181">
        <v>210000</v>
      </c>
      <c r="W3093" s="181">
        <v>186373</v>
      </c>
      <c r="X3093" s="181">
        <v>44207.563895499996</v>
      </c>
      <c r="Y3093" s="181">
        <v>88415.127790999992</v>
      </c>
      <c r="Z3093" s="181">
        <v>0</v>
      </c>
      <c r="AA3093" s="181">
        <v>0</v>
      </c>
      <c r="AP3093" s="181" t="s">
        <v>1018</v>
      </c>
      <c r="AQ3093" s="181" t="s">
        <v>475</v>
      </c>
      <c r="AR3093" s="181" t="s">
        <v>1021</v>
      </c>
      <c r="AS3093" s="181">
        <v>1600000</v>
      </c>
      <c r="AT3093" s="181" t="s">
        <v>1325</v>
      </c>
      <c r="AU3093" s="181">
        <v>4373.6000000000004</v>
      </c>
      <c r="AV3093" s="181">
        <v>11371.36</v>
      </c>
      <c r="AW3093" s="181">
        <v>23.1</v>
      </c>
      <c r="AX3093" s="181">
        <v>23.1</v>
      </c>
      <c r="AY3093" s="181">
        <v>49615.906795999996</v>
      </c>
      <c r="AZ3093" s="181">
        <v>99231.813591999991</v>
      </c>
      <c r="BA3093" s="181" t="s">
        <v>1022</v>
      </c>
      <c r="BB3093" s="181" t="s">
        <v>475</v>
      </c>
      <c r="BC3093" s="181">
        <v>4.5474735088646412E-13</v>
      </c>
      <c r="BD3093" s="181">
        <v>9.0949470177292824E-13</v>
      </c>
      <c r="BG3093" s="181">
        <v>1116.6827490000001</v>
      </c>
      <c r="BH3093" s="181">
        <v>2233.3654980000001</v>
      </c>
      <c r="BI3093" s="181">
        <v>233516.41828419003</v>
      </c>
      <c r="BJ3093" s="181">
        <v>233516.41828419003</v>
      </c>
      <c r="BK3093" s="181" t="s">
        <v>2578</v>
      </c>
      <c r="BL3093" s="181">
        <f>5155.625+11.5</f>
        <v>5167.125</v>
      </c>
      <c r="BM3093" s="181">
        <f>10311.25+23</f>
        <v>10334.25</v>
      </c>
      <c r="BP3093" s="181" t="s">
        <v>2578</v>
      </c>
      <c r="BQ3093" s="181">
        <v>42723.614999999991</v>
      </c>
      <c r="BR3093" s="181">
        <v>85447.229999999981</v>
      </c>
      <c r="BU3093" s="181" t="s">
        <v>1634</v>
      </c>
      <c r="BV3093" s="181">
        <v>247405.84</v>
      </c>
      <c r="BW3093" s="181">
        <v>494811.68</v>
      </c>
      <c r="BZ3093" s="181">
        <v>191600.98794300001</v>
      </c>
      <c r="CE3093" s="181">
        <v>817538</v>
      </c>
      <c r="CF3093" s="181">
        <v>817538</v>
      </c>
      <c r="CG3093" s="181">
        <v>88336</v>
      </c>
      <c r="CH3093" s="181">
        <v>88336</v>
      </c>
      <c r="CJ3093" s="181">
        <v>0.03</v>
      </c>
      <c r="CK3093" s="181">
        <v>0.02</v>
      </c>
      <c r="FY3093" s="181">
        <v>0</v>
      </c>
      <c r="FZ3093" s="181">
        <v>3</v>
      </c>
      <c r="GA3093" s="181">
        <v>33</v>
      </c>
      <c r="GB3093" s="181">
        <v>0</v>
      </c>
      <c r="GC3093" s="181">
        <v>3</v>
      </c>
      <c r="GD3093" s="181">
        <v>33</v>
      </c>
      <c r="GL3093" s="181">
        <v>-21811</v>
      </c>
      <c r="GR3093" s="181" t="s">
        <v>176</v>
      </c>
      <c r="GS3093" s="181">
        <v>1063059</v>
      </c>
      <c r="GT3093" s="181">
        <v>2126119</v>
      </c>
      <c r="HD3093" s="181" t="s">
        <v>1039</v>
      </c>
      <c r="HE3093" s="181">
        <v>18904.810000000001</v>
      </c>
      <c r="HF3093" s="181">
        <v>37809.620000000003</v>
      </c>
      <c r="HG3093" s="181" t="s">
        <v>1634</v>
      </c>
      <c r="HH3093" s="181">
        <v>14717.165000000001</v>
      </c>
      <c r="HI3093" s="181">
        <v>29434.33</v>
      </c>
      <c r="HL3093" s="181" t="s">
        <v>932</v>
      </c>
      <c r="HY3093" s="181" t="s">
        <v>2780</v>
      </c>
      <c r="HZ3093" s="181">
        <v>150</v>
      </c>
      <c r="IA3093" s="181">
        <v>300</v>
      </c>
      <c r="IE3093" s="181" t="s">
        <v>2781</v>
      </c>
      <c r="IF3093" s="181">
        <v>1000</v>
      </c>
      <c r="KI3093" s="181">
        <v>-32086</v>
      </c>
    </row>
    <row r="3094" spans="1:295">
      <c r="A3094" s="181" t="s">
        <v>244</v>
      </c>
      <c r="B3094" s="181" t="s">
        <v>1019</v>
      </c>
      <c r="C3094" s="181" t="s">
        <v>475</v>
      </c>
      <c r="F3094" s="181" t="s">
        <v>2765</v>
      </c>
      <c r="G3094" s="181">
        <v>130590956</v>
      </c>
      <c r="I3094" s="181" t="s">
        <v>2767</v>
      </c>
      <c r="J3094" s="181" t="s">
        <v>1323</v>
      </c>
      <c r="K3094" s="181">
        <v>1</v>
      </c>
      <c r="L3094" s="181" t="s">
        <v>720</v>
      </c>
      <c r="M3094" s="181">
        <v>1</v>
      </c>
      <c r="N3094" s="181" t="s">
        <v>2609</v>
      </c>
      <c r="O3094" s="181" t="s">
        <v>2115</v>
      </c>
      <c r="P3094" s="181">
        <v>0</v>
      </c>
      <c r="Q3094" s="181">
        <v>0</v>
      </c>
      <c r="R3094" s="181">
        <v>0</v>
      </c>
      <c r="S3094" s="181">
        <v>0</v>
      </c>
      <c r="V3094" s="181">
        <v>255000</v>
      </c>
      <c r="W3094" s="181">
        <v>165277</v>
      </c>
      <c r="X3094" s="181">
        <v>24525.34146</v>
      </c>
      <c r="Y3094" s="181">
        <v>49050.682919999999</v>
      </c>
      <c r="Z3094" s="181">
        <v>23106636.153954912</v>
      </c>
      <c r="AA3094" s="181">
        <v>23106636.153954912</v>
      </c>
      <c r="AY3094" s="181">
        <v>24739.4303</v>
      </c>
      <c r="AZ3094" s="181">
        <v>49478.8606</v>
      </c>
      <c r="BA3094" s="181" t="s">
        <v>1023</v>
      </c>
      <c r="BB3094" s="181" t="s">
        <v>475</v>
      </c>
      <c r="BC3094" s="181">
        <v>3606.6358772683998</v>
      </c>
      <c r="BD3094" s="181">
        <v>4726.9630527220797</v>
      </c>
      <c r="BE3094" s="181">
        <v>16000000</v>
      </c>
      <c r="BF3094" s="181">
        <v>15999999.999999998</v>
      </c>
      <c r="BG3094" s="181">
        <v>1120.32717545368</v>
      </c>
      <c r="BH3094" s="181">
        <v>2240.6543509073599</v>
      </c>
      <c r="BI3094" s="181">
        <v>13450211.090485048</v>
      </c>
      <c r="BJ3094" s="181">
        <v>13705189.981436545</v>
      </c>
      <c r="BK3094" s="181" t="s">
        <v>927</v>
      </c>
      <c r="BL3094" s="181">
        <v>308.06</v>
      </c>
      <c r="BM3094" s="181">
        <v>616.12</v>
      </c>
      <c r="BP3094" s="181" t="s">
        <v>927</v>
      </c>
      <c r="BQ3094" s="181">
        <v>2732.0250000000001</v>
      </c>
      <c r="BR3094" s="181">
        <v>5464.05</v>
      </c>
      <c r="BU3094" s="181" t="s">
        <v>887</v>
      </c>
      <c r="BV3094" s="181">
        <v>8148.0375000000004</v>
      </c>
      <c r="BW3094" s="181">
        <v>16296.075000000001</v>
      </c>
      <c r="CA3094" s="181">
        <v>365960.27686229651</v>
      </c>
      <c r="CB3094" s="181">
        <v>377072.43887127127</v>
      </c>
      <c r="CE3094" s="181">
        <v>820265</v>
      </c>
      <c r="CF3094" s="181">
        <v>823951</v>
      </c>
      <c r="CG3094" s="181">
        <v>37415</v>
      </c>
      <c r="CH3094" s="181">
        <v>39690</v>
      </c>
      <c r="CI3094" s="181">
        <v>2.2579999999999999E-2</v>
      </c>
      <c r="FY3094" s="181">
        <v>0</v>
      </c>
      <c r="FZ3094" s="181">
        <v>13</v>
      </c>
      <c r="GA3094" s="181">
        <v>101</v>
      </c>
      <c r="GB3094" s="181">
        <v>0</v>
      </c>
      <c r="GC3094" s="181">
        <v>13</v>
      </c>
      <c r="GD3094" s="181">
        <v>101</v>
      </c>
      <c r="GR3094" s="181" t="s">
        <v>177</v>
      </c>
      <c r="GS3094" s="181">
        <v>0</v>
      </c>
      <c r="GT3094" s="181">
        <v>0</v>
      </c>
      <c r="HD3094" s="181" t="s">
        <v>2777</v>
      </c>
      <c r="HE3094" s="181">
        <v>2904.67</v>
      </c>
      <c r="HF3094" s="181">
        <v>5809.34</v>
      </c>
      <c r="HG3094" s="181" t="s">
        <v>2778</v>
      </c>
      <c r="HH3094" s="181">
        <v>48515.62</v>
      </c>
      <c r="HI3094" s="181">
        <v>97031.24</v>
      </c>
      <c r="HL3094" s="181" t="s">
        <v>1224</v>
      </c>
      <c r="HY3094" s="181" t="s">
        <v>1381</v>
      </c>
      <c r="HZ3094" s="181">
        <v>6000</v>
      </c>
      <c r="IA3094" s="181">
        <v>12000</v>
      </c>
    </row>
    <row r="3095" spans="1:295">
      <c r="A3095" s="181" t="s">
        <v>244</v>
      </c>
      <c r="B3095" s="181" t="s">
        <v>1020</v>
      </c>
      <c r="C3095" s="181" t="s">
        <v>475</v>
      </c>
      <c r="F3095" s="181" t="s">
        <v>746</v>
      </c>
      <c r="G3095" s="181">
        <v>10145344</v>
      </c>
      <c r="I3095" s="181" t="s">
        <v>2768</v>
      </c>
      <c r="J3095" s="181" t="s">
        <v>1324</v>
      </c>
      <c r="K3095" s="181">
        <v>1</v>
      </c>
      <c r="L3095" s="181" t="s">
        <v>720</v>
      </c>
      <c r="M3095" s="181">
        <v>1</v>
      </c>
      <c r="N3095" s="181" t="s">
        <v>2609</v>
      </c>
      <c r="O3095" s="181" t="s">
        <v>2115</v>
      </c>
      <c r="P3095" s="181">
        <v>0</v>
      </c>
      <c r="Q3095" s="181">
        <v>0</v>
      </c>
      <c r="R3095" s="181">
        <v>0</v>
      </c>
      <c r="S3095" s="181">
        <v>0</v>
      </c>
      <c r="X3095" s="181">
        <v>18724.991999999998</v>
      </c>
      <c r="Y3095" s="181">
        <v>37449.983999999997</v>
      </c>
      <c r="Z3095" s="181">
        <v>26507913.672370195</v>
      </c>
      <c r="AA3095" s="181">
        <v>26507913.672370195</v>
      </c>
      <c r="AY3095" s="181">
        <v>18724.991999999998</v>
      </c>
      <c r="AZ3095" s="181">
        <v>37449.983999999997</v>
      </c>
      <c r="BA3095" s="181" t="s">
        <v>1024</v>
      </c>
      <c r="BB3095" s="181" t="s">
        <v>475</v>
      </c>
      <c r="BC3095" s="181">
        <v>0</v>
      </c>
      <c r="BD3095" s="181">
        <v>30202.401038440934</v>
      </c>
      <c r="BF3095" s="181">
        <v>715000</v>
      </c>
      <c r="BG3095" s="181">
        <v>42298.900173073489</v>
      </c>
      <c r="BH3095" s="181">
        <v>84597.800346146978</v>
      </c>
      <c r="BI3095" s="181">
        <v>419130.29853616637</v>
      </c>
      <c r="BJ3095" s="181">
        <v>440256.08512203826</v>
      </c>
      <c r="BK3095" s="181" t="s">
        <v>1040</v>
      </c>
      <c r="BL3095" s="181">
        <v>1296.845</v>
      </c>
      <c r="BM3095" s="181">
        <v>2593.69</v>
      </c>
      <c r="BP3095" s="181" t="s">
        <v>1040</v>
      </c>
      <c r="BQ3095" s="181">
        <v>10011.219999999999</v>
      </c>
      <c r="BR3095" s="181">
        <v>20022.439999999999</v>
      </c>
      <c r="BU3095" s="181" t="s">
        <v>2776</v>
      </c>
      <c r="BV3095" s="181">
        <v>16358.827499999999</v>
      </c>
      <c r="BW3095" s="181">
        <v>49076.482499999998</v>
      </c>
      <c r="CI3095" s="181">
        <v>0.85252700000000003</v>
      </c>
      <c r="FY3095" s="181">
        <v>0</v>
      </c>
      <c r="FZ3095" s="181">
        <v>0</v>
      </c>
      <c r="GA3095" s="181">
        <v>0</v>
      </c>
      <c r="GB3095" s="181">
        <v>0</v>
      </c>
      <c r="GC3095" s="181">
        <v>0</v>
      </c>
      <c r="GD3095" s="181">
        <v>0</v>
      </c>
      <c r="GR3095" s="181" t="s">
        <v>178</v>
      </c>
      <c r="GS3095" s="181">
        <v>0</v>
      </c>
      <c r="GT3095" s="181">
        <v>0</v>
      </c>
      <c r="HD3095" s="181" t="s">
        <v>972</v>
      </c>
      <c r="HE3095" s="181">
        <v>7452.5699999999988</v>
      </c>
      <c r="HF3095" s="181">
        <v>14905.139999999998</v>
      </c>
      <c r="HG3095" s="181" t="s">
        <v>916</v>
      </c>
      <c r="HH3095" s="181">
        <v>2801.52</v>
      </c>
      <c r="HI3095" s="181">
        <v>5603.04</v>
      </c>
      <c r="HL3095" s="181" t="s">
        <v>1187</v>
      </c>
    </row>
    <row r="3096" spans="1:295">
      <c r="A3096" s="181" t="s">
        <v>244</v>
      </c>
      <c r="F3096" s="181" t="s">
        <v>1680</v>
      </c>
      <c r="G3096" s="181">
        <v>14</v>
      </c>
      <c r="I3096" s="181" t="s">
        <v>2769</v>
      </c>
      <c r="J3096" s="181" t="s">
        <v>2774</v>
      </c>
      <c r="K3096" s="181">
        <v>3</v>
      </c>
      <c r="L3096" s="181" t="s">
        <v>720</v>
      </c>
      <c r="M3096" s="181">
        <v>1</v>
      </c>
      <c r="N3096" s="181" t="s">
        <v>2609</v>
      </c>
      <c r="O3096" s="181" t="s">
        <v>2115</v>
      </c>
      <c r="P3096" s="181">
        <v>0</v>
      </c>
      <c r="Q3096" s="181">
        <v>0</v>
      </c>
      <c r="R3096" s="181">
        <v>0</v>
      </c>
      <c r="S3096" s="181">
        <v>0</v>
      </c>
      <c r="BA3096" s="181" t="s">
        <v>1025</v>
      </c>
      <c r="BB3096" s="181" t="s">
        <v>475</v>
      </c>
      <c r="BC3096" s="181">
        <v>82848.468505087134</v>
      </c>
      <c r="BD3096" s="181">
        <v>115944.36220610456</v>
      </c>
      <c r="BE3096" s="181">
        <v>1106721.1548716037</v>
      </c>
      <c r="BF3096" s="181">
        <v>1106721.1548716037</v>
      </c>
      <c r="BG3096" s="181">
        <v>33095.893701017427</v>
      </c>
      <c r="BH3096" s="181">
        <v>66191.787402034854</v>
      </c>
      <c r="BI3096" s="181">
        <v>916304.1209044758</v>
      </c>
      <c r="BJ3096" s="181">
        <v>935345.82430118846</v>
      </c>
      <c r="BK3096" s="181" t="s">
        <v>972</v>
      </c>
      <c r="BL3096" s="181">
        <v>4396.7900000000009</v>
      </c>
      <c r="BM3096" s="181">
        <v>8793.5800000000017</v>
      </c>
      <c r="BP3096" s="181" t="s">
        <v>2775</v>
      </c>
      <c r="BQ3096" s="181">
        <v>14017.094999999999</v>
      </c>
      <c r="BR3096" s="181">
        <v>28034.19</v>
      </c>
      <c r="BU3096" s="181" t="s">
        <v>916</v>
      </c>
      <c r="BV3096" s="181">
        <v>38340.464999999997</v>
      </c>
      <c r="BW3096" s="181">
        <v>76680.929999999993</v>
      </c>
      <c r="CI3096" s="181">
        <v>0.66704200000000002</v>
      </c>
      <c r="FY3096" s="181">
        <v>0</v>
      </c>
      <c r="FZ3096" s="181">
        <v>0</v>
      </c>
      <c r="GA3096" s="181">
        <v>0</v>
      </c>
      <c r="GB3096" s="181">
        <v>0</v>
      </c>
      <c r="GC3096" s="181">
        <v>0</v>
      </c>
      <c r="GD3096" s="181">
        <v>0</v>
      </c>
      <c r="GR3096" s="181" t="s">
        <v>1707</v>
      </c>
      <c r="GS3096" s="181">
        <v>0</v>
      </c>
      <c r="GT3096" s="181">
        <v>0</v>
      </c>
      <c r="HD3096" s="181" t="s">
        <v>1040</v>
      </c>
      <c r="HE3096" s="181">
        <v>3584.3</v>
      </c>
      <c r="HF3096" s="181">
        <v>7168.6</v>
      </c>
      <c r="HG3096" s="181" t="s">
        <v>1036</v>
      </c>
      <c r="HH3096" s="181">
        <v>1450.75</v>
      </c>
      <c r="HI3096" s="181">
        <v>2901.5</v>
      </c>
      <c r="HL3096" s="181" t="s">
        <v>1670</v>
      </c>
    </row>
    <row r="3097" spans="1:295">
      <c r="A3097" s="181" t="s">
        <v>244</v>
      </c>
      <c r="F3097" s="181" t="s">
        <v>333</v>
      </c>
      <c r="G3097" s="181">
        <v>2741889</v>
      </c>
      <c r="I3097" s="181" t="s">
        <v>2770</v>
      </c>
      <c r="J3097" s="181" t="s">
        <v>2773</v>
      </c>
      <c r="K3097" s="181">
        <v>100</v>
      </c>
      <c r="L3097" s="181" t="s">
        <v>933</v>
      </c>
      <c r="M3097" s="181">
        <v>2</v>
      </c>
      <c r="N3097" s="181" t="s">
        <v>2140</v>
      </c>
      <c r="O3097" s="181" t="s">
        <v>2037</v>
      </c>
      <c r="P3097" s="181">
        <v>100</v>
      </c>
      <c r="Q3097" s="181">
        <v>100</v>
      </c>
      <c r="R3097" s="181">
        <v>3724</v>
      </c>
      <c r="S3097" s="181">
        <v>3724</v>
      </c>
      <c r="BA3097" s="181" t="s">
        <v>1026</v>
      </c>
      <c r="BB3097" s="181" t="s">
        <v>475</v>
      </c>
      <c r="BC3097" s="181">
        <v>0</v>
      </c>
      <c r="BD3097" s="181">
        <v>0</v>
      </c>
      <c r="BG3097" s="181">
        <v>0</v>
      </c>
      <c r="BH3097" s="181">
        <v>0</v>
      </c>
      <c r="BU3097" s="181" t="s">
        <v>1032</v>
      </c>
      <c r="BV3097" s="181">
        <v>363918.8</v>
      </c>
      <c r="BW3097" s="181">
        <v>727837.6</v>
      </c>
      <c r="FY3097" s="181">
        <v>0</v>
      </c>
      <c r="FZ3097" s="181">
        <v>13</v>
      </c>
      <c r="GA3097" s="181">
        <v>11</v>
      </c>
      <c r="GB3097" s="181">
        <v>0</v>
      </c>
      <c r="GC3097" s="181">
        <v>13</v>
      </c>
      <c r="GD3097" s="181">
        <v>11</v>
      </c>
      <c r="GR3097" s="181" t="s">
        <v>175</v>
      </c>
      <c r="GS3097" s="181">
        <v>161648</v>
      </c>
      <c r="GT3097" s="181">
        <v>420285</v>
      </c>
      <c r="HD3097" s="181" t="s">
        <v>1041</v>
      </c>
      <c r="HE3097" s="181">
        <v>2005.31</v>
      </c>
      <c r="HF3097" s="181">
        <v>4010.62</v>
      </c>
      <c r="HG3097" s="181" t="s">
        <v>1042</v>
      </c>
      <c r="HH3097" s="181">
        <v>2333.5450000000001</v>
      </c>
      <c r="HI3097" s="181">
        <v>4667.09</v>
      </c>
      <c r="HL3097" s="181" t="s">
        <v>2120</v>
      </c>
    </row>
    <row r="3098" spans="1:295">
      <c r="A3098" s="181" t="s">
        <v>244</v>
      </c>
      <c r="I3098" s="181" t="s">
        <v>2771</v>
      </c>
      <c r="BA3098" s="181" t="s">
        <v>1027</v>
      </c>
      <c r="BB3098" s="181" t="s">
        <v>475</v>
      </c>
      <c r="BC3098" s="181">
        <v>0</v>
      </c>
      <c r="BD3098" s="181">
        <v>0</v>
      </c>
      <c r="BG3098" s="181">
        <v>0</v>
      </c>
      <c r="BH3098" s="181">
        <v>0</v>
      </c>
      <c r="BU3098" s="181" t="s">
        <v>1033</v>
      </c>
      <c r="BV3098" s="181">
        <v>44683.199999999997</v>
      </c>
      <c r="BW3098" s="181">
        <v>89366.399999999994</v>
      </c>
      <c r="GR3098" s="181" t="s">
        <v>871</v>
      </c>
      <c r="GS3098" s="181">
        <v>0</v>
      </c>
      <c r="GT3098" s="181">
        <v>0</v>
      </c>
      <c r="HG3098" s="181" t="s">
        <v>1044</v>
      </c>
      <c r="HH3098" s="181">
        <v>1715.35</v>
      </c>
      <c r="HI3098" s="181">
        <v>3430.7</v>
      </c>
      <c r="HL3098" s="181" t="s">
        <v>1742</v>
      </c>
    </row>
    <row r="3099" spans="1:295">
      <c r="A3099" s="181" t="s">
        <v>244</v>
      </c>
      <c r="I3099" s="181" t="s">
        <v>2772</v>
      </c>
      <c r="BA3099" s="181" t="s">
        <v>630</v>
      </c>
      <c r="BB3099" s="181" t="s">
        <v>475</v>
      </c>
      <c r="BC3099" s="181">
        <v>0</v>
      </c>
      <c r="BD3099" s="181">
        <v>0</v>
      </c>
      <c r="BG3099" s="181">
        <v>0</v>
      </c>
      <c r="BH3099" s="181">
        <v>0</v>
      </c>
      <c r="BU3099" s="181" t="s">
        <v>1034</v>
      </c>
      <c r="BV3099" s="181">
        <v>67293.8</v>
      </c>
      <c r="BW3099" s="181">
        <v>134587.6</v>
      </c>
      <c r="GR3099" s="181" t="s">
        <v>871</v>
      </c>
      <c r="GS3099" s="181">
        <v>0</v>
      </c>
      <c r="GT3099" s="181">
        <v>0</v>
      </c>
      <c r="HG3099" s="181" t="s">
        <v>1043</v>
      </c>
      <c r="HH3099" s="181">
        <v>1633.425</v>
      </c>
      <c r="HI3099" s="181">
        <v>3266.85</v>
      </c>
      <c r="HL3099" s="181" t="s">
        <v>917</v>
      </c>
    </row>
    <row r="3100" spans="1:295">
      <c r="A3100" s="181" t="s">
        <v>244</v>
      </c>
      <c r="I3100" s="181" t="s">
        <v>2134</v>
      </c>
      <c r="BA3100" s="181" t="s">
        <v>1028</v>
      </c>
      <c r="BB3100" s="181" t="s">
        <v>919</v>
      </c>
      <c r="BC3100" s="181">
        <v>678748.67967999994</v>
      </c>
      <c r="BD3100" s="181">
        <v>1053623.0195199999</v>
      </c>
      <c r="BE3100" s="181">
        <v>277787.5204114432</v>
      </c>
      <c r="BF3100" s="181">
        <v>277787.52041144326</v>
      </c>
      <c r="BG3100" s="181">
        <v>374874.33983999997</v>
      </c>
      <c r="BH3100" s="181">
        <v>749748.67967999994</v>
      </c>
      <c r="BI3100" s="181">
        <v>267291.9555315277</v>
      </c>
      <c r="BJ3100" s="181">
        <v>269915.84675150656</v>
      </c>
      <c r="BU3100" s="181" t="s">
        <v>1035</v>
      </c>
      <c r="BV3100" s="181">
        <v>28238.466666666664</v>
      </c>
      <c r="BW3100" s="181">
        <v>56476.933333333327</v>
      </c>
      <c r="CK3100" s="181">
        <v>20.02</v>
      </c>
      <c r="GR3100" s="181" t="s">
        <v>871</v>
      </c>
      <c r="GS3100" s="181">
        <v>0</v>
      </c>
      <c r="GT3100" s="181">
        <v>0</v>
      </c>
      <c r="HG3100" s="181" t="s">
        <v>887</v>
      </c>
      <c r="HH3100" s="181">
        <v>561.29999999999995</v>
      </c>
      <c r="HI3100" s="181">
        <v>1122.5999999999999</v>
      </c>
      <c r="HL3100" s="181" t="s">
        <v>894</v>
      </c>
    </row>
    <row r="3101" spans="1:295">
      <c r="A3101" s="181" t="s">
        <v>244</v>
      </c>
      <c r="I3101" s="181" t="s">
        <v>1328</v>
      </c>
      <c r="BA3101" s="181" t="s">
        <v>1029</v>
      </c>
      <c r="BB3101" s="181" t="s">
        <v>475</v>
      </c>
      <c r="BC3101" s="181">
        <v>0</v>
      </c>
      <c r="BD3101" s="181">
        <v>0</v>
      </c>
      <c r="BG3101" s="181">
        <v>0</v>
      </c>
      <c r="BH3101" s="181">
        <v>0</v>
      </c>
      <c r="BU3101" s="181" t="s">
        <v>1036</v>
      </c>
      <c r="BV3101" s="181">
        <v>15019.9</v>
      </c>
      <c r="BW3101" s="181">
        <v>30039.8</v>
      </c>
      <c r="GR3101" s="181" t="s">
        <v>871</v>
      </c>
      <c r="GS3101" s="181">
        <v>0</v>
      </c>
      <c r="GT3101" s="181">
        <v>0</v>
      </c>
      <c r="HG3101" s="181" t="s">
        <v>947</v>
      </c>
      <c r="HH3101" s="181">
        <v>731.52499999999998</v>
      </c>
      <c r="HI3101" s="181">
        <v>1463.05</v>
      </c>
      <c r="HL3101" s="181" t="s">
        <v>2125</v>
      </c>
    </row>
    <row r="3102" spans="1:295">
      <c r="A3102" s="181" t="s">
        <v>244</v>
      </c>
      <c r="I3102" s="181" t="s">
        <v>2158</v>
      </c>
      <c r="BU3102" s="181" t="s">
        <v>947</v>
      </c>
      <c r="BV3102" s="181">
        <v>2459.1</v>
      </c>
      <c r="BW3102" s="181">
        <v>4918.2</v>
      </c>
      <c r="GR3102" s="181" t="s">
        <v>871</v>
      </c>
      <c r="GS3102" s="181">
        <v>0</v>
      </c>
      <c r="GT3102" s="181">
        <v>0</v>
      </c>
      <c r="HG3102" s="181" t="s">
        <v>748</v>
      </c>
      <c r="HH3102" s="181">
        <v>242.15</v>
      </c>
      <c r="HI3102" s="181">
        <v>484.3</v>
      </c>
      <c r="HL3102" s="181" t="s">
        <v>2121</v>
      </c>
    </row>
    <row r="3103" spans="1:295">
      <c r="A3103" s="181" t="s">
        <v>244</v>
      </c>
      <c r="I3103" s="181" t="s">
        <v>2022</v>
      </c>
      <c r="BU3103" s="181" t="s">
        <v>1037</v>
      </c>
      <c r="BV3103" s="181">
        <v>12252.862499999999</v>
      </c>
      <c r="BW3103" s="181">
        <v>24505.724999999999</v>
      </c>
      <c r="GR3103" s="181" t="s">
        <v>871</v>
      </c>
      <c r="GS3103" s="181">
        <v>0</v>
      </c>
      <c r="GT3103" s="181">
        <v>0</v>
      </c>
      <c r="HG3103" s="181" t="s">
        <v>2779</v>
      </c>
      <c r="HH3103" s="181">
        <v>443.88</v>
      </c>
      <c r="HI3103" s="181">
        <v>1043.1179999999999</v>
      </c>
      <c r="HL3103" s="181" t="s">
        <v>2685</v>
      </c>
    </row>
    <row r="3104" spans="1:295">
      <c r="A3104" s="181" t="s">
        <v>244</v>
      </c>
      <c r="I3104" s="181" t="s">
        <v>2023</v>
      </c>
      <c r="BU3104" s="181" t="s">
        <v>1038</v>
      </c>
      <c r="BV3104" s="181">
        <v>1556.9375</v>
      </c>
      <c r="BW3104" s="181">
        <v>3113.875</v>
      </c>
      <c r="GR3104" s="181" t="s">
        <v>871</v>
      </c>
      <c r="GS3104" s="181">
        <v>0</v>
      </c>
      <c r="GT3104" s="181">
        <v>0</v>
      </c>
      <c r="HG3104" s="181" t="s">
        <v>333</v>
      </c>
      <c r="HH3104" s="181">
        <f>32822.925+11.5</f>
        <v>32834.425000000003</v>
      </c>
      <c r="HI3104" s="181">
        <f>65645.85+23</f>
        <v>65668.850000000006</v>
      </c>
    </row>
    <row r="3105" spans="1:217">
      <c r="A3105" s="181" t="s">
        <v>244</v>
      </c>
      <c r="GR3105" s="181" t="s">
        <v>871</v>
      </c>
      <c r="GS3105" s="181">
        <v>0</v>
      </c>
      <c r="GT3105" s="181">
        <v>0</v>
      </c>
      <c r="HG3105" s="181" t="s">
        <v>945</v>
      </c>
      <c r="HH3105" s="181">
        <v>8447.7000000000007</v>
      </c>
      <c r="HI3105" s="181">
        <v>8447.7000000000007</v>
      </c>
    </row>
    <row r="3106" spans="1:217">
      <c r="A3106" s="181" t="s">
        <v>244</v>
      </c>
      <c r="GR3106" s="181" t="s">
        <v>871</v>
      </c>
      <c r="GS3106" s="181">
        <v>0</v>
      </c>
      <c r="GT3106" s="181">
        <v>0</v>
      </c>
    </row>
    <row r="3107" spans="1:217">
      <c r="A3107" s="181" t="s">
        <v>244</v>
      </c>
      <c r="GR3107" s="181" t="s">
        <v>872</v>
      </c>
      <c r="GS3107" s="181">
        <v>0</v>
      </c>
      <c r="GT3107" s="181">
        <v>0</v>
      </c>
    </row>
    <row r="3108" spans="1:217">
      <c r="A3108" s="181" t="s">
        <v>244</v>
      </c>
      <c r="GR3108" s="181" t="s">
        <v>873</v>
      </c>
      <c r="GS3108" s="181">
        <v>0</v>
      </c>
      <c r="GT3108" s="181">
        <v>0</v>
      </c>
    </row>
    <row r="3109" spans="1:217">
      <c r="A3109" s="181" t="s">
        <v>244</v>
      </c>
      <c r="GR3109" s="181" t="s">
        <v>873</v>
      </c>
      <c r="GS3109" s="181">
        <v>0</v>
      </c>
      <c r="GT3109" s="181">
        <v>0</v>
      </c>
    </row>
    <row r="3110" spans="1:217">
      <c r="A3110" s="181" t="s">
        <v>244</v>
      </c>
      <c r="GR3110" s="181" t="s">
        <v>873</v>
      </c>
      <c r="GS3110" s="181">
        <v>0</v>
      </c>
      <c r="GT3110" s="181">
        <v>0</v>
      </c>
    </row>
    <row r="3111" spans="1:217">
      <c r="A3111" s="181" t="s">
        <v>244</v>
      </c>
      <c r="GR3111" s="181" t="s">
        <v>873</v>
      </c>
      <c r="GS3111" s="181">
        <v>0</v>
      </c>
      <c r="GT3111" s="181">
        <v>0</v>
      </c>
    </row>
    <row r="3112" spans="1:217">
      <c r="A3112" s="181" t="s">
        <v>244</v>
      </c>
      <c r="GR3112" s="181" t="s">
        <v>308</v>
      </c>
      <c r="GS3112" s="181">
        <v>0</v>
      </c>
      <c r="GT3112" s="181">
        <v>0</v>
      </c>
    </row>
    <row r="3113" spans="1:217">
      <c r="A3113" s="181" t="s">
        <v>244</v>
      </c>
      <c r="GR3113" s="181" t="s">
        <v>874</v>
      </c>
      <c r="GS3113" s="181">
        <v>0</v>
      </c>
      <c r="GT3113" s="181">
        <v>0</v>
      </c>
    </row>
    <row r="3114" spans="1:217">
      <c r="A3114" s="181" t="s">
        <v>244</v>
      </c>
      <c r="GR3114" s="181" t="s">
        <v>874</v>
      </c>
      <c r="GS3114" s="181">
        <v>0</v>
      </c>
      <c r="GT3114" s="181">
        <v>0</v>
      </c>
    </row>
    <row r="3115" spans="1:217">
      <c r="A3115" s="181" t="s">
        <v>244</v>
      </c>
      <c r="GR3115" s="181" t="s">
        <v>874</v>
      </c>
      <c r="GS3115" s="181">
        <v>0</v>
      </c>
      <c r="GT3115" s="181">
        <v>0</v>
      </c>
    </row>
    <row r="3116" spans="1:217">
      <c r="A3116" s="181" t="s">
        <v>244</v>
      </c>
      <c r="GR3116" s="181" t="s">
        <v>874</v>
      </c>
      <c r="GS3116" s="181">
        <v>0</v>
      </c>
      <c r="GT3116" s="181">
        <v>0</v>
      </c>
    </row>
    <row r="3117" spans="1:217">
      <c r="A3117" s="181" t="s">
        <v>244</v>
      </c>
      <c r="GR3117" s="181" t="s">
        <v>1859</v>
      </c>
      <c r="GS3117" s="181">
        <v>0</v>
      </c>
      <c r="GT3117" s="181">
        <v>0</v>
      </c>
    </row>
    <row r="3118" spans="1:217">
      <c r="A3118" s="181" t="s">
        <v>244</v>
      </c>
      <c r="GR3118" s="181">
        <v>0</v>
      </c>
      <c r="GS3118" s="181">
        <v>0</v>
      </c>
      <c r="GT3118" s="181">
        <v>0</v>
      </c>
    </row>
    <row r="3119" spans="1:217">
      <c r="A3119" s="181" t="s">
        <v>244</v>
      </c>
      <c r="GR3119" s="181">
        <v>0</v>
      </c>
      <c r="GS3119" s="181">
        <v>0</v>
      </c>
      <c r="GT3119" s="181">
        <v>0</v>
      </c>
    </row>
    <row r="3120" spans="1:217">
      <c r="A3120" s="181" t="s">
        <v>244</v>
      </c>
      <c r="GR3120" s="181">
        <v>0</v>
      </c>
      <c r="GS3120" s="181">
        <v>0</v>
      </c>
      <c r="GT3120" s="181">
        <v>0</v>
      </c>
    </row>
    <row r="3121" spans="1:202">
      <c r="A3121" s="181" t="s">
        <v>244</v>
      </c>
      <c r="GR3121" s="181">
        <v>0</v>
      </c>
      <c r="GS3121" s="181">
        <v>0</v>
      </c>
      <c r="GT3121" s="181">
        <v>0</v>
      </c>
    </row>
    <row r="3122" spans="1:202">
      <c r="A3122" s="181" t="s">
        <v>244</v>
      </c>
      <c r="GR3122" s="181">
        <v>0</v>
      </c>
      <c r="GS3122" s="181">
        <v>0</v>
      </c>
      <c r="GT3122" s="181">
        <v>0</v>
      </c>
    </row>
    <row r="3123" spans="1:202">
      <c r="A3123" s="181" t="s">
        <v>244</v>
      </c>
      <c r="GR3123" s="181">
        <v>0</v>
      </c>
      <c r="GS3123" s="181">
        <v>0</v>
      </c>
      <c r="GT3123" s="181">
        <v>0</v>
      </c>
    </row>
    <row r="3124" spans="1:202">
      <c r="A3124" s="181" t="s">
        <v>244</v>
      </c>
      <c r="GR3124" s="181">
        <v>0</v>
      </c>
      <c r="GS3124" s="181">
        <v>0</v>
      </c>
      <c r="GT3124" s="181">
        <v>0</v>
      </c>
    </row>
    <row r="3125" spans="1:202">
      <c r="A3125" s="181" t="s">
        <v>244</v>
      </c>
      <c r="GR3125" s="181">
        <v>0</v>
      </c>
      <c r="GS3125" s="181">
        <v>0</v>
      </c>
      <c r="GT3125" s="181">
        <v>0</v>
      </c>
    </row>
    <row r="3126" spans="1:202">
      <c r="A3126" s="181" t="s">
        <v>244</v>
      </c>
      <c r="GR3126" s="181">
        <v>0</v>
      </c>
      <c r="GS3126" s="181">
        <v>0</v>
      </c>
      <c r="GT3126" s="181">
        <v>0</v>
      </c>
    </row>
    <row r="3127" spans="1:202">
      <c r="A3127" s="181" t="s">
        <v>244</v>
      </c>
      <c r="GR3127" s="181">
        <v>0</v>
      </c>
      <c r="GS3127" s="181">
        <v>0</v>
      </c>
      <c r="GT3127" s="181">
        <v>0</v>
      </c>
    </row>
    <row r="3128" spans="1:202">
      <c r="A3128" s="181" t="s">
        <v>244</v>
      </c>
      <c r="GR3128" s="181">
        <v>0</v>
      </c>
      <c r="GS3128" s="181">
        <v>0</v>
      </c>
      <c r="GT3128" s="181">
        <v>0</v>
      </c>
    </row>
    <row r="3129" spans="1:202">
      <c r="A3129" s="181" t="s">
        <v>244</v>
      </c>
      <c r="GR3129" s="181">
        <v>0</v>
      </c>
      <c r="GS3129" s="181">
        <v>0</v>
      </c>
      <c r="GT3129" s="181">
        <v>0</v>
      </c>
    </row>
    <row r="3130" spans="1:202">
      <c r="A3130" s="181" t="s">
        <v>244</v>
      </c>
      <c r="GR3130" s="181">
        <v>0</v>
      </c>
      <c r="GS3130" s="181">
        <v>0</v>
      </c>
      <c r="GT3130" s="181">
        <v>0</v>
      </c>
    </row>
    <row r="3131" spans="1:202">
      <c r="A3131" s="181" t="s">
        <v>244</v>
      </c>
      <c r="GR3131" s="181">
        <v>0</v>
      </c>
      <c r="GS3131" s="181">
        <v>0</v>
      </c>
      <c r="GT3131" s="181">
        <v>0</v>
      </c>
    </row>
    <row r="3132" spans="1:202">
      <c r="A3132" s="181" t="s">
        <v>244</v>
      </c>
      <c r="GR3132" s="181" t="s">
        <v>309</v>
      </c>
      <c r="GS3132" s="181">
        <v>0</v>
      </c>
      <c r="GT3132" s="181">
        <v>0</v>
      </c>
    </row>
    <row r="3133" spans="1:202">
      <c r="A3133" s="181" t="s">
        <v>244</v>
      </c>
      <c r="GR3133" s="181" t="s">
        <v>309</v>
      </c>
      <c r="GS3133" s="181">
        <v>0</v>
      </c>
      <c r="GT3133" s="181">
        <v>0</v>
      </c>
    </row>
    <row r="3134" spans="1:202">
      <c r="A3134" s="181" t="s">
        <v>244</v>
      </c>
      <c r="GR3134" s="181" t="s">
        <v>309</v>
      </c>
      <c r="GS3134" s="181">
        <v>0</v>
      </c>
      <c r="GT3134" s="181">
        <v>0</v>
      </c>
    </row>
    <row r="3135" spans="1:202">
      <c r="A3135" s="181" t="s">
        <v>244</v>
      </c>
      <c r="GS3135" s="181">
        <v>1224707</v>
      </c>
      <c r="GT3135" s="181">
        <v>2546404</v>
      </c>
    </row>
    <row r="3136" spans="1:202">
      <c r="A3136" s="181" t="s">
        <v>244</v>
      </c>
      <c r="GR3136" s="181" t="s">
        <v>875</v>
      </c>
      <c r="GS3136" s="181">
        <v>0</v>
      </c>
      <c r="GT3136" s="181">
        <v>0</v>
      </c>
    </row>
    <row r="3137" spans="1:202">
      <c r="A3137" s="181" t="s">
        <v>244</v>
      </c>
      <c r="GR3137" s="181" t="s">
        <v>875</v>
      </c>
      <c r="GS3137" s="181">
        <v>0</v>
      </c>
      <c r="GT3137" s="181">
        <v>0</v>
      </c>
    </row>
    <row r="3138" spans="1:202">
      <c r="A3138" s="181" t="s">
        <v>244</v>
      </c>
      <c r="GR3138" s="181" t="s">
        <v>875</v>
      </c>
      <c r="GS3138" s="181">
        <v>0</v>
      </c>
      <c r="GT3138" s="181">
        <v>0</v>
      </c>
    </row>
    <row r="3139" spans="1:202">
      <c r="A3139" s="181" t="s">
        <v>244</v>
      </c>
      <c r="GR3139" s="181" t="s">
        <v>875</v>
      </c>
      <c r="GS3139" s="181">
        <v>0</v>
      </c>
      <c r="GT3139" s="181">
        <v>0</v>
      </c>
    </row>
    <row r="3140" spans="1:202">
      <c r="A3140" s="181" t="s">
        <v>244</v>
      </c>
      <c r="GR3140" s="181" t="s">
        <v>875</v>
      </c>
      <c r="GS3140" s="181">
        <v>0</v>
      </c>
      <c r="GT3140" s="181">
        <v>0</v>
      </c>
    </row>
    <row r="3141" spans="1:202">
      <c r="A3141" s="181" t="s">
        <v>244</v>
      </c>
      <c r="GR3141" s="181" t="s">
        <v>875</v>
      </c>
      <c r="GS3141" s="181">
        <v>0</v>
      </c>
      <c r="GT3141" s="181">
        <v>0</v>
      </c>
    </row>
    <row r="3142" spans="1:202">
      <c r="A3142" s="181" t="s">
        <v>244</v>
      </c>
      <c r="GR3142" s="181" t="s">
        <v>1860</v>
      </c>
      <c r="GS3142" s="181">
        <v>0</v>
      </c>
      <c r="GT3142" s="181">
        <v>0</v>
      </c>
    </row>
    <row r="3143" spans="1:202">
      <c r="A3143" s="181" t="s">
        <v>244</v>
      </c>
      <c r="GR3143" s="181" t="s">
        <v>1861</v>
      </c>
      <c r="GS3143" s="181">
        <v>250000</v>
      </c>
      <c r="GT3143" s="181">
        <v>250000</v>
      </c>
    </row>
    <row r="3144" spans="1:202">
      <c r="A3144" s="181" t="s">
        <v>244</v>
      </c>
      <c r="GR3144" s="181" t="s">
        <v>310</v>
      </c>
      <c r="GS3144" s="181">
        <v>0</v>
      </c>
      <c r="GT3144" s="181">
        <v>0</v>
      </c>
    </row>
    <row r="3145" spans="1:202">
      <c r="A3145" s="181" t="s">
        <v>244</v>
      </c>
      <c r="GR3145" s="181" t="s">
        <v>310</v>
      </c>
      <c r="GS3145" s="181">
        <v>0</v>
      </c>
      <c r="GT3145" s="181">
        <v>0</v>
      </c>
    </row>
    <row r="3146" spans="1:202">
      <c r="A3146" s="181" t="s">
        <v>244</v>
      </c>
      <c r="GR3146" s="181" t="s">
        <v>1862</v>
      </c>
      <c r="GS3146" s="181">
        <v>0</v>
      </c>
      <c r="GT3146" s="181">
        <v>0</v>
      </c>
    </row>
    <row r="3147" spans="1:202">
      <c r="A3147" s="181" t="s">
        <v>244</v>
      </c>
      <c r="GR3147" s="181" t="s">
        <v>876</v>
      </c>
      <c r="GS3147" s="181">
        <v>0</v>
      </c>
      <c r="GT3147" s="181">
        <v>0</v>
      </c>
    </row>
    <row r="3148" spans="1:202">
      <c r="A3148" s="181" t="s">
        <v>244</v>
      </c>
      <c r="GR3148" s="181" t="s">
        <v>876</v>
      </c>
      <c r="GS3148" s="181">
        <v>0</v>
      </c>
      <c r="GT3148" s="181">
        <v>0</v>
      </c>
    </row>
    <row r="3149" spans="1:202">
      <c r="A3149" s="181" t="s">
        <v>244</v>
      </c>
      <c r="GR3149" s="181" t="s">
        <v>876</v>
      </c>
      <c r="GS3149" s="181">
        <v>0</v>
      </c>
      <c r="GT3149" s="181">
        <v>0</v>
      </c>
    </row>
    <row r="3150" spans="1:202">
      <c r="A3150" s="181" t="s">
        <v>244</v>
      </c>
      <c r="GR3150" s="181" t="s">
        <v>876</v>
      </c>
      <c r="GS3150" s="181">
        <v>0</v>
      </c>
      <c r="GT3150" s="181">
        <v>0</v>
      </c>
    </row>
    <row r="3151" spans="1:202">
      <c r="A3151" s="181" t="s">
        <v>244</v>
      </c>
      <c r="GR3151" s="181" t="s">
        <v>1378</v>
      </c>
      <c r="GS3151" s="181">
        <v>0</v>
      </c>
      <c r="GT3151" s="181">
        <v>0</v>
      </c>
    </row>
    <row r="3152" spans="1:202">
      <c r="A3152" s="181" t="s">
        <v>244</v>
      </c>
      <c r="GR3152" s="181" t="s">
        <v>1379</v>
      </c>
      <c r="GS3152" s="181">
        <v>150</v>
      </c>
      <c r="GT3152" s="181">
        <v>300</v>
      </c>
    </row>
    <row r="3153" spans="1:202">
      <c r="A3153" s="181" t="s">
        <v>244</v>
      </c>
      <c r="GR3153" s="181" t="s">
        <v>1380</v>
      </c>
      <c r="GS3153" s="181">
        <v>0</v>
      </c>
      <c r="GT3153" s="181">
        <v>0</v>
      </c>
    </row>
    <row r="3154" spans="1:202">
      <c r="A3154" s="181" t="s">
        <v>244</v>
      </c>
      <c r="GR3154" s="181" t="s">
        <v>1381</v>
      </c>
      <c r="GS3154" s="181">
        <v>6000</v>
      </c>
      <c r="GT3154" s="181">
        <v>12000</v>
      </c>
    </row>
    <row r="3155" spans="1:202">
      <c r="A3155" s="181" t="s">
        <v>244</v>
      </c>
      <c r="GR3155" s="181" t="s">
        <v>1863</v>
      </c>
      <c r="GS3155" s="181">
        <v>0</v>
      </c>
      <c r="GT3155" s="181">
        <v>0</v>
      </c>
    </row>
    <row r="3156" spans="1:202">
      <c r="A3156" s="181" t="s">
        <v>244</v>
      </c>
      <c r="GR3156" s="181" t="s">
        <v>333</v>
      </c>
      <c r="GS3156" s="181">
        <v>0</v>
      </c>
      <c r="GT3156" s="181">
        <v>0</v>
      </c>
    </row>
    <row r="3157" spans="1:202">
      <c r="A3157" s="181" t="s">
        <v>244</v>
      </c>
      <c r="GR3157" s="181" t="s">
        <v>1864</v>
      </c>
      <c r="GS3157" s="181">
        <v>0</v>
      </c>
      <c r="GT3157" s="181">
        <v>0</v>
      </c>
    </row>
    <row r="3158" spans="1:202">
      <c r="A3158" s="181" t="s">
        <v>244</v>
      </c>
      <c r="GR3158" s="181">
        <v>0</v>
      </c>
      <c r="GS3158" s="181">
        <v>0</v>
      </c>
      <c r="GT3158" s="181">
        <v>0</v>
      </c>
    </row>
    <row r="3159" spans="1:202">
      <c r="A3159" s="181" t="s">
        <v>244</v>
      </c>
      <c r="GR3159" s="181">
        <v>0</v>
      </c>
      <c r="GS3159" s="181">
        <v>0</v>
      </c>
      <c r="GT3159" s="181">
        <v>0</v>
      </c>
    </row>
    <row r="3160" spans="1:202">
      <c r="A3160" s="181" t="s">
        <v>244</v>
      </c>
      <c r="GR3160" s="181">
        <v>0</v>
      </c>
      <c r="GS3160" s="181">
        <v>0</v>
      </c>
      <c r="GT3160" s="181">
        <v>0</v>
      </c>
    </row>
    <row r="3161" spans="1:202">
      <c r="A3161" s="181" t="s">
        <v>244</v>
      </c>
      <c r="GR3161" s="181">
        <v>0</v>
      </c>
      <c r="GS3161" s="181">
        <v>0</v>
      </c>
      <c r="GT3161" s="181">
        <v>0</v>
      </c>
    </row>
    <row r="3162" spans="1:202">
      <c r="A3162" s="181" t="s">
        <v>244</v>
      </c>
      <c r="GR3162" s="181">
        <v>0</v>
      </c>
      <c r="GS3162" s="181">
        <v>0</v>
      </c>
      <c r="GT3162" s="181">
        <v>0</v>
      </c>
    </row>
    <row r="3163" spans="1:202">
      <c r="A3163" s="181" t="s">
        <v>244</v>
      </c>
      <c r="GR3163" s="181">
        <v>0</v>
      </c>
      <c r="GS3163" s="181">
        <v>0</v>
      </c>
      <c r="GT3163" s="181">
        <v>0</v>
      </c>
    </row>
    <row r="3164" spans="1:202">
      <c r="A3164" s="181" t="s">
        <v>244</v>
      </c>
      <c r="GR3164" s="181">
        <v>0</v>
      </c>
      <c r="GS3164" s="181">
        <v>0</v>
      </c>
      <c r="GT3164" s="181">
        <v>0</v>
      </c>
    </row>
    <row r="3165" spans="1:202">
      <c r="A3165" s="181" t="s">
        <v>244</v>
      </c>
      <c r="GR3165" s="181">
        <v>0</v>
      </c>
      <c r="GS3165" s="181">
        <v>0</v>
      </c>
      <c r="GT3165" s="181">
        <v>0</v>
      </c>
    </row>
    <row r="3166" spans="1:202">
      <c r="A3166" s="181" t="s">
        <v>244</v>
      </c>
      <c r="GS3166" s="181">
        <v>256150</v>
      </c>
      <c r="GT3166" s="181">
        <v>262300</v>
      </c>
    </row>
    <row r="3167" spans="1:202">
      <c r="A3167" s="181" t="s">
        <v>244</v>
      </c>
      <c r="GR3167" s="181" t="s">
        <v>309</v>
      </c>
      <c r="GS3167" s="181">
        <v>0</v>
      </c>
      <c r="GT3167" s="181">
        <v>0</v>
      </c>
    </row>
    <row r="3168" spans="1:202">
      <c r="A3168" s="181" t="s">
        <v>244</v>
      </c>
      <c r="GS3168" s="181">
        <v>1480857</v>
      </c>
      <c r="GT3168" s="181">
        <v>2808704</v>
      </c>
    </row>
    <row r="3169" spans="1:202">
      <c r="A3169" s="181" t="s">
        <v>244</v>
      </c>
      <c r="GR3169" s="181" t="s">
        <v>312</v>
      </c>
      <c r="GS3169" s="181">
        <v>0</v>
      </c>
      <c r="GT3169" s="181">
        <v>0</v>
      </c>
    </row>
    <row r="3170" spans="1:202">
      <c r="A3170" s="181" t="s">
        <v>244</v>
      </c>
      <c r="GR3170" s="181" t="s">
        <v>312</v>
      </c>
      <c r="GS3170" s="181">
        <v>0</v>
      </c>
      <c r="GT3170" s="181">
        <v>0</v>
      </c>
    </row>
    <row r="3171" spans="1:202">
      <c r="A3171" s="181" t="s">
        <v>244</v>
      </c>
      <c r="GR3171" s="181" t="s">
        <v>312</v>
      </c>
      <c r="GS3171" s="181">
        <v>0</v>
      </c>
      <c r="GT3171" s="181">
        <v>0</v>
      </c>
    </row>
    <row r="3172" spans="1:202">
      <c r="A3172" s="181" t="s">
        <v>244</v>
      </c>
      <c r="GR3172" s="181" t="s">
        <v>312</v>
      </c>
      <c r="GS3172" s="181">
        <v>0</v>
      </c>
      <c r="GT3172" s="181">
        <v>0</v>
      </c>
    </row>
    <row r="3173" spans="1:202">
      <c r="A3173" s="181" t="s">
        <v>244</v>
      </c>
      <c r="GR3173" s="181" t="s">
        <v>312</v>
      </c>
      <c r="GS3173" s="181">
        <v>0</v>
      </c>
      <c r="GT3173" s="181">
        <v>0</v>
      </c>
    </row>
    <row r="3174" spans="1:202">
      <c r="A3174" s="181" t="s">
        <v>244</v>
      </c>
      <c r="GR3174" s="181" t="s">
        <v>312</v>
      </c>
      <c r="GS3174" s="181">
        <v>0</v>
      </c>
      <c r="GT3174" s="181">
        <v>0</v>
      </c>
    </row>
    <row r="3175" spans="1:202">
      <c r="A3175" s="181" t="s">
        <v>244</v>
      </c>
      <c r="GR3175" s="181" t="s">
        <v>312</v>
      </c>
      <c r="GS3175" s="181">
        <v>0</v>
      </c>
      <c r="GT3175" s="181">
        <v>0</v>
      </c>
    </row>
    <row r="3176" spans="1:202">
      <c r="A3176" s="181" t="s">
        <v>244</v>
      </c>
      <c r="GR3176" s="181" t="s">
        <v>877</v>
      </c>
      <c r="GS3176" s="181">
        <v>0</v>
      </c>
      <c r="GT3176" s="181">
        <v>0</v>
      </c>
    </row>
    <row r="3177" spans="1:202">
      <c r="A3177" s="181" t="s">
        <v>244</v>
      </c>
      <c r="GR3177" s="181" t="s">
        <v>1865</v>
      </c>
      <c r="GS3177" s="181">
        <v>149397</v>
      </c>
      <c r="GT3177" s="181">
        <v>225546</v>
      </c>
    </row>
    <row r="3178" spans="1:202">
      <c r="A3178" s="181" t="s">
        <v>244</v>
      </c>
      <c r="GR3178" s="181" t="s">
        <v>1866</v>
      </c>
      <c r="GS3178" s="181">
        <v>188547</v>
      </c>
      <c r="GT3178" s="181">
        <v>292681</v>
      </c>
    </row>
    <row r="3179" spans="1:202">
      <c r="A3179" s="181" t="s">
        <v>244</v>
      </c>
      <c r="GR3179" s="181" t="s">
        <v>878</v>
      </c>
      <c r="GS3179" s="181">
        <v>0</v>
      </c>
      <c r="GT3179" s="181">
        <v>0</v>
      </c>
    </row>
    <row r="3180" spans="1:202">
      <c r="A3180" s="181" t="s">
        <v>244</v>
      </c>
      <c r="GR3180" s="181" t="s">
        <v>878</v>
      </c>
      <c r="GS3180" s="181">
        <v>0</v>
      </c>
      <c r="GT3180" s="181">
        <v>0</v>
      </c>
    </row>
    <row r="3181" spans="1:202">
      <c r="A3181" s="181" t="s">
        <v>244</v>
      </c>
      <c r="GR3181" s="181" t="s">
        <v>878</v>
      </c>
      <c r="GS3181" s="181">
        <v>0</v>
      </c>
      <c r="GT3181" s="181">
        <v>0</v>
      </c>
    </row>
    <row r="3182" spans="1:202">
      <c r="A3182" s="181" t="s">
        <v>244</v>
      </c>
      <c r="GR3182" s="181" t="s">
        <v>878</v>
      </c>
      <c r="GS3182" s="181">
        <v>0</v>
      </c>
      <c r="GT3182" s="181">
        <v>0</v>
      </c>
    </row>
    <row r="3183" spans="1:202">
      <c r="A3183" s="181" t="s">
        <v>244</v>
      </c>
      <c r="GR3183" s="181" t="s">
        <v>878</v>
      </c>
      <c r="GS3183" s="181">
        <v>0</v>
      </c>
      <c r="GT3183" s="181">
        <v>0</v>
      </c>
    </row>
    <row r="3184" spans="1:202">
      <c r="A3184" s="181" t="s">
        <v>244</v>
      </c>
      <c r="GR3184" s="181" t="s">
        <v>878</v>
      </c>
      <c r="GS3184" s="181">
        <v>0</v>
      </c>
      <c r="GT3184" s="181">
        <v>0</v>
      </c>
    </row>
    <row r="3185" spans="1:202">
      <c r="A3185" s="181" t="s">
        <v>244</v>
      </c>
      <c r="GR3185" s="181" t="s">
        <v>878</v>
      </c>
      <c r="GS3185" s="181">
        <v>0</v>
      </c>
      <c r="GT3185" s="181">
        <v>0</v>
      </c>
    </row>
    <row r="3186" spans="1:202">
      <c r="A3186" s="181" t="s">
        <v>244</v>
      </c>
      <c r="GR3186" s="181" t="s">
        <v>879</v>
      </c>
      <c r="GS3186" s="181">
        <v>0</v>
      </c>
      <c r="GT3186" s="181">
        <v>0</v>
      </c>
    </row>
    <row r="3187" spans="1:202">
      <c r="A3187" s="181" t="s">
        <v>244</v>
      </c>
      <c r="GR3187" s="181" t="s">
        <v>1715</v>
      </c>
      <c r="GS3187" s="181">
        <v>822240</v>
      </c>
      <c r="GT3187" s="181">
        <v>1632614</v>
      </c>
    </row>
    <row r="3188" spans="1:202">
      <c r="A3188" s="181" t="s">
        <v>244</v>
      </c>
      <c r="GR3188" s="181" t="s">
        <v>880</v>
      </c>
      <c r="GS3188" s="181">
        <v>97238</v>
      </c>
      <c r="GT3188" s="181">
        <v>196601</v>
      </c>
    </row>
    <row r="3189" spans="1:202">
      <c r="A3189" s="181" t="s">
        <v>244</v>
      </c>
      <c r="GR3189" s="181" t="s">
        <v>881</v>
      </c>
      <c r="GS3189" s="181">
        <v>115503</v>
      </c>
      <c r="GT3189" s="181">
        <v>231006</v>
      </c>
    </row>
    <row r="3190" spans="1:202">
      <c r="A3190" s="181" t="s">
        <v>244</v>
      </c>
      <c r="GR3190" s="181">
        <v>0</v>
      </c>
      <c r="GS3190" s="181">
        <v>0</v>
      </c>
      <c r="GT3190" s="181">
        <v>0</v>
      </c>
    </row>
    <row r="3191" spans="1:202">
      <c r="A3191" s="181" t="s">
        <v>244</v>
      </c>
      <c r="GR3191" s="181">
        <v>0</v>
      </c>
      <c r="GS3191" s="181">
        <v>0</v>
      </c>
      <c r="GT3191" s="181">
        <v>0</v>
      </c>
    </row>
    <row r="3192" spans="1:202">
      <c r="A3192" s="181" t="s">
        <v>244</v>
      </c>
      <c r="GR3192" s="181">
        <v>0</v>
      </c>
      <c r="GS3192" s="181">
        <v>0</v>
      </c>
      <c r="GT3192" s="181">
        <v>0</v>
      </c>
    </row>
    <row r="3193" spans="1:202">
      <c r="A3193" s="181" t="s">
        <v>244</v>
      </c>
      <c r="GR3193" s="181">
        <v>0</v>
      </c>
      <c r="GS3193" s="181">
        <v>0</v>
      </c>
      <c r="GT3193" s="181">
        <v>0</v>
      </c>
    </row>
    <row r="3194" spans="1:202">
      <c r="A3194" s="181" t="s">
        <v>244</v>
      </c>
      <c r="GR3194" s="181">
        <v>0</v>
      </c>
      <c r="GS3194" s="181">
        <v>0</v>
      </c>
      <c r="GT3194" s="181">
        <v>0</v>
      </c>
    </row>
    <row r="3195" spans="1:202">
      <c r="A3195" s="181" t="s">
        <v>244</v>
      </c>
      <c r="GR3195" s="181">
        <v>0</v>
      </c>
      <c r="GS3195" s="181">
        <v>0</v>
      </c>
      <c r="GT3195" s="181">
        <v>0</v>
      </c>
    </row>
    <row r="3196" spans="1:202">
      <c r="A3196" s="181" t="s">
        <v>244</v>
      </c>
      <c r="GR3196" s="181">
        <v>0</v>
      </c>
      <c r="GS3196" s="181">
        <v>0</v>
      </c>
      <c r="GT3196" s="181">
        <v>0</v>
      </c>
    </row>
    <row r="3197" spans="1:202">
      <c r="A3197" s="181" t="s">
        <v>244</v>
      </c>
      <c r="GR3197" s="181">
        <v>0</v>
      </c>
      <c r="GS3197" s="181">
        <v>0</v>
      </c>
      <c r="GT3197" s="181">
        <v>0</v>
      </c>
    </row>
    <row r="3198" spans="1:202">
      <c r="A3198" s="181" t="s">
        <v>244</v>
      </c>
      <c r="GR3198" s="181">
        <v>0</v>
      </c>
      <c r="GS3198" s="181">
        <v>0</v>
      </c>
      <c r="GT3198" s="181">
        <v>0</v>
      </c>
    </row>
    <row r="3199" spans="1:202">
      <c r="A3199" s="181" t="s">
        <v>244</v>
      </c>
      <c r="GR3199" s="181">
        <v>0</v>
      </c>
      <c r="GS3199" s="181">
        <v>0</v>
      </c>
      <c r="GT3199" s="181">
        <v>0</v>
      </c>
    </row>
    <row r="3200" spans="1:202">
      <c r="A3200" s="181" t="s">
        <v>244</v>
      </c>
      <c r="GR3200" s="181">
        <v>0</v>
      </c>
      <c r="GS3200" s="181">
        <v>0</v>
      </c>
      <c r="GT3200" s="181">
        <v>0</v>
      </c>
    </row>
    <row r="3201" spans="1:202">
      <c r="A3201" s="181" t="s">
        <v>244</v>
      </c>
      <c r="GR3201" s="181">
        <v>0</v>
      </c>
      <c r="GS3201" s="181">
        <v>0</v>
      </c>
      <c r="GT3201" s="181">
        <v>0</v>
      </c>
    </row>
    <row r="3202" spans="1:202">
      <c r="A3202" s="181" t="s">
        <v>244</v>
      </c>
      <c r="GR3202" s="181">
        <v>0</v>
      </c>
      <c r="GS3202" s="181">
        <v>0</v>
      </c>
      <c r="GT3202" s="181">
        <v>0</v>
      </c>
    </row>
    <row r="3203" spans="1:202">
      <c r="A3203" s="181" t="s">
        <v>244</v>
      </c>
      <c r="GR3203" s="181">
        <v>0</v>
      </c>
      <c r="GS3203" s="181">
        <v>0</v>
      </c>
      <c r="GT3203" s="181">
        <v>0</v>
      </c>
    </row>
    <row r="3204" spans="1:202">
      <c r="A3204" s="181" t="s">
        <v>244</v>
      </c>
      <c r="GR3204" s="181">
        <v>0</v>
      </c>
      <c r="GS3204" s="181">
        <v>0</v>
      </c>
      <c r="GT3204" s="181">
        <v>0</v>
      </c>
    </row>
    <row r="3205" spans="1:202">
      <c r="A3205" s="181" t="s">
        <v>244</v>
      </c>
      <c r="GR3205" s="181" t="s">
        <v>1867</v>
      </c>
      <c r="GS3205" s="181">
        <v>0</v>
      </c>
      <c r="GT3205" s="181">
        <v>0</v>
      </c>
    </row>
    <row r="3206" spans="1:202">
      <c r="A3206" s="181" t="s">
        <v>244</v>
      </c>
      <c r="GR3206" s="181" t="s">
        <v>1868</v>
      </c>
      <c r="GS3206" s="181">
        <v>47146</v>
      </c>
      <c r="GT3206" s="181">
        <v>117865</v>
      </c>
    </row>
    <row r="3207" spans="1:202">
      <c r="A3207" s="181" t="s">
        <v>244</v>
      </c>
      <c r="GR3207" s="181" t="s">
        <v>876</v>
      </c>
      <c r="GS3207" s="181">
        <v>0</v>
      </c>
      <c r="GT3207" s="181">
        <v>0</v>
      </c>
    </row>
    <row r="3208" spans="1:202">
      <c r="A3208" s="181" t="s">
        <v>244</v>
      </c>
      <c r="GR3208" s="181" t="s">
        <v>882</v>
      </c>
      <c r="GS3208" s="181">
        <v>0</v>
      </c>
      <c r="GT3208" s="181">
        <v>0</v>
      </c>
    </row>
    <row r="3209" spans="1:202">
      <c r="A3209" s="181" t="s">
        <v>244</v>
      </c>
      <c r="GR3209" s="181" t="s">
        <v>882</v>
      </c>
      <c r="GS3209" s="181">
        <v>0</v>
      </c>
      <c r="GT3209" s="181">
        <v>0</v>
      </c>
    </row>
    <row r="3210" spans="1:202">
      <c r="A3210" s="181" t="s">
        <v>244</v>
      </c>
      <c r="GR3210" s="181" t="s">
        <v>882</v>
      </c>
      <c r="GS3210" s="181">
        <v>0</v>
      </c>
      <c r="GT3210" s="181">
        <v>0</v>
      </c>
    </row>
    <row r="3211" spans="1:202">
      <c r="A3211" s="181" t="s">
        <v>244</v>
      </c>
      <c r="GR3211" s="181" t="s">
        <v>882</v>
      </c>
      <c r="GS3211" s="181">
        <v>0</v>
      </c>
      <c r="GT3211" s="181">
        <v>0</v>
      </c>
    </row>
    <row r="3212" spans="1:202">
      <c r="A3212" s="181" t="s">
        <v>244</v>
      </c>
      <c r="GR3212" s="181" t="s">
        <v>882</v>
      </c>
      <c r="GS3212" s="181">
        <v>0</v>
      </c>
      <c r="GT3212" s="181">
        <v>0</v>
      </c>
    </row>
    <row r="3213" spans="1:202">
      <c r="A3213" s="181" t="s">
        <v>244</v>
      </c>
      <c r="GR3213" s="181" t="s">
        <v>882</v>
      </c>
      <c r="GS3213" s="181">
        <v>0</v>
      </c>
      <c r="GT3213" s="181">
        <v>0</v>
      </c>
    </row>
    <row r="3214" spans="1:202">
      <c r="A3214" s="181" t="s">
        <v>244</v>
      </c>
      <c r="GR3214" s="181" t="s">
        <v>882</v>
      </c>
      <c r="GS3214" s="181">
        <v>0</v>
      </c>
      <c r="GT3214" s="181">
        <v>0</v>
      </c>
    </row>
    <row r="3215" spans="1:202">
      <c r="A3215" s="181" t="s">
        <v>244</v>
      </c>
      <c r="GR3215" s="181" t="s">
        <v>882</v>
      </c>
      <c r="GS3215" s="181">
        <v>0</v>
      </c>
      <c r="GT3215" s="181">
        <v>0</v>
      </c>
    </row>
    <row r="3216" spans="1:202">
      <c r="A3216" s="181" t="s">
        <v>244</v>
      </c>
      <c r="GR3216" s="181" t="s">
        <v>882</v>
      </c>
      <c r="GS3216" s="181">
        <v>0</v>
      </c>
      <c r="GT3216" s="181">
        <v>0</v>
      </c>
    </row>
    <row r="3217" spans="1:202">
      <c r="A3217" s="181" t="s">
        <v>244</v>
      </c>
      <c r="GR3217" s="181" t="s">
        <v>883</v>
      </c>
      <c r="GS3217" s="181">
        <v>0</v>
      </c>
      <c r="GT3217" s="181">
        <v>0</v>
      </c>
    </row>
    <row r="3218" spans="1:202">
      <c r="A3218" s="181" t="s">
        <v>244</v>
      </c>
      <c r="GR3218" s="181" t="s">
        <v>873</v>
      </c>
      <c r="GS3218" s="181">
        <v>0</v>
      </c>
      <c r="GT3218" s="181">
        <v>0</v>
      </c>
    </row>
    <row r="3219" spans="1:202">
      <c r="A3219" s="181" t="s">
        <v>244</v>
      </c>
      <c r="GR3219" s="181" t="s">
        <v>873</v>
      </c>
      <c r="GS3219" s="181">
        <v>0</v>
      </c>
      <c r="GT3219" s="181">
        <v>0</v>
      </c>
    </row>
    <row r="3220" spans="1:202">
      <c r="A3220" s="181" t="s">
        <v>244</v>
      </c>
      <c r="GR3220" s="181" t="s">
        <v>873</v>
      </c>
      <c r="GS3220" s="181">
        <v>0</v>
      </c>
      <c r="GT3220" s="181">
        <v>0</v>
      </c>
    </row>
    <row r="3221" spans="1:202">
      <c r="A3221" s="181" t="s">
        <v>244</v>
      </c>
      <c r="GR3221" s="181" t="s">
        <v>873</v>
      </c>
      <c r="GS3221" s="181">
        <v>0</v>
      </c>
      <c r="GT3221" s="181">
        <v>0</v>
      </c>
    </row>
    <row r="3222" spans="1:202">
      <c r="A3222" s="181" t="s">
        <v>244</v>
      </c>
      <c r="GR3222" s="181" t="s">
        <v>308</v>
      </c>
      <c r="GS3222" s="181">
        <v>0</v>
      </c>
      <c r="GT3222" s="181">
        <v>0</v>
      </c>
    </row>
    <row r="3223" spans="1:202">
      <c r="A3223" s="181" t="s">
        <v>244</v>
      </c>
      <c r="GR3223" s="181" t="s">
        <v>874</v>
      </c>
      <c r="GS3223" s="181">
        <v>0</v>
      </c>
      <c r="GT3223" s="181">
        <v>0</v>
      </c>
    </row>
    <row r="3224" spans="1:202">
      <c r="A3224" s="181" t="s">
        <v>244</v>
      </c>
      <c r="GR3224" s="181" t="s">
        <v>874</v>
      </c>
      <c r="GS3224" s="181">
        <v>0</v>
      </c>
      <c r="GT3224" s="181">
        <v>0</v>
      </c>
    </row>
    <row r="3225" spans="1:202">
      <c r="A3225" s="181" t="s">
        <v>244</v>
      </c>
      <c r="GR3225" s="181" t="s">
        <v>874</v>
      </c>
      <c r="GS3225" s="181">
        <v>0</v>
      </c>
      <c r="GT3225" s="181">
        <v>0</v>
      </c>
    </row>
    <row r="3226" spans="1:202">
      <c r="A3226" s="181" t="s">
        <v>244</v>
      </c>
      <c r="GR3226" s="181" t="s">
        <v>874</v>
      </c>
      <c r="GS3226" s="181">
        <v>0</v>
      </c>
      <c r="GT3226" s="181">
        <v>0</v>
      </c>
    </row>
    <row r="3227" spans="1:202">
      <c r="A3227" s="181" t="s">
        <v>244</v>
      </c>
      <c r="GR3227" s="181" t="s">
        <v>870</v>
      </c>
      <c r="GS3227" s="181">
        <v>0</v>
      </c>
      <c r="GT3227" s="181">
        <v>0</v>
      </c>
    </row>
    <row r="3228" spans="1:202">
      <c r="A3228" s="181" t="s">
        <v>244</v>
      </c>
      <c r="GR3228" s="181" t="s">
        <v>309</v>
      </c>
      <c r="GS3228" s="181">
        <v>0</v>
      </c>
      <c r="GT3228" s="181">
        <v>0</v>
      </c>
    </row>
    <row r="3229" spans="1:202">
      <c r="A3229" s="181" t="s">
        <v>244</v>
      </c>
      <c r="GR3229" s="181" t="s">
        <v>309</v>
      </c>
      <c r="GS3229" s="181">
        <v>0</v>
      </c>
      <c r="GT3229" s="181">
        <v>0</v>
      </c>
    </row>
    <row r="3230" spans="1:202">
      <c r="A3230" s="181" t="s">
        <v>244</v>
      </c>
      <c r="GR3230" s="181" t="s">
        <v>309</v>
      </c>
      <c r="GS3230" s="181">
        <v>0</v>
      </c>
      <c r="GT3230" s="181">
        <v>0</v>
      </c>
    </row>
    <row r="3231" spans="1:202">
      <c r="A3231" s="181" t="s">
        <v>244</v>
      </c>
      <c r="GS3231" s="181">
        <v>1420071</v>
      </c>
      <c r="GT3231" s="181">
        <v>2696313</v>
      </c>
    </row>
    <row r="3232" spans="1:202">
      <c r="A3232" s="181" t="s">
        <v>244</v>
      </c>
      <c r="GR3232" s="181" t="s">
        <v>1869</v>
      </c>
      <c r="GS3232" s="181">
        <v>0</v>
      </c>
      <c r="GT3232" s="181">
        <v>0</v>
      </c>
    </row>
    <row r="3233" spans="1:202">
      <c r="A3233" s="181" t="s">
        <v>244</v>
      </c>
      <c r="GR3233" s="181" t="s">
        <v>875</v>
      </c>
      <c r="GS3233" s="181">
        <v>0</v>
      </c>
      <c r="GT3233" s="181">
        <v>0</v>
      </c>
    </row>
    <row r="3234" spans="1:202">
      <c r="A3234" s="181" t="s">
        <v>244</v>
      </c>
      <c r="GR3234" s="181" t="s">
        <v>875</v>
      </c>
      <c r="GS3234" s="181">
        <v>0</v>
      </c>
      <c r="GT3234" s="181">
        <v>0</v>
      </c>
    </row>
    <row r="3235" spans="1:202">
      <c r="A3235" s="181" t="s">
        <v>244</v>
      </c>
      <c r="GR3235" s="181" t="s">
        <v>875</v>
      </c>
      <c r="GS3235" s="181">
        <v>0</v>
      </c>
      <c r="GT3235" s="181">
        <v>0</v>
      </c>
    </row>
    <row r="3236" spans="1:202">
      <c r="A3236" s="181" t="s">
        <v>244</v>
      </c>
      <c r="GR3236" s="181" t="s">
        <v>875</v>
      </c>
      <c r="GS3236" s="181">
        <v>0</v>
      </c>
      <c r="GT3236" s="181">
        <v>0</v>
      </c>
    </row>
    <row r="3237" spans="1:202">
      <c r="A3237" s="181" t="s">
        <v>244</v>
      </c>
      <c r="GR3237" s="181" t="s">
        <v>875</v>
      </c>
      <c r="GS3237" s="181">
        <v>0</v>
      </c>
      <c r="GT3237" s="181">
        <v>0</v>
      </c>
    </row>
    <row r="3238" spans="1:202">
      <c r="A3238" s="181" t="s">
        <v>244</v>
      </c>
      <c r="GR3238" s="181" t="s">
        <v>95</v>
      </c>
      <c r="GS3238" s="181">
        <v>16103</v>
      </c>
      <c r="GT3238" s="181">
        <v>32942</v>
      </c>
    </row>
    <row r="3239" spans="1:202">
      <c r="A3239" s="181" t="s">
        <v>244</v>
      </c>
      <c r="GR3239" s="181" t="s">
        <v>96</v>
      </c>
      <c r="GS3239" s="181">
        <v>11011</v>
      </c>
      <c r="GT3239" s="181">
        <v>21286</v>
      </c>
    </row>
    <row r="3240" spans="1:202">
      <c r="A3240" s="181" t="s">
        <v>244</v>
      </c>
      <c r="GR3240" s="181" t="s">
        <v>310</v>
      </c>
      <c r="GS3240" s="181">
        <v>0</v>
      </c>
      <c r="GT3240" s="181">
        <v>0</v>
      </c>
    </row>
    <row r="3241" spans="1:202">
      <c r="A3241" s="181" t="s">
        <v>244</v>
      </c>
      <c r="GR3241" s="181" t="s">
        <v>310</v>
      </c>
      <c r="GS3241" s="181">
        <v>0</v>
      </c>
      <c r="GT3241" s="181">
        <v>0</v>
      </c>
    </row>
    <row r="3242" spans="1:202">
      <c r="A3242" s="181" t="s">
        <v>244</v>
      </c>
      <c r="GR3242" s="181" t="s">
        <v>310</v>
      </c>
      <c r="GS3242" s="181">
        <v>0</v>
      </c>
      <c r="GT3242" s="181">
        <v>0</v>
      </c>
    </row>
    <row r="3243" spans="1:202">
      <c r="A3243" s="181" t="s">
        <v>244</v>
      </c>
      <c r="GR3243" s="181" t="s">
        <v>310</v>
      </c>
      <c r="GS3243" s="181">
        <v>0</v>
      </c>
      <c r="GT3243" s="181">
        <v>0</v>
      </c>
    </row>
    <row r="3244" spans="1:202">
      <c r="A3244" s="181" t="s">
        <v>244</v>
      </c>
      <c r="GR3244" s="181" t="s">
        <v>310</v>
      </c>
      <c r="GS3244" s="181">
        <v>0</v>
      </c>
      <c r="GT3244" s="181">
        <v>0</v>
      </c>
    </row>
    <row r="3245" spans="1:202">
      <c r="A3245" s="181" t="s">
        <v>244</v>
      </c>
      <c r="GR3245" s="181" t="s">
        <v>310</v>
      </c>
      <c r="GS3245" s="181">
        <v>0</v>
      </c>
      <c r="GT3245" s="181">
        <v>0</v>
      </c>
    </row>
    <row r="3246" spans="1:202">
      <c r="A3246" s="181" t="s">
        <v>244</v>
      </c>
      <c r="GR3246" s="181" t="s">
        <v>876</v>
      </c>
      <c r="GS3246" s="181">
        <v>57076</v>
      </c>
      <c r="GT3246" s="181">
        <v>57076</v>
      </c>
    </row>
    <row r="3247" spans="1:202">
      <c r="A3247" s="181" t="s">
        <v>244</v>
      </c>
      <c r="GR3247" s="181" t="s">
        <v>1870</v>
      </c>
      <c r="GS3247" s="181">
        <v>0</v>
      </c>
      <c r="GT3247" s="181">
        <v>0</v>
      </c>
    </row>
    <row r="3248" spans="1:202">
      <c r="A3248" s="181" t="s">
        <v>244</v>
      </c>
      <c r="GR3248" s="181" t="s">
        <v>876</v>
      </c>
      <c r="GS3248" s="181">
        <v>0</v>
      </c>
      <c r="GT3248" s="181">
        <v>0</v>
      </c>
    </row>
    <row r="3249" spans="1:202">
      <c r="A3249" s="181" t="s">
        <v>244</v>
      </c>
      <c r="GR3249" s="181" t="s">
        <v>876</v>
      </c>
      <c r="GS3249" s="181">
        <v>0</v>
      </c>
      <c r="GT3249" s="181">
        <v>0</v>
      </c>
    </row>
    <row r="3250" spans="1:202">
      <c r="A3250" s="181" t="s">
        <v>244</v>
      </c>
      <c r="GR3250" s="181" t="s">
        <v>876</v>
      </c>
      <c r="GS3250" s="181">
        <v>0</v>
      </c>
      <c r="GT3250" s="181">
        <v>0</v>
      </c>
    </row>
    <row r="3251" spans="1:202">
      <c r="A3251" s="181" t="s">
        <v>244</v>
      </c>
      <c r="GR3251" s="181">
        <v>0</v>
      </c>
      <c r="GS3251" s="181">
        <v>0</v>
      </c>
      <c r="GT3251" s="181">
        <v>0</v>
      </c>
    </row>
    <row r="3252" spans="1:202">
      <c r="A3252" s="181" t="s">
        <v>244</v>
      </c>
      <c r="GR3252" s="181">
        <v>0</v>
      </c>
      <c r="GS3252" s="181">
        <v>0</v>
      </c>
      <c r="GT3252" s="181">
        <v>0</v>
      </c>
    </row>
    <row r="3253" spans="1:202">
      <c r="A3253" s="181" t="s">
        <v>244</v>
      </c>
      <c r="GR3253" s="181">
        <v>0</v>
      </c>
      <c r="GS3253" s="181">
        <v>0</v>
      </c>
      <c r="GT3253" s="181">
        <v>0</v>
      </c>
    </row>
    <row r="3254" spans="1:202">
      <c r="A3254" s="181" t="s">
        <v>244</v>
      </c>
      <c r="GR3254" s="181">
        <v>0</v>
      </c>
      <c r="GS3254" s="181">
        <v>0</v>
      </c>
      <c r="GT3254" s="181">
        <v>0</v>
      </c>
    </row>
    <row r="3255" spans="1:202">
      <c r="A3255" s="181" t="s">
        <v>244</v>
      </c>
      <c r="GR3255" s="181">
        <v>0</v>
      </c>
      <c r="GS3255" s="181">
        <v>0</v>
      </c>
      <c r="GT3255" s="181">
        <v>0</v>
      </c>
    </row>
    <row r="3256" spans="1:202">
      <c r="A3256" s="181" t="s">
        <v>244</v>
      </c>
      <c r="GR3256" s="181">
        <v>0</v>
      </c>
      <c r="GS3256" s="181">
        <v>0</v>
      </c>
      <c r="GT3256" s="181">
        <v>0</v>
      </c>
    </row>
    <row r="3257" spans="1:202">
      <c r="A3257" s="181" t="s">
        <v>244</v>
      </c>
      <c r="GR3257" s="181">
        <v>0</v>
      </c>
      <c r="GS3257" s="181">
        <v>0</v>
      </c>
      <c r="GT3257" s="181">
        <v>0</v>
      </c>
    </row>
    <row r="3258" spans="1:202">
      <c r="A3258" s="181" t="s">
        <v>244</v>
      </c>
      <c r="GR3258" s="181">
        <v>0</v>
      </c>
      <c r="GS3258" s="181">
        <v>0</v>
      </c>
      <c r="GT3258" s="181">
        <v>0</v>
      </c>
    </row>
    <row r="3259" spans="1:202">
      <c r="A3259" s="181" t="s">
        <v>244</v>
      </c>
      <c r="GR3259" s="181">
        <v>0</v>
      </c>
      <c r="GS3259" s="181">
        <v>0</v>
      </c>
      <c r="GT3259" s="181">
        <v>0</v>
      </c>
    </row>
    <row r="3260" spans="1:202">
      <c r="A3260" s="181" t="s">
        <v>244</v>
      </c>
      <c r="GR3260" s="181">
        <v>0</v>
      </c>
      <c r="GS3260" s="181">
        <v>0</v>
      </c>
      <c r="GT3260" s="181">
        <v>0</v>
      </c>
    </row>
    <row r="3261" spans="1:202">
      <c r="A3261" s="181" t="s">
        <v>244</v>
      </c>
      <c r="GR3261" s="181">
        <v>0</v>
      </c>
      <c r="GS3261" s="181">
        <v>0</v>
      </c>
      <c r="GT3261" s="181">
        <v>0</v>
      </c>
    </row>
    <row r="3262" spans="1:202">
      <c r="A3262" s="181" t="s">
        <v>244</v>
      </c>
      <c r="GR3262" s="181">
        <v>0</v>
      </c>
      <c r="GS3262" s="181">
        <v>0</v>
      </c>
      <c r="GT3262" s="181">
        <v>0</v>
      </c>
    </row>
    <row r="3263" spans="1:202">
      <c r="A3263" s="181" t="s">
        <v>244</v>
      </c>
      <c r="GR3263" s="181">
        <v>0</v>
      </c>
      <c r="GS3263" s="181">
        <v>0</v>
      </c>
      <c r="GT3263" s="181">
        <v>0</v>
      </c>
    </row>
    <row r="3264" spans="1:202">
      <c r="A3264" s="181" t="s">
        <v>244</v>
      </c>
      <c r="GR3264" s="181">
        <v>0</v>
      </c>
      <c r="GS3264" s="181">
        <v>0</v>
      </c>
      <c r="GT3264" s="181">
        <v>0</v>
      </c>
    </row>
    <row r="3265" spans="1:202">
      <c r="A3265" s="181" t="s">
        <v>244</v>
      </c>
      <c r="GR3265" s="181">
        <v>0</v>
      </c>
      <c r="GS3265" s="181">
        <v>0</v>
      </c>
      <c r="GT3265" s="181">
        <v>0</v>
      </c>
    </row>
    <row r="3266" spans="1:202">
      <c r="A3266" s="181" t="s">
        <v>244</v>
      </c>
      <c r="GS3266" s="181">
        <v>84190</v>
      </c>
      <c r="GT3266" s="181">
        <v>111304</v>
      </c>
    </row>
    <row r="3267" spans="1:202">
      <c r="A3267" s="181" t="s">
        <v>244</v>
      </c>
      <c r="GR3267" s="181" t="s">
        <v>309</v>
      </c>
      <c r="GS3267" s="181">
        <v>0</v>
      </c>
      <c r="GT3267" s="181">
        <v>0</v>
      </c>
    </row>
    <row r="3268" spans="1:202">
      <c r="A3268" s="181" t="s">
        <v>244</v>
      </c>
      <c r="GS3268" s="181">
        <v>1504261</v>
      </c>
      <c r="GT3268" s="181">
        <v>2807617</v>
      </c>
    </row>
    <row r="3269" spans="1:202">
      <c r="A3269" s="181" t="s">
        <v>244</v>
      </c>
      <c r="GS3269" s="181">
        <v>-23404</v>
      </c>
      <c r="GT3269" s="181">
        <v>1087</v>
      </c>
    </row>
    <row r="3270" spans="1:202">
      <c r="A3270" s="181" t="s">
        <v>244</v>
      </c>
      <c r="GS3270" s="181">
        <v>67224</v>
      </c>
      <c r="GT3270" s="181">
        <v>67224</v>
      </c>
    </row>
    <row r="3271" spans="1:202">
      <c r="A3271" s="181" t="s">
        <v>244</v>
      </c>
    </row>
    <row r="3272" spans="1:202">
      <c r="A3272" s="181" t="s">
        <v>244</v>
      </c>
    </row>
    <row r="3273" spans="1:202">
      <c r="A3273" s="181" t="s">
        <v>244</v>
      </c>
    </row>
    <row r="3274" spans="1:202">
      <c r="A3274" s="181" t="s">
        <v>244</v>
      </c>
    </row>
    <row r="3275" spans="1:202">
      <c r="A3275" s="181" t="s">
        <v>244</v>
      </c>
    </row>
    <row r="3276" spans="1:202">
      <c r="A3276" s="181" t="s">
        <v>244</v>
      </c>
    </row>
    <row r="3277" spans="1:202">
      <c r="A3277" s="181" t="s">
        <v>244</v>
      </c>
    </row>
    <row r="3278" spans="1:202">
      <c r="A3278" s="181" t="s">
        <v>244</v>
      </c>
    </row>
    <row r="3279" spans="1:202">
      <c r="A3279" s="181" t="s">
        <v>244</v>
      </c>
    </row>
    <row r="3280" spans="1:202">
      <c r="A3280" s="181" t="s">
        <v>244</v>
      </c>
    </row>
    <row r="3281" spans="1:220">
      <c r="A3281" s="181" t="s">
        <v>244</v>
      </c>
    </row>
    <row r="3282" spans="1:220">
      <c r="A3282" s="181" t="s">
        <v>244</v>
      </c>
    </row>
    <row r="3283" spans="1:220">
      <c r="A3283" s="181" t="s">
        <v>244</v>
      </c>
    </row>
    <row r="3284" spans="1:220">
      <c r="A3284" s="181" t="s">
        <v>244</v>
      </c>
    </row>
    <row r="3285" spans="1:220">
      <c r="A3285" s="181" t="s">
        <v>244</v>
      </c>
    </row>
    <row r="3286" spans="1:220">
      <c r="A3286" s="181" t="s">
        <v>244</v>
      </c>
    </row>
    <row r="3287" spans="1:220">
      <c r="A3287" s="181" t="s">
        <v>244</v>
      </c>
    </row>
    <row r="3288" spans="1:220">
      <c r="A3288" s="181" t="s">
        <v>244</v>
      </c>
    </row>
    <row r="3289" spans="1:220">
      <c r="A3289" s="181" t="s">
        <v>244</v>
      </c>
    </row>
    <row r="3290" spans="1:220">
      <c r="A3290" s="181" t="s">
        <v>244</v>
      </c>
    </row>
    <row r="3291" spans="1:220">
      <c r="A3291" s="181" t="s">
        <v>244</v>
      </c>
    </row>
    <row r="3292" spans="1:220">
      <c r="A3292" s="181" t="s">
        <v>245</v>
      </c>
      <c r="B3292" s="181" t="s">
        <v>2784</v>
      </c>
      <c r="C3292" s="181" t="s">
        <v>475</v>
      </c>
      <c r="F3292" s="181" t="s">
        <v>1680</v>
      </c>
      <c r="G3292" s="181">
        <v>32149900</v>
      </c>
      <c r="H3292" s="181">
        <v>0</v>
      </c>
      <c r="I3292" s="181" t="s">
        <v>2782</v>
      </c>
      <c r="J3292" s="181" t="s">
        <v>2783</v>
      </c>
      <c r="V3292" s="181">
        <v>40000</v>
      </c>
      <c r="W3292" s="181">
        <v>80000</v>
      </c>
      <c r="X3292" s="181" t="s">
        <v>1871</v>
      </c>
      <c r="Y3292" s="181" t="s">
        <v>1871</v>
      </c>
      <c r="Z3292" s="181" t="s">
        <v>1871</v>
      </c>
      <c r="AA3292" s="181" t="s">
        <v>1871</v>
      </c>
      <c r="AY3292" s="181" t="s">
        <v>1871</v>
      </c>
      <c r="AZ3292" s="181" t="s">
        <v>1871</v>
      </c>
      <c r="BK3292" s="181" t="s">
        <v>1039</v>
      </c>
      <c r="BL3292" s="181" t="s">
        <v>1871</v>
      </c>
      <c r="BM3292" s="181" t="s">
        <v>1871</v>
      </c>
      <c r="BP3292" s="181" t="s">
        <v>1039</v>
      </c>
      <c r="BQ3292" s="181" t="s">
        <v>1871</v>
      </c>
      <c r="BR3292" s="181" t="s">
        <v>1871</v>
      </c>
      <c r="BU3292" s="181" t="s">
        <v>1634</v>
      </c>
      <c r="BV3292" s="181" t="s">
        <v>1871</v>
      </c>
      <c r="BW3292" s="181" t="s">
        <v>1871</v>
      </c>
      <c r="FY3292" s="181" t="s">
        <v>1871</v>
      </c>
      <c r="FZ3292" s="181" t="s">
        <v>1871</v>
      </c>
      <c r="GA3292" s="181" t="s">
        <v>1871</v>
      </c>
      <c r="GB3292" s="181" t="s">
        <v>1871</v>
      </c>
      <c r="GC3292" s="181" t="s">
        <v>1871</v>
      </c>
      <c r="GD3292" s="181" t="s">
        <v>1871</v>
      </c>
      <c r="GR3292" s="181" t="s">
        <v>176</v>
      </c>
      <c r="GS3292" s="181" t="s">
        <v>1871</v>
      </c>
      <c r="GT3292" s="181" t="s">
        <v>1871</v>
      </c>
      <c r="HD3292" s="181" t="s">
        <v>1039</v>
      </c>
      <c r="HE3292" s="181" t="s">
        <v>1871</v>
      </c>
      <c r="HF3292" s="181" t="s">
        <v>1871</v>
      </c>
      <c r="HG3292" s="181" t="s">
        <v>1634</v>
      </c>
      <c r="HH3292" s="181" t="s">
        <v>1871</v>
      </c>
      <c r="HI3292" s="181" t="s">
        <v>1871</v>
      </c>
      <c r="HL3292" s="181" t="s">
        <v>932</v>
      </c>
    </row>
    <row r="3293" spans="1:220">
      <c r="A3293" s="181" t="s">
        <v>245</v>
      </c>
      <c r="B3293" s="181" t="s">
        <v>2785</v>
      </c>
      <c r="C3293" s="181" t="s">
        <v>475</v>
      </c>
      <c r="F3293" s="181" t="s">
        <v>743</v>
      </c>
      <c r="G3293" s="181">
        <v>1200000</v>
      </c>
      <c r="V3293" s="181">
        <v>40000</v>
      </c>
      <c r="W3293" s="181">
        <v>20000</v>
      </c>
      <c r="X3293" s="181" t="s">
        <v>1871</v>
      </c>
      <c r="Y3293" s="181" t="s">
        <v>1871</v>
      </c>
      <c r="Z3293" s="181" t="s">
        <v>1871</v>
      </c>
      <c r="AA3293" s="181" t="s">
        <v>1871</v>
      </c>
      <c r="AY3293" s="181" t="s">
        <v>1871</v>
      </c>
      <c r="AZ3293" s="181" t="s">
        <v>1871</v>
      </c>
      <c r="BK3293" s="181" t="s">
        <v>922</v>
      </c>
      <c r="BL3293" s="181" t="s">
        <v>1871</v>
      </c>
      <c r="BM3293" s="181" t="s">
        <v>1871</v>
      </c>
      <c r="BP3293" s="181" t="s">
        <v>922</v>
      </c>
      <c r="BQ3293" s="181" t="s">
        <v>1871</v>
      </c>
      <c r="BR3293" s="181" t="s">
        <v>1871</v>
      </c>
      <c r="BU3293" s="181" t="s">
        <v>2789</v>
      </c>
      <c r="BV3293" s="181" t="s">
        <v>1871</v>
      </c>
      <c r="BW3293" s="181" t="s">
        <v>1871</v>
      </c>
      <c r="FY3293" s="181" t="s">
        <v>1871</v>
      </c>
      <c r="FZ3293" s="181" t="s">
        <v>1871</v>
      </c>
      <c r="GA3293" s="181" t="s">
        <v>1871</v>
      </c>
      <c r="GB3293" s="181" t="s">
        <v>1871</v>
      </c>
      <c r="GC3293" s="181" t="s">
        <v>1871</v>
      </c>
      <c r="GD3293" s="181" t="s">
        <v>1871</v>
      </c>
      <c r="GR3293" s="181" t="s">
        <v>177</v>
      </c>
      <c r="GS3293" s="181" t="s">
        <v>1871</v>
      </c>
      <c r="GT3293" s="181" t="s">
        <v>1871</v>
      </c>
      <c r="HD3293" s="181" t="s">
        <v>972</v>
      </c>
      <c r="HE3293" s="181" t="s">
        <v>1871</v>
      </c>
      <c r="HF3293" s="181" t="s">
        <v>1871</v>
      </c>
      <c r="HG3293" s="181" t="s">
        <v>889</v>
      </c>
      <c r="HH3293" s="181" t="s">
        <v>1871</v>
      </c>
      <c r="HI3293" s="181" t="s">
        <v>1871</v>
      </c>
      <c r="HL3293" s="181" t="s">
        <v>1224</v>
      </c>
    </row>
    <row r="3294" spans="1:220">
      <c r="A3294" s="181" t="s">
        <v>245</v>
      </c>
      <c r="F3294" s="181" t="s">
        <v>2697</v>
      </c>
      <c r="G3294" s="181">
        <v>50</v>
      </c>
      <c r="BK3294" s="181" t="s">
        <v>1040</v>
      </c>
      <c r="BL3294" s="181" t="s">
        <v>1871</v>
      </c>
      <c r="BM3294" s="181" t="s">
        <v>1871</v>
      </c>
      <c r="BP3294" s="181" t="s">
        <v>1040</v>
      </c>
      <c r="BQ3294" s="181" t="s">
        <v>1871</v>
      </c>
      <c r="BR3294" s="181" t="s">
        <v>1871</v>
      </c>
      <c r="BU3294" s="181" t="s">
        <v>2787</v>
      </c>
      <c r="BV3294" s="181" t="s">
        <v>1871</v>
      </c>
      <c r="BW3294" s="181" t="s">
        <v>1871</v>
      </c>
      <c r="GR3294" s="181" t="s">
        <v>178</v>
      </c>
      <c r="GS3294" s="181" t="s">
        <v>1871</v>
      </c>
      <c r="GT3294" s="181" t="s">
        <v>1871</v>
      </c>
      <c r="HD3294" s="181" t="s">
        <v>1040</v>
      </c>
      <c r="HE3294" s="181" t="s">
        <v>1871</v>
      </c>
      <c r="HF3294" s="181" t="s">
        <v>1871</v>
      </c>
      <c r="HG3294" s="181" t="s">
        <v>2792</v>
      </c>
      <c r="HH3294" s="181" t="s">
        <v>1871</v>
      </c>
      <c r="HI3294" s="181" t="s">
        <v>1871</v>
      </c>
      <c r="HL3294" s="181" t="s">
        <v>2120</v>
      </c>
    </row>
    <row r="3295" spans="1:220">
      <c r="A3295" s="181" t="s">
        <v>245</v>
      </c>
      <c r="F3295" s="181" t="s">
        <v>754</v>
      </c>
      <c r="G3295" s="181">
        <v>50</v>
      </c>
      <c r="BK3295" s="181" t="s">
        <v>2786</v>
      </c>
      <c r="BL3295" s="181" t="s">
        <v>1871</v>
      </c>
      <c r="BM3295" s="181" t="s">
        <v>1871</v>
      </c>
      <c r="BP3295" s="181" t="s">
        <v>2786</v>
      </c>
      <c r="BQ3295" s="181" t="s">
        <v>1871</v>
      </c>
      <c r="BR3295" s="181" t="s">
        <v>1871</v>
      </c>
      <c r="BU3295" s="181" t="s">
        <v>887</v>
      </c>
      <c r="BV3295" s="181" t="s">
        <v>1871</v>
      </c>
      <c r="BW3295" s="181" t="s">
        <v>1871</v>
      </c>
      <c r="GR3295" s="181" t="s">
        <v>1707</v>
      </c>
      <c r="GS3295" s="181" t="s">
        <v>1871</v>
      </c>
      <c r="GT3295" s="181" t="s">
        <v>1871</v>
      </c>
      <c r="HD3295" s="181" t="s">
        <v>2791</v>
      </c>
      <c r="HE3295" s="181" t="s">
        <v>1871</v>
      </c>
      <c r="HF3295" s="181" t="s">
        <v>1871</v>
      </c>
      <c r="HG3295" s="181" t="s">
        <v>887</v>
      </c>
      <c r="HH3295" s="181" t="s">
        <v>1871</v>
      </c>
      <c r="HI3295" s="181" t="s">
        <v>1871</v>
      </c>
      <c r="HL3295" s="181" t="s">
        <v>1742</v>
      </c>
    </row>
    <row r="3296" spans="1:220">
      <c r="A3296" s="181" t="s">
        <v>245</v>
      </c>
      <c r="BU3296" s="181" t="s">
        <v>2790</v>
      </c>
      <c r="BV3296" s="181" t="s">
        <v>1871</v>
      </c>
      <c r="BW3296" s="181" t="s">
        <v>1871</v>
      </c>
      <c r="FY3296" s="181" t="s">
        <v>1871</v>
      </c>
      <c r="FZ3296" s="181" t="s">
        <v>1871</v>
      </c>
      <c r="GA3296" s="181" t="s">
        <v>1871</v>
      </c>
      <c r="GB3296" s="181" t="s">
        <v>1871</v>
      </c>
      <c r="GC3296" s="181" t="s">
        <v>1871</v>
      </c>
      <c r="GD3296" s="181" t="s">
        <v>1871</v>
      </c>
      <c r="GR3296" s="181" t="s">
        <v>175</v>
      </c>
      <c r="GS3296" s="181" t="s">
        <v>1871</v>
      </c>
      <c r="GT3296" s="181" t="s">
        <v>1871</v>
      </c>
      <c r="HG3296" s="181" t="s">
        <v>2793</v>
      </c>
      <c r="HH3296" s="181" t="s">
        <v>1871</v>
      </c>
      <c r="HI3296" s="181" t="s">
        <v>1871</v>
      </c>
      <c r="HL3296" s="181" t="s">
        <v>917</v>
      </c>
    </row>
    <row r="3297" spans="1:220">
      <c r="A3297" s="181" t="s">
        <v>245</v>
      </c>
      <c r="BU3297" s="181" t="s">
        <v>2788</v>
      </c>
      <c r="BV3297" s="181" t="s">
        <v>1871</v>
      </c>
      <c r="BW3297" s="181" t="s">
        <v>1871</v>
      </c>
      <c r="GR3297" s="181" t="s">
        <v>871</v>
      </c>
      <c r="GS3297" s="181" t="s">
        <v>1871</v>
      </c>
      <c r="GT3297" s="181" t="s">
        <v>1871</v>
      </c>
      <c r="HG3297" s="181" t="s">
        <v>2794</v>
      </c>
      <c r="HH3297" s="181" t="s">
        <v>1871</v>
      </c>
      <c r="HI3297" s="181" t="s">
        <v>1871</v>
      </c>
      <c r="HL3297" s="181" t="s">
        <v>2796</v>
      </c>
    </row>
    <row r="3298" spans="1:220">
      <c r="A3298" s="181" t="s">
        <v>245</v>
      </c>
      <c r="BU3298" s="181" t="s">
        <v>333</v>
      </c>
      <c r="BV3298" s="181" t="s">
        <v>1871</v>
      </c>
      <c r="BW3298" s="181" t="s">
        <v>1871</v>
      </c>
      <c r="GR3298" s="181" t="s">
        <v>871</v>
      </c>
      <c r="GS3298" s="181" t="s">
        <v>1871</v>
      </c>
      <c r="GT3298" s="181" t="s">
        <v>1871</v>
      </c>
      <c r="HG3298" s="181" t="s">
        <v>2795</v>
      </c>
      <c r="HH3298" s="181" t="s">
        <v>1871</v>
      </c>
      <c r="HI3298" s="181" t="s">
        <v>1871</v>
      </c>
    </row>
    <row r="3299" spans="1:220">
      <c r="A3299" s="181" t="s">
        <v>245</v>
      </c>
      <c r="GR3299" s="181" t="s">
        <v>871</v>
      </c>
      <c r="GS3299" s="181" t="s">
        <v>1871</v>
      </c>
      <c r="GT3299" s="181" t="s">
        <v>1871</v>
      </c>
      <c r="HG3299" s="181" t="s">
        <v>929</v>
      </c>
      <c r="HH3299" s="181" t="s">
        <v>1871</v>
      </c>
      <c r="HI3299" s="181" t="s">
        <v>1871</v>
      </c>
    </row>
    <row r="3300" spans="1:220">
      <c r="A3300" s="181" t="s">
        <v>245</v>
      </c>
      <c r="GR3300" s="181" t="s">
        <v>871</v>
      </c>
      <c r="GS3300" s="181" t="s">
        <v>1871</v>
      </c>
      <c r="GT3300" s="181" t="s">
        <v>1871</v>
      </c>
      <c r="HG3300" s="181" t="s">
        <v>916</v>
      </c>
      <c r="HH3300" s="181" t="s">
        <v>1871</v>
      </c>
      <c r="HI3300" s="181" t="s">
        <v>1871</v>
      </c>
    </row>
    <row r="3301" spans="1:220">
      <c r="A3301" s="181" t="s">
        <v>245</v>
      </c>
      <c r="GR3301" s="181" t="s">
        <v>871</v>
      </c>
      <c r="GS3301" s="181" t="s">
        <v>1871</v>
      </c>
      <c r="GT3301" s="181" t="s">
        <v>1871</v>
      </c>
      <c r="HG3301" s="181" t="s">
        <v>333</v>
      </c>
      <c r="HH3301" s="181" t="s">
        <v>1871</v>
      </c>
      <c r="HI3301" s="181" t="s">
        <v>1871</v>
      </c>
    </row>
    <row r="3302" spans="1:220">
      <c r="A3302" s="181" t="s">
        <v>245</v>
      </c>
      <c r="GR3302" s="181" t="s">
        <v>871</v>
      </c>
      <c r="GS3302" s="181" t="s">
        <v>1871</v>
      </c>
      <c r="GT3302" s="181" t="s">
        <v>1871</v>
      </c>
    </row>
    <row r="3303" spans="1:220">
      <c r="A3303" s="181" t="s">
        <v>245</v>
      </c>
      <c r="GR3303" s="181" t="s">
        <v>871</v>
      </c>
      <c r="GS3303" s="181" t="s">
        <v>1871</v>
      </c>
      <c r="GT3303" s="181" t="s">
        <v>1871</v>
      </c>
    </row>
    <row r="3304" spans="1:220">
      <c r="A3304" s="181" t="s">
        <v>245</v>
      </c>
      <c r="GR3304" s="181" t="s">
        <v>871</v>
      </c>
      <c r="GS3304" s="181" t="s">
        <v>1871</v>
      </c>
      <c r="GT3304" s="181" t="s">
        <v>1871</v>
      </c>
    </row>
    <row r="3305" spans="1:220">
      <c r="A3305" s="181" t="s">
        <v>245</v>
      </c>
      <c r="GR3305" s="181" t="s">
        <v>871</v>
      </c>
      <c r="GS3305" s="181" t="s">
        <v>1871</v>
      </c>
      <c r="GT3305" s="181" t="s">
        <v>1871</v>
      </c>
    </row>
    <row r="3306" spans="1:220">
      <c r="A3306" s="181" t="s">
        <v>245</v>
      </c>
      <c r="GR3306" s="181" t="s">
        <v>872</v>
      </c>
      <c r="GS3306" s="181" t="s">
        <v>1871</v>
      </c>
      <c r="GT3306" s="181" t="s">
        <v>1871</v>
      </c>
    </row>
    <row r="3307" spans="1:220">
      <c r="A3307" s="181" t="s">
        <v>245</v>
      </c>
      <c r="GR3307" s="181" t="s">
        <v>873</v>
      </c>
      <c r="GS3307" s="181" t="s">
        <v>1871</v>
      </c>
      <c r="GT3307" s="181" t="s">
        <v>1871</v>
      </c>
    </row>
    <row r="3308" spans="1:220">
      <c r="A3308" s="181" t="s">
        <v>245</v>
      </c>
      <c r="GR3308" s="181" t="s">
        <v>873</v>
      </c>
      <c r="GS3308" s="181" t="s">
        <v>1871</v>
      </c>
      <c r="GT3308" s="181" t="s">
        <v>1871</v>
      </c>
    </row>
    <row r="3309" spans="1:220">
      <c r="A3309" s="181" t="s">
        <v>245</v>
      </c>
      <c r="GR3309" s="181" t="s">
        <v>873</v>
      </c>
      <c r="GS3309" s="181" t="s">
        <v>1871</v>
      </c>
      <c r="GT3309" s="181" t="s">
        <v>1871</v>
      </c>
    </row>
    <row r="3310" spans="1:220">
      <c r="A3310" s="181" t="s">
        <v>245</v>
      </c>
      <c r="GR3310" s="181" t="s">
        <v>873</v>
      </c>
      <c r="GS3310" s="181" t="s">
        <v>1871</v>
      </c>
      <c r="GT3310" s="181" t="s">
        <v>1871</v>
      </c>
    </row>
    <row r="3311" spans="1:220">
      <c r="A3311" s="181" t="s">
        <v>245</v>
      </c>
      <c r="GR3311" s="181" t="s">
        <v>308</v>
      </c>
      <c r="GS3311" s="181" t="s">
        <v>1871</v>
      </c>
      <c r="GT3311" s="181" t="s">
        <v>1871</v>
      </c>
    </row>
    <row r="3312" spans="1:220">
      <c r="A3312" s="181" t="s">
        <v>245</v>
      </c>
      <c r="GR3312" s="181" t="s">
        <v>874</v>
      </c>
      <c r="GS3312" s="181" t="s">
        <v>1871</v>
      </c>
      <c r="GT3312" s="181" t="s">
        <v>1871</v>
      </c>
    </row>
    <row r="3313" spans="1:202">
      <c r="A3313" s="181" t="s">
        <v>245</v>
      </c>
      <c r="GR3313" s="181" t="s">
        <v>874</v>
      </c>
      <c r="GS3313" s="181" t="s">
        <v>1871</v>
      </c>
      <c r="GT3313" s="181" t="s">
        <v>1871</v>
      </c>
    </row>
    <row r="3314" spans="1:202">
      <c r="A3314" s="181" t="s">
        <v>245</v>
      </c>
      <c r="GR3314" s="181" t="s">
        <v>874</v>
      </c>
      <c r="GS3314" s="181" t="s">
        <v>1871</v>
      </c>
      <c r="GT3314" s="181" t="s">
        <v>1871</v>
      </c>
    </row>
    <row r="3315" spans="1:202">
      <c r="A3315" s="181" t="s">
        <v>245</v>
      </c>
      <c r="GR3315" s="181" t="s">
        <v>874</v>
      </c>
      <c r="GS3315" s="181" t="s">
        <v>1871</v>
      </c>
      <c r="GT3315" s="181" t="s">
        <v>1871</v>
      </c>
    </row>
    <row r="3316" spans="1:202">
      <c r="A3316" s="181" t="s">
        <v>245</v>
      </c>
      <c r="GR3316" s="181">
        <v>0</v>
      </c>
      <c r="GS3316" s="181" t="s">
        <v>1871</v>
      </c>
      <c r="GT3316" s="181" t="s">
        <v>1871</v>
      </c>
    </row>
    <row r="3317" spans="1:202">
      <c r="A3317" s="181" t="s">
        <v>245</v>
      </c>
      <c r="GR3317" s="181">
        <v>0</v>
      </c>
      <c r="GS3317" s="181" t="s">
        <v>1871</v>
      </c>
      <c r="GT3317" s="181" t="s">
        <v>1871</v>
      </c>
    </row>
    <row r="3318" spans="1:202">
      <c r="A3318" s="181" t="s">
        <v>245</v>
      </c>
      <c r="GR3318" s="181">
        <v>0</v>
      </c>
      <c r="GS3318" s="181" t="s">
        <v>1871</v>
      </c>
      <c r="GT3318" s="181" t="s">
        <v>1871</v>
      </c>
    </row>
    <row r="3319" spans="1:202">
      <c r="A3319" s="181" t="s">
        <v>245</v>
      </c>
      <c r="GR3319" s="181">
        <v>0</v>
      </c>
      <c r="GS3319" s="181" t="s">
        <v>1871</v>
      </c>
      <c r="GT3319" s="181" t="s">
        <v>1871</v>
      </c>
    </row>
    <row r="3320" spans="1:202">
      <c r="A3320" s="181" t="s">
        <v>245</v>
      </c>
      <c r="GR3320" s="181">
        <v>0</v>
      </c>
      <c r="GS3320" s="181" t="s">
        <v>1871</v>
      </c>
      <c r="GT3320" s="181" t="s">
        <v>1871</v>
      </c>
    </row>
    <row r="3321" spans="1:202">
      <c r="A3321" s="181" t="s">
        <v>245</v>
      </c>
      <c r="GR3321" s="181">
        <v>0</v>
      </c>
      <c r="GS3321" s="181" t="s">
        <v>1871</v>
      </c>
      <c r="GT3321" s="181" t="s">
        <v>1871</v>
      </c>
    </row>
    <row r="3322" spans="1:202">
      <c r="A3322" s="181" t="s">
        <v>245</v>
      </c>
      <c r="GR3322" s="181">
        <v>0</v>
      </c>
      <c r="GS3322" s="181" t="s">
        <v>1871</v>
      </c>
      <c r="GT3322" s="181" t="s">
        <v>1871</v>
      </c>
    </row>
    <row r="3323" spans="1:202">
      <c r="A3323" s="181" t="s">
        <v>245</v>
      </c>
      <c r="GR3323" s="181">
        <v>0</v>
      </c>
      <c r="GS3323" s="181" t="s">
        <v>1871</v>
      </c>
      <c r="GT3323" s="181" t="s">
        <v>1871</v>
      </c>
    </row>
    <row r="3324" spans="1:202">
      <c r="A3324" s="181" t="s">
        <v>245</v>
      </c>
      <c r="GR3324" s="181">
        <v>0</v>
      </c>
      <c r="GS3324" s="181" t="s">
        <v>1871</v>
      </c>
      <c r="GT3324" s="181" t="s">
        <v>1871</v>
      </c>
    </row>
    <row r="3325" spans="1:202">
      <c r="A3325" s="181" t="s">
        <v>245</v>
      </c>
      <c r="GR3325" s="181">
        <v>0</v>
      </c>
      <c r="GS3325" s="181" t="s">
        <v>1871</v>
      </c>
      <c r="GT3325" s="181" t="s">
        <v>1871</v>
      </c>
    </row>
    <row r="3326" spans="1:202">
      <c r="A3326" s="181" t="s">
        <v>245</v>
      </c>
      <c r="GR3326" s="181">
        <v>0</v>
      </c>
      <c r="GS3326" s="181" t="s">
        <v>1871</v>
      </c>
      <c r="GT3326" s="181" t="s">
        <v>1871</v>
      </c>
    </row>
    <row r="3327" spans="1:202">
      <c r="A3327" s="181" t="s">
        <v>245</v>
      </c>
      <c r="GR3327" s="181">
        <v>0</v>
      </c>
      <c r="GS3327" s="181" t="s">
        <v>1871</v>
      </c>
      <c r="GT3327" s="181" t="s">
        <v>1871</v>
      </c>
    </row>
    <row r="3328" spans="1:202">
      <c r="A3328" s="181" t="s">
        <v>245</v>
      </c>
      <c r="GR3328" s="181">
        <v>0</v>
      </c>
      <c r="GS3328" s="181" t="s">
        <v>1871</v>
      </c>
      <c r="GT3328" s="181" t="s">
        <v>1871</v>
      </c>
    </row>
    <row r="3329" spans="1:202">
      <c r="A3329" s="181" t="s">
        <v>245</v>
      </c>
      <c r="GR3329" s="181">
        <v>0</v>
      </c>
      <c r="GS3329" s="181" t="s">
        <v>1871</v>
      </c>
      <c r="GT3329" s="181" t="s">
        <v>1871</v>
      </c>
    </row>
    <row r="3330" spans="1:202">
      <c r="A3330" s="181" t="s">
        <v>245</v>
      </c>
      <c r="GR3330" s="181">
        <v>0</v>
      </c>
      <c r="GS3330" s="181" t="s">
        <v>1871</v>
      </c>
      <c r="GT3330" s="181" t="s">
        <v>1871</v>
      </c>
    </row>
    <row r="3331" spans="1:202">
      <c r="A3331" s="181" t="s">
        <v>245</v>
      </c>
      <c r="GR3331" s="181" t="s">
        <v>309</v>
      </c>
      <c r="GS3331" s="181" t="s">
        <v>1871</v>
      </c>
      <c r="GT3331" s="181" t="s">
        <v>1871</v>
      </c>
    </row>
    <row r="3332" spans="1:202">
      <c r="A3332" s="181" t="s">
        <v>245</v>
      </c>
      <c r="GR3332" s="181" t="s">
        <v>309</v>
      </c>
      <c r="GS3332" s="181" t="s">
        <v>1871</v>
      </c>
      <c r="GT3332" s="181" t="s">
        <v>1871</v>
      </c>
    </row>
    <row r="3333" spans="1:202">
      <c r="A3333" s="181" t="s">
        <v>245</v>
      </c>
      <c r="GR3333" s="181" t="s">
        <v>309</v>
      </c>
      <c r="GS3333" s="181" t="s">
        <v>1871</v>
      </c>
      <c r="GT3333" s="181" t="s">
        <v>1871</v>
      </c>
    </row>
    <row r="3334" spans="1:202">
      <c r="A3334" s="181" t="s">
        <v>245</v>
      </c>
      <c r="GS3334" s="181" t="s">
        <v>1871</v>
      </c>
      <c r="GT3334" s="181" t="s">
        <v>1871</v>
      </c>
    </row>
    <row r="3335" spans="1:202">
      <c r="A3335" s="181" t="s">
        <v>245</v>
      </c>
      <c r="GR3335" s="181" t="s">
        <v>875</v>
      </c>
      <c r="GS3335" s="181" t="s">
        <v>1871</v>
      </c>
      <c r="GT3335" s="181" t="s">
        <v>1871</v>
      </c>
    </row>
    <row r="3336" spans="1:202">
      <c r="A3336" s="181" t="s">
        <v>245</v>
      </c>
      <c r="GR3336" s="181" t="s">
        <v>875</v>
      </c>
      <c r="GS3336" s="181" t="s">
        <v>1871</v>
      </c>
      <c r="GT3336" s="181" t="s">
        <v>1871</v>
      </c>
    </row>
    <row r="3337" spans="1:202">
      <c r="A3337" s="181" t="s">
        <v>245</v>
      </c>
      <c r="GR3337" s="181" t="s">
        <v>875</v>
      </c>
      <c r="GS3337" s="181" t="s">
        <v>1871</v>
      </c>
      <c r="GT3337" s="181" t="s">
        <v>1871</v>
      </c>
    </row>
    <row r="3338" spans="1:202">
      <c r="A3338" s="181" t="s">
        <v>245</v>
      </c>
      <c r="GR3338" s="181" t="s">
        <v>875</v>
      </c>
      <c r="GS3338" s="181" t="s">
        <v>1871</v>
      </c>
      <c r="GT3338" s="181" t="s">
        <v>1871</v>
      </c>
    </row>
    <row r="3339" spans="1:202">
      <c r="A3339" s="181" t="s">
        <v>245</v>
      </c>
      <c r="GR3339" s="181" t="s">
        <v>875</v>
      </c>
      <c r="GS3339" s="181" t="s">
        <v>1871</v>
      </c>
      <c r="GT3339" s="181" t="s">
        <v>1871</v>
      </c>
    </row>
    <row r="3340" spans="1:202">
      <c r="A3340" s="181" t="s">
        <v>245</v>
      </c>
      <c r="GR3340" s="181" t="s">
        <v>875</v>
      </c>
      <c r="GS3340" s="181" t="s">
        <v>1871</v>
      </c>
      <c r="GT3340" s="181" t="s">
        <v>1871</v>
      </c>
    </row>
    <row r="3341" spans="1:202">
      <c r="A3341" s="181" t="s">
        <v>245</v>
      </c>
      <c r="GR3341" s="181" t="s">
        <v>310</v>
      </c>
      <c r="GS3341" s="181" t="s">
        <v>1871</v>
      </c>
      <c r="GT3341" s="181" t="s">
        <v>1871</v>
      </c>
    </row>
    <row r="3342" spans="1:202">
      <c r="A3342" s="181" t="s">
        <v>245</v>
      </c>
      <c r="GR3342" s="181" t="s">
        <v>310</v>
      </c>
      <c r="GS3342" s="181" t="s">
        <v>1871</v>
      </c>
      <c r="GT3342" s="181" t="s">
        <v>1871</v>
      </c>
    </row>
    <row r="3343" spans="1:202">
      <c r="A3343" s="181" t="s">
        <v>245</v>
      </c>
      <c r="GR3343" s="181" t="s">
        <v>310</v>
      </c>
      <c r="GS3343" s="181" t="s">
        <v>1871</v>
      </c>
      <c r="GT3343" s="181" t="s">
        <v>1871</v>
      </c>
    </row>
    <row r="3344" spans="1:202">
      <c r="A3344" s="181" t="s">
        <v>245</v>
      </c>
      <c r="GR3344" s="181" t="s">
        <v>310</v>
      </c>
      <c r="GS3344" s="181" t="s">
        <v>1871</v>
      </c>
      <c r="GT3344" s="181" t="s">
        <v>1871</v>
      </c>
    </row>
    <row r="3345" spans="1:202">
      <c r="A3345" s="181" t="s">
        <v>245</v>
      </c>
      <c r="GR3345" s="181" t="s">
        <v>876</v>
      </c>
      <c r="GS3345" s="181" t="s">
        <v>1871</v>
      </c>
      <c r="GT3345" s="181" t="s">
        <v>1871</v>
      </c>
    </row>
    <row r="3346" spans="1:202">
      <c r="A3346" s="181" t="s">
        <v>245</v>
      </c>
      <c r="GR3346" s="181" t="s">
        <v>876</v>
      </c>
      <c r="GS3346" s="181" t="s">
        <v>1871</v>
      </c>
      <c r="GT3346" s="181" t="s">
        <v>1871</v>
      </c>
    </row>
    <row r="3347" spans="1:202">
      <c r="A3347" s="181" t="s">
        <v>245</v>
      </c>
      <c r="GR3347" s="181" t="s">
        <v>876</v>
      </c>
      <c r="GS3347" s="181" t="s">
        <v>1871</v>
      </c>
      <c r="GT3347" s="181" t="s">
        <v>1871</v>
      </c>
    </row>
    <row r="3348" spans="1:202">
      <c r="A3348" s="181" t="s">
        <v>245</v>
      </c>
      <c r="GR3348" s="181" t="s">
        <v>876</v>
      </c>
      <c r="GS3348" s="181" t="s">
        <v>1871</v>
      </c>
      <c r="GT3348" s="181" t="s">
        <v>1871</v>
      </c>
    </row>
    <row r="3349" spans="1:202">
      <c r="A3349" s="181" t="s">
        <v>245</v>
      </c>
      <c r="GR3349" s="181" t="s">
        <v>876</v>
      </c>
      <c r="GS3349" s="181" t="s">
        <v>1871</v>
      </c>
      <c r="GT3349" s="181" t="s">
        <v>1871</v>
      </c>
    </row>
    <row r="3350" spans="1:202">
      <c r="A3350" s="181" t="s">
        <v>245</v>
      </c>
      <c r="GR3350" s="181" t="s">
        <v>1724</v>
      </c>
      <c r="GS3350" s="181" t="s">
        <v>1871</v>
      </c>
      <c r="GT3350" s="181" t="s">
        <v>1871</v>
      </c>
    </row>
    <row r="3351" spans="1:202">
      <c r="A3351" s="181" t="s">
        <v>245</v>
      </c>
      <c r="GR3351" s="181" t="s">
        <v>1725</v>
      </c>
      <c r="GS3351" s="181" t="s">
        <v>1871</v>
      </c>
      <c r="GT3351" s="181" t="s">
        <v>1871</v>
      </c>
    </row>
    <row r="3352" spans="1:202">
      <c r="A3352" s="181" t="s">
        <v>245</v>
      </c>
      <c r="GR3352" s="181" t="s">
        <v>333</v>
      </c>
      <c r="GS3352" s="181" t="s">
        <v>1871</v>
      </c>
      <c r="GT3352" s="181" t="s">
        <v>1871</v>
      </c>
    </row>
    <row r="3353" spans="1:202">
      <c r="A3353" s="181" t="s">
        <v>245</v>
      </c>
      <c r="GR3353" s="181">
        <v>0</v>
      </c>
      <c r="GS3353" s="181" t="s">
        <v>1871</v>
      </c>
      <c r="GT3353" s="181" t="s">
        <v>1871</v>
      </c>
    </row>
    <row r="3354" spans="1:202">
      <c r="A3354" s="181" t="s">
        <v>245</v>
      </c>
      <c r="GR3354" s="181">
        <v>0</v>
      </c>
      <c r="GS3354" s="181" t="s">
        <v>1871</v>
      </c>
      <c r="GT3354" s="181" t="s">
        <v>1871</v>
      </c>
    </row>
    <row r="3355" spans="1:202">
      <c r="A3355" s="181" t="s">
        <v>245</v>
      </c>
      <c r="GR3355" s="181">
        <v>0</v>
      </c>
      <c r="GS3355" s="181" t="s">
        <v>1871</v>
      </c>
      <c r="GT3355" s="181" t="s">
        <v>1871</v>
      </c>
    </row>
    <row r="3356" spans="1:202">
      <c r="A3356" s="181" t="s">
        <v>245</v>
      </c>
      <c r="GR3356" s="181">
        <v>0</v>
      </c>
      <c r="GS3356" s="181" t="s">
        <v>1871</v>
      </c>
      <c r="GT3356" s="181" t="s">
        <v>1871</v>
      </c>
    </row>
    <row r="3357" spans="1:202">
      <c r="A3357" s="181" t="s">
        <v>245</v>
      </c>
      <c r="GR3357" s="181">
        <v>0</v>
      </c>
      <c r="GS3357" s="181" t="s">
        <v>1871</v>
      </c>
      <c r="GT3357" s="181" t="s">
        <v>1871</v>
      </c>
    </row>
    <row r="3358" spans="1:202">
      <c r="A3358" s="181" t="s">
        <v>245</v>
      </c>
      <c r="GR3358" s="181">
        <v>0</v>
      </c>
      <c r="GS3358" s="181" t="s">
        <v>1871</v>
      </c>
      <c r="GT3358" s="181" t="s">
        <v>1871</v>
      </c>
    </row>
    <row r="3359" spans="1:202">
      <c r="A3359" s="181" t="s">
        <v>245</v>
      </c>
      <c r="GR3359" s="181">
        <v>0</v>
      </c>
      <c r="GS3359" s="181" t="s">
        <v>1871</v>
      </c>
      <c r="GT3359" s="181" t="s">
        <v>1871</v>
      </c>
    </row>
    <row r="3360" spans="1:202">
      <c r="A3360" s="181" t="s">
        <v>245</v>
      </c>
      <c r="GR3360" s="181">
        <v>0</v>
      </c>
      <c r="GS3360" s="181" t="s">
        <v>1871</v>
      </c>
      <c r="GT3360" s="181" t="s">
        <v>1871</v>
      </c>
    </row>
    <row r="3361" spans="1:202">
      <c r="A3361" s="181" t="s">
        <v>245</v>
      </c>
      <c r="GR3361" s="181">
        <v>0</v>
      </c>
      <c r="GS3361" s="181" t="s">
        <v>1871</v>
      </c>
      <c r="GT3361" s="181" t="s">
        <v>1871</v>
      </c>
    </row>
    <row r="3362" spans="1:202">
      <c r="A3362" s="181" t="s">
        <v>245</v>
      </c>
      <c r="GR3362" s="181">
        <v>0</v>
      </c>
      <c r="GS3362" s="181" t="s">
        <v>1871</v>
      </c>
      <c r="GT3362" s="181" t="s">
        <v>1871</v>
      </c>
    </row>
    <row r="3363" spans="1:202">
      <c r="A3363" s="181" t="s">
        <v>245</v>
      </c>
      <c r="GR3363" s="181">
        <v>0</v>
      </c>
      <c r="GS3363" s="181" t="s">
        <v>1871</v>
      </c>
      <c r="GT3363" s="181" t="s">
        <v>1871</v>
      </c>
    </row>
    <row r="3364" spans="1:202">
      <c r="A3364" s="181" t="s">
        <v>245</v>
      </c>
      <c r="GR3364" s="181">
        <v>0</v>
      </c>
      <c r="GS3364" s="181" t="s">
        <v>1871</v>
      </c>
      <c r="GT3364" s="181" t="s">
        <v>1871</v>
      </c>
    </row>
    <row r="3365" spans="1:202">
      <c r="A3365" s="181" t="s">
        <v>245</v>
      </c>
      <c r="GS3365" s="181" t="s">
        <v>1871</v>
      </c>
      <c r="GT3365" s="181" t="s">
        <v>1871</v>
      </c>
    </row>
    <row r="3366" spans="1:202">
      <c r="A3366" s="181" t="s">
        <v>245</v>
      </c>
      <c r="GR3366" s="181" t="s">
        <v>309</v>
      </c>
      <c r="GS3366" s="181" t="s">
        <v>1871</v>
      </c>
      <c r="GT3366" s="181" t="s">
        <v>1871</v>
      </c>
    </row>
    <row r="3367" spans="1:202">
      <c r="A3367" s="181" t="s">
        <v>245</v>
      </c>
      <c r="GS3367" s="181" t="s">
        <v>1871</v>
      </c>
      <c r="GT3367" s="181" t="s">
        <v>1871</v>
      </c>
    </row>
    <row r="3368" spans="1:202">
      <c r="A3368" s="181" t="s">
        <v>245</v>
      </c>
      <c r="GR3368" s="181" t="s">
        <v>312</v>
      </c>
      <c r="GS3368" s="181" t="s">
        <v>1871</v>
      </c>
      <c r="GT3368" s="181" t="s">
        <v>1871</v>
      </c>
    </row>
    <row r="3369" spans="1:202">
      <c r="A3369" s="181" t="s">
        <v>245</v>
      </c>
      <c r="GR3369" s="181" t="s">
        <v>312</v>
      </c>
      <c r="GS3369" s="181" t="s">
        <v>1871</v>
      </c>
      <c r="GT3369" s="181" t="s">
        <v>1871</v>
      </c>
    </row>
    <row r="3370" spans="1:202">
      <c r="A3370" s="181" t="s">
        <v>245</v>
      </c>
      <c r="GR3370" s="181" t="s">
        <v>312</v>
      </c>
      <c r="GS3370" s="181" t="s">
        <v>1871</v>
      </c>
      <c r="GT3370" s="181" t="s">
        <v>1871</v>
      </c>
    </row>
    <row r="3371" spans="1:202">
      <c r="A3371" s="181" t="s">
        <v>245</v>
      </c>
      <c r="GR3371" s="181" t="s">
        <v>312</v>
      </c>
      <c r="GS3371" s="181" t="s">
        <v>1871</v>
      </c>
      <c r="GT3371" s="181" t="s">
        <v>1871</v>
      </c>
    </row>
    <row r="3372" spans="1:202">
      <c r="A3372" s="181" t="s">
        <v>245</v>
      </c>
      <c r="GR3372" s="181" t="s">
        <v>312</v>
      </c>
      <c r="GS3372" s="181" t="s">
        <v>1871</v>
      </c>
      <c r="GT3372" s="181" t="s">
        <v>1871</v>
      </c>
    </row>
    <row r="3373" spans="1:202">
      <c r="A3373" s="181" t="s">
        <v>245</v>
      </c>
      <c r="GR3373" s="181" t="s">
        <v>312</v>
      </c>
      <c r="GS3373" s="181" t="s">
        <v>1871</v>
      </c>
      <c r="GT3373" s="181" t="s">
        <v>1871</v>
      </c>
    </row>
    <row r="3374" spans="1:202">
      <c r="A3374" s="181" t="s">
        <v>245</v>
      </c>
      <c r="GR3374" s="181" t="s">
        <v>312</v>
      </c>
      <c r="GS3374" s="181" t="s">
        <v>1871</v>
      </c>
      <c r="GT3374" s="181" t="s">
        <v>1871</v>
      </c>
    </row>
    <row r="3375" spans="1:202">
      <c r="A3375" s="181" t="s">
        <v>245</v>
      </c>
      <c r="GR3375" s="181" t="s">
        <v>877</v>
      </c>
      <c r="GS3375" s="181" t="s">
        <v>1871</v>
      </c>
      <c r="GT3375" s="181" t="s">
        <v>1871</v>
      </c>
    </row>
    <row r="3376" spans="1:202">
      <c r="A3376" s="181" t="s">
        <v>245</v>
      </c>
      <c r="GR3376" s="181" t="s">
        <v>878</v>
      </c>
      <c r="GS3376" s="181" t="s">
        <v>1871</v>
      </c>
      <c r="GT3376" s="181" t="s">
        <v>1871</v>
      </c>
    </row>
    <row r="3377" spans="1:202">
      <c r="A3377" s="181" t="s">
        <v>245</v>
      </c>
      <c r="GR3377" s="181" t="s">
        <v>878</v>
      </c>
      <c r="GS3377" s="181" t="s">
        <v>1871</v>
      </c>
      <c r="GT3377" s="181" t="s">
        <v>1871</v>
      </c>
    </row>
    <row r="3378" spans="1:202">
      <c r="A3378" s="181" t="s">
        <v>245</v>
      </c>
      <c r="GR3378" s="181" t="s">
        <v>878</v>
      </c>
      <c r="GS3378" s="181" t="s">
        <v>1871</v>
      </c>
      <c r="GT3378" s="181" t="s">
        <v>1871</v>
      </c>
    </row>
    <row r="3379" spans="1:202">
      <c r="A3379" s="181" t="s">
        <v>245</v>
      </c>
      <c r="GR3379" s="181" t="s">
        <v>878</v>
      </c>
      <c r="GS3379" s="181" t="s">
        <v>1871</v>
      </c>
      <c r="GT3379" s="181" t="s">
        <v>1871</v>
      </c>
    </row>
    <row r="3380" spans="1:202">
      <c r="A3380" s="181" t="s">
        <v>245</v>
      </c>
      <c r="GR3380" s="181" t="s">
        <v>878</v>
      </c>
      <c r="GS3380" s="181" t="s">
        <v>1871</v>
      </c>
      <c r="GT3380" s="181" t="s">
        <v>1871</v>
      </c>
    </row>
    <row r="3381" spans="1:202">
      <c r="A3381" s="181" t="s">
        <v>245</v>
      </c>
      <c r="GR3381" s="181" t="s">
        <v>878</v>
      </c>
      <c r="GS3381" s="181" t="s">
        <v>1871</v>
      </c>
      <c r="GT3381" s="181" t="s">
        <v>1871</v>
      </c>
    </row>
    <row r="3382" spans="1:202">
      <c r="A3382" s="181" t="s">
        <v>245</v>
      </c>
      <c r="GR3382" s="181" t="s">
        <v>878</v>
      </c>
      <c r="GS3382" s="181" t="s">
        <v>1871</v>
      </c>
      <c r="GT3382" s="181" t="s">
        <v>1871</v>
      </c>
    </row>
    <row r="3383" spans="1:202">
      <c r="A3383" s="181" t="s">
        <v>245</v>
      </c>
      <c r="GR3383" s="181" t="s">
        <v>878</v>
      </c>
      <c r="GS3383" s="181" t="s">
        <v>1871</v>
      </c>
      <c r="GT3383" s="181" t="s">
        <v>1871</v>
      </c>
    </row>
    <row r="3384" spans="1:202">
      <c r="A3384" s="181" t="s">
        <v>245</v>
      </c>
      <c r="GR3384" s="181" t="s">
        <v>878</v>
      </c>
      <c r="GS3384" s="181" t="s">
        <v>1871</v>
      </c>
      <c r="GT3384" s="181" t="s">
        <v>1871</v>
      </c>
    </row>
    <row r="3385" spans="1:202">
      <c r="A3385" s="181" t="s">
        <v>245</v>
      </c>
      <c r="GR3385" s="181" t="s">
        <v>879</v>
      </c>
      <c r="GS3385" s="181" t="s">
        <v>1871</v>
      </c>
      <c r="GT3385" s="181" t="s">
        <v>1871</v>
      </c>
    </row>
    <row r="3386" spans="1:202">
      <c r="A3386" s="181" t="s">
        <v>245</v>
      </c>
      <c r="GR3386" s="181" t="s">
        <v>1715</v>
      </c>
      <c r="GS3386" s="181" t="s">
        <v>1871</v>
      </c>
      <c r="GT3386" s="181" t="s">
        <v>1871</v>
      </c>
    </row>
    <row r="3387" spans="1:202">
      <c r="A3387" s="181" t="s">
        <v>245</v>
      </c>
      <c r="GR3387" s="181" t="s">
        <v>880</v>
      </c>
      <c r="GS3387" s="181" t="s">
        <v>1871</v>
      </c>
      <c r="GT3387" s="181" t="s">
        <v>1871</v>
      </c>
    </row>
    <row r="3388" spans="1:202">
      <c r="A3388" s="181" t="s">
        <v>245</v>
      </c>
      <c r="GR3388" s="181" t="s">
        <v>881</v>
      </c>
      <c r="GS3388" s="181" t="s">
        <v>1871</v>
      </c>
      <c r="GT3388" s="181" t="s">
        <v>1871</v>
      </c>
    </row>
    <row r="3389" spans="1:202">
      <c r="A3389" s="181" t="s">
        <v>245</v>
      </c>
      <c r="GR3389" s="181">
        <v>0</v>
      </c>
      <c r="GS3389" s="181" t="s">
        <v>1871</v>
      </c>
      <c r="GT3389" s="181" t="s">
        <v>1871</v>
      </c>
    </row>
    <row r="3390" spans="1:202">
      <c r="A3390" s="181" t="s">
        <v>245</v>
      </c>
      <c r="GR3390" s="181">
        <v>0</v>
      </c>
      <c r="GS3390" s="181" t="s">
        <v>1871</v>
      </c>
      <c r="GT3390" s="181" t="s">
        <v>1871</v>
      </c>
    </row>
    <row r="3391" spans="1:202">
      <c r="A3391" s="181" t="s">
        <v>245</v>
      </c>
      <c r="GR3391" s="181">
        <v>0</v>
      </c>
      <c r="GS3391" s="181" t="s">
        <v>1871</v>
      </c>
      <c r="GT3391" s="181" t="s">
        <v>1871</v>
      </c>
    </row>
    <row r="3392" spans="1:202">
      <c r="A3392" s="181" t="s">
        <v>245</v>
      </c>
      <c r="GR3392" s="181">
        <v>0</v>
      </c>
      <c r="GS3392" s="181" t="s">
        <v>1871</v>
      </c>
      <c r="GT3392" s="181" t="s">
        <v>1871</v>
      </c>
    </row>
    <row r="3393" spans="1:202">
      <c r="A3393" s="181" t="s">
        <v>245</v>
      </c>
      <c r="GR3393" s="181">
        <v>0</v>
      </c>
      <c r="GS3393" s="181" t="s">
        <v>1871</v>
      </c>
      <c r="GT3393" s="181" t="s">
        <v>1871</v>
      </c>
    </row>
    <row r="3394" spans="1:202">
      <c r="A3394" s="181" t="s">
        <v>245</v>
      </c>
      <c r="GR3394" s="181">
        <v>0</v>
      </c>
      <c r="GS3394" s="181" t="s">
        <v>1871</v>
      </c>
      <c r="GT3394" s="181" t="s">
        <v>1871</v>
      </c>
    </row>
    <row r="3395" spans="1:202">
      <c r="A3395" s="181" t="s">
        <v>245</v>
      </c>
      <c r="GR3395" s="181">
        <v>0</v>
      </c>
      <c r="GS3395" s="181" t="s">
        <v>1871</v>
      </c>
      <c r="GT3395" s="181" t="s">
        <v>1871</v>
      </c>
    </row>
    <row r="3396" spans="1:202">
      <c r="A3396" s="181" t="s">
        <v>245</v>
      </c>
      <c r="GR3396" s="181">
        <v>0</v>
      </c>
      <c r="GS3396" s="181" t="s">
        <v>1871</v>
      </c>
      <c r="GT3396" s="181" t="s">
        <v>1871</v>
      </c>
    </row>
    <row r="3397" spans="1:202">
      <c r="A3397" s="181" t="s">
        <v>245</v>
      </c>
      <c r="GR3397" s="181">
        <v>0</v>
      </c>
      <c r="GS3397" s="181" t="s">
        <v>1871</v>
      </c>
      <c r="GT3397" s="181" t="s">
        <v>1871</v>
      </c>
    </row>
    <row r="3398" spans="1:202">
      <c r="A3398" s="181" t="s">
        <v>245</v>
      </c>
      <c r="GR3398" s="181">
        <v>0</v>
      </c>
      <c r="GS3398" s="181" t="s">
        <v>1871</v>
      </c>
      <c r="GT3398" s="181" t="s">
        <v>1871</v>
      </c>
    </row>
    <row r="3399" spans="1:202">
      <c r="A3399" s="181" t="s">
        <v>245</v>
      </c>
      <c r="GR3399" s="181">
        <v>0</v>
      </c>
      <c r="GS3399" s="181" t="s">
        <v>1871</v>
      </c>
      <c r="GT3399" s="181" t="s">
        <v>1871</v>
      </c>
    </row>
    <row r="3400" spans="1:202">
      <c r="A3400" s="181" t="s">
        <v>245</v>
      </c>
      <c r="GR3400" s="181">
        <v>0</v>
      </c>
      <c r="GS3400" s="181" t="s">
        <v>1871</v>
      </c>
      <c r="GT3400" s="181" t="s">
        <v>1871</v>
      </c>
    </row>
    <row r="3401" spans="1:202">
      <c r="A3401" s="181" t="s">
        <v>245</v>
      </c>
      <c r="GR3401" s="181">
        <v>0</v>
      </c>
      <c r="GS3401" s="181" t="s">
        <v>1871</v>
      </c>
      <c r="GT3401" s="181" t="s">
        <v>1871</v>
      </c>
    </row>
    <row r="3402" spans="1:202">
      <c r="A3402" s="181" t="s">
        <v>245</v>
      </c>
      <c r="GR3402" s="181">
        <v>0</v>
      </c>
      <c r="GS3402" s="181" t="s">
        <v>1871</v>
      </c>
      <c r="GT3402" s="181" t="s">
        <v>1871</v>
      </c>
    </row>
    <row r="3403" spans="1:202">
      <c r="A3403" s="181" t="s">
        <v>245</v>
      </c>
      <c r="GR3403" s="181">
        <v>0</v>
      </c>
      <c r="GS3403" s="181" t="s">
        <v>1871</v>
      </c>
      <c r="GT3403" s="181" t="s">
        <v>1871</v>
      </c>
    </row>
    <row r="3404" spans="1:202">
      <c r="A3404" s="181" t="s">
        <v>245</v>
      </c>
      <c r="GR3404" s="181" t="s">
        <v>876</v>
      </c>
      <c r="GS3404" s="181" t="s">
        <v>1871</v>
      </c>
      <c r="GT3404" s="181" t="s">
        <v>1871</v>
      </c>
    </row>
    <row r="3405" spans="1:202">
      <c r="A3405" s="181" t="s">
        <v>245</v>
      </c>
      <c r="GR3405" s="181" t="s">
        <v>876</v>
      </c>
      <c r="GS3405" s="181" t="s">
        <v>1871</v>
      </c>
      <c r="GT3405" s="181" t="s">
        <v>1871</v>
      </c>
    </row>
    <row r="3406" spans="1:202">
      <c r="A3406" s="181" t="s">
        <v>245</v>
      </c>
      <c r="GR3406" s="181" t="s">
        <v>876</v>
      </c>
      <c r="GS3406" s="181" t="s">
        <v>1871</v>
      </c>
      <c r="GT3406" s="181" t="s">
        <v>1871</v>
      </c>
    </row>
    <row r="3407" spans="1:202">
      <c r="A3407" s="181" t="s">
        <v>245</v>
      </c>
      <c r="GR3407" s="181" t="s">
        <v>882</v>
      </c>
      <c r="GS3407" s="181" t="s">
        <v>1871</v>
      </c>
      <c r="GT3407" s="181" t="s">
        <v>1871</v>
      </c>
    </row>
    <row r="3408" spans="1:202">
      <c r="A3408" s="181" t="s">
        <v>245</v>
      </c>
      <c r="GR3408" s="181" t="s">
        <v>882</v>
      </c>
      <c r="GS3408" s="181" t="s">
        <v>1871</v>
      </c>
      <c r="GT3408" s="181" t="s">
        <v>1871</v>
      </c>
    </row>
    <row r="3409" spans="1:202">
      <c r="A3409" s="181" t="s">
        <v>245</v>
      </c>
      <c r="GR3409" s="181" t="s">
        <v>882</v>
      </c>
      <c r="GS3409" s="181" t="s">
        <v>1871</v>
      </c>
      <c r="GT3409" s="181" t="s">
        <v>1871</v>
      </c>
    </row>
    <row r="3410" spans="1:202">
      <c r="A3410" s="181" t="s">
        <v>245</v>
      </c>
      <c r="GR3410" s="181" t="s">
        <v>882</v>
      </c>
      <c r="GS3410" s="181" t="s">
        <v>1871</v>
      </c>
      <c r="GT3410" s="181" t="s">
        <v>1871</v>
      </c>
    </row>
    <row r="3411" spans="1:202">
      <c r="A3411" s="181" t="s">
        <v>245</v>
      </c>
      <c r="GR3411" s="181" t="s">
        <v>882</v>
      </c>
      <c r="GS3411" s="181" t="s">
        <v>1871</v>
      </c>
      <c r="GT3411" s="181" t="s">
        <v>1871</v>
      </c>
    </row>
    <row r="3412" spans="1:202">
      <c r="A3412" s="181" t="s">
        <v>245</v>
      </c>
      <c r="GR3412" s="181" t="s">
        <v>882</v>
      </c>
      <c r="GS3412" s="181" t="s">
        <v>1871</v>
      </c>
      <c r="GT3412" s="181" t="s">
        <v>1871</v>
      </c>
    </row>
    <row r="3413" spans="1:202">
      <c r="A3413" s="181" t="s">
        <v>245</v>
      </c>
      <c r="GR3413" s="181" t="s">
        <v>882</v>
      </c>
      <c r="GS3413" s="181" t="s">
        <v>1871</v>
      </c>
      <c r="GT3413" s="181" t="s">
        <v>1871</v>
      </c>
    </row>
    <row r="3414" spans="1:202">
      <c r="A3414" s="181" t="s">
        <v>245</v>
      </c>
      <c r="GR3414" s="181" t="s">
        <v>882</v>
      </c>
      <c r="GS3414" s="181" t="s">
        <v>1871</v>
      </c>
      <c r="GT3414" s="181" t="s">
        <v>1871</v>
      </c>
    </row>
    <row r="3415" spans="1:202">
      <c r="A3415" s="181" t="s">
        <v>245</v>
      </c>
      <c r="GR3415" s="181" t="s">
        <v>882</v>
      </c>
      <c r="GS3415" s="181" t="s">
        <v>1871</v>
      </c>
      <c r="GT3415" s="181" t="s">
        <v>1871</v>
      </c>
    </row>
    <row r="3416" spans="1:202">
      <c r="A3416" s="181" t="s">
        <v>245</v>
      </c>
      <c r="GR3416" s="181" t="s">
        <v>883</v>
      </c>
      <c r="GS3416" s="181" t="s">
        <v>1871</v>
      </c>
      <c r="GT3416" s="181" t="s">
        <v>1871</v>
      </c>
    </row>
    <row r="3417" spans="1:202">
      <c r="A3417" s="181" t="s">
        <v>245</v>
      </c>
      <c r="GR3417" s="181" t="s">
        <v>873</v>
      </c>
      <c r="GS3417" s="181" t="s">
        <v>1871</v>
      </c>
      <c r="GT3417" s="181" t="s">
        <v>1871</v>
      </c>
    </row>
    <row r="3418" spans="1:202">
      <c r="A3418" s="181" t="s">
        <v>245</v>
      </c>
      <c r="GR3418" s="181" t="s">
        <v>873</v>
      </c>
      <c r="GS3418" s="181" t="s">
        <v>1871</v>
      </c>
      <c r="GT3418" s="181" t="s">
        <v>1871</v>
      </c>
    </row>
    <row r="3419" spans="1:202">
      <c r="A3419" s="181" t="s">
        <v>245</v>
      </c>
      <c r="GR3419" s="181" t="s">
        <v>873</v>
      </c>
      <c r="GS3419" s="181" t="s">
        <v>1871</v>
      </c>
      <c r="GT3419" s="181" t="s">
        <v>1871</v>
      </c>
    </row>
    <row r="3420" spans="1:202">
      <c r="A3420" s="181" t="s">
        <v>245</v>
      </c>
      <c r="GR3420" s="181" t="s">
        <v>873</v>
      </c>
      <c r="GS3420" s="181" t="s">
        <v>1871</v>
      </c>
      <c r="GT3420" s="181" t="s">
        <v>1871</v>
      </c>
    </row>
    <row r="3421" spans="1:202">
      <c r="A3421" s="181" t="s">
        <v>245</v>
      </c>
      <c r="GR3421" s="181" t="s">
        <v>308</v>
      </c>
      <c r="GS3421" s="181" t="s">
        <v>1871</v>
      </c>
      <c r="GT3421" s="181" t="s">
        <v>1871</v>
      </c>
    </row>
    <row r="3422" spans="1:202">
      <c r="A3422" s="181" t="s">
        <v>245</v>
      </c>
      <c r="GR3422" s="181" t="s">
        <v>874</v>
      </c>
      <c r="GS3422" s="181" t="s">
        <v>1871</v>
      </c>
      <c r="GT3422" s="181" t="s">
        <v>1871</v>
      </c>
    </row>
    <row r="3423" spans="1:202">
      <c r="A3423" s="181" t="s">
        <v>245</v>
      </c>
      <c r="GR3423" s="181" t="s">
        <v>874</v>
      </c>
      <c r="GS3423" s="181" t="s">
        <v>1871</v>
      </c>
      <c r="GT3423" s="181" t="s">
        <v>1871</v>
      </c>
    </row>
    <row r="3424" spans="1:202">
      <c r="A3424" s="181" t="s">
        <v>245</v>
      </c>
      <c r="GR3424" s="181" t="s">
        <v>874</v>
      </c>
      <c r="GS3424" s="181" t="s">
        <v>1871</v>
      </c>
      <c r="GT3424" s="181" t="s">
        <v>1871</v>
      </c>
    </row>
    <row r="3425" spans="1:202">
      <c r="A3425" s="181" t="s">
        <v>245</v>
      </c>
      <c r="GR3425" s="181" t="s">
        <v>874</v>
      </c>
      <c r="GS3425" s="181" t="s">
        <v>1871</v>
      </c>
      <c r="GT3425" s="181" t="s">
        <v>1871</v>
      </c>
    </row>
    <row r="3426" spans="1:202">
      <c r="A3426" s="181" t="s">
        <v>245</v>
      </c>
      <c r="GR3426" s="181" t="s">
        <v>870</v>
      </c>
      <c r="GS3426" s="181" t="s">
        <v>1871</v>
      </c>
      <c r="GT3426" s="181" t="s">
        <v>1871</v>
      </c>
    </row>
    <row r="3427" spans="1:202">
      <c r="A3427" s="181" t="s">
        <v>245</v>
      </c>
      <c r="GR3427" s="181" t="s">
        <v>309</v>
      </c>
      <c r="GS3427" s="181" t="s">
        <v>1871</v>
      </c>
      <c r="GT3427" s="181" t="s">
        <v>1871</v>
      </c>
    </row>
    <row r="3428" spans="1:202">
      <c r="A3428" s="181" t="s">
        <v>245</v>
      </c>
      <c r="GR3428" s="181" t="s">
        <v>309</v>
      </c>
      <c r="GS3428" s="181" t="s">
        <v>1871</v>
      </c>
      <c r="GT3428" s="181" t="s">
        <v>1871</v>
      </c>
    </row>
    <row r="3429" spans="1:202">
      <c r="A3429" s="181" t="s">
        <v>245</v>
      </c>
      <c r="GR3429" s="181" t="s">
        <v>309</v>
      </c>
      <c r="GS3429" s="181" t="s">
        <v>1871</v>
      </c>
      <c r="GT3429" s="181" t="s">
        <v>1871</v>
      </c>
    </row>
    <row r="3430" spans="1:202">
      <c r="A3430" s="181" t="s">
        <v>245</v>
      </c>
      <c r="GS3430" s="181" t="s">
        <v>1871</v>
      </c>
      <c r="GT3430" s="181" t="s">
        <v>1871</v>
      </c>
    </row>
    <row r="3431" spans="1:202">
      <c r="A3431" s="181" t="s">
        <v>245</v>
      </c>
      <c r="GR3431" s="181" t="s">
        <v>875</v>
      </c>
      <c r="GS3431" s="181" t="s">
        <v>1871</v>
      </c>
      <c r="GT3431" s="181" t="s">
        <v>1871</v>
      </c>
    </row>
    <row r="3432" spans="1:202">
      <c r="A3432" s="181" t="s">
        <v>245</v>
      </c>
      <c r="GR3432" s="181" t="s">
        <v>875</v>
      </c>
      <c r="GS3432" s="181" t="s">
        <v>1871</v>
      </c>
      <c r="GT3432" s="181" t="s">
        <v>1871</v>
      </c>
    </row>
    <row r="3433" spans="1:202">
      <c r="A3433" s="181" t="s">
        <v>245</v>
      </c>
      <c r="GR3433" s="181" t="s">
        <v>875</v>
      </c>
      <c r="GS3433" s="181" t="s">
        <v>1871</v>
      </c>
      <c r="GT3433" s="181" t="s">
        <v>1871</v>
      </c>
    </row>
    <row r="3434" spans="1:202">
      <c r="A3434" s="181" t="s">
        <v>245</v>
      </c>
      <c r="GR3434" s="181" t="s">
        <v>875</v>
      </c>
      <c r="GS3434" s="181" t="s">
        <v>1871</v>
      </c>
      <c r="GT3434" s="181" t="s">
        <v>1871</v>
      </c>
    </row>
    <row r="3435" spans="1:202">
      <c r="A3435" s="181" t="s">
        <v>245</v>
      </c>
      <c r="GR3435" s="181" t="s">
        <v>875</v>
      </c>
      <c r="GS3435" s="181" t="s">
        <v>1871</v>
      </c>
      <c r="GT3435" s="181" t="s">
        <v>1871</v>
      </c>
    </row>
    <row r="3436" spans="1:202">
      <c r="A3436" s="181" t="s">
        <v>245</v>
      </c>
      <c r="GR3436" s="181" t="s">
        <v>875</v>
      </c>
      <c r="GS3436" s="181" t="s">
        <v>1871</v>
      </c>
      <c r="GT3436" s="181" t="s">
        <v>1871</v>
      </c>
    </row>
    <row r="3437" spans="1:202">
      <c r="A3437" s="181" t="s">
        <v>245</v>
      </c>
      <c r="GR3437" s="181" t="s">
        <v>310</v>
      </c>
      <c r="GS3437" s="181" t="s">
        <v>1871</v>
      </c>
      <c r="GT3437" s="181" t="s">
        <v>1871</v>
      </c>
    </row>
    <row r="3438" spans="1:202">
      <c r="A3438" s="181" t="s">
        <v>245</v>
      </c>
      <c r="GR3438" s="181" t="s">
        <v>310</v>
      </c>
      <c r="GS3438" s="181" t="s">
        <v>1871</v>
      </c>
      <c r="GT3438" s="181" t="s">
        <v>1871</v>
      </c>
    </row>
    <row r="3439" spans="1:202">
      <c r="A3439" s="181" t="s">
        <v>245</v>
      </c>
      <c r="GR3439" s="181" t="s">
        <v>310</v>
      </c>
      <c r="GS3439" s="181" t="s">
        <v>1871</v>
      </c>
      <c r="GT3439" s="181" t="s">
        <v>1871</v>
      </c>
    </row>
    <row r="3440" spans="1:202">
      <c r="A3440" s="181" t="s">
        <v>245</v>
      </c>
      <c r="GR3440" s="181" t="s">
        <v>310</v>
      </c>
      <c r="GS3440" s="181" t="s">
        <v>1871</v>
      </c>
      <c r="GT3440" s="181" t="s">
        <v>1871</v>
      </c>
    </row>
    <row r="3441" spans="1:202">
      <c r="A3441" s="181" t="s">
        <v>245</v>
      </c>
      <c r="GR3441" s="181" t="s">
        <v>310</v>
      </c>
      <c r="GS3441" s="181" t="s">
        <v>1871</v>
      </c>
      <c r="GT3441" s="181" t="s">
        <v>1871</v>
      </c>
    </row>
    <row r="3442" spans="1:202">
      <c r="A3442" s="181" t="s">
        <v>245</v>
      </c>
      <c r="GR3442" s="181" t="s">
        <v>310</v>
      </c>
      <c r="GS3442" s="181" t="s">
        <v>1871</v>
      </c>
      <c r="GT3442" s="181" t="s">
        <v>1871</v>
      </c>
    </row>
    <row r="3443" spans="1:202">
      <c r="A3443" s="181" t="s">
        <v>245</v>
      </c>
      <c r="GR3443" s="181" t="s">
        <v>310</v>
      </c>
      <c r="GS3443" s="181" t="s">
        <v>1871</v>
      </c>
      <c r="GT3443" s="181" t="s">
        <v>1871</v>
      </c>
    </row>
    <row r="3444" spans="1:202">
      <c r="A3444" s="181" t="s">
        <v>245</v>
      </c>
      <c r="GR3444" s="181" t="s">
        <v>310</v>
      </c>
      <c r="GS3444" s="181" t="s">
        <v>1871</v>
      </c>
      <c r="GT3444" s="181" t="s">
        <v>1871</v>
      </c>
    </row>
    <row r="3445" spans="1:202">
      <c r="A3445" s="181" t="s">
        <v>245</v>
      </c>
      <c r="GR3445" s="181" t="s">
        <v>876</v>
      </c>
      <c r="GS3445" s="181" t="s">
        <v>1871</v>
      </c>
      <c r="GT3445" s="181" t="s">
        <v>1871</v>
      </c>
    </row>
    <row r="3446" spans="1:202">
      <c r="A3446" s="181" t="s">
        <v>245</v>
      </c>
      <c r="GR3446" s="181" t="s">
        <v>876</v>
      </c>
      <c r="GS3446" s="181" t="s">
        <v>1871</v>
      </c>
      <c r="GT3446" s="181" t="s">
        <v>1871</v>
      </c>
    </row>
    <row r="3447" spans="1:202">
      <c r="A3447" s="181" t="s">
        <v>245</v>
      </c>
      <c r="GR3447" s="181" t="s">
        <v>876</v>
      </c>
      <c r="GS3447" s="181" t="s">
        <v>1871</v>
      </c>
      <c r="GT3447" s="181" t="s">
        <v>1871</v>
      </c>
    </row>
    <row r="3448" spans="1:202">
      <c r="A3448" s="181" t="s">
        <v>245</v>
      </c>
      <c r="GR3448" s="181" t="s">
        <v>876</v>
      </c>
      <c r="GS3448" s="181" t="s">
        <v>1871</v>
      </c>
      <c r="GT3448" s="181" t="s">
        <v>1871</v>
      </c>
    </row>
    <row r="3449" spans="1:202">
      <c r="A3449" s="181" t="s">
        <v>245</v>
      </c>
      <c r="GR3449" s="181" t="s">
        <v>876</v>
      </c>
      <c r="GS3449" s="181" t="s">
        <v>1871</v>
      </c>
      <c r="GT3449" s="181" t="s">
        <v>1871</v>
      </c>
    </row>
    <row r="3450" spans="1:202">
      <c r="A3450" s="181" t="s">
        <v>245</v>
      </c>
      <c r="GR3450" s="181" t="s">
        <v>1726</v>
      </c>
      <c r="GS3450" s="181" t="s">
        <v>1871</v>
      </c>
      <c r="GT3450" s="181" t="s">
        <v>1871</v>
      </c>
    </row>
    <row r="3451" spans="1:202">
      <c r="A3451" s="181" t="s">
        <v>245</v>
      </c>
      <c r="GR3451" s="181">
        <v>0</v>
      </c>
      <c r="GS3451" s="181" t="s">
        <v>1871</v>
      </c>
      <c r="GT3451" s="181" t="s">
        <v>1871</v>
      </c>
    </row>
    <row r="3452" spans="1:202">
      <c r="A3452" s="181" t="s">
        <v>245</v>
      </c>
      <c r="GR3452" s="181">
        <v>0</v>
      </c>
      <c r="GS3452" s="181" t="s">
        <v>1871</v>
      </c>
      <c r="GT3452" s="181" t="s">
        <v>1871</v>
      </c>
    </row>
    <row r="3453" spans="1:202">
      <c r="A3453" s="181" t="s">
        <v>245</v>
      </c>
      <c r="GR3453" s="181">
        <v>0</v>
      </c>
      <c r="GS3453" s="181" t="s">
        <v>1871</v>
      </c>
      <c r="GT3453" s="181" t="s">
        <v>1871</v>
      </c>
    </row>
    <row r="3454" spans="1:202">
      <c r="A3454" s="181" t="s">
        <v>245</v>
      </c>
      <c r="GR3454" s="181">
        <v>0</v>
      </c>
      <c r="GS3454" s="181" t="s">
        <v>1871</v>
      </c>
      <c r="GT3454" s="181" t="s">
        <v>1871</v>
      </c>
    </row>
    <row r="3455" spans="1:202">
      <c r="A3455" s="181" t="s">
        <v>245</v>
      </c>
      <c r="GR3455" s="181">
        <v>0</v>
      </c>
      <c r="GS3455" s="181" t="s">
        <v>1871</v>
      </c>
      <c r="GT3455" s="181" t="s">
        <v>1871</v>
      </c>
    </row>
    <row r="3456" spans="1:202">
      <c r="A3456" s="181" t="s">
        <v>245</v>
      </c>
      <c r="GR3456" s="181">
        <v>0</v>
      </c>
      <c r="GS3456" s="181" t="s">
        <v>1871</v>
      </c>
      <c r="GT3456" s="181" t="s">
        <v>1871</v>
      </c>
    </row>
    <row r="3457" spans="1:202">
      <c r="A3457" s="181" t="s">
        <v>245</v>
      </c>
      <c r="GR3457" s="181">
        <v>0</v>
      </c>
      <c r="GS3457" s="181" t="s">
        <v>1871</v>
      </c>
      <c r="GT3457" s="181" t="s">
        <v>1871</v>
      </c>
    </row>
    <row r="3458" spans="1:202">
      <c r="A3458" s="181" t="s">
        <v>245</v>
      </c>
      <c r="GR3458" s="181">
        <v>0</v>
      </c>
      <c r="GS3458" s="181" t="s">
        <v>1871</v>
      </c>
      <c r="GT3458" s="181" t="s">
        <v>1871</v>
      </c>
    </row>
    <row r="3459" spans="1:202">
      <c r="A3459" s="181" t="s">
        <v>245</v>
      </c>
      <c r="GR3459" s="181">
        <v>0</v>
      </c>
      <c r="GS3459" s="181" t="s">
        <v>1871</v>
      </c>
      <c r="GT3459" s="181" t="s">
        <v>1871</v>
      </c>
    </row>
    <row r="3460" spans="1:202">
      <c r="A3460" s="181" t="s">
        <v>245</v>
      </c>
      <c r="GR3460" s="181">
        <v>0</v>
      </c>
      <c r="GS3460" s="181" t="s">
        <v>1871</v>
      </c>
      <c r="GT3460" s="181" t="s">
        <v>1871</v>
      </c>
    </row>
    <row r="3461" spans="1:202">
      <c r="A3461" s="181" t="s">
        <v>245</v>
      </c>
      <c r="GR3461" s="181">
        <v>0</v>
      </c>
      <c r="GS3461" s="181" t="s">
        <v>1871</v>
      </c>
      <c r="GT3461" s="181" t="s">
        <v>1871</v>
      </c>
    </row>
    <row r="3462" spans="1:202">
      <c r="A3462" s="181" t="s">
        <v>245</v>
      </c>
      <c r="GR3462" s="181">
        <v>0</v>
      </c>
      <c r="GS3462" s="181" t="s">
        <v>1871</v>
      </c>
      <c r="GT3462" s="181" t="s">
        <v>1871</v>
      </c>
    </row>
    <row r="3463" spans="1:202">
      <c r="A3463" s="181" t="s">
        <v>245</v>
      </c>
      <c r="GR3463" s="181">
        <v>0</v>
      </c>
      <c r="GS3463" s="181" t="s">
        <v>1871</v>
      </c>
      <c r="GT3463" s="181" t="s">
        <v>1871</v>
      </c>
    </row>
    <row r="3464" spans="1:202">
      <c r="A3464" s="181" t="s">
        <v>245</v>
      </c>
      <c r="GR3464" s="181">
        <v>0</v>
      </c>
      <c r="GS3464" s="181" t="s">
        <v>1871</v>
      </c>
      <c r="GT3464" s="181" t="s">
        <v>1871</v>
      </c>
    </row>
    <row r="3465" spans="1:202">
      <c r="A3465" s="181" t="s">
        <v>245</v>
      </c>
      <c r="GS3465" s="181" t="s">
        <v>1871</v>
      </c>
      <c r="GT3465" s="181" t="s">
        <v>1871</v>
      </c>
    </row>
    <row r="3466" spans="1:202">
      <c r="A3466" s="181" t="s">
        <v>245</v>
      </c>
      <c r="GR3466" s="181" t="s">
        <v>309</v>
      </c>
      <c r="GS3466" s="181" t="s">
        <v>1871</v>
      </c>
      <c r="GT3466" s="181" t="s">
        <v>1871</v>
      </c>
    </row>
    <row r="3467" spans="1:202">
      <c r="A3467" s="181" t="s">
        <v>245</v>
      </c>
      <c r="GS3467" s="181" t="s">
        <v>1871</v>
      </c>
      <c r="GT3467" s="181" t="s">
        <v>1871</v>
      </c>
    </row>
    <row r="3468" spans="1:202">
      <c r="A3468" s="181" t="s">
        <v>245</v>
      </c>
      <c r="GS3468" s="181" t="s">
        <v>1871</v>
      </c>
      <c r="GT3468" s="181" t="s">
        <v>1871</v>
      </c>
    </row>
    <row r="3469" spans="1:202">
      <c r="A3469" s="181" t="s">
        <v>245</v>
      </c>
      <c r="GS3469" s="181" t="s">
        <v>1871</v>
      </c>
      <c r="GT3469" s="181" t="s">
        <v>1871</v>
      </c>
    </row>
    <row r="3470" spans="1:202">
      <c r="A3470" s="181" t="s">
        <v>245</v>
      </c>
      <c r="GS3470" s="181" t="s">
        <v>1871</v>
      </c>
      <c r="GT3470" s="181" t="s">
        <v>1871</v>
      </c>
    </row>
    <row r="3471" spans="1:202">
      <c r="A3471" s="181" t="s">
        <v>245</v>
      </c>
      <c r="GS3471" s="181" t="s">
        <v>1871</v>
      </c>
      <c r="GT3471" s="181" t="s">
        <v>1871</v>
      </c>
    </row>
    <row r="3472" spans="1:202">
      <c r="A3472" s="181" t="s">
        <v>245</v>
      </c>
      <c r="GS3472" s="181" t="s">
        <v>1871</v>
      </c>
      <c r="GT3472" s="181" t="s">
        <v>1871</v>
      </c>
    </row>
    <row r="3473" spans="1:202">
      <c r="A3473" s="181" t="s">
        <v>245</v>
      </c>
      <c r="GS3473" s="181" t="s">
        <v>1871</v>
      </c>
      <c r="GT3473" s="181" t="s">
        <v>1871</v>
      </c>
    </row>
    <row r="3474" spans="1:202">
      <c r="A3474" s="181" t="s">
        <v>245</v>
      </c>
      <c r="GS3474" s="181" t="s">
        <v>1871</v>
      </c>
      <c r="GT3474" s="181" t="s">
        <v>1871</v>
      </c>
    </row>
    <row r="3475" spans="1:202">
      <c r="A3475" s="181" t="s">
        <v>245</v>
      </c>
      <c r="GS3475" s="181" t="s">
        <v>1871</v>
      </c>
      <c r="GT3475" s="181" t="s">
        <v>1871</v>
      </c>
    </row>
    <row r="3476" spans="1:202">
      <c r="A3476" s="181" t="s">
        <v>245</v>
      </c>
      <c r="GS3476" s="181" t="s">
        <v>1871</v>
      </c>
      <c r="GT3476" s="181" t="s">
        <v>1871</v>
      </c>
    </row>
    <row r="3477" spans="1:202">
      <c r="A3477" s="181" t="s">
        <v>245</v>
      </c>
      <c r="GS3477" s="181" t="s">
        <v>1871</v>
      </c>
      <c r="GT3477" s="181" t="s">
        <v>1871</v>
      </c>
    </row>
    <row r="3478" spans="1:202">
      <c r="A3478" s="181" t="s">
        <v>245</v>
      </c>
      <c r="GS3478" s="181" t="s">
        <v>1871</v>
      </c>
      <c r="GT3478" s="181" t="s">
        <v>1871</v>
      </c>
    </row>
    <row r="3479" spans="1:202">
      <c r="A3479" s="181" t="s">
        <v>245</v>
      </c>
      <c r="GS3479" s="181" t="s">
        <v>1871</v>
      </c>
      <c r="GT3479" s="181" t="s">
        <v>1871</v>
      </c>
    </row>
    <row r="3480" spans="1:202">
      <c r="A3480" s="181" t="s">
        <v>245</v>
      </c>
      <c r="GS3480" s="181" t="s">
        <v>1871</v>
      </c>
      <c r="GT3480" s="181" t="s">
        <v>1871</v>
      </c>
    </row>
    <row r="3481" spans="1:202">
      <c r="A3481" s="181" t="s">
        <v>245</v>
      </c>
      <c r="GS3481" s="181" t="s">
        <v>1871</v>
      </c>
      <c r="GT3481" s="181" t="s">
        <v>1871</v>
      </c>
    </row>
    <row r="3482" spans="1:202">
      <c r="A3482" s="181" t="s">
        <v>245</v>
      </c>
      <c r="GS3482" s="181" t="s">
        <v>1871</v>
      </c>
      <c r="GT3482" s="181" t="s">
        <v>1871</v>
      </c>
    </row>
    <row r="3483" spans="1:202">
      <c r="A3483" s="181" t="s">
        <v>245</v>
      </c>
      <c r="GS3483" s="181" t="s">
        <v>1871</v>
      </c>
      <c r="GT3483" s="181" t="s">
        <v>1871</v>
      </c>
    </row>
    <row r="3484" spans="1:202">
      <c r="A3484" s="181" t="s">
        <v>245</v>
      </c>
      <c r="GS3484" s="181" t="s">
        <v>1871</v>
      </c>
      <c r="GT3484" s="181" t="s">
        <v>1871</v>
      </c>
    </row>
    <row r="3485" spans="1:202">
      <c r="A3485" s="181" t="s">
        <v>245</v>
      </c>
      <c r="GS3485" s="181" t="s">
        <v>1871</v>
      </c>
      <c r="GT3485" s="181" t="s">
        <v>1871</v>
      </c>
    </row>
    <row r="3486" spans="1:202">
      <c r="A3486" s="181" t="s">
        <v>245</v>
      </c>
      <c r="GS3486" s="181" t="s">
        <v>1871</v>
      </c>
      <c r="GT3486" s="181" t="s">
        <v>1871</v>
      </c>
    </row>
    <row r="3487" spans="1:202">
      <c r="A3487" s="181" t="s">
        <v>245</v>
      </c>
      <c r="GS3487" s="181" t="s">
        <v>1871</v>
      </c>
      <c r="GT3487" s="181" t="s">
        <v>1871</v>
      </c>
    </row>
    <row r="3488" spans="1:202">
      <c r="A3488" s="181" t="s">
        <v>245</v>
      </c>
      <c r="GS3488" s="181" t="s">
        <v>1871</v>
      </c>
      <c r="GT3488" s="181" t="s">
        <v>1871</v>
      </c>
    </row>
    <row r="3489" spans="1:295">
      <c r="A3489" s="181" t="s">
        <v>245</v>
      </c>
      <c r="GS3489" s="181" t="s">
        <v>1871</v>
      </c>
      <c r="GT3489" s="181" t="s">
        <v>1871</v>
      </c>
    </row>
    <row r="3490" spans="1:295">
      <c r="A3490" s="181" t="s">
        <v>245</v>
      </c>
      <c r="GS3490" s="181" t="s">
        <v>1871</v>
      </c>
      <c r="GT3490" s="181" t="s">
        <v>1871</v>
      </c>
    </row>
    <row r="3491" spans="1:295">
      <c r="A3491" s="181" t="s">
        <v>245</v>
      </c>
      <c r="GS3491" s="181" t="s">
        <v>1871</v>
      </c>
      <c r="GT3491" s="181" t="s">
        <v>1871</v>
      </c>
    </row>
    <row r="3492" spans="1:295">
      <c r="A3492" s="181" t="s">
        <v>245</v>
      </c>
      <c r="GS3492" s="181" t="s">
        <v>1871</v>
      </c>
      <c r="GT3492" s="181" t="s">
        <v>1871</v>
      </c>
    </row>
    <row r="3493" spans="1:295">
      <c r="A3493" s="181" t="s">
        <v>245</v>
      </c>
      <c r="GS3493" s="181" t="s">
        <v>1871</v>
      </c>
      <c r="GT3493" s="181" t="s">
        <v>1871</v>
      </c>
    </row>
    <row r="3494" spans="1:295">
      <c r="A3494" s="181" t="s">
        <v>245</v>
      </c>
      <c r="GS3494" s="181" t="s">
        <v>1871</v>
      </c>
      <c r="GT3494" s="181" t="s">
        <v>1871</v>
      </c>
    </row>
    <row r="3495" spans="1:295">
      <c r="A3495" s="181" t="s">
        <v>245</v>
      </c>
      <c r="GS3495" s="181" t="s">
        <v>1871</v>
      </c>
      <c r="GT3495" s="181" t="s">
        <v>1871</v>
      </c>
    </row>
    <row r="3496" spans="1:295">
      <c r="A3496" s="181" t="s">
        <v>246</v>
      </c>
      <c r="B3496" s="181" t="s">
        <v>861</v>
      </c>
      <c r="C3496" s="181" t="s">
        <v>475</v>
      </c>
      <c r="F3496" s="181" t="s">
        <v>1680</v>
      </c>
      <c r="G3496" s="181">
        <v>1522072000</v>
      </c>
      <c r="H3496" s="181">
        <v>18</v>
      </c>
      <c r="I3496" s="181" t="s">
        <v>2800</v>
      </c>
      <c r="J3496" s="181" t="s">
        <v>2813</v>
      </c>
      <c r="K3496" s="181">
        <v>200</v>
      </c>
      <c r="L3496" s="181" t="s">
        <v>720</v>
      </c>
      <c r="M3496" s="181">
        <v>1</v>
      </c>
      <c r="N3496" s="181" t="s">
        <v>2165</v>
      </c>
      <c r="O3496" s="181" t="s">
        <v>2040</v>
      </c>
      <c r="P3496" s="181">
        <v>33</v>
      </c>
      <c r="Q3496" s="181">
        <v>66</v>
      </c>
      <c r="R3496" s="181">
        <v>2000000</v>
      </c>
      <c r="S3496" s="181">
        <v>4000000</v>
      </c>
      <c r="V3496" s="181">
        <v>371179</v>
      </c>
      <c r="W3496" s="181">
        <v>335947</v>
      </c>
      <c r="X3496" s="181">
        <v>74519.22356285993</v>
      </c>
      <c r="Y3496" s="181">
        <v>159200.15942974621</v>
      </c>
      <c r="Z3496" s="181">
        <v>637756012.17233288</v>
      </c>
      <c r="AA3496" s="181">
        <v>637756012.17233288</v>
      </c>
      <c r="AP3496" s="181" t="s">
        <v>861</v>
      </c>
      <c r="AQ3496" s="181" t="s">
        <v>475</v>
      </c>
      <c r="AR3496" s="181" t="s">
        <v>1021</v>
      </c>
      <c r="AS3496" s="181">
        <v>1700000</v>
      </c>
      <c r="AU3496" s="181">
        <v>2002.6936036800005</v>
      </c>
      <c r="AV3496" s="181">
        <v>4005.387207360001</v>
      </c>
      <c r="AW3496" s="181">
        <v>403.6887242088485</v>
      </c>
      <c r="AX3496" s="181">
        <v>403.6887242088485</v>
      </c>
      <c r="AY3496" s="181">
        <v>74621.656594678963</v>
      </c>
      <c r="AZ3496" s="181">
        <v>159418.99363408686</v>
      </c>
      <c r="BA3496" s="181" t="s">
        <v>750</v>
      </c>
      <c r="BB3496" s="181" t="s">
        <v>475</v>
      </c>
      <c r="BC3496" s="181">
        <v>247036.36</v>
      </c>
      <c r="BD3496" s="181">
        <v>522432.14</v>
      </c>
      <c r="BE3496" s="181">
        <v>534000000.00000006</v>
      </c>
      <c r="BF3496" s="181">
        <v>542434267.6160773</v>
      </c>
      <c r="BG3496" s="181">
        <v>247036.36</v>
      </c>
      <c r="BH3496" s="181">
        <v>522432.14</v>
      </c>
      <c r="BI3496" s="181">
        <v>533999999.76521665</v>
      </c>
      <c r="BJ3496" s="181">
        <v>542434267.50505817</v>
      </c>
      <c r="BK3496" s="181" t="s">
        <v>2827</v>
      </c>
      <c r="BL3496" s="181">
        <v>4778314.3306002561</v>
      </c>
      <c r="BM3496" s="181">
        <v>9556628.6612005122</v>
      </c>
      <c r="BP3496" s="181" t="s">
        <v>2827</v>
      </c>
      <c r="BQ3496" s="181">
        <v>5098605.5083502941</v>
      </c>
      <c r="BR3496" s="181">
        <v>10197211.016700588</v>
      </c>
      <c r="BU3496" s="181" t="s">
        <v>1634</v>
      </c>
      <c r="BZ3496" s="181">
        <v>31588694.941999972</v>
      </c>
      <c r="CC3496" s="181">
        <v>3921942.5</v>
      </c>
      <c r="CD3496" s="181">
        <v>7086385</v>
      </c>
      <c r="CE3496" s="181">
        <v>2201505</v>
      </c>
      <c r="CF3496" s="181">
        <v>2201505</v>
      </c>
      <c r="CG3496" s="181">
        <v>16997300</v>
      </c>
      <c r="CH3496" s="181">
        <v>16997300</v>
      </c>
      <c r="FY3496" s="181">
        <v>300</v>
      </c>
      <c r="FZ3496" s="181">
        <v>1423</v>
      </c>
      <c r="GA3496" s="181">
        <v>657</v>
      </c>
      <c r="GB3496" s="181">
        <v>300</v>
      </c>
      <c r="GC3496" s="181">
        <v>1423</v>
      </c>
      <c r="GD3496" s="181">
        <v>657</v>
      </c>
      <c r="GL3496" s="181">
        <v>-2198306</v>
      </c>
      <c r="GN3496" s="181">
        <v>0</v>
      </c>
      <c r="GR3496" s="181" t="s">
        <v>176</v>
      </c>
      <c r="GS3496" s="181">
        <v>122924965.22126886</v>
      </c>
      <c r="GT3496" s="181">
        <v>332456155.93934083</v>
      </c>
      <c r="HD3496" s="181" t="s">
        <v>2827</v>
      </c>
      <c r="HE3496" s="181">
        <v>13824269.9211997</v>
      </c>
      <c r="HF3496" s="181">
        <v>27648539.8423994</v>
      </c>
      <c r="HG3496" s="181" t="s">
        <v>1634</v>
      </c>
      <c r="HL3496" s="181" t="s">
        <v>932</v>
      </c>
      <c r="HM3496" s="181">
        <v>17500</v>
      </c>
      <c r="HN3496" s="181">
        <v>17500</v>
      </c>
      <c r="HS3496" s="181" t="s">
        <v>1382</v>
      </c>
      <c r="HT3496" s="181">
        <v>1055586</v>
      </c>
      <c r="HU3496" s="181">
        <v>2111172</v>
      </c>
      <c r="HV3496" s="181" t="s">
        <v>1878</v>
      </c>
      <c r="HW3496" s="181">
        <v>837665</v>
      </c>
      <c r="HX3496" s="181">
        <v>1675330</v>
      </c>
      <c r="HY3496" s="181" t="s">
        <v>2838</v>
      </c>
      <c r="HZ3496" s="181">
        <v>14179.851006495655</v>
      </c>
      <c r="IA3496" s="181">
        <v>28359.702012991307</v>
      </c>
      <c r="IG3496" s="181" t="s">
        <v>2840</v>
      </c>
      <c r="IH3496" s="181" t="s">
        <v>2841</v>
      </c>
      <c r="II3496" s="181">
        <v>48</v>
      </c>
      <c r="IJ3496" s="181" t="s">
        <v>2896</v>
      </c>
      <c r="IK3496" s="181" t="s">
        <v>2897</v>
      </c>
      <c r="IL3496" s="181">
        <v>8</v>
      </c>
      <c r="IM3496" s="181">
        <v>500000</v>
      </c>
      <c r="IN3496" s="181">
        <v>90000</v>
      </c>
      <c r="KI3496" s="181">
        <v>-4279547</v>
      </c>
    </row>
    <row r="3497" spans="1:295">
      <c r="A3497" s="181" t="s">
        <v>246</v>
      </c>
      <c r="B3497" s="181" t="s">
        <v>866</v>
      </c>
      <c r="C3497" s="181" t="s">
        <v>475</v>
      </c>
      <c r="F3497" s="181" t="s">
        <v>2797</v>
      </c>
      <c r="G3497" s="181">
        <v>967500000</v>
      </c>
      <c r="I3497" s="181" t="s">
        <v>2801</v>
      </c>
      <c r="J3497" s="181" t="s">
        <v>2814</v>
      </c>
      <c r="K3497" s="181">
        <v>60</v>
      </c>
      <c r="L3497" s="181" t="s">
        <v>475</v>
      </c>
      <c r="M3497" s="181">
        <v>1</v>
      </c>
      <c r="N3497" s="181" t="s">
        <v>2140</v>
      </c>
      <c r="O3497" s="181" t="s">
        <v>2115</v>
      </c>
      <c r="P3497" s="181">
        <v>25</v>
      </c>
      <c r="Q3497" s="181">
        <v>50</v>
      </c>
      <c r="R3497" s="181">
        <v>500000</v>
      </c>
      <c r="S3497" s="181">
        <v>1000000</v>
      </c>
      <c r="V3497" s="181">
        <v>107617</v>
      </c>
      <c r="W3497" s="181">
        <v>84049</v>
      </c>
      <c r="X3497" s="181">
        <v>15691.234417209134</v>
      </c>
      <c r="Y3497" s="181">
        <v>33522.182618583152</v>
      </c>
      <c r="Z3497" s="181">
        <v>2839562342.5892291</v>
      </c>
      <c r="AA3497" s="181">
        <v>2839562342.5892286</v>
      </c>
      <c r="AP3497" s="181" t="s">
        <v>863</v>
      </c>
      <c r="AQ3497" s="181" t="s">
        <v>475</v>
      </c>
      <c r="AR3497" s="181" t="s">
        <v>1021</v>
      </c>
      <c r="AS3497" s="181">
        <v>1700000</v>
      </c>
      <c r="AU3497" s="181">
        <v>3647.8171370666669</v>
      </c>
      <c r="AV3497" s="181">
        <v>7295.6342741333337</v>
      </c>
      <c r="AW3497" s="181">
        <v>900.16416662690904</v>
      </c>
      <c r="AX3497" s="181">
        <v>900.16416662690904</v>
      </c>
      <c r="AY3497" s="181">
        <v>16767.33725444799</v>
      </c>
      <c r="AZ3497" s="181">
        <v>35821.129589047981</v>
      </c>
      <c r="BA3497" s="181" t="s">
        <v>751</v>
      </c>
      <c r="BB3497" s="181" t="s">
        <v>666</v>
      </c>
      <c r="BC3497" s="181">
        <v>7685415</v>
      </c>
      <c r="BD3497" s="181">
        <v>15810830</v>
      </c>
      <c r="BE3497" s="181">
        <v>1000000</v>
      </c>
      <c r="BF3497" s="181">
        <v>1000000</v>
      </c>
      <c r="BG3497" s="181">
        <v>5215214</v>
      </c>
      <c r="BH3497" s="181">
        <v>11069376</v>
      </c>
      <c r="BI3497" s="181">
        <v>1000000</v>
      </c>
      <c r="BJ3497" s="181">
        <v>1000000</v>
      </c>
      <c r="BK3497" s="181" t="s">
        <v>972</v>
      </c>
      <c r="BL3497" s="181">
        <v>603097.99732261512</v>
      </c>
      <c r="BM3497" s="181">
        <v>1206195.9946452302</v>
      </c>
      <c r="BP3497" s="181" t="s">
        <v>972</v>
      </c>
      <c r="BQ3497" s="181">
        <v>1005083.1616431491</v>
      </c>
      <c r="BR3497" s="181">
        <v>2010166.3232862982</v>
      </c>
      <c r="BU3497" s="181" t="s">
        <v>2830</v>
      </c>
      <c r="BV3497" s="181">
        <v>44361.932743135068</v>
      </c>
      <c r="BW3497" s="181">
        <v>88723.865486270137</v>
      </c>
      <c r="CA3497" s="181">
        <v>36408352.799999997</v>
      </c>
      <c r="CB3497" s="181">
        <v>45150787.299999997</v>
      </c>
      <c r="CC3497" s="181">
        <v>647248</v>
      </c>
      <c r="CD3497" s="181">
        <v>1434391</v>
      </c>
      <c r="CE3497" s="181">
        <v>2675153</v>
      </c>
      <c r="CF3497" s="181">
        <v>3204514</v>
      </c>
      <c r="CG3497" s="181">
        <v>19847165</v>
      </c>
      <c r="CH3497" s="181">
        <v>22524239</v>
      </c>
      <c r="FY3497" s="181">
        <v>250</v>
      </c>
      <c r="FZ3497" s="181">
        <v>1180</v>
      </c>
      <c r="GA3497" s="181">
        <v>891</v>
      </c>
      <c r="GB3497" s="181">
        <v>250</v>
      </c>
      <c r="GC3497" s="181">
        <v>1180</v>
      </c>
      <c r="GD3497" s="181">
        <v>891</v>
      </c>
      <c r="GN3497" s="181">
        <v>0</v>
      </c>
      <c r="GR3497" s="181" t="s">
        <v>177</v>
      </c>
      <c r="GS3497" s="181">
        <v>0</v>
      </c>
      <c r="GT3497" s="181">
        <v>0</v>
      </c>
      <c r="HD3497" s="181" t="s">
        <v>972</v>
      </c>
      <c r="HE3497" s="181">
        <v>2195002.2106656721</v>
      </c>
      <c r="HF3497" s="181">
        <v>4390004.4213313442</v>
      </c>
      <c r="HG3497" s="181" t="s">
        <v>886</v>
      </c>
      <c r="HH3497" s="181">
        <v>5779788.289828252</v>
      </c>
      <c r="HI3497" s="181">
        <v>11559576.579656504</v>
      </c>
      <c r="HL3497" s="181" t="s">
        <v>1224</v>
      </c>
      <c r="HM3497" s="181">
        <v>4475000</v>
      </c>
      <c r="HN3497" s="181">
        <v>1650000</v>
      </c>
      <c r="HY3497" s="181" t="s">
        <v>2836</v>
      </c>
      <c r="HZ3497" s="181">
        <v>90509.48369467583</v>
      </c>
      <c r="IA3497" s="181">
        <v>181018.96738935163</v>
      </c>
      <c r="IG3497" s="181" t="s">
        <v>2840</v>
      </c>
      <c r="IH3497" s="181" t="s">
        <v>2842</v>
      </c>
      <c r="II3497" s="181">
        <v>42</v>
      </c>
      <c r="IJ3497" s="181" t="s">
        <v>2898</v>
      </c>
      <c r="IK3497" s="181" t="s">
        <v>2899</v>
      </c>
      <c r="IL3497" s="181">
        <v>84</v>
      </c>
      <c r="IM3497" s="181">
        <v>800000</v>
      </c>
      <c r="IN3497" s="181">
        <v>500000</v>
      </c>
    </row>
    <row r="3498" spans="1:295">
      <c r="A3498" s="181" t="s">
        <v>246</v>
      </c>
      <c r="B3498" s="181" t="s">
        <v>863</v>
      </c>
      <c r="C3498" s="181" t="s">
        <v>475</v>
      </c>
      <c r="F3498" s="181" t="s">
        <v>2172</v>
      </c>
      <c r="G3498" s="181">
        <v>450000000</v>
      </c>
      <c r="I3498" s="181" t="s">
        <v>2802</v>
      </c>
      <c r="J3498" s="181" t="s">
        <v>2815</v>
      </c>
      <c r="K3498" s="181">
        <v>80</v>
      </c>
      <c r="L3498" s="181" t="s">
        <v>475</v>
      </c>
      <c r="M3498" s="181">
        <v>1</v>
      </c>
      <c r="N3498" s="181" t="s">
        <v>2821</v>
      </c>
      <c r="O3498" s="181" t="s">
        <v>2115</v>
      </c>
      <c r="P3498" s="181">
        <v>25</v>
      </c>
      <c r="Q3498" s="181">
        <v>50</v>
      </c>
      <c r="R3498" s="181">
        <v>750000</v>
      </c>
      <c r="S3498" s="181">
        <v>1500000</v>
      </c>
      <c r="V3498" s="181">
        <v>49714</v>
      </c>
      <c r="W3498" s="181">
        <v>58909</v>
      </c>
      <c r="X3498" s="181">
        <v>5778.9593130368012</v>
      </c>
      <c r="Y3498" s="181">
        <v>12345.958532396802</v>
      </c>
      <c r="Z3498" s="181">
        <v>3075602171.5530519</v>
      </c>
      <c r="AA3498" s="181">
        <v>3075602171.5530524</v>
      </c>
      <c r="AP3498" s="181" t="s">
        <v>864</v>
      </c>
      <c r="AQ3498" s="181" t="s">
        <v>475</v>
      </c>
      <c r="AR3498" s="181" t="s">
        <v>1021</v>
      </c>
      <c r="AS3498" s="181">
        <v>1700000</v>
      </c>
      <c r="AU3498" s="181">
        <v>153.98532000000003</v>
      </c>
      <c r="AV3498" s="181">
        <v>307.97064000000006</v>
      </c>
      <c r="AW3498" s="181">
        <v>4468.5495412092632</v>
      </c>
      <c r="AX3498" s="181">
        <v>4468.5495412092632</v>
      </c>
      <c r="AY3498" s="181">
        <v>8532.1231086080006</v>
      </c>
      <c r="AZ3498" s="181">
        <v>18227.717550207999</v>
      </c>
      <c r="BA3498" s="181" t="s">
        <v>2825</v>
      </c>
      <c r="BB3498" s="181" t="s">
        <v>666</v>
      </c>
      <c r="BC3498" s="181">
        <v>7861970.7999999998</v>
      </c>
      <c r="BD3498" s="181">
        <v>18685010.300000001</v>
      </c>
      <c r="BE3498" s="181">
        <v>1000000</v>
      </c>
      <c r="BF3498" s="181">
        <v>1000000</v>
      </c>
      <c r="BG3498" s="181">
        <v>5512514</v>
      </c>
      <c r="BH3498" s="181">
        <v>9864372</v>
      </c>
      <c r="BI3498" s="181">
        <v>1000000</v>
      </c>
      <c r="BJ3498" s="181">
        <v>1000000</v>
      </c>
      <c r="BK3498" s="181" t="s">
        <v>1040</v>
      </c>
      <c r="BL3498" s="181">
        <v>486508.78033987427</v>
      </c>
      <c r="BM3498" s="181">
        <v>973017.56067974854</v>
      </c>
      <c r="BP3498" s="181" t="s">
        <v>1040</v>
      </c>
      <c r="BQ3498" s="181">
        <v>945355.1558490427</v>
      </c>
      <c r="BR3498" s="181">
        <v>1890710.3116980854</v>
      </c>
      <c r="BU3498" s="181" t="s">
        <v>924</v>
      </c>
      <c r="BV3498" s="181">
        <v>621656.5986645174</v>
      </c>
      <c r="BW3498" s="181">
        <v>1243313.1973290348</v>
      </c>
      <c r="FY3498" s="181">
        <v>0</v>
      </c>
      <c r="FZ3498" s="181">
        <v>0</v>
      </c>
      <c r="GA3498" s="181">
        <v>0</v>
      </c>
      <c r="GB3498" s="181">
        <v>0</v>
      </c>
      <c r="GC3498" s="181">
        <v>0</v>
      </c>
      <c r="GD3498" s="181">
        <v>0</v>
      </c>
      <c r="GM3498" s="181">
        <v>231721.97333333333</v>
      </c>
      <c r="GN3498" s="181">
        <v>463443.94666666666</v>
      </c>
      <c r="GR3498" s="181" t="s">
        <v>178</v>
      </c>
      <c r="GS3498" s="181">
        <v>0</v>
      </c>
      <c r="GT3498" s="181">
        <v>0</v>
      </c>
      <c r="HD3498" s="181" t="s">
        <v>1040</v>
      </c>
      <c r="HE3498" s="181">
        <v>3613080.8944418295</v>
      </c>
      <c r="HF3498" s="181">
        <v>7226161.7888836591</v>
      </c>
      <c r="HG3498" s="181" t="s">
        <v>748</v>
      </c>
      <c r="HH3498" s="181">
        <v>892877.18974963785</v>
      </c>
      <c r="HI3498" s="181">
        <v>1785754.3794992757</v>
      </c>
      <c r="HL3498" s="181" t="s">
        <v>1670</v>
      </c>
      <c r="HM3498" s="181">
        <v>876050</v>
      </c>
      <c r="HN3498" s="181">
        <v>876050</v>
      </c>
      <c r="HY3498" s="181" t="s">
        <v>2837</v>
      </c>
      <c r="HZ3498" s="181">
        <v>9661.0378298648866</v>
      </c>
      <c r="IA3498" s="181">
        <v>19322.07565972977</v>
      </c>
      <c r="IG3498" s="181" t="s">
        <v>2843</v>
      </c>
      <c r="IH3498" s="181" t="s">
        <v>2844</v>
      </c>
      <c r="II3498" s="181">
        <v>12</v>
      </c>
      <c r="IJ3498" s="181" t="s">
        <v>1317</v>
      </c>
      <c r="IK3498" s="181" t="s">
        <v>2609</v>
      </c>
      <c r="IL3498" s="2059">
        <v>50</v>
      </c>
      <c r="IM3498" s="181">
        <v>90000</v>
      </c>
      <c r="IN3498" s="181">
        <v>0</v>
      </c>
    </row>
    <row r="3499" spans="1:295">
      <c r="A3499" s="181" t="s">
        <v>246</v>
      </c>
      <c r="B3499" s="181" t="s">
        <v>865</v>
      </c>
      <c r="C3499" s="181" t="s">
        <v>475</v>
      </c>
      <c r="F3499" s="181" t="s">
        <v>2798</v>
      </c>
      <c r="G3499" s="181">
        <v>60000000</v>
      </c>
      <c r="I3499" s="181" t="s">
        <v>2803</v>
      </c>
      <c r="J3499" s="181" t="s">
        <v>2816</v>
      </c>
      <c r="K3499" s="181">
        <v>3</v>
      </c>
      <c r="L3499" s="181" t="s">
        <v>359</v>
      </c>
      <c r="M3499" s="181">
        <v>1</v>
      </c>
      <c r="N3499" s="181" t="s">
        <v>2822</v>
      </c>
      <c r="O3499" s="181" t="s">
        <v>2823</v>
      </c>
      <c r="P3499" s="181">
        <v>30</v>
      </c>
      <c r="Q3499" s="181">
        <v>65</v>
      </c>
      <c r="R3499" s="181">
        <v>1000000</v>
      </c>
      <c r="S3499" s="181">
        <v>2000000</v>
      </c>
      <c r="V3499" s="181">
        <v>161022</v>
      </c>
      <c r="W3499" s="181">
        <v>112770</v>
      </c>
      <c r="X3499" s="181">
        <v>27495.8682972161</v>
      </c>
      <c r="Y3499" s="181">
        <v>58741.173180416212</v>
      </c>
      <c r="Z3499" s="181">
        <v>819066391.52790511</v>
      </c>
      <c r="AA3499" s="181">
        <v>819066391.52790523</v>
      </c>
      <c r="AP3499" s="181" t="s">
        <v>865</v>
      </c>
      <c r="AQ3499" s="181" t="s">
        <v>475</v>
      </c>
      <c r="AR3499" s="181" t="s">
        <v>1021</v>
      </c>
      <c r="AS3499" s="181">
        <v>1700000</v>
      </c>
      <c r="AU3499" s="181">
        <v>10.992132</v>
      </c>
      <c r="AV3499" s="181">
        <v>21.984264</v>
      </c>
      <c r="AW3499" s="181">
        <v>828.1661308808367</v>
      </c>
      <c r="AX3499" s="181">
        <v>828.1661308808367</v>
      </c>
      <c r="AY3499" s="181">
        <v>26823.142924115971</v>
      </c>
      <c r="AZ3499" s="181">
        <v>57303.987156065938</v>
      </c>
      <c r="BK3499" s="181" t="s">
        <v>2829</v>
      </c>
      <c r="BL3499" s="181">
        <v>143154.36154210212</v>
      </c>
      <c r="BM3499" s="181">
        <v>286308.72308420425</v>
      </c>
      <c r="BP3499" s="181" t="s">
        <v>2829</v>
      </c>
      <c r="BQ3499" s="181">
        <v>341403.03358410636</v>
      </c>
      <c r="BR3499" s="181">
        <v>682806.06716821273</v>
      </c>
      <c r="BU3499" s="181" t="s">
        <v>888</v>
      </c>
      <c r="BV3499" s="181">
        <v>1071922.0786762096</v>
      </c>
      <c r="BW3499" s="181">
        <v>2143844.1573524191</v>
      </c>
      <c r="FY3499" s="181">
        <v>0</v>
      </c>
      <c r="FZ3499" s="181">
        <v>0</v>
      </c>
      <c r="GA3499" s="181">
        <v>0</v>
      </c>
      <c r="GB3499" s="181">
        <v>0</v>
      </c>
      <c r="GC3499" s="181">
        <v>0</v>
      </c>
      <c r="GD3499" s="181">
        <v>0</v>
      </c>
      <c r="GM3499" s="181">
        <v>4000000</v>
      </c>
      <c r="GN3499" s="181">
        <v>8000000</v>
      </c>
      <c r="GR3499" s="181" t="s">
        <v>1707</v>
      </c>
      <c r="GS3499" s="181">
        <v>0</v>
      </c>
      <c r="GT3499" s="181">
        <v>0</v>
      </c>
      <c r="HD3499" s="181" t="s">
        <v>2828</v>
      </c>
      <c r="HE3499" s="181">
        <v>610064.4883698154</v>
      </c>
      <c r="HF3499" s="181">
        <v>1220128.9767396308</v>
      </c>
      <c r="HG3499" s="181" t="s">
        <v>887</v>
      </c>
      <c r="HH3499" s="181">
        <v>174633.05318030881</v>
      </c>
      <c r="HI3499" s="181">
        <v>349266.10636061762</v>
      </c>
      <c r="HL3499" s="181" t="s">
        <v>2120</v>
      </c>
      <c r="HM3499" s="181">
        <v>5651842</v>
      </c>
      <c r="HN3499" s="181">
        <v>5651842</v>
      </c>
      <c r="HO3499" s="181">
        <v>64644.6</v>
      </c>
      <c r="HP3499" s="181">
        <v>64644.6</v>
      </c>
      <c r="HY3499" s="181" t="s">
        <v>2839</v>
      </c>
      <c r="HZ3499" s="181">
        <v>115643.44226241691</v>
      </c>
      <c r="IA3499" s="181">
        <v>231286.88452483379</v>
      </c>
      <c r="IG3499" s="181" t="s">
        <v>2843</v>
      </c>
      <c r="IH3499" s="181" t="s">
        <v>2845</v>
      </c>
      <c r="II3499" s="181">
        <v>12</v>
      </c>
      <c r="IJ3499" s="181" t="s">
        <v>1317</v>
      </c>
      <c r="IK3499" s="181" t="s">
        <v>2609</v>
      </c>
      <c r="IL3499" s="2059">
        <v>50</v>
      </c>
      <c r="IM3499" s="181">
        <v>250000</v>
      </c>
      <c r="IN3499" s="181">
        <v>0</v>
      </c>
    </row>
    <row r="3500" spans="1:295">
      <c r="A3500" s="181" t="s">
        <v>246</v>
      </c>
      <c r="B3500" s="181" t="s">
        <v>867</v>
      </c>
      <c r="C3500" s="181" t="s">
        <v>475</v>
      </c>
      <c r="F3500" s="181" t="s">
        <v>636</v>
      </c>
      <c r="G3500" s="181">
        <v>107000</v>
      </c>
      <c r="I3500" s="181" t="s">
        <v>2804</v>
      </c>
      <c r="J3500" s="181" t="s">
        <v>2817</v>
      </c>
      <c r="K3500" s="181">
        <v>2</v>
      </c>
      <c r="L3500" s="181" t="s">
        <v>1055</v>
      </c>
      <c r="M3500" s="181">
        <v>1</v>
      </c>
      <c r="N3500" s="181" t="s">
        <v>2140</v>
      </c>
      <c r="O3500" s="181" t="s">
        <v>2115</v>
      </c>
      <c r="P3500" s="181">
        <v>25</v>
      </c>
      <c r="Q3500" s="181">
        <v>50</v>
      </c>
      <c r="S3500" s="181">
        <v>0</v>
      </c>
      <c r="V3500" s="181">
        <v>171265</v>
      </c>
      <c r="W3500" s="181">
        <v>109813</v>
      </c>
      <c r="X3500" s="181">
        <v>25930.295926315855</v>
      </c>
      <c r="Y3500" s="181">
        <v>55396.541297129326</v>
      </c>
      <c r="Z3500" s="181">
        <v>327940382.59273928</v>
      </c>
      <c r="AA3500" s="181">
        <v>327940382.59273922</v>
      </c>
      <c r="AP3500" s="181" t="s">
        <v>866</v>
      </c>
      <c r="AQ3500" s="181" t="s">
        <v>475</v>
      </c>
      <c r="AR3500" s="181" t="s">
        <v>1021</v>
      </c>
      <c r="AS3500" s="181">
        <v>1700000</v>
      </c>
      <c r="AU3500" s="181">
        <v>1934.8747286999997</v>
      </c>
      <c r="AV3500" s="181">
        <v>3869.7494573999993</v>
      </c>
      <c r="AW3500" s="181">
        <v>1200.6183084653894</v>
      </c>
      <c r="AX3500" s="181">
        <v>1200.6183084653894</v>
      </c>
      <c r="AY3500" s="181">
        <v>26204.392744462832</v>
      </c>
      <c r="AZ3500" s="181">
        <v>55982.111772261509</v>
      </c>
      <c r="BK3500" s="181" t="s">
        <v>333</v>
      </c>
      <c r="BL3500" s="181">
        <v>709411.27846342907</v>
      </c>
      <c r="BM3500" s="181">
        <v>1418822.5569268581</v>
      </c>
      <c r="BP3500" s="181" t="s">
        <v>333</v>
      </c>
      <c r="BQ3500" s="181">
        <v>964956.79057342827</v>
      </c>
      <c r="BR3500" s="181">
        <v>1929913.5811468565</v>
      </c>
      <c r="BU3500" s="181" t="s">
        <v>2831</v>
      </c>
      <c r="BV3500" s="181">
        <v>1088759.1894044038</v>
      </c>
      <c r="BW3500" s="181">
        <v>2177518.3788088076</v>
      </c>
      <c r="FY3500" s="181">
        <v>538</v>
      </c>
      <c r="FZ3500" s="181">
        <v>2202</v>
      </c>
      <c r="GA3500" s="181">
        <v>1652</v>
      </c>
      <c r="GB3500" s="181">
        <v>538</v>
      </c>
      <c r="GC3500" s="181">
        <v>2202</v>
      </c>
      <c r="GD3500" s="181">
        <v>1652</v>
      </c>
      <c r="GN3500" s="181">
        <v>0</v>
      </c>
      <c r="GR3500" s="181" t="s">
        <v>175</v>
      </c>
      <c r="GS3500" s="181">
        <v>5692697.4727100544</v>
      </c>
      <c r="GT3500" s="181">
        <v>14231743.681775136</v>
      </c>
      <c r="HG3500" s="181" t="s">
        <v>888</v>
      </c>
      <c r="HH3500" s="181">
        <v>163907.39957550401</v>
      </c>
      <c r="HI3500" s="181">
        <v>327814.79915100802</v>
      </c>
      <c r="HL3500" s="181" t="s">
        <v>1742</v>
      </c>
      <c r="HM3500" s="181">
        <v>110000</v>
      </c>
      <c r="HN3500" s="181">
        <v>10000</v>
      </c>
      <c r="HY3500" s="181" t="s">
        <v>1875</v>
      </c>
      <c r="HZ3500" s="181">
        <v>12788.276864309824</v>
      </c>
      <c r="IA3500" s="181">
        <v>25576.553728619645</v>
      </c>
      <c r="IG3500" s="181" t="s">
        <v>2843</v>
      </c>
      <c r="IH3500" s="181" t="s">
        <v>2846</v>
      </c>
      <c r="II3500" s="181">
        <v>15</v>
      </c>
      <c r="IJ3500" s="181" t="s">
        <v>1317</v>
      </c>
      <c r="IK3500" s="181" t="s">
        <v>2115</v>
      </c>
      <c r="IL3500" s="181">
        <v>20</v>
      </c>
      <c r="IM3500" s="181">
        <v>300000</v>
      </c>
      <c r="IN3500" s="181">
        <v>60000</v>
      </c>
    </row>
    <row r="3501" spans="1:295">
      <c r="A3501" s="181" t="s">
        <v>246</v>
      </c>
      <c r="B3501" s="181" t="s">
        <v>864</v>
      </c>
      <c r="C3501" s="181" t="s">
        <v>475</v>
      </c>
      <c r="F3501" s="181" t="s">
        <v>2799</v>
      </c>
      <c r="G3501" s="181">
        <v>107000</v>
      </c>
      <c r="I3501" s="181" t="s">
        <v>2805</v>
      </c>
      <c r="J3501" s="181" t="s">
        <v>2818</v>
      </c>
      <c r="K3501" s="181">
        <v>100</v>
      </c>
      <c r="L3501" s="181" t="s">
        <v>933</v>
      </c>
      <c r="M3501" s="181">
        <v>1</v>
      </c>
      <c r="N3501" s="181" t="s">
        <v>2140</v>
      </c>
      <c r="O3501" s="181" t="s">
        <v>2115</v>
      </c>
      <c r="P3501" s="181">
        <v>25</v>
      </c>
      <c r="Q3501" s="181">
        <v>50</v>
      </c>
      <c r="S3501" s="181">
        <v>0</v>
      </c>
      <c r="V3501" s="181">
        <v>25348</v>
      </c>
      <c r="W3501" s="181">
        <v>15846</v>
      </c>
      <c r="X3501" s="181">
        <v>4118.5177282307941</v>
      </c>
      <c r="Y3501" s="181">
        <v>8798.6515103112433</v>
      </c>
      <c r="Z3501" s="181">
        <v>5519497563.0327568</v>
      </c>
      <c r="AA3501" s="181">
        <v>5519497563.0327568</v>
      </c>
      <c r="AP3501" s="181" t="s">
        <v>867</v>
      </c>
      <c r="AQ3501" s="181" t="s">
        <v>475</v>
      </c>
      <c r="AR3501" s="181" t="s">
        <v>1021</v>
      </c>
      <c r="AS3501" s="181">
        <v>1700000</v>
      </c>
      <c r="AU3501" s="181">
        <v>1046.8491326066667</v>
      </c>
      <c r="AV3501" s="181">
        <v>2093.6982652133333</v>
      </c>
      <c r="AW3501" s="181">
        <v>320.07444174184201</v>
      </c>
      <c r="AX3501" s="181">
        <v>320.07444174184201</v>
      </c>
      <c r="AY3501" s="181">
        <v>4237.1847991439963</v>
      </c>
      <c r="AZ3501" s="181">
        <v>9052.1675254439906</v>
      </c>
      <c r="BU3501" s="181" t="s">
        <v>2832</v>
      </c>
      <c r="BV3501" s="181">
        <v>358349.6652126601</v>
      </c>
      <c r="BW3501" s="181">
        <v>716699.33042532019</v>
      </c>
      <c r="GM3501" s="181">
        <v>4231721.9733333336</v>
      </c>
      <c r="GN3501" s="181">
        <v>8463443.9466666672</v>
      </c>
      <c r="GR3501" s="181" t="s">
        <v>871</v>
      </c>
      <c r="GS3501" s="181">
        <v>66873336.230000019</v>
      </c>
      <c r="GT3501" s="181">
        <v>66873336.230000019</v>
      </c>
      <c r="HG3501" s="181" t="s">
        <v>1160</v>
      </c>
      <c r="HH3501" s="181">
        <v>44843.183267109001</v>
      </c>
      <c r="HI3501" s="181">
        <v>89686.366534218003</v>
      </c>
      <c r="HL3501" s="181" t="s">
        <v>917</v>
      </c>
      <c r="HM3501" s="181">
        <v>322100</v>
      </c>
      <c r="HN3501" s="181">
        <v>87100</v>
      </c>
      <c r="HY3501" s="181" t="s">
        <v>333</v>
      </c>
      <c r="HZ3501" s="181">
        <v>27622.084301693409</v>
      </c>
      <c r="IA3501" s="181">
        <v>55244.168603386803</v>
      </c>
      <c r="IG3501" s="181" t="s">
        <v>2847</v>
      </c>
      <c r="IH3501" s="181" t="s">
        <v>2848</v>
      </c>
      <c r="II3501" s="181">
        <v>15</v>
      </c>
      <c r="IJ3501" s="181" t="s">
        <v>2900</v>
      </c>
      <c r="IK3501" s="181" t="s">
        <v>2901</v>
      </c>
      <c r="IL3501" s="181">
        <v>90</v>
      </c>
      <c r="IM3501" s="181">
        <v>800000</v>
      </c>
      <c r="IN3501" s="181">
        <v>400000</v>
      </c>
    </row>
    <row r="3502" spans="1:295">
      <c r="A3502" s="181" t="s">
        <v>246</v>
      </c>
      <c r="B3502" s="181" t="s">
        <v>2826</v>
      </c>
      <c r="C3502" s="181" t="s">
        <v>475</v>
      </c>
      <c r="F3502" s="181" t="s">
        <v>743</v>
      </c>
      <c r="G3502" s="181">
        <v>107000</v>
      </c>
      <c r="I3502" s="181" t="s">
        <v>2806</v>
      </c>
      <c r="J3502" s="181" t="s">
        <v>2819</v>
      </c>
      <c r="K3502" s="181">
        <v>7000000</v>
      </c>
      <c r="L3502" s="181" t="s">
        <v>2820</v>
      </c>
      <c r="M3502" s="181">
        <v>1</v>
      </c>
      <c r="N3502" s="181" t="s">
        <v>2140</v>
      </c>
      <c r="O3502" s="181" t="s">
        <v>2041</v>
      </c>
      <c r="P3502" s="181">
        <v>50</v>
      </c>
      <c r="Q3502" s="181">
        <v>100</v>
      </c>
      <c r="S3502" s="181">
        <v>7000000</v>
      </c>
      <c r="V3502" s="181">
        <v>43871</v>
      </c>
      <c r="W3502" s="181">
        <v>34120</v>
      </c>
      <c r="X3502" s="181">
        <v>10548.151047537182</v>
      </c>
      <c r="Y3502" s="181">
        <v>22534.686328829433</v>
      </c>
      <c r="Z3502" s="181">
        <v>1784631379.7556872</v>
      </c>
      <c r="AA3502" s="181">
        <v>1784631379.7556875</v>
      </c>
      <c r="AP3502" s="181" t="s">
        <v>868</v>
      </c>
      <c r="AQ3502" s="181" t="s">
        <v>475</v>
      </c>
      <c r="AR3502" s="181" t="s">
        <v>1021</v>
      </c>
      <c r="AS3502" s="181">
        <v>1700000</v>
      </c>
      <c r="AU3502" s="181">
        <v>493.74000000000007</v>
      </c>
      <c r="AV3502" s="181">
        <v>987.48000000000013</v>
      </c>
      <c r="AW3502" s="181">
        <v>606.87623987387008</v>
      </c>
      <c r="AX3502" s="181">
        <v>606.87623987387008</v>
      </c>
      <c r="AY3502" s="181">
        <v>10307.988109061867</v>
      </c>
      <c r="AZ3502" s="181">
        <v>22021.610960268536</v>
      </c>
      <c r="BU3502" s="181" t="s">
        <v>890</v>
      </c>
      <c r="BV3502" s="181">
        <v>489951.09551038063</v>
      </c>
      <c r="BW3502" s="181">
        <v>979902.19102076127</v>
      </c>
      <c r="GN3502" s="181">
        <v>0</v>
      </c>
      <c r="GR3502" s="181" t="s">
        <v>871</v>
      </c>
      <c r="GS3502" s="181">
        <v>0</v>
      </c>
      <c r="GT3502" s="181">
        <v>0</v>
      </c>
      <c r="HG3502" s="181" t="s">
        <v>723</v>
      </c>
      <c r="HH3502" s="181">
        <v>344797.3125</v>
      </c>
      <c r="HI3502" s="181">
        <v>689594.625</v>
      </c>
      <c r="HL3502" s="181" t="s">
        <v>894</v>
      </c>
      <c r="HY3502" s="181" t="s">
        <v>167</v>
      </c>
      <c r="HZ3502" s="181">
        <v>53945.824040543419</v>
      </c>
      <c r="IA3502" s="181">
        <v>107891.64808108682</v>
      </c>
      <c r="IG3502" s="181" t="s">
        <v>2847</v>
      </c>
      <c r="IH3502" s="181" t="s">
        <v>2849</v>
      </c>
      <c r="II3502" s="181">
        <v>9</v>
      </c>
      <c r="IJ3502" s="181" t="s">
        <v>2900</v>
      </c>
      <c r="IK3502" s="181" t="s">
        <v>2902</v>
      </c>
      <c r="IL3502" s="181">
        <v>95</v>
      </c>
      <c r="IM3502" s="181">
        <v>150000</v>
      </c>
      <c r="IN3502" s="181">
        <v>150000</v>
      </c>
    </row>
    <row r="3503" spans="1:295">
      <c r="A3503" s="181" t="s">
        <v>246</v>
      </c>
      <c r="B3503" s="181" t="s">
        <v>2824</v>
      </c>
      <c r="C3503" s="181" t="s">
        <v>475</v>
      </c>
      <c r="F3503" s="181" t="s">
        <v>766</v>
      </c>
      <c r="G3503" s="181">
        <v>107000</v>
      </c>
      <c r="I3503" s="181" t="s">
        <v>2807</v>
      </c>
      <c r="V3503" s="181">
        <v>19968</v>
      </c>
      <c r="W3503" s="181">
        <v>13404</v>
      </c>
      <c r="X3503" s="181">
        <v>3160.5092715900232</v>
      </c>
      <c r="Y3503" s="181">
        <v>6751.9970802150492</v>
      </c>
      <c r="Z3503" s="181">
        <v>866589154.54543304</v>
      </c>
      <c r="AA3503" s="181">
        <v>866589154.54543304</v>
      </c>
      <c r="AP3503" s="181" t="s">
        <v>333</v>
      </c>
      <c r="AQ3503" s="181" t="s">
        <v>475</v>
      </c>
      <c r="AR3503" s="181" t="s">
        <v>1021</v>
      </c>
      <c r="AS3503" s="181">
        <v>1700000</v>
      </c>
      <c r="AU3503" s="181">
        <v>64.913594399999994</v>
      </c>
      <c r="AV3503" s="181">
        <v>129.82718879999999</v>
      </c>
      <c r="AW3503" s="181">
        <v>518.9593275023517</v>
      </c>
      <c r="AX3503" s="181">
        <v>518.9593275023517</v>
      </c>
      <c r="AY3503" s="181">
        <v>3092.995675425333</v>
      </c>
      <c r="AZ3503" s="181">
        <v>6607.7634884086656</v>
      </c>
      <c r="BU3503" s="181" t="s">
        <v>333</v>
      </c>
      <c r="BV3503" s="181">
        <v>3232829.8984002499</v>
      </c>
      <c r="BW3503" s="181">
        <v>6465659.79680051</v>
      </c>
      <c r="GN3503" s="181">
        <v>0</v>
      </c>
      <c r="GR3503" s="181" t="s">
        <v>871</v>
      </c>
      <c r="GS3503" s="181">
        <v>0</v>
      </c>
      <c r="GT3503" s="181">
        <v>0</v>
      </c>
      <c r="HG3503" s="181" t="s">
        <v>889</v>
      </c>
      <c r="HH3503" s="181">
        <v>197828.9375</v>
      </c>
      <c r="HI3503" s="181">
        <v>395657.875</v>
      </c>
      <c r="HL3503" s="181" t="s">
        <v>2125</v>
      </c>
      <c r="HM3503" s="181">
        <v>275000</v>
      </c>
      <c r="HN3503" s="181">
        <v>275000</v>
      </c>
      <c r="IG3503" s="181" t="s">
        <v>2847</v>
      </c>
      <c r="IH3503" s="181" t="s">
        <v>2850</v>
      </c>
      <c r="II3503" s="181">
        <v>20</v>
      </c>
      <c r="IJ3503" s="181" t="s">
        <v>2903</v>
      </c>
      <c r="IK3503" s="181" t="s">
        <v>2902</v>
      </c>
      <c r="IL3503" s="181">
        <v>100</v>
      </c>
      <c r="IM3503" s="181">
        <v>2400000</v>
      </c>
      <c r="IN3503" s="181">
        <v>1000000</v>
      </c>
    </row>
    <row r="3504" spans="1:295">
      <c r="A3504" s="181" t="s">
        <v>246</v>
      </c>
      <c r="B3504" s="181" t="s">
        <v>2825</v>
      </c>
      <c r="C3504" s="181" t="s">
        <v>2820</v>
      </c>
      <c r="I3504" s="181" t="s">
        <v>2808</v>
      </c>
      <c r="V3504" s="181">
        <v>15313</v>
      </c>
      <c r="W3504" s="181">
        <v>10239</v>
      </c>
      <c r="X3504" s="181">
        <v>414461.89678519999</v>
      </c>
      <c r="Y3504" s="181">
        <v>885441.32495020004</v>
      </c>
      <c r="Z3504" s="181">
        <v>1000000</v>
      </c>
      <c r="AA3504" s="181">
        <v>1000000</v>
      </c>
      <c r="AY3504" s="181">
        <v>2205.3905500000001</v>
      </c>
      <c r="AZ3504" s="181">
        <v>4711.5161750000007</v>
      </c>
      <c r="GN3504" s="181">
        <v>0</v>
      </c>
      <c r="GR3504" s="181" t="s">
        <v>871</v>
      </c>
      <c r="GS3504" s="181">
        <v>0</v>
      </c>
      <c r="GT3504" s="181">
        <v>0</v>
      </c>
      <c r="HG3504" s="181" t="s">
        <v>890</v>
      </c>
      <c r="HH3504" s="181">
        <v>2719632.8253523265</v>
      </c>
      <c r="HI3504" s="181">
        <v>5439265.650704653</v>
      </c>
      <c r="HL3504" s="181" t="s">
        <v>2121</v>
      </c>
      <c r="IG3504" s="181" t="s">
        <v>2851</v>
      </c>
      <c r="IH3504" s="181" t="s">
        <v>2852</v>
      </c>
      <c r="II3504" s="181">
        <v>49</v>
      </c>
      <c r="IJ3504" s="181" t="s">
        <v>2904</v>
      </c>
      <c r="IK3504" s="181" t="s">
        <v>2905</v>
      </c>
      <c r="IL3504" s="181">
        <v>80</v>
      </c>
      <c r="IM3504" s="181">
        <v>2187319</v>
      </c>
      <c r="IN3504" s="181">
        <v>300000</v>
      </c>
    </row>
    <row r="3505" spans="1:248">
      <c r="A3505" s="181" t="s">
        <v>246</v>
      </c>
      <c r="B3505" s="181" t="s">
        <v>333</v>
      </c>
      <c r="C3505" s="181" t="s">
        <v>2820</v>
      </c>
      <c r="I3505" s="181" t="s">
        <v>2809</v>
      </c>
      <c r="V3505" s="181">
        <v>24737</v>
      </c>
      <c r="W3505" s="181">
        <v>10728</v>
      </c>
      <c r="X3505" s="181">
        <v>660278.61153848004</v>
      </c>
      <c r="Y3505" s="181">
        <v>1410595.21555948</v>
      </c>
      <c r="Z3505" s="181">
        <v>1000000</v>
      </c>
      <c r="AA3505" s="181">
        <v>1000000</v>
      </c>
      <c r="AY3505" s="181">
        <v>797.15296413866668</v>
      </c>
      <c r="AZ3505" s="181">
        <v>1703.0086052053332</v>
      </c>
      <c r="GM3505" s="181">
        <v>0</v>
      </c>
      <c r="GN3505" s="181">
        <v>0</v>
      </c>
      <c r="GR3505" s="181" t="s">
        <v>871</v>
      </c>
      <c r="GS3505" s="181">
        <v>0</v>
      </c>
      <c r="GT3505" s="181">
        <v>0</v>
      </c>
      <c r="HG3505" s="181" t="s">
        <v>2833</v>
      </c>
      <c r="HH3505" s="181">
        <v>227350.97628277243</v>
      </c>
      <c r="HI3505" s="181">
        <v>454701.95256554487</v>
      </c>
      <c r="HL3505" s="181" t="s">
        <v>2685</v>
      </c>
      <c r="IG3505" s="181" t="s">
        <v>2851</v>
      </c>
      <c r="IH3505" s="181" t="s">
        <v>2853</v>
      </c>
      <c r="II3505" s="181">
        <v>12</v>
      </c>
      <c r="IJ3505" s="181" t="s">
        <v>2507</v>
      </c>
      <c r="IK3505" s="181" t="s">
        <v>2662</v>
      </c>
      <c r="IL3505" s="181">
        <v>100</v>
      </c>
      <c r="IM3505" s="181">
        <v>654250</v>
      </c>
      <c r="IN3505" s="181">
        <v>327125</v>
      </c>
    </row>
    <row r="3506" spans="1:248">
      <c r="A3506" s="181" t="s">
        <v>246</v>
      </c>
      <c r="I3506" s="181" t="s">
        <v>2810</v>
      </c>
      <c r="GM3506" s="181">
        <v>4231721.9733333336</v>
      </c>
      <c r="GN3506" s="181">
        <v>8463443.9466666672</v>
      </c>
      <c r="GR3506" s="181" t="s">
        <v>871</v>
      </c>
      <c r="GS3506" s="181">
        <v>0</v>
      </c>
      <c r="GT3506" s="181">
        <v>0</v>
      </c>
      <c r="HG3506" s="181" t="s">
        <v>2835</v>
      </c>
      <c r="HH3506" s="181">
        <v>165994.98456404838</v>
      </c>
      <c r="HI3506" s="181">
        <v>331989.96912809677</v>
      </c>
      <c r="IG3506" s="181" t="s">
        <v>2854</v>
      </c>
      <c r="IH3506" s="181" t="s">
        <v>2855</v>
      </c>
      <c r="II3506" s="181">
        <v>12</v>
      </c>
      <c r="IJ3506" s="181" t="s">
        <v>2043</v>
      </c>
      <c r="IK3506" s="181" t="s">
        <v>2661</v>
      </c>
      <c r="IL3506" s="181">
        <v>60</v>
      </c>
      <c r="IM3506" s="181">
        <v>200000</v>
      </c>
      <c r="IN3506" s="2059">
        <v>100</v>
      </c>
    </row>
    <row r="3507" spans="1:248">
      <c r="A3507" s="181" t="s">
        <v>246</v>
      </c>
      <c r="I3507" s="181" t="s">
        <v>2811</v>
      </c>
      <c r="GM3507" s="181">
        <v>-827476</v>
      </c>
      <c r="GN3507" s="181">
        <v>-1654952</v>
      </c>
      <c r="GR3507" s="181" t="s">
        <v>871</v>
      </c>
      <c r="GS3507" s="181">
        <v>0</v>
      </c>
      <c r="GT3507" s="181">
        <v>0</v>
      </c>
      <c r="HG3507" s="181" t="s">
        <v>891</v>
      </c>
      <c r="HH3507" s="181">
        <v>469099.50240309106</v>
      </c>
      <c r="HI3507" s="181">
        <v>938199.00480618211</v>
      </c>
      <c r="IG3507" s="181" t="s">
        <v>2854</v>
      </c>
      <c r="IH3507" s="181" t="s">
        <v>2856</v>
      </c>
      <c r="II3507" s="181">
        <v>4</v>
      </c>
      <c r="IJ3507" s="181" t="s">
        <v>2507</v>
      </c>
      <c r="IK3507" s="181" t="s">
        <v>2114</v>
      </c>
      <c r="IL3507" s="181">
        <v>50</v>
      </c>
      <c r="IM3507" s="181">
        <v>200000</v>
      </c>
      <c r="IN3507" s="181">
        <v>100000</v>
      </c>
    </row>
    <row r="3508" spans="1:248">
      <c r="A3508" s="181" t="s">
        <v>246</v>
      </c>
      <c r="I3508" s="181" t="s">
        <v>2812</v>
      </c>
      <c r="GM3508" s="181">
        <v>0</v>
      </c>
      <c r="GN3508" s="181">
        <v>440000</v>
      </c>
      <c r="GR3508" s="181" t="s">
        <v>871</v>
      </c>
      <c r="GS3508" s="181">
        <v>0</v>
      </c>
      <c r="GT3508" s="181">
        <v>0</v>
      </c>
      <c r="HG3508" s="181" t="s">
        <v>654</v>
      </c>
      <c r="HH3508" s="181">
        <v>256158.26405342569</v>
      </c>
      <c r="HI3508" s="181">
        <v>512316.52810685139</v>
      </c>
      <c r="IG3508" s="181" t="s">
        <v>2262</v>
      </c>
      <c r="IH3508" s="181" t="s">
        <v>2857</v>
      </c>
      <c r="II3508" s="181">
        <v>27</v>
      </c>
      <c r="IJ3508" s="181" t="s">
        <v>1388</v>
      </c>
      <c r="IK3508" s="181" t="s">
        <v>1284</v>
      </c>
      <c r="IL3508" s="181">
        <v>50</v>
      </c>
      <c r="IM3508" s="181">
        <v>5000000</v>
      </c>
      <c r="IN3508" s="181">
        <v>500000</v>
      </c>
    </row>
    <row r="3509" spans="1:248">
      <c r="A3509" s="181" t="s">
        <v>246</v>
      </c>
      <c r="I3509" s="181" t="s">
        <v>2150</v>
      </c>
      <c r="GN3509" s="181">
        <v>0</v>
      </c>
      <c r="GR3509" s="181" t="s">
        <v>871</v>
      </c>
      <c r="GS3509" s="181">
        <v>0</v>
      </c>
      <c r="GT3509" s="181">
        <v>0</v>
      </c>
      <c r="HG3509" s="181" t="s">
        <v>2834</v>
      </c>
      <c r="HH3509" s="181">
        <v>1435.8863665964905</v>
      </c>
      <c r="HI3509" s="181">
        <v>2871.7727331929809</v>
      </c>
      <c r="IG3509" s="181" t="s">
        <v>2858</v>
      </c>
      <c r="IH3509" s="181" t="s">
        <v>2859</v>
      </c>
      <c r="II3509" s="181">
        <v>6</v>
      </c>
      <c r="IJ3509" s="181" t="s">
        <v>2906</v>
      </c>
      <c r="IK3509" s="181" t="s">
        <v>2907</v>
      </c>
      <c r="IL3509" s="181">
        <v>100</v>
      </c>
      <c r="IM3509" s="181">
        <v>200000</v>
      </c>
      <c r="IN3509" s="181">
        <v>180000</v>
      </c>
    </row>
    <row r="3510" spans="1:248">
      <c r="A3510" s="181" t="s">
        <v>246</v>
      </c>
      <c r="I3510" s="181" t="s">
        <v>2134</v>
      </c>
      <c r="GM3510" s="181">
        <v>3404245.9733333336</v>
      </c>
      <c r="GN3510" s="181">
        <v>7248491.9466666672</v>
      </c>
      <c r="GR3510" s="181" t="s">
        <v>872</v>
      </c>
      <c r="GS3510" s="181">
        <v>0</v>
      </c>
      <c r="GT3510" s="181">
        <v>0</v>
      </c>
      <c r="HG3510" s="181" t="s">
        <v>333</v>
      </c>
      <c r="HH3510" s="181">
        <v>747724.44502415403</v>
      </c>
      <c r="HI3510" s="181">
        <v>1495448.8900483099</v>
      </c>
      <c r="IG3510" s="181" t="s">
        <v>2858</v>
      </c>
      <c r="IH3510" s="181" t="s">
        <v>2860</v>
      </c>
      <c r="II3510" s="181">
        <v>8</v>
      </c>
      <c r="IJ3510" s="181" t="s">
        <v>1293</v>
      </c>
      <c r="IK3510" s="181" t="s">
        <v>1284</v>
      </c>
      <c r="IL3510" s="181">
        <v>0</v>
      </c>
      <c r="IM3510" s="181">
        <v>110000</v>
      </c>
      <c r="IN3510" s="181">
        <v>0</v>
      </c>
    </row>
    <row r="3511" spans="1:248">
      <c r="A3511" s="181" t="s">
        <v>246</v>
      </c>
      <c r="I3511" s="181" t="s">
        <v>2185</v>
      </c>
      <c r="GN3511" s="181">
        <v>0</v>
      </c>
      <c r="GR3511" s="181" t="s">
        <v>873</v>
      </c>
      <c r="GS3511" s="181">
        <v>2087793.8900000004</v>
      </c>
      <c r="GT3511" s="181">
        <v>2087793.8900000004</v>
      </c>
      <c r="IG3511" s="181" t="s">
        <v>2858</v>
      </c>
      <c r="IH3511" s="181" t="s">
        <v>2861</v>
      </c>
      <c r="II3511" s="181">
        <v>22</v>
      </c>
      <c r="IJ3511" s="181" t="s">
        <v>2908</v>
      </c>
      <c r="IK3511" s="181" t="s">
        <v>2909</v>
      </c>
      <c r="IL3511" s="181">
        <v>100</v>
      </c>
      <c r="IM3511" s="181">
        <v>96000</v>
      </c>
      <c r="IN3511" s="181">
        <v>40000</v>
      </c>
    </row>
    <row r="3512" spans="1:248">
      <c r="A3512" s="181" t="s">
        <v>246</v>
      </c>
      <c r="I3512" s="181" t="s">
        <v>2158</v>
      </c>
      <c r="GN3512" s="181">
        <v>0</v>
      </c>
      <c r="GR3512" s="181" t="s">
        <v>873</v>
      </c>
      <c r="GS3512" s="181">
        <v>0</v>
      </c>
      <c r="GT3512" s="181">
        <v>0</v>
      </c>
      <c r="IG3512" s="181" t="s">
        <v>2858</v>
      </c>
      <c r="IH3512" s="181" t="s">
        <v>2862</v>
      </c>
      <c r="II3512" s="181">
        <v>36</v>
      </c>
      <c r="IJ3512" s="181" t="s">
        <v>2469</v>
      </c>
      <c r="IK3512" s="181" t="s">
        <v>2214</v>
      </c>
      <c r="IL3512" s="181">
        <v>20</v>
      </c>
      <c r="IM3512" s="181">
        <v>5000000</v>
      </c>
      <c r="IN3512" s="181">
        <v>1000000</v>
      </c>
    </row>
    <row r="3513" spans="1:248">
      <c r="A3513" s="181" t="s">
        <v>246</v>
      </c>
      <c r="I3513" s="181" t="s">
        <v>1330</v>
      </c>
      <c r="GM3513" s="181">
        <v>3404245.9733333336</v>
      </c>
      <c r="GN3513" s="181">
        <v>7248491.9466666672</v>
      </c>
      <c r="GR3513" s="181" t="s">
        <v>873</v>
      </c>
      <c r="GS3513" s="181">
        <v>0</v>
      </c>
      <c r="GT3513" s="181">
        <v>0</v>
      </c>
      <c r="IG3513" s="181" t="s">
        <v>2863</v>
      </c>
      <c r="IH3513" s="181" t="s">
        <v>2864</v>
      </c>
      <c r="II3513" s="181">
        <v>6</v>
      </c>
      <c r="IJ3513" s="181" t="s">
        <v>2140</v>
      </c>
      <c r="IK3513" s="181" t="s">
        <v>2508</v>
      </c>
      <c r="IL3513" s="181">
        <v>100</v>
      </c>
      <c r="IM3513" s="181">
        <v>200000</v>
      </c>
      <c r="IN3513" s="181">
        <v>100000</v>
      </c>
    </row>
    <row r="3514" spans="1:248">
      <c r="A3514" s="181" t="s">
        <v>246</v>
      </c>
      <c r="GR3514" s="181" t="s">
        <v>873</v>
      </c>
      <c r="GS3514" s="181">
        <v>0</v>
      </c>
      <c r="GT3514" s="181">
        <v>0</v>
      </c>
      <c r="IG3514" s="181" t="s">
        <v>2863</v>
      </c>
      <c r="IH3514" s="181" t="s">
        <v>2865</v>
      </c>
      <c r="II3514" s="181">
        <v>6</v>
      </c>
      <c r="IJ3514" s="181" t="s">
        <v>2140</v>
      </c>
      <c r="IK3514" s="181" t="s">
        <v>2508</v>
      </c>
      <c r="IL3514" s="181">
        <v>100</v>
      </c>
      <c r="IM3514" s="181">
        <v>250000</v>
      </c>
      <c r="IN3514" s="181">
        <v>100000</v>
      </c>
    </row>
    <row r="3515" spans="1:248">
      <c r="A3515" s="181" t="s">
        <v>246</v>
      </c>
      <c r="GR3515" s="181" t="s">
        <v>308</v>
      </c>
      <c r="GS3515" s="181">
        <v>0</v>
      </c>
      <c r="GT3515" s="181">
        <v>0</v>
      </c>
      <c r="HL3515" s="181" t="s">
        <v>1946</v>
      </c>
      <c r="HM3515" s="181">
        <v>7500</v>
      </c>
      <c r="HN3515" s="181">
        <v>7500</v>
      </c>
      <c r="IG3515" s="181" t="s">
        <v>2866</v>
      </c>
      <c r="IH3515" s="181" t="s">
        <v>2867</v>
      </c>
      <c r="II3515" s="181">
        <v>14</v>
      </c>
      <c r="IJ3515" s="181" t="s">
        <v>1317</v>
      </c>
      <c r="IK3515" s="181" t="s">
        <v>2115</v>
      </c>
      <c r="IL3515" s="181">
        <v>70</v>
      </c>
      <c r="IM3515" s="181">
        <v>400000</v>
      </c>
      <c r="IN3515" s="181">
        <v>100000</v>
      </c>
    </row>
    <row r="3516" spans="1:248">
      <c r="A3516" s="181" t="s">
        <v>246</v>
      </c>
      <c r="GR3516" s="181" t="s">
        <v>292</v>
      </c>
      <c r="GS3516" s="181">
        <v>12922.5</v>
      </c>
      <c r="GT3516" s="181">
        <v>25845</v>
      </c>
      <c r="IG3516" s="181" t="s">
        <v>2866</v>
      </c>
      <c r="IH3516" s="181" t="s">
        <v>2868</v>
      </c>
      <c r="II3516" s="181">
        <v>14</v>
      </c>
      <c r="IJ3516" s="181" t="s">
        <v>1317</v>
      </c>
      <c r="IK3516" s="181" t="s">
        <v>2115</v>
      </c>
      <c r="IL3516" s="181">
        <v>50</v>
      </c>
      <c r="IM3516" s="181">
        <v>40000</v>
      </c>
      <c r="IN3516" s="181">
        <v>20000</v>
      </c>
    </row>
    <row r="3517" spans="1:248">
      <c r="A3517" s="181" t="s">
        <v>246</v>
      </c>
      <c r="GR3517" s="181" t="s">
        <v>290</v>
      </c>
      <c r="GS3517" s="181">
        <v>25849.5</v>
      </c>
      <c r="GT3517" s="181">
        <v>51699</v>
      </c>
      <c r="IG3517" s="181" t="s">
        <v>2869</v>
      </c>
      <c r="IH3517" s="181" t="s">
        <v>2870</v>
      </c>
      <c r="II3517" s="181">
        <v>40</v>
      </c>
      <c r="IJ3517" s="181" t="s">
        <v>1298</v>
      </c>
      <c r="IK3517" s="181" t="s">
        <v>2910</v>
      </c>
      <c r="IL3517" s="181">
        <v>30</v>
      </c>
      <c r="IM3517" s="181">
        <v>10000000</v>
      </c>
      <c r="IN3517" s="181">
        <v>500000</v>
      </c>
    </row>
    <row r="3518" spans="1:248">
      <c r="A3518" s="181" t="s">
        <v>246</v>
      </c>
      <c r="GR3518" s="181" t="s">
        <v>288</v>
      </c>
      <c r="GS3518" s="181">
        <v>10200</v>
      </c>
      <c r="GT3518" s="181">
        <v>20400</v>
      </c>
      <c r="IG3518" s="181" t="s">
        <v>2871</v>
      </c>
      <c r="IH3518" s="181" t="s">
        <v>2872</v>
      </c>
      <c r="II3518" s="181">
        <v>12</v>
      </c>
      <c r="IJ3518" s="181" t="s">
        <v>2911</v>
      </c>
      <c r="IK3518" s="181" t="s">
        <v>2045</v>
      </c>
      <c r="IL3518" s="181">
        <v>0</v>
      </c>
      <c r="IM3518" s="181">
        <v>2540000</v>
      </c>
      <c r="IN3518" s="181">
        <v>980000</v>
      </c>
    </row>
    <row r="3519" spans="1:248">
      <c r="A3519" s="181" t="s">
        <v>246</v>
      </c>
      <c r="GR3519" s="181" t="s">
        <v>874</v>
      </c>
      <c r="GS3519" s="181">
        <v>0</v>
      </c>
      <c r="GT3519" s="181">
        <v>0</v>
      </c>
      <c r="IG3519" s="181" t="s">
        <v>2871</v>
      </c>
      <c r="IH3519" s="181" t="s">
        <v>2873</v>
      </c>
      <c r="II3519" s="181">
        <v>6</v>
      </c>
      <c r="IJ3519" s="181" t="s">
        <v>2912</v>
      </c>
      <c r="IK3519" s="181" t="s">
        <v>2913</v>
      </c>
      <c r="IL3519" s="181">
        <v>0</v>
      </c>
      <c r="IM3519" s="181">
        <v>200000</v>
      </c>
      <c r="IN3519" s="181">
        <v>200000</v>
      </c>
    </row>
    <row r="3520" spans="1:248">
      <c r="A3520" s="181" t="s">
        <v>246</v>
      </c>
      <c r="GR3520" s="181" t="s">
        <v>667</v>
      </c>
      <c r="GS3520" s="181">
        <v>74910.149999999994</v>
      </c>
      <c r="GT3520" s="181">
        <v>149820.29999999999</v>
      </c>
      <c r="IG3520" s="181" t="s">
        <v>2874</v>
      </c>
      <c r="IH3520" s="181" t="s">
        <v>2875</v>
      </c>
      <c r="II3520" s="181">
        <v>12</v>
      </c>
      <c r="IJ3520" s="181" t="s">
        <v>2509</v>
      </c>
      <c r="IK3520" s="181" t="s">
        <v>2115</v>
      </c>
      <c r="IL3520" s="181">
        <v>100</v>
      </c>
      <c r="IM3520" s="181">
        <v>1100000</v>
      </c>
      <c r="IN3520" s="181">
        <v>600000</v>
      </c>
    </row>
    <row r="3521" spans="1:248">
      <c r="A3521" s="181" t="s">
        <v>246</v>
      </c>
      <c r="GR3521" s="181" t="s">
        <v>1382</v>
      </c>
      <c r="GS3521" s="181">
        <v>138668.21999999997</v>
      </c>
      <c r="GT3521" s="181">
        <v>277336.43999999994</v>
      </c>
      <c r="IG3521" s="181" t="s">
        <v>2874</v>
      </c>
      <c r="IH3521" s="181" t="s">
        <v>2876</v>
      </c>
      <c r="II3521" s="181">
        <v>9</v>
      </c>
      <c r="IJ3521" s="181" t="s">
        <v>2914</v>
      </c>
      <c r="IK3521" s="181" t="s">
        <v>2115</v>
      </c>
      <c r="IL3521" s="181">
        <v>100</v>
      </c>
      <c r="IM3521" s="181">
        <v>800000</v>
      </c>
      <c r="IN3521" s="181">
        <v>20000</v>
      </c>
    </row>
    <row r="3522" spans="1:248">
      <c r="A3522" s="181" t="s">
        <v>246</v>
      </c>
      <c r="GR3522" s="181" t="s">
        <v>333</v>
      </c>
      <c r="GS3522" s="181">
        <v>102083.625</v>
      </c>
      <c r="GT3522" s="181">
        <v>204167.25</v>
      </c>
      <c r="IG3522" s="181" t="s">
        <v>2877</v>
      </c>
      <c r="IH3522" s="181" t="s">
        <v>2878</v>
      </c>
      <c r="II3522" s="181">
        <v>12</v>
      </c>
      <c r="IJ3522" s="181" t="s">
        <v>2915</v>
      </c>
      <c r="IK3522" s="181" t="s">
        <v>2663</v>
      </c>
      <c r="IL3522" s="181">
        <v>90</v>
      </c>
      <c r="IM3522" s="181">
        <v>500000</v>
      </c>
      <c r="IN3522" s="181">
        <v>0</v>
      </c>
    </row>
    <row r="3523" spans="1:248">
      <c r="A3523" s="181" t="s">
        <v>246</v>
      </c>
      <c r="GR3523" s="181">
        <v>0</v>
      </c>
      <c r="GS3523" s="181">
        <v>0</v>
      </c>
      <c r="GT3523" s="181">
        <v>0</v>
      </c>
      <c r="IG3523" s="181" t="s">
        <v>2877</v>
      </c>
      <c r="IH3523" s="181" t="s">
        <v>2879</v>
      </c>
      <c r="II3523" s="181">
        <v>12</v>
      </c>
      <c r="IJ3523" s="181" t="s">
        <v>1293</v>
      </c>
      <c r="IK3523" s="181" t="s">
        <v>2913</v>
      </c>
      <c r="IL3523" s="181">
        <v>90</v>
      </c>
      <c r="IM3523" s="181">
        <v>100000</v>
      </c>
      <c r="IN3523" s="181">
        <v>0</v>
      </c>
    </row>
    <row r="3524" spans="1:248">
      <c r="A3524" s="181" t="s">
        <v>246</v>
      </c>
      <c r="GR3524" s="181">
        <v>0</v>
      </c>
      <c r="GS3524" s="181">
        <v>0</v>
      </c>
      <c r="GT3524" s="181">
        <v>0</v>
      </c>
      <c r="IG3524" s="181" t="s">
        <v>2877</v>
      </c>
      <c r="IH3524" s="181" t="s">
        <v>2880</v>
      </c>
      <c r="II3524" s="181">
        <v>12</v>
      </c>
      <c r="IJ3524" s="181" t="s">
        <v>1298</v>
      </c>
      <c r="IK3524" s="181" t="s">
        <v>2916</v>
      </c>
      <c r="IL3524" s="181">
        <v>50</v>
      </c>
      <c r="IM3524" s="181">
        <v>300000</v>
      </c>
      <c r="IN3524" s="181">
        <v>300000</v>
      </c>
    </row>
    <row r="3525" spans="1:248">
      <c r="A3525" s="181" t="s">
        <v>246</v>
      </c>
      <c r="GR3525" s="181">
        <v>0</v>
      </c>
      <c r="GS3525" s="181">
        <v>0</v>
      </c>
      <c r="GT3525" s="181">
        <v>0</v>
      </c>
      <c r="IG3525" s="181" t="s">
        <v>2881</v>
      </c>
      <c r="IH3525" s="181" t="s">
        <v>2882</v>
      </c>
      <c r="II3525" s="181">
        <v>56</v>
      </c>
      <c r="IJ3525" s="181" t="s">
        <v>2917</v>
      </c>
      <c r="IK3525" s="181" t="s">
        <v>2918</v>
      </c>
      <c r="IL3525" s="181">
        <v>50</v>
      </c>
      <c r="IM3525" s="181">
        <v>5000000</v>
      </c>
      <c r="IN3525" s="181">
        <v>500000</v>
      </c>
    </row>
    <row r="3526" spans="1:248">
      <c r="A3526" s="181" t="s">
        <v>246</v>
      </c>
      <c r="GR3526" s="181">
        <v>0</v>
      </c>
      <c r="GS3526" s="181">
        <v>0</v>
      </c>
      <c r="GT3526" s="181">
        <v>0</v>
      </c>
      <c r="IG3526" s="181" t="s">
        <v>2881</v>
      </c>
      <c r="IH3526" s="181" t="s">
        <v>2883</v>
      </c>
      <c r="II3526" s="181">
        <v>45</v>
      </c>
      <c r="IJ3526" s="181" t="s">
        <v>2919</v>
      </c>
      <c r="IK3526" s="181" t="s">
        <v>2920</v>
      </c>
      <c r="IL3526" s="181">
        <v>97</v>
      </c>
      <c r="IM3526" s="181">
        <v>780000</v>
      </c>
      <c r="IN3526" s="181">
        <v>600000</v>
      </c>
    </row>
    <row r="3527" spans="1:248">
      <c r="A3527" s="181" t="s">
        <v>246</v>
      </c>
      <c r="GR3527" s="181">
        <v>0</v>
      </c>
      <c r="GS3527" s="181">
        <v>0</v>
      </c>
      <c r="GT3527" s="181">
        <v>0</v>
      </c>
      <c r="IG3527" s="181" t="s">
        <v>2881</v>
      </c>
      <c r="IH3527" s="181" t="s">
        <v>2884</v>
      </c>
      <c r="II3527" s="181">
        <v>45</v>
      </c>
      <c r="IJ3527" s="181" t="s">
        <v>2921</v>
      </c>
      <c r="IK3527" s="181" t="s">
        <v>2920</v>
      </c>
      <c r="IL3527" s="181">
        <v>98</v>
      </c>
      <c r="IM3527" s="181">
        <v>1300000</v>
      </c>
      <c r="IN3527" s="181">
        <v>700000</v>
      </c>
    </row>
    <row r="3528" spans="1:248">
      <c r="A3528" s="181" t="s">
        <v>246</v>
      </c>
      <c r="GR3528" s="181">
        <v>0</v>
      </c>
      <c r="GS3528" s="181">
        <v>0</v>
      </c>
      <c r="GT3528" s="181">
        <v>0</v>
      </c>
      <c r="IG3528" s="181" t="s">
        <v>2258</v>
      </c>
      <c r="IH3528" s="181" t="s">
        <v>2885</v>
      </c>
      <c r="II3528" s="181">
        <v>8</v>
      </c>
      <c r="IJ3528" s="181" t="s">
        <v>2922</v>
      </c>
      <c r="IK3528" s="181" t="s">
        <v>2038</v>
      </c>
      <c r="IL3528" s="181">
        <v>60</v>
      </c>
      <c r="IM3528" s="181">
        <v>300000</v>
      </c>
      <c r="IN3528" s="181">
        <v>150000</v>
      </c>
    </row>
    <row r="3529" spans="1:248">
      <c r="A3529" s="181" t="s">
        <v>246</v>
      </c>
      <c r="GR3529" s="181">
        <v>0</v>
      </c>
      <c r="GS3529" s="181">
        <v>0</v>
      </c>
      <c r="GT3529" s="181">
        <v>0</v>
      </c>
      <c r="IG3529" s="181" t="s">
        <v>2886</v>
      </c>
      <c r="IH3529" s="181" t="s">
        <v>2887</v>
      </c>
      <c r="II3529" s="181">
        <v>28</v>
      </c>
      <c r="IJ3529" s="181" t="s">
        <v>2923</v>
      </c>
      <c r="IK3529" s="181" t="s">
        <v>2916</v>
      </c>
      <c r="IL3529" s="181">
        <v>100</v>
      </c>
      <c r="IM3529" s="181">
        <v>3000000</v>
      </c>
      <c r="IN3529" s="181">
        <v>1000000</v>
      </c>
    </row>
    <row r="3530" spans="1:248">
      <c r="A3530" s="181" t="s">
        <v>246</v>
      </c>
      <c r="GR3530" s="181">
        <v>0</v>
      </c>
      <c r="GS3530" s="181">
        <v>0</v>
      </c>
      <c r="GT3530" s="181">
        <v>0</v>
      </c>
      <c r="IG3530" s="181" t="s">
        <v>2886</v>
      </c>
      <c r="IH3530" s="181" t="s">
        <v>2888</v>
      </c>
      <c r="II3530" s="181">
        <v>10</v>
      </c>
      <c r="IJ3530" s="181" t="s">
        <v>2924</v>
      </c>
      <c r="IK3530" s="181" t="s">
        <v>2609</v>
      </c>
      <c r="IL3530" s="181">
        <v>100</v>
      </c>
      <c r="IM3530" s="181">
        <v>300000</v>
      </c>
      <c r="IN3530" s="181">
        <v>150000</v>
      </c>
    </row>
    <row r="3531" spans="1:248">
      <c r="A3531" s="181" t="s">
        <v>246</v>
      </c>
      <c r="GR3531" s="181">
        <v>0</v>
      </c>
      <c r="GS3531" s="181">
        <v>0</v>
      </c>
      <c r="GT3531" s="181">
        <v>0</v>
      </c>
      <c r="IG3531" s="181" t="s">
        <v>2889</v>
      </c>
      <c r="IH3531" s="181" t="s">
        <v>2890</v>
      </c>
      <c r="II3531" s="181">
        <v>8</v>
      </c>
      <c r="IJ3531" s="181" t="s">
        <v>2140</v>
      </c>
      <c r="IK3531" s="181" t="s">
        <v>2925</v>
      </c>
      <c r="IL3531" s="181">
        <v>30</v>
      </c>
      <c r="IM3531" s="181">
        <v>600000</v>
      </c>
      <c r="IN3531" s="181">
        <v>0</v>
      </c>
    </row>
    <row r="3532" spans="1:248">
      <c r="A3532" s="181" t="s">
        <v>246</v>
      </c>
      <c r="GR3532" s="181">
        <v>0</v>
      </c>
      <c r="GS3532" s="181">
        <v>0</v>
      </c>
      <c r="GT3532" s="181">
        <v>0</v>
      </c>
      <c r="IG3532" s="181" t="s">
        <v>2889</v>
      </c>
      <c r="IH3532" s="181" t="s">
        <v>2891</v>
      </c>
      <c r="II3532" s="181">
        <v>8</v>
      </c>
      <c r="IJ3532" s="181" t="s">
        <v>2140</v>
      </c>
      <c r="IK3532" s="181" t="s">
        <v>2925</v>
      </c>
      <c r="IL3532" s="181">
        <v>30</v>
      </c>
      <c r="IM3532" s="181">
        <v>120000</v>
      </c>
      <c r="IN3532" s="181">
        <v>0</v>
      </c>
    </row>
    <row r="3533" spans="1:248">
      <c r="A3533" s="181" t="s">
        <v>246</v>
      </c>
      <c r="GR3533" s="181">
        <v>0</v>
      </c>
      <c r="GS3533" s="181">
        <v>0</v>
      </c>
      <c r="GT3533" s="181">
        <v>0</v>
      </c>
      <c r="IG3533" s="181" t="s">
        <v>2260</v>
      </c>
      <c r="IH3533" s="181" t="s">
        <v>2892</v>
      </c>
      <c r="II3533" s="181">
        <v>10</v>
      </c>
      <c r="IJ3533" s="181" t="s">
        <v>2165</v>
      </c>
      <c r="IK3533" s="181" t="s">
        <v>2926</v>
      </c>
      <c r="IL3533" s="181">
        <v>100</v>
      </c>
      <c r="IM3533" s="181">
        <v>1600000</v>
      </c>
      <c r="IN3533" s="181">
        <v>800000</v>
      </c>
    </row>
    <row r="3534" spans="1:248">
      <c r="A3534" s="181" t="s">
        <v>246</v>
      </c>
      <c r="GR3534" s="181">
        <v>0</v>
      </c>
      <c r="GS3534" s="181">
        <v>0</v>
      </c>
      <c r="GT3534" s="181">
        <v>0</v>
      </c>
      <c r="IG3534" s="181" t="s">
        <v>2260</v>
      </c>
      <c r="IH3534" s="181" t="s">
        <v>2893</v>
      </c>
      <c r="II3534" s="181">
        <v>4</v>
      </c>
      <c r="IJ3534" s="181" t="s">
        <v>2038</v>
      </c>
      <c r="IK3534" s="181" t="s">
        <v>2508</v>
      </c>
      <c r="IL3534" s="181">
        <v>100</v>
      </c>
      <c r="IM3534" s="181">
        <v>200000</v>
      </c>
      <c r="IN3534" s="181">
        <v>200000</v>
      </c>
    </row>
    <row r="3535" spans="1:248">
      <c r="A3535" s="181" t="s">
        <v>246</v>
      </c>
      <c r="GR3535" s="181" t="s">
        <v>309</v>
      </c>
      <c r="GS3535" s="181">
        <v>0</v>
      </c>
      <c r="GT3535" s="181">
        <v>0</v>
      </c>
      <c r="IG3535" s="181" t="s">
        <v>2894</v>
      </c>
      <c r="IH3535" s="181" t="s">
        <v>2895</v>
      </c>
      <c r="II3535" s="181">
        <v>10</v>
      </c>
      <c r="IJ3535" s="181" t="s">
        <v>2165</v>
      </c>
      <c r="IK3535" s="181" t="s">
        <v>2926</v>
      </c>
      <c r="IL3535" s="181">
        <v>100</v>
      </c>
      <c r="IM3535" s="181">
        <v>300000</v>
      </c>
      <c r="IN3535" s="181">
        <v>200000</v>
      </c>
    </row>
    <row r="3536" spans="1:248">
      <c r="A3536" s="181" t="s">
        <v>246</v>
      </c>
      <c r="GR3536" s="181" t="s">
        <v>309</v>
      </c>
      <c r="GS3536" s="181">
        <v>0</v>
      </c>
      <c r="GT3536" s="181">
        <v>0</v>
      </c>
    </row>
    <row r="3537" spans="1:202">
      <c r="A3537" s="181" t="s">
        <v>246</v>
      </c>
      <c r="GR3537" s="181" t="s">
        <v>309</v>
      </c>
      <c r="GS3537" s="181">
        <v>0</v>
      </c>
      <c r="GT3537" s="181">
        <v>0</v>
      </c>
    </row>
    <row r="3538" spans="1:202">
      <c r="A3538" s="181" t="s">
        <v>246</v>
      </c>
      <c r="GS3538" s="181">
        <v>197943426.80897892</v>
      </c>
      <c r="GT3538" s="181">
        <v>416378297.73111588</v>
      </c>
    </row>
    <row r="3539" spans="1:202">
      <c r="A3539" s="181" t="s">
        <v>246</v>
      </c>
      <c r="GR3539" s="181" t="s">
        <v>285</v>
      </c>
      <c r="GS3539" s="181">
        <v>32322.300000000003</v>
      </c>
      <c r="GT3539" s="181">
        <v>64644.6</v>
      </c>
    </row>
    <row r="3540" spans="1:202">
      <c r="A3540" s="181" t="s">
        <v>246</v>
      </c>
      <c r="GR3540" s="181" t="s">
        <v>875</v>
      </c>
      <c r="GS3540" s="181">
        <v>0</v>
      </c>
      <c r="GT3540" s="181">
        <v>0</v>
      </c>
    </row>
    <row r="3541" spans="1:202">
      <c r="A3541" s="181" t="s">
        <v>246</v>
      </c>
      <c r="GR3541" s="181" t="s">
        <v>875</v>
      </c>
      <c r="GS3541" s="181">
        <v>0</v>
      </c>
      <c r="GT3541" s="181">
        <v>0</v>
      </c>
    </row>
    <row r="3542" spans="1:202">
      <c r="A3542" s="181" t="s">
        <v>246</v>
      </c>
      <c r="GR3542" s="181" t="s">
        <v>875</v>
      </c>
      <c r="GS3542" s="181">
        <v>0</v>
      </c>
      <c r="GT3542" s="181">
        <v>0</v>
      </c>
    </row>
    <row r="3543" spans="1:202">
      <c r="A3543" s="181" t="s">
        <v>246</v>
      </c>
      <c r="GR3543" s="181" t="s">
        <v>875</v>
      </c>
      <c r="GS3543" s="181">
        <v>0</v>
      </c>
      <c r="GT3543" s="181">
        <v>0</v>
      </c>
    </row>
    <row r="3544" spans="1:202">
      <c r="A3544" s="181" t="s">
        <v>246</v>
      </c>
      <c r="GR3544" s="181" t="s">
        <v>875</v>
      </c>
      <c r="GS3544" s="181">
        <v>0</v>
      </c>
      <c r="GT3544" s="181">
        <v>0</v>
      </c>
    </row>
    <row r="3545" spans="1:202">
      <c r="A3545" s="181" t="s">
        <v>246</v>
      </c>
      <c r="GR3545" s="181" t="s">
        <v>310</v>
      </c>
      <c r="GS3545" s="181">
        <v>15900000</v>
      </c>
      <c r="GT3545" s="181">
        <v>20900000</v>
      </c>
    </row>
    <row r="3546" spans="1:202">
      <c r="A3546" s="181" t="s">
        <v>246</v>
      </c>
      <c r="GR3546" s="181" t="s">
        <v>310</v>
      </c>
      <c r="GS3546" s="181">
        <v>0</v>
      </c>
      <c r="GT3546" s="181">
        <v>0</v>
      </c>
    </row>
    <row r="3547" spans="1:202">
      <c r="A3547" s="181" t="s">
        <v>246</v>
      </c>
      <c r="GR3547" s="181" t="s">
        <v>310</v>
      </c>
      <c r="GS3547" s="181">
        <v>0</v>
      </c>
      <c r="GT3547" s="181">
        <v>0</v>
      </c>
    </row>
    <row r="3548" spans="1:202">
      <c r="A3548" s="181" t="s">
        <v>246</v>
      </c>
      <c r="GR3548" s="181" t="s">
        <v>310</v>
      </c>
      <c r="GS3548" s="181">
        <v>0</v>
      </c>
      <c r="GT3548" s="181">
        <v>0</v>
      </c>
    </row>
    <row r="3549" spans="1:202">
      <c r="A3549" s="181" t="s">
        <v>246</v>
      </c>
      <c r="GR3549" s="181" t="s">
        <v>876</v>
      </c>
      <c r="GS3549" s="181">
        <v>0</v>
      </c>
      <c r="GT3549" s="181">
        <v>0</v>
      </c>
    </row>
    <row r="3550" spans="1:202">
      <c r="A3550" s="181" t="s">
        <v>246</v>
      </c>
      <c r="GR3550" s="181" t="s">
        <v>876</v>
      </c>
      <c r="GS3550" s="181">
        <v>0</v>
      </c>
      <c r="GT3550" s="181">
        <v>0</v>
      </c>
    </row>
    <row r="3551" spans="1:202">
      <c r="A3551" s="181" t="s">
        <v>246</v>
      </c>
      <c r="GR3551" s="181" t="s">
        <v>876</v>
      </c>
      <c r="GS3551" s="181">
        <v>0</v>
      </c>
      <c r="GT3551" s="181">
        <v>0</v>
      </c>
    </row>
    <row r="3552" spans="1:202">
      <c r="A3552" s="181" t="s">
        <v>246</v>
      </c>
      <c r="GR3552" s="181" t="s">
        <v>876</v>
      </c>
      <c r="GS3552" s="181">
        <v>0</v>
      </c>
      <c r="GT3552" s="181">
        <v>0</v>
      </c>
    </row>
    <row r="3553" spans="1:202">
      <c r="A3553" s="181" t="s">
        <v>246</v>
      </c>
      <c r="GR3553" s="181" t="s">
        <v>876</v>
      </c>
      <c r="GS3553" s="181">
        <v>0</v>
      </c>
      <c r="GT3553" s="181">
        <v>0</v>
      </c>
    </row>
    <row r="3554" spans="1:202">
      <c r="A3554" s="181" t="s">
        <v>246</v>
      </c>
      <c r="GR3554" s="181" t="s">
        <v>1872</v>
      </c>
      <c r="GS3554" s="181">
        <v>0</v>
      </c>
      <c r="GT3554" s="181">
        <v>0</v>
      </c>
    </row>
    <row r="3555" spans="1:202">
      <c r="A3555" s="181" t="s">
        <v>246</v>
      </c>
      <c r="GR3555" s="181" t="s">
        <v>1873</v>
      </c>
      <c r="GS3555" s="181">
        <v>266334.375</v>
      </c>
      <c r="GT3555" s="181">
        <v>532668.75</v>
      </c>
    </row>
    <row r="3556" spans="1:202">
      <c r="A3556" s="181" t="s">
        <v>246</v>
      </c>
      <c r="GR3556" s="181" t="s">
        <v>884</v>
      </c>
      <c r="GS3556" s="181">
        <v>0</v>
      </c>
      <c r="GT3556" s="181">
        <v>0</v>
      </c>
    </row>
    <row r="3557" spans="1:202">
      <c r="A3557" s="181" t="s">
        <v>246</v>
      </c>
      <c r="GR3557" s="181" t="s">
        <v>1874</v>
      </c>
      <c r="GS3557" s="181">
        <v>459636.03125000006</v>
      </c>
      <c r="GT3557" s="181">
        <v>919272.06250000023</v>
      </c>
    </row>
    <row r="3558" spans="1:202">
      <c r="A3558" s="181" t="s">
        <v>246</v>
      </c>
      <c r="GR3558" s="181" t="s">
        <v>1875</v>
      </c>
      <c r="GS3558" s="181">
        <v>0</v>
      </c>
      <c r="GT3558" s="181">
        <v>0</v>
      </c>
    </row>
    <row r="3559" spans="1:202">
      <c r="A3559" s="181" t="s">
        <v>246</v>
      </c>
      <c r="GR3559" s="181" t="s">
        <v>333</v>
      </c>
      <c r="GS3559" s="181">
        <v>0</v>
      </c>
      <c r="GT3559" s="181">
        <v>0</v>
      </c>
    </row>
    <row r="3560" spans="1:202">
      <c r="A3560" s="181" t="s">
        <v>246</v>
      </c>
      <c r="GR3560" s="181" t="s">
        <v>167</v>
      </c>
      <c r="GS3560" s="181">
        <v>0</v>
      </c>
      <c r="GT3560" s="181">
        <v>0</v>
      </c>
    </row>
    <row r="3561" spans="1:202">
      <c r="A3561" s="181" t="s">
        <v>246</v>
      </c>
      <c r="GR3561" s="181">
        <v>0</v>
      </c>
      <c r="GS3561" s="181">
        <v>0</v>
      </c>
      <c r="GT3561" s="181">
        <v>0</v>
      </c>
    </row>
    <row r="3562" spans="1:202">
      <c r="A3562" s="181" t="s">
        <v>246</v>
      </c>
      <c r="GR3562" s="181">
        <v>0</v>
      </c>
      <c r="GS3562" s="181">
        <v>0</v>
      </c>
      <c r="GT3562" s="181">
        <v>0</v>
      </c>
    </row>
    <row r="3563" spans="1:202">
      <c r="A3563" s="181" t="s">
        <v>246</v>
      </c>
      <c r="GR3563" s="181">
        <v>0</v>
      </c>
      <c r="GS3563" s="181">
        <v>0</v>
      </c>
      <c r="GT3563" s="181">
        <v>0</v>
      </c>
    </row>
    <row r="3564" spans="1:202">
      <c r="A3564" s="181" t="s">
        <v>246</v>
      </c>
      <c r="GR3564" s="181">
        <v>0</v>
      </c>
      <c r="GS3564" s="181">
        <v>0</v>
      </c>
      <c r="GT3564" s="181">
        <v>0</v>
      </c>
    </row>
    <row r="3565" spans="1:202">
      <c r="A3565" s="181" t="s">
        <v>246</v>
      </c>
      <c r="GR3565" s="181">
        <v>0</v>
      </c>
      <c r="GS3565" s="181">
        <v>0</v>
      </c>
      <c r="GT3565" s="181">
        <v>0</v>
      </c>
    </row>
    <row r="3566" spans="1:202">
      <c r="A3566" s="181" t="s">
        <v>246</v>
      </c>
      <c r="GR3566" s="181">
        <v>0</v>
      </c>
      <c r="GS3566" s="181">
        <v>0</v>
      </c>
      <c r="GT3566" s="181">
        <v>0</v>
      </c>
    </row>
    <row r="3567" spans="1:202">
      <c r="A3567" s="181" t="s">
        <v>246</v>
      </c>
      <c r="GR3567" s="181">
        <v>0</v>
      </c>
      <c r="GS3567" s="181">
        <v>0</v>
      </c>
      <c r="GT3567" s="181">
        <v>0</v>
      </c>
    </row>
    <row r="3568" spans="1:202">
      <c r="A3568" s="181" t="s">
        <v>246</v>
      </c>
      <c r="GR3568" s="181">
        <v>0</v>
      </c>
      <c r="GS3568" s="181">
        <v>0</v>
      </c>
      <c r="GT3568" s="181">
        <v>0</v>
      </c>
    </row>
    <row r="3569" spans="1:202">
      <c r="A3569" s="181" t="s">
        <v>246</v>
      </c>
      <c r="GS3569" s="181">
        <v>16658292.706250001</v>
      </c>
      <c r="GT3569" s="181">
        <v>22416585.412499998</v>
      </c>
    </row>
    <row r="3570" spans="1:202">
      <c r="A3570" s="181" t="s">
        <v>246</v>
      </c>
      <c r="GR3570" s="181" t="s">
        <v>309</v>
      </c>
      <c r="GS3570" s="181">
        <v>0</v>
      </c>
      <c r="GT3570" s="181">
        <v>0</v>
      </c>
    </row>
    <row r="3571" spans="1:202">
      <c r="A3571" s="181" t="s">
        <v>246</v>
      </c>
      <c r="GS3571" s="181">
        <v>214601719.51522893</v>
      </c>
      <c r="GT3571" s="181">
        <v>438794883.14361596</v>
      </c>
    </row>
    <row r="3572" spans="1:202">
      <c r="A3572" s="181" t="s">
        <v>246</v>
      </c>
      <c r="GR3572" s="181" t="s">
        <v>312</v>
      </c>
      <c r="GS3572" s="181">
        <v>0</v>
      </c>
      <c r="GT3572" s="181">
        <v>0</v>
      </c>
    </row>
    <row r="3573" spans="1:202">
      <c r="A3573" s="181" t="s">
        <v>246</v>
      </c>
      <c r="GR3573" s="181" t="s">
        <v>312</v>
      </c>
      <c r="GS3573" s="181">
        <v>0</v>
      </c>
      <c r="GT3573" s="181">
        <v>0</v>
      </c>
    </row>
    <row r="3574" spans="1:202">
      <c r="A3574" s="181" t="s">
        <v>246</v>
      </c>
      <c r="GR3574" s="181" t="s">
        <v>312</v>
      </c>
      <c r="GS3574" s="181">
        <v>0</v>
      </c>
      <c r="GT3574" s="181">
        <v>0</v>
      </c>
    </row>
    <row r="3575" spans="1:202">
      <c r="A3575" s="181" t="s">
        <v>246</v>
      </c>
      <c r="GR3575" s="181" t="s">
        <v>312</v>
      </c>
      <c r="GS3575" s="181">
        <v>0</v>
      </c>
      <c r="GT3575" s="181">
        <v>0</v>
      </c>
    </row>
    <row r="3576" spans="1:202">
      <c r="A3576" s="181" t="s">
        <v>246</v>
      </c>
      <c r="GR3576" s="181" t="s">
        <v>312</v>
      </c>
      <c r="GS3576" s="181">
        <v>0</v>
      </c>
      <c r="GT3576" s="181">
        <v>0</v>
      </c>
    </row>
    <row r="3577" spans="1:202">
      <c r="A3577" s="181" t="s">
        <v>246</v>
      </c>
      <c r="GR3577" s="181" t="s">
        <v>312</v>
      </c>
      <c r="GS3577" s="181">
        <v>0</v>
      </c>
      <c r="GT3577" s="181">
        <v>0</v>
      </c>
    </row>
    <row r="3578" spans="1:202">
      <c r="A3578" s="181" t="s">
        <v>246</v>
      </c>
      <c r="GR3578" s="181" t="s">
        <v>312</v>
      </c>
      <c r="GS3578" s="181">
        <v>0</v>
      </c>
      <c r="GT3578" s="181">
        <v>0</v>
      </c>
    </row>
    <row r="3579" spans="1:202">
      <c r="A3579" s="181" t="s">
        <v>246</v>
      </c>
      <c r="GR3579" s="181" t="s">
        <v>877</v>
      </c>
      <c r="GS3579" s="181">
        <v>0</v>
      </c>
      <c r="GT3579" s="181">
        <v>0</v>
      </c>
    </row>
    <row r="3580" spans="1:202">
      <c r="A3580" s="181" t="s">
        <v>246</v>
      </c>
      <c r="GR3580" s="181" t="s">
        <v>750</v>
      </c>
      <c r="GS3580" s="181">
        <v>131952249.51712829</v>
      </c>
      <c r="GT3580" s="181">
        <v>276731580.35628992</v>
      </c>
    </row>
    <row r="3581" spans="1:202">
      <c r="A3581" s="181" t="s">
        <v>246</v>
      </c>
      <c r="GR3581" s="181" t="s">
        <v>751</v>
      </c>
      <c r="GS3581" s="181">
        <v>5094450</v>
      </c>
      <c r="GT3581" s="181">
        <v>10188900</v>
      </c>
    </row>
    <row r="3582" spans="1:202">
      <c r="A3582" s="181" t="s">
        <v>246</v>
      </c>
      <c r="GR3582" s="181" t="s">
        <v>749</v>
      </c>
      <c r="GS3582" s="181">
        <v>4966812</v>
      </c>
      <c r="GT3582" s="181">
        <v>9933624</v>
      </c>
    </row>
    <row r="3583" spans="1:202">
      <c r="A3583" s="181" t="s">
        <v>246</v>
      </c>
      <c r="GR3583" s="181" t="s">
        <v>878</v>
      </c>
      <c r="GS3583" s="181">
        <v>0</v>
      </c>
      <c r="GT3583" s="181">
        <v>0</v>
      </c>
    </row>
    <row r="3584" spans="1:202">
      <c r="A3584" s="181" t="s">
        <v>246</v>
      </c>
      <c r="GR3584" s="181" t="s">
        <v>878</v>
      </c>
      <c r="GS3584" s="181">
        <v>0</v>
      </c>
      <c r="GT3584" s="181">
        <v>0</v>
      </c>
    </row>
    <row r="3585" spans="1:202">
      <c r="A3585" s="181" t="s">
        <v>246</v>
      </c>
      <c r="GR3585" s="181" t="s">
        <v>878</v>
      </c>
      <c r="GS3585" s="181">
        <v>0</v>
      </c>
      <c r="GT3585" s="181">
        <v>0</v>
      </c>
    </row>
    <row r="3586" spans="1:202">
      <c r="A3586" s="181" t="s">
        <v>246</v>
      </c>
      <c r="GR3586" s="181" t="s">
        <v>878</v>
      </c>
      <c r="GS3586" s="181">
        <v>0</v>
      </c>
      <c r="GT3586" s="181">
        <v>0</v>
      </c>
    </row>
    <row r="3587" spans="1:202">
      <c r="A3587" s="181" t="s">
        <v>246</v>
      </c>
      <c r="GR3587" s="181" t="s">
        <v>878</v>
      </c>
      <c r="GS3587" s="181">
        <v>0</v>
      </c>
      <c r="GT3587" s="181">
        <v>0</v>
      </c>
    </row>
    <row r="3588" spans="1:202">
      <c r="A3588" s="181" t="s">
        <v>246</v>
      </c>
      <c r="GR3588" s="181" t="s">
        <v>878</v>
      </c>
      <c r="GS3588" s="181">
        <v>0</v>
      </c>
      <c r="GT3588" s="181">
        <v>0</v>
      </c>
    </row>
    <row r="3589" spans="1:202">
      <c r="A3589" s="181" t="s">
        <v>246</v>
      </c>
      <c r="GR3589" s="181" t="s">
        <v>879</v>
      </c>
      <c r="GS3589" s="181">
        <v>0</v>
      </c>
      <c r="GT3589" s="181">
        <v>0</v>
      </c>
    </row>
    <row r="3590" spans="1:202">
      <c r="A3590" s="181" t="s">
        <v>246</v>
      </c>
      <c r="GR3590" s="181" t="s">
        <v>1715</v>
      </c>
      <c r="GS3590" s="181">
        <v>6286173.8599470416</v>
      </c>
      <c r="GT3590" s="181">
        <v>12572347.719894085</v>
      </c>
    </row>
    <row r="3591" spans="1:202">
      <c r="A3591" s="181" t="s">
        <v>246</v>
      </c>
      <c r="GR3591" s="181" t="s">
        <v>880</v>
      </c>
      <c r="GS3591" s="181">
        <v>12011565.196466917</v>
      </c>
      <c r="GT3591" s="181">
        <v>24023130.392933834</v>
      </c>
    </row>
    <row r="3592" spans="1:202">
      <c r="A3592" s="181" t="s">
        <v>246</v>
      </c>
      <c r="GR3592" s="181" t="s">
        <v>881</v>
      </c>
      <c r="GS3592" s="181">
        <v>30273363.082314573</v>
      </c>
      <c r="GT3592" s="181">
        <v>60546726.164629154</v>
      </c>
    </row>
    <row r="3593" spans="1:202">
      <c r="A3593" s="181" t="s">
        <v>246</v>
      </c>
      <c r="GR3593" s="181" t="s">
        <v>885</v>
      </c>
      <c r="GS3593" s="181">
        <v>0</v>
      </c>
      <c r="GT3593" s="181">
        <v>0</v>
      </c>
    </row>
    <row r="3594" spans="1:202">
      <c r="A3594" s="181" t="s">
        <v>246</v>
      </c>
      <c r="GR3594" s="181" t="s">
        <v>1876</v>
      </c>
      <c r="GS3594" s="181">
        <v>0</v>
      </c>
      <c r="GT3594" s="181">
        <v>0</v>
      </c>
    </row>
    <row r="3595" spans="1:202">
      <c r="A3595" s="181" t="s">
        <v>246</v>
      </c>
      <c r="GR3595" s="181" t="s">
        <v>333</v>
      </c>
      <c r="GS3595" s="181">
        <v>0</v>
      </c>
      <c r="GT3595" s="181">
        <v>0</v>
      </c>
    </row>
    <row r="3596" spans="1:202">
      <c r="A3596" s="181" t="s">
        <v>246</v>
      </c>
      <c r="GR3596" s="181" t="s">
        <v>1877</v>
      </c>
      <c r="GS3596" s="181">
        <v>0</v>
      </c>
      <c r="GT3596" s="181">
        <v>0</v>
      </c>
    </row>
    <row r="3597" spans="1:202">
      <c r="A3597" s="181" t="s">
        <v>246</v>
      </c>
      <c r="GR3597" s="181" t="s">
        <v>1878</v>
      </c>
      <c r="GS3597" s="181">
        <v>0</v>
      </c>
      <c r="GT3597" s="181">
        <v>0</v>
      </c>
    </row>
    <row r="3598" spans="1:202">
      <c r="A3598" s="181" t="s">
        <v>246</v>
      </c>
      <c r="GR3598" s="181">
        <v>0</v>
      </c>
      <c r="GS3598" s="181">
        <v>0</v>
      </c>
      <c r="GT3598" s="181">
        <v>0</v>
      </c>
    </row>
    <row r="3599" spans="1:202">
      <c r="A3599" s="181" t="s">
        <v>246</v>
      </c>
      <c r="GR3599" s="181">
        <v>0</v>
      </c>
      <c r="GS3599" s="181">
        <v>0</v>
      </c>
      <c r="GT3599" s="181">
        <v>0</v>
      </c>
    </row>
    <row r="3600" spans="1:202">
      <c r="A3600" s="181" t="s">
        <v>246</v>
      </c>
      <c r="GR3600" s="181">
        <v>0</v>
      </c>
      <c r="GS3600" s="181">
        <v>0</v>
      </c>
      <c r="GT3600" s="181">
        <v>0</v>
      </c>
    </row>
    <row r="3601" spans="1:202">
      <c r="A3601" s="181" t="s">
        <v>246</v>
      </c>
      <c r="GR3601" s="181">
        <v>0</v>
      </c>
      <c r="GS3601" s="181">
        <v>0</v>
      </c>
      <c r="GT3601" s="181">
        <v>0</v>
      </c>
    </row>
    <row r="3602" spans="1:202">
      <c r="A3602" s="181" t="s">
        <v>246</v>
      </c>
      <c r="GR3602" s="181">
        <v>0</v>
      </c>
      <c r="GS3602" s="181">
        <v>0</v>
      </c>
      <c r="GT3602" s="181">
        <v>0</v>
      </c>
    </row>
    <row r="3603" spans="1:202">
      <c r="A3603" s="181" t="s">
        <v>246</v>
      </c>
      <c r="GR3603" s="181">
        <v>0</v>
      </c>
      <c r="GS3603" s="181">
        <v>0</v>
      </c>
      <c r="GT3603" s="181">
        <v>0</v>
      </c>
    </row>
    <row r="3604" spans="1:202">
      <c r="A3604" s="181" t="s">
        <v>246</v>
      </c>
      <c r="GR3604" s="181">
        <v>0</v>
      </c>
      <c r="GS3604" s="181">
        <v>0</v>
      </c>
      <c r="GT3604" s="181">
        <v>0</v>
      </c>
    </row>
    <row r="3605" spans="1:202">
      <c r="A3605" s="181" t="s">
        <v>246</v>
      </c>
      <c r="GR3605" s="181">
        <v>0</v>
      </c>
      <c r="GS3605" s="181">
        <v>0</v>
      </c>
      <c r="GT3605" s="181">
        <v>0</v>
      </c>
    </row>
    <row r="3606" spans="1:202">
      <c r="A3606" s="181" t="s">
        <v>246</v>
      </c>
      <c r="GR3606" s="181">
        <v>0</v>
      </c>
      <c r="GS3606" s="181">
        <v>0</v>
      </c>
      <c r="GT3606" s="181">
        <v>0</v>
      </c>
    </row>
    <row r="3607" spans="1:202">
      <c r="A3607" s="181" t="s">
        <v>246</v>
      </c>
      <c r="GR3607" s="181">
        <v>0</v>
      </c>
      <c r="GS3607" s="181">
        <v>0</v>
      </c>
      <c r="GT3607" s="181">
        <v>0</v>
      </c>
    </row>
    <row r="3608" spans="1:202">
      <c r="A3608" s="181" t="s">
        <v>246</v>
      </c>
      <c r="GR3608" s="181" t="s">
        <v>876</v>
      </c>
      <c r="GS3608" s="181">
        <v>0</v>
      </c>
      <c r="GT3608" s="181">
        <v>0</v>
      </c>
    </row>
    <row r="3609" spans="1:202">
      <c r="A3609" s="181" t="s">
        <v>246</v>
      </c>
      <c r="GR3609" s="181" t="s">
        <v>876</v>
      </c>
      <c r="GS3609" s="181">
        <v>0</v>
      </c>
      <c r="GT3609" s="181">
        <v>0</v>
      </c>
    </row>
    <row r="3610" spans="1:202">
      <c r="A3610" s="181" t="s">
        <v>246</v>
      </c>
      <c r="GR3610" s="181" t="s">
        <v>876</v>
      </c>
      <c r="GS3610" s="181">
        <v>0</v>
      </c>
      <c r="GT3610" s="181">
        <v>0</v>
      </c>
    </row>
    <row r="3611" spans="1:202">
      <c r="A3611" s="181" t="s">
        <v>246</v>
      </c>
      <c r="GR3611" s="181" t="s">
        <v>882</v>
      </c>
      <c r="GS3611" s="181">
        <v>9903203.25</v>
      </c>
      <c r="GT3611" s="181">
        <v>19806406.5</v>
      </c>
    </row>
    <row r="3612" spans="1:202">
      <c r="A3612" s="181" t="s">
        <v>246</v>
      </c>
      <c r="GR3612" s="181" t="s">
        <v>882</v>
      </c>
      <c r="GS3612" s="181">
        <v>0</v>
      </c>
      <c r="GT3612" s="181">
        <v>0</v>
      </c>
    </row>
    <row r="3613" spans="1:202">
      <c r="A3613" s="181" t="s">
        <v>246</v>
      </c>
      <c r="GR3613" s="181" t="s">
        <v>882</v>
      </c>
      <c r="GS3613" s="181">
        <v>0</v>
      </c>
      <c r="GT3613" s="181">
        <v>0</v>
      </c>
    </row>
    <row r="3614" spans="1:202">
      <c r="A3614" s="181" t="s">
        <v>246</v>
      </c>
      <c r="GR3614" s="181" t="s">
        <v>882</v>
      </c>
      <c r="GS3614" s="181">
        <v>0</v>
      </c>
      <c r="GT3614" s="181">
        <v>0</v>
      </c>
    </row>
    <row r="3615" spans="1:202">
      <c r="A3615" s="181" t="s">
        <v>246</v>
      </c>
      <c r="GR3615" s="181" t="s">
        <v>882</v>
      </c>
      <c r="GS3615" s="181">
        <v>0</v>
      </c>
      <c r="GT3615" s="181">
        <v>0</v>
      </c>
    </row>
    <row r="3616" spans="1:202">
      <c r="A3616" s="181" t="s">
        <v>246</v>
      </c>
      <c r="GR3616" s="181" t="s">
        <v>882</v>
      </c>
      <c r="GS3616" s="181">
        <v>0</v>
      </c>
      <c r="GT3616" s="181">
        <v>0</v>
      </c>
    </row>
    <row r="3617" spans="1:202">
      <c r="A3617" s="181" t="s">
        <v>246</v>
      </c>
      <c r="GR3617" s="181" t="s">
        <v>882</v>
      </c>
      <c r="GS3617" s="181">
        <v>0</v>
      </c>
      <c r="GT3617" s="181">
        <v>0</v>
      </c>
    </row>
    <row r="3618" spans="1:202">
      <c r="A3618" s="181" t="s">
        <v>246</v>
      </c>
      <c r="GR3618" s="181" t="s">
        <v>882</v>
      </c>
      <c r="GS3618" s="181">
        <v>0</v>
      </c>
      <c r="GT3618" s="181">
        <v>0</v>
      </c>
    </row>
    <row r="3619" spans="1:202">
      <c r="A3619" s="181" t="s">
        <v>246</v>
      </c>
      <c r="GR3619" s="181" t="s">
        <v>882</v>
      </c>
      <c r="GS3619" s="181">
        <v>0</v>
      </c>
      <c r="GT3619" s="181">
        <v>0</v>
      </c>
    </row>
    <row r="3620" spans="1:202">
      <c r="A3620" s="181" t="s">
        <v>246</v>
      </c>
      <c r="GR3620" s="181" t="s">
        <v>883</v>
      </c>
      <c r="GS3620" s="181">
        <v>0</v>
      </c>
      <c r="GT3620" s="181">
        <v>0</v>
      </c>
    </row>
    <row r="3621" spans="1:202">
      <c r="A3621" s="181" t="s">
        <v>246</v>
      </c>
      <c r="GR3621" s="181" t="s">
        <v>873</v>
      </c>
      <c r="GS3621" s="181">
        <v>566577.27500000014</v>
      </c>
      <c r="GT3621" s="181">
        <v>1133154.5500000003</v>
      </c>
    </row>
    <row r="3622" spans="1:202">
      <c r="A3622" s="181" t="s">
        <v>246</v>
      </c>
      <c r="GR3622" s="181" t="s">
        <v>873</v>
      </c>
      <c r="GS3622" s="181">
        <v>0</v>
      </c>
      <c r="GT3622" s="181">
        <v>0</v>
      </c>
    </row>
    <row r="3623" spans="1:202">
      <c r="A3623" s="181" t="s">
        <v>246</v>
      </c>
      <c r="GR3623" s="181" t="s">
        <v>873</v>
      </c>
      <c r="GS3623" s="181">
        <v>0</v>
      </c>
      <c r="GT3623" s="181">
        <v>0</v>
      </c>
    </row>
    <row r="3624" spans="1:202">
      <c r="A3624" s="181" t="s">
        <v>246</v>
      </c>
      <c r="GR3624" s="181" t="s">
        <v>873</v>
      </c>
      <c r="GS3624" s="181">
        <v>0</v>
      </c>
      <c r="GT3624" s="181">
        <v>0</v>
      </c>
    </row>
    <row r="3625" spans="1:202">
      <c r="A3625" s="181" t="s">
        <v>246</v>
      </c>
      <c r="GR3625" s="181" t="s">
        <v>308</v>
      </c>
      <c r="GS3625" s="181">
        <v>0</v>
      </c>
      <c r="GT3625" s="181">
        <v>0</v>
      </c>
    </row>
    <row r="3626" spans="1:202">
      <c r="A3626" s="181" t="s">
        <v>246</v>
      </c>
      <c r="GR3626" s="181" t="s">
        <v>291</v>
      </c>
      <c r="GS3626" s="181">
        <v>0</v>
      </c>
      <c r="GT3626" s="181">
        <v>0</v>
      </c>
    </row>
    <row r="3627" spans="1:202">
      <c r="A3627" s="181" t="s">
        <v>246</v>
      </c>
      <c r="GR3627" s="181" t="s">
        <v>289</v>
      </c>
      <c r="GS3627" s="181">
        <v>0</v>
      </c>
      <c r="GT3627" s="181">
        <v>0</v>
      </c>
    </row>
    <row r="3628" spans="1:202">
      <c r="A3628" s="181" t="s">
        <v>246</v>
      </c>
      <c r="GR3628" s="181" t="s">
        <v>1879</v>
      </c>
      <c r="GS3628" s="181">
        <v>0</v>
      </c>
      <c r="GT3628" s="181">
        <v>0</v>
      </c>
    </row>
    <row r="3629" spans="1:202">
      <c r="A3629" s="181" t="s">
        <v>246</v>
      </c>
      <c r="GR3629" s="181" t="s">
        <v>874</v>
      </c>
      <c r="GS3629" s="181">
        <v>0</v>
      </c>
      <c r="GT3629" s="181">
        <v>0</v>
      </c>
    </row>
    <row r="3630" spans="1:202">
      <c r="A3630" s="181" t="s">
        <v>246</v>
      </c>
      <c r="GR3630" s="181" t="s">
        <v>870</v>
      </c>
      <c r="GS3630" s="181">
        <v>0</v>
      </c>
      <c r="GT3630" s="181">
        <v>4222790.4000000004</v>
      </c>
    </row>
    <row r="3631" spans="1:202">
      <c r="A3631" s="181" t="s">
        <v>246</v>
      </c>
      <c r="GR3631" s="181" t="s">
        <v>309</v>
      </c>
      <c r="GS3631" s="181">
        <v>0</v>
      </c>
      <c r="GT3631" s="181">
        <v>0</v>
      </c>
    </row>
    <row r="3632" spans="1:202">
      <c r="A3632" s="181" t="s">
        <v>246</v>
      </c>
      <c r="GR3632" s="181" t="s">
        <v>309</v>
      </c>
      <c r="GS3632" s="181">
        <v>0</v>
      </c>
      <c r="GT3632" s="181">
        <v>0</v>
      </c>
    </row>
    <row r="3633" spans="1:202">
      <c r="A3633" s="181" t="s">
        <v>246</v>
      </c>
      <c r="GR3633" s="181" t="s">
        <v>309</v>
      </c>
      <c r="GS3633" s="181">
        <v>0</v>
      </c>
      <c r="GT3633" s="181">
        <v>0</v>
      </c>
    </row>
    <row r="3634" spans="1:202">
      <c r="A3634" s="181" t="s">
        <v>246</v>
      </c>
      <c r="GS3634" s="181">
        <v>201054394.18085682</v>
      </c>
      <c r="GT3634" s="181">
        <v>419158660.08374703</v>
      </c>
    </row>
    <row r="3635" spans="1:202">
      <c r="A3635" s="181" t="s">
        <v>246</v>
      </c>
      <c r="GR3635" s="181" t="s">
        <v>286</v>
      </c>
      <c r="GS3635" s="181">
        <v>3841862.4000000004</v>
      </c>
      <c r="GT3635" s="181">
        <v>7683724.7999999998</v>
      </c>
    </row>
    <row r="3636" spans="1:202">
      <c r="A3636" s="181" t="s">
        <v>246</v>
      </c>
      <c r="GR3636" s="181" t="s">
        <v>287</v>
      </c>
      <c r="GS3636" s="181">
        <v>3750</v>
      </c>
      <c r="GT3636" s="181">
        <v>7500</v>
      </c>
    </row>
    <row r="3637" spans="1:202">
      <c r="A3637" s="181" t="s">
        <v>246</v>
      </c>
      <c r="GR3637" s="181" t="s">
        <v>1879</v>
      </c>
      <c r="GS3637" s="181">
        <v>0</v>
      </c>
      <c r="GT3637" s="181">
        <v>0</v>
      </c>
    </row>
    <row r="3638" spans="1:202">
      <c r="A3638" s="181" t="s">
        <v>246</v>
      </c>
      <c r="GR3638" s="181" t="s">
        <v>1880</v>
      </c>
      <c r="GS3638" s="181">
        <v>441883.59375</v>
      </c>
      <c r="GT3638" s="181">
        <v>883767.1875</v>
      </c>
    </row>
    <row r="3639" spans="1:202">
      <c r="A3639" s="181" t="s">
        <v>246</v>
      </c>
      <c r="GR3639" s="181" t="s">
        <v>875</v>
      </c>
      <c r="GS3639" s="181">
        <v>0</v>
      </c>
      <c r="GT3639" s="181">
        <v>0</v>
      </c>
    </row>
    <row r="3640" spans="1:202">
      <c r="A3640" s="181" t="s">
        <v>246</v>
      </c>
      <c r="GR3640" s="181" t="s">
        <v>875</v>
      </c>
      <c r="GS3640" s="181">
        <v>0</v>
      </c>
      <c r="GT3640" s="181">
        <v>0</v>
      </c>
    </row>
    <row r="3641" spans="1:202">
      <c r="A3641" s="181" t="s">
        <v>246</v>
      </c>
      <c r="GR3641" s="181" t="s">
        <v>293</v>
      </c>
      <c r="GS3641" s="181">
        <v>7491651.8272999991</v>
      </c>
      <c r="GT3641" s="181">
        <v>14983303.6546</v>
      </c>
    </row>
    <row r="3642" spans="1:202">
      <c r="A3642" s="181" t="s">
        <v>246</v>
      </c>
      <c r="GR3642" s="181" t="s">
        <v>294</v>
      </c>
      <c r="GS3642" s="181">
        <v>1048831.2558220001</v>
      </c>
      <c r="GT3642" s="181">
        <v>2097662.5116440002</v>
      </c>
    </row>
    <row r="3643" spans="1:202">
      <c r="A3643" s="181" t="s">
        <v>246</v>
      </c>
      <c r="GR3643" s="181" t="s">
        <v>310</v>
      </c>
      <c r="GS3643" s="181">
        <v>0</v>
      </c>
      <c r="GT3643" s="181">
        <v>0</v>
      </c>
    </row>
    <row r="3644" spans="1:202">
      <c r="A3644" s="181" t="s">
        <v>246</v>
      </c>
      <c r="GR3644" s="181" t="s">
        <v>310</v>
      </c>
      <c r="GS3644" s="181">
        <v>0</v>
      </c>
      <c r="GT3644" s="181">
        <v>0</v>
      </c>
    </row>
    <row r="3645" spans="1:202">
      <c r="A3645" s="181" t="s">
        <v>246</v>
      </c>
      <c r="GR3645" s="181" t="s">
        <v>310</v>
      </c>
      <c r="GS3645" s="181">
        <v>0</v>
      </c>
      <c r="GT3645" s="181">
        <v>0</v>
      </c>
    </row>
    <row r="3646" spans="1:202">
      <c r="A3646" s="181" t="s">
        <v>246</v>
      </c>
      <c r="GR3646" s="181" t="s">
        <v>310</v>
      </c>
      <c r="GS3646" s="181">
        <v>0</v>
      </c>
      <c r="GT3646" s="181">
        <v>0</v>
      </c>
    </row>
    <row r="3647" spans="1:202">
      <c r="A3647" s="181" t="s">
        <v>246</v>
      </c>
      <c r="GR3647" s="181" t="s">
        <v>310</v>
      </c>
      <c r="GS3647" s="181">
        <v>0</v>
      </c>
      <c r="GT3647" s="181">
        <v>0</v>
      </c>
    </row>
    <row r="3648" spans="1:202">
      <c r="A3648" s="181" t="s">
        <v>246</v>
      </c>
      <c r="GR3648" s="181" t="s">
        <v>310</v>
      </c>
      <c r="GS3648" s="181">
        <v>0</v>
      </c>
      <c r="GT3648" s="181">
        <v>0</v>
      </c>
    </row>
    <row r="3649" spans="1:202">
      <c r="A3649" s="181" t="s">
        <v>246</v>
      </c>
      <c r="GR3649" s="181" t="s">
        <v>295</v>
      </c>
      <c r="GS3649" s="181">
        <v>142786.32500000001</v>
      </c>
      <c r="GT3649" s="181">
        <v>285572.65000000002</v>
      </c>
    </row>
    <row r="3650" spans="1:202">
      <c r="A3650" s="181" t="s">
        <v>246</v>
      </c>
      <c r="GR3650" s="181" t="s">
        <v>1881</v>
      </c>
      <c r="GS3650" s="181">
        <v>0</v>
      </c>
      <c r="GT3650" s="181">
        <v>0</v>
      </c>
    </row>
    <row r="3651" spans="1:202">
      <c r="A3651" s="181" t="s">
        <v>246</v>
      </c>
      <c r="GR3651" s="181" t="s">
        <v>1882</v>
      </c>
      <c r="GS3651" s="181">
        <v>1125000</v>
      </c>
      <c r="GT3651" s="181">
        <v>2250000</v>
      </c>
    </row>
    <row r="3652" spans="1:202">
      <c r="A3652" s="181" t="s">
        <v>246</v>
      </c>
      <c r="GR3652" s="181" t="s">
        <v>876</v>
      </c>
      <c r="GS3652" s="181">
        <v>0</v>
      </c>
      <c r="GT3652" s="181">
        <v>0</v>
      </c>
    </row>
    <row r="3653" spans="1:202">
      <c r="A3653" s="181" t="s">
        <v>246</v>
      </c>
      <c r="GR3653" s="181" t="s">
        <v>876</v>
      </c>
      <c r="GS3653" s="181">
        <v>0</v>
      </c>
      <c r="GT3653" s="181">
        <v>0</v>
      </c>
    </row>
    <row r="3654" spans="1:202">
      <c r="A3654" s="181" t="s">
        <v>246</v>
      </c>
      <c r="GR3654" s="181" t="s">
        <v>1883</v>
      </c>
      <c r="GS3654" s="181">
        <v>0</v>
      </c>
      <c r="GT3654" s="181">
        <v>0</v>
      </c>
    </row>
    <row r="3655" spans="1:202">
      <c r="A3655" s="181" t="s">
        <v>246</v>
      </c>
      <c r="GR3655" s="181">
        <v>0</v>
      </c>
      <c r="GS3655" s="181">
        <v>0</v>
      </c>
      <c r="GT3655" s="181">
        <v>0</v>
      </c>
    </row>
    <row r="3656" spans="1:202">
      <c r="A3656" s="181" t="s">
        <v>246</v>
      </c>
      <c r="GR3656" s="181">
        <v>0</v>
      </c>
      <c r="GS3656" s="181">
        <v>0</v>
      </c>
      <c r="GT3656" s="181">
        <v>0</v>
      </c>
    </row>
    <row r="3657" spans="1:202">
      <c r="A3657" s="181" t="s">
        <v>246</v>
      </c>
      <c r="GR3657" s="181">
        <v>0</v>
      </c>
      <c r="GS3657" s="181">
        <v>0</v>
      </c>
      <c r="GT3657" s="181">
        <v>0</v>
      </c>
    </row>
    <row r="3658" spans="1:202">
      <c r="A3658" s="181" t="s">
        <v>246</v>
      </c>
      <c r="GR3658" s="181">
        <v>0</v>
      </c>
      <c r="GS3658" s="181">
        <v>0</v>
      </c>
      <c r="GT3658" s="181">
        <v>0</v>
      </c>
    </row>
    <row r="3659" spans="1:202">
      <c r="A3659" s="181" t="s">
        <v>246</v>
      </c>
      <c r="GR3659" s="181">
        <v>0</v>
      </c>
      <c r="GS3659" s="181">
        <v>0</v>
      </c>
      <c r="GT3659" s="181">
        <v>0</v>
      </c>
    </row>
    <row r="3660" spans="1:202">
      <c r="A3660" s="181" t="s">
        <v>246</v>
      </c>
      <c r="GR3660" s="181">
        <v>0</v>
      </c>
      <c r="GS3660" s="181">
        <v>0</v>
      </c>
      <c r="GT3660" s="181">
        <v>0</v>
      </c>
    </row>
    <row r="3661" spans="1:202">
      <c r="A3661" s="181" t="s">
        <v>246</v>
      </c>
      <c r="GR3661" s="181">
        <v>0</v>
      </c>
      <c r="GS3661" s="181">
        <v>0</v>
      </c>
      <c r="GT3661" s="181">
        <v>0</v>
      </c>
    </row>
    <row r="3662" spans="1:202">
      <c r="A3662" s="181" t="s">
        <v>246</v>
      </c>
      <c r="GR3662" s="181">
        <v>0</v>
      </c>
      <c r="GS3662" s="181">
        <v>0</v>
      </c>
      <c r="GT3662" s="181">
        <v>0</v>
      </c>
    </row>
    <row r="3663" spans="1:202">
      <c r="A3663" s="181" t="s">
        <v>246</v>
      </c>
      <c r="GR3663" s="181">
        <v>0</v>
      </c>
      <c r="GS3663" s="181">
        <v>0</v>
      </c>
      <c r="GT3663" s="181">
        <v>0</v>
      </c>
    </row>
    <row r="3664" spans="1:202">
      <c r="A3664" s="181" t="s">
        <v>246</v>
      </c>
      <c r="GR3664" s="181">
        <v>0</v>
      </c>
      <c r="GS3664" s="181">
        <v>0</v>
      </c>
      <c r="GT3664" s="181">
        <v>0</v>
      </c>
    </row>
    <row r="3665" spans="1:202">
      <c r="A3665" s="181" t="s">
        <v>246</v>
      </c>
      <c r="GR3665" s="181">
        <v>0</v>
      </c>
      <c r="GS3665" s="181">
        <v>0</v>
      </c>
      <c r="GT3665" s="181">
        <v>0</v>
      </c>
    </row>
    <row r="3666" spans="1:202">
      <c r="A3666" s="181" t="s">
        <v>246</v>
      </c>
      <c r="GR3666" s="181">
        <v>0</v>
      </c>
      <c r="GS3666" s="181">
        <v>0</v>
      </c>
      <c r="GT3666" s="181">
        <v>0</v>
      </c>
    </row>
    <row r="3667" spans="1:202">
      <c r="A3667" s="181" t="s">
        <v>246</v>
      </c>
      <c r="GR3667" s="181">
        <v>0</v>
      </c>
      <c r="GS3667" s="181">
        <v>0</v>
      </c>
      <c r="GT3667" s="181">
        <v>0</v>
      </c>
    </row>
    <row r="3668" spans="1:202">
      <c r="A3668" s="181" t="s">
        <v>246</v>
      </c>
      <c r="GR3668" s="181">
        <v>0</v>
      </c>
      <c r="GS3668" s="181">
        <v>0</v>
      </c>
      <c r="GT3668" s="181">
        <v>0</v>
      </c>
    </row>
    <row r="3669" spans="1:202">
      <c r="A3669" s="181" t="s">
        <v>246</v>
      </c>
      <c r="GS3669" s="181">
        <v>14095765.401872002</v>
      </c>
      <c r="GT3669" s="181">
        <v>28191530.803743999</v>
      </c>
    </row>
    <row r="3670" spans="1:202">
      <c r="A3670" s="181" t="s">
        <v>246</v>
      </c>
      <c r="GR3670" s="181" t="s">
        <v>309</v>
      </c>
      <c r="GS3670" s="181">
        <v>0</v>
      </c>
      <c r="GT3670" s="181">
        <v>0</v>
      </c>
    </row>
    <row r="3671" spans="1:202">
      <c r="A3671" s="181" t="s">
        <v>246</v>
      </c>
      <c r="GS3671" s="181">
        <v>215150159.5827288</v>
      </c>
      <c r="GT3671" s="181">
        <v>447350190.88749093</v>
      </c>
    </row>
    <row r="3672" spans="1:202">
      <c r="A3672" s="181" t="s">
        <v>246</v>
      </c>
      <c r="GS3672" s="181">
        <v>-548440.06749989092</v>
      </c>
      <c r="GT3672" s="181">
        <v>-8555307.7438750714</v>
      </c>
    </row>
    <row r="3673" spans="1:202">
      <c r="A3673" s="181" t="s">
        <v>246</v>
      </c>
      <c r="GS3673" s="181">
        <v>12830529.690504432</v>
      </c>
      <c r="GT3673" s="181">
        <v>12830529.690504432</v>
      </c>
    </row>
    <row r="3674" spans="1:202">
      <c r="A3674" s="181" t="s">
        <v>246</v>
      </c>
    </row>
    <row r="3675" spans="1:202">
      <c r="A3675" s="181" t="s">
        <v>246</v>
      </c>
    </row>
    <row r="3676" spans="1:202">
      <c r="A3676" s="181" t="s">
        <v>246</v>
      </c>
    </row>
    <row r="3677" spans="1:202">
      <c r="A3677" s="181" t="s">
        <v>246</v>
      </c>
    </row>
    <row r="3678" spans="1:202">
      <c r="A3678" s="181" t="s">
        <v>246</v>
      </c>
    </row>
    <row r="3679" spans="1:202">
      <c r="A3679" s="181" t="s">
        <v>246</v>
      </c>
    </row>
    <row r="3680" spans="1:202">
      <c r="A3680" s="181" t="s">
        <v>246</v>
      </c>
    </row>
    <row r="3681" spans="1:295">
      <c r="A3681" s="181" t="s">
        <v>246</v>
      </c>
    </row>
    <row r="3682" spans="1:295">
      <c r="A3682" s="181" t="s">
        <v>246</v>
      </c>
    </row>
    <row r="3683" spans="1:295">
      <c r="A3683" s="181" t="s">
        <v>246</v>
      </c>
    </row>
    <row r="3684" spans="1:295">
      <c r="A3684" s="181" t="s">
        <v>246</v>
      </c>
    </row>
    <row r="3685" spans="1:295">
      <c r="A3685" s="181" t="s">
        <v>246</v>
      </c>
    </row>
    <row r="3686" spans="1:295">
      <c r="A3686" s="181" t="s">
        <v>246</v>
      </c>
    </row>
    <row r="3687" spans="1:295">
      <c r="A3687" s="181" t="s">
        <v>246</v>
      </c>
    </row>
    <row r="3688" spans="1:295">
      <c r="A3688" s="181" t="s">
        <v>246</v>
      </c>
    </row>
    <row r="3689" spans="1:295">
      <c r="A3689" s="181" t="s">
        <v>246</v>
      </c>
    </row>
    <row r="3690" spans="1:295">
      <c r="A3690" s="181" t="s">
        <v>246</v>
      </c>
    </row>
    <row r="3691" spans="1:295">
      <c r="A3691" s="181" t="s">
        <v>246</v>
      </c>
    </row>
    <row r="3692" spans="1:295">
      <c r="A3692" s="181" t="s">
        <v>246</v>
      </c>
    </row>
    <row r="3693" spans="1:295">
      <c r="A3693" s="181" t="s">
        <v>246</v>
      </c>
    </row>
    <row r="3694" spans="1:295">
      <c r="A3694" s="181" t="s">
        <v>246</v>
      </c>
    </row>
    <row r="3695" spans="1:295">
      <c r="A3695" s="181" t="s">
        <v>247</v>
      </c>
      <c r="B3695" s="181" t="s">
        <v>2938</v>
      </c>
      <c r="C3695" s="181" t="s">
        <v>901</v>
      </c>
      <c r="F3695" s="181" t="s">
        <v>2118</v>
      </c>
      <c r="G3695" s="181">
        <v>272808805</v>
      </c>
      <c r="H3695" s="181">
        <v>14</v>
      </c>
      <c r="I3695" s="181" t="s">
        <v>2928</v>
      </c>
      <c r="J3695" s="181" t="s">
        <v>2937</v>
      </c>
      <c r="K3695" s="181">
        <v>100</v>
      </c>
      <c r="L3695" s="181" t="s">
        <v>933</v>
      </c>
      <c r="M3695" s="181">
        <v>1</v>
      </c>
      <c r="N3695" s="181" t="s">
        <v>2140</v>
      </c>
      <c r="O3695" s="181" t="s">
        <v>2115</v>
      </c>
      <c r="P3695" s="181">
        <v>30</v>
      </c>
      <c r="Q3695" s="181">
        <v>60</v>
      </c>
      <c r="R3695" s="181">
        <v>200</v>
      </c>
      <c r="S3695" s="181">
        <v>400</v>
      </c>
      <c r="V3695" s="181">
        <v>500000</v>
      </c>
      <c r="W3695" s="181">
        <v>400000</v>
      </c>
      <c r="X3695" s="181">
        <v>44594.44</v>
      </c>
      <c r="Y3695" s="181">
        <v>100337.49</v>
      </c>
      <c r="Z3695" s="181">
        <v>2618574.3820985397</v>
      </c>
      <c r="AA3695" s="181">
        <v>2773590.1697455384</v>
      </c>
      <c r="AY3695" s="181">
        <v>43869.572603999994</v>
      </c>
      <c r="AZ3695" s="181">
        <v>107236.73303199999</v>
      </c>
      <c r="BA3695" s="181" t="s">
        <v>1091</v>
      </c>
      <c r="BB3695" s="181" t="s">
        <v>1096</v>
      </c>
      <c r="BC3695" s="181">
        <v>437310.64968933328</v>
      </c>
      <c r="BD3695" s="181">
        <v>774696.44851733325</v>
      </c>
      <c r="BE3695" s="181">
        <v>1504299.9361502698</v>
      </c>
      <c r="BF3695" s="181">
        <v>1547259.496367509</v>
      </c>
      <c r="BG3695" s="181">
        <v>233574.78380400001</v>
      </c>
      <c r="BH3695" s="181">
        <v>570960.58263199998</v>
      </c>
      <c r="BI3695" s="181">
        <v>1575735.9263729055</v>
      </c>
      <c r="BJ3695" s="181">
        <v>1585381.912855736</v>
      </c>
      <c r="BK3695" s="181" t="s">
        <v>971</v>
      </c>
      <c r="BL3695" s="181">
        <v>15148.5</v>
      </c>
      <c r="BM3695" s="181">
        <v>30801.95</v>
      </c>
      <c r="BP3695" s="181" t="s">
        <v>971</v>
      </c>
      <c r="BQ3695" s="181">
        <v>4296.375</v>
      </c>
      <c r="BR3695" s="181">
        <v>8592.75</v>
      </c>
      <c r="BU3695" s="181" t="s">
        <v>1634</v>
      </c>
      <c r="BV3695" s="181">
        <v>0</v>
      </c>
      <c r="BW3695" s="181">
        <v>0</v>
      </c>
      <c r="BZ3695" s="181">
        <v>152967.07839466829</v>
      </c>
      <c r="CB3695" s="181">
        <v>0</v>
      </c>
      <c r="CG3695" s="181">
        <v>9650</v>
      </c>
      <c r="CH3695" s="181">
        <v>9650</v>
      </c>
      <c r="CI3695" s="181">
        <v>1</v>
      </c>
      <c r="CJ3695" s="181">
        <v>1</v>
      </c>
      <c r="CK3695" s="181">
        <v>1</v>
      </c>
      <c r="CL3695" s="181">
        <v>1</v>
      </c>
      <c r="CO3695" s="181">
        <v>1</v>
      </c>
      <c r="FY3695" s="181">
        <v>0</v>
      </c>
      <c r="FZ3695" s="181">
        <v>30</v>
      </c>
      <c r="GA3695" s="181">
        <v>0</v>
      </c>
      <c r="GB3695" s="181">
        <v>0</v>
      </c>
      <c r="GC3695" s="181">
        <v>30.5</v>
      </c>
      <c r="GD3695" s="181">
        <v>0</v>
      </c>
      <c r="GL3695" s="181">
        <v>-3000</v>
      </c>
      <c r="GR3695" s="181" t="s">
        <v>176</v>
      </c>
      <c r="GS3695" s="181">
        <v>317900</v>
      </c>
      <c r="GT3695" s="181">
        <v>784760</v>
      </c>
      <c r="HD3695" s="181" t="s">
        <v>159</v>
      </c>
      <c r="HE3695" s="181">
        <v>11330.857142857143</v>
      </c>
      <c r="HF3695" s="181">
        <v>22661.714285714286</v>
      </c>
      <c r="HG3695" s="181" t="s">
        <v>1634</v>
      </c>
      <c r="HH3695" s="181">
        <v>0</v>
      </c>
      <c r="HI3695" s="181">
        <v>0</v>
      </c>
      <c r="HL3695" s="181" t="s">
        <v>932</v>
      </c>
      <c r="HS3695" s="181" t="s">
        <v>1384</v>
      </c>
      <c r="HT3695" s="181">
        <v>500</v>
      </c>
      <c r="HU3695" s="181">
        <v>1500</v>
      </c>
      <c r="HY3695" s="181" t="s">
        <v>1385</v>
      </c>
      <c r="HZ3695" s="181">
        <v>2</v>
      </c>
      <c r="IA3695" s="181">
        <v>4</v>
      </c>
      <c r="KI3695" s="181">
        <v>-7500</v>
      </c>
    </row>
    <row r="3696" spans="1:295">
      <c r="A3696" s="181" t="s">
        <v>247</v>
      </c>
      <c r="B3696" s="181" t="s">
        <v>1086</v>
      </c>
      <c r="C3696" s="181" t="s">
        <v>901</v>
      </c>
      <c r="F3696" s="181" t="s">
        <v>2696</v>
      </c>
      <c r="G3696" s="181">
        <v>13028452</v>
      </c>
      <c r="I3696" s="181" t="s">
        <v>2929</v>
      </c>
      <c r="J3696" s="181" t="s">
        <v>1326</v>
      </c>
      <c r="K3696" s="181">
        <v>100</v>
      </c>
      <c r="L3696" s="181" t="s">
        <v>933</v>
      </c>
      <c r="M3696" s="181">
        <v>2</v>
      </c>
      <c r="N3696" s="181" t="s">
        <v>2140</v>
      </c>
      <c r="O3696" s="181" t="s">
        <v>2115</v>
      </c>
      <c r="P3696" s="181">
        <v>25</v>
      </c>
      <c r="Q3696" s="181">
        <v>50</v>
      </c>
      <c r="R3696" s="181">
        <v>300</v>
      </c>
      <c r="S3696" s="181">
        <v>600</v>
      </c>
      <c r="V3696" s="181">
        <v>700000</v>
      </c>
      <c r="W3696" s="181">
        <v>560000</v>
      </c>
      <c r="X3696" s="181">
        <v>97676.92</v>
      </c>
      <c r="Y3696" s="181">
        <v>219773.07</v>
      </c>
      <c r="Z3696" s="181">
        <v>2327702.5739943287</v>
      </c>
      <c r="AA3696" s="181">
        <v>2465499.1744584739</v>
      </c>
      <c r="AY3696" s="181">
        <v>90816.66</v>
      </c>
      <c r="AZ3696" s="181">
        <v>221996.28</v>
      </c>
      <c r="BA3696" s="181" t="s">
        <v>1092</v>
      </c>
      <c r="BB3696" s="181" t="s">
        <v>919</v>
      </c>
      <c r="BC3696" s="181">
        <v>0</v>
      </c>
      <c r="BD3696" s="181">
        <v>394770.37893727986</v>
      </c>
      <c r="BF3696" s="181">
        <v>68655.279749969937</v>
      </c>
      <c r="BG3696" s="181">
        <v>300566.16555767995</v>
      </c>
      <c r="BH3696" s="181">
        <v>734717.29358543991</v>
      </c>
      <c r="BI3696" s="181">
        <v>40419.444111961107</v>
      </c>
      <c r="BJ3696" s="181">
        <v>49522.269074769407</v>
      </c>
      <c r="BK3696" s="181" t="s">
        <v>927</v>
      </c>
      <c r="BL3696" s="181">
        <v>2269.4999999999995</v>
      </c>
      <c r="BM3696" s="181">
        <v>4614.6499999999996</v>
      </c>
      <c r="BP3696" s="181" t="s">
        <v>927</v>
      </c>
      <c r="BQ3696" s="181">
        <v>583.875</v>
      </c>
      <c r="BR3696" s="181">
        <v>1167.75</v>
      </c>
      <c r="BU3696" s="181" t="s">
        <v>887</v>
      </c>
      <c r="BV3696" s="181">
        <v>2244.7333333333336</v>
      </c>
      <c r="BW3696" s="181">
        <v>4489.4666666666672</v>
      </c>
      <c r="CA3696" s="181">
        <v>415591.9296710178</v>
      </c>
      <c r="CB3696" s="181">
        <v>408520.70917530509</v>
      </c>
      <c r="CG3696" s="181">
        <v>6850</v>
      </c>
      <c r="CH3696" s="181">
        <v>8520</v>
      </c>
      <c r="CI3696" s="181">
        <v>6.42</v>
      </c>
      <c r="CN3696" s="181">
        <v>0.88</v>
      </c>
      <c r="FY3696" s="181">
        <v>0</v>
      </c>
      <c r="FZ3696" s="181">
        <v>9</v>
      </c>
      <c r="GA3696" s="181">
        <v>0</v>
      </c>
      <c r="GB3696" s="181">
        <v>0</v>
      </c>
      <c r="GC3696" s="181">
        <v>9</v>
      </c>
      <c r="GD3696" s="181">
        <v>0</v>
      </c>
      <c r="GR3696" s="181" t="s">
        <v>177</v>
      </c>
      <c r="GS3696" s="181">
        <v>0</v>
      </c>
      <c r="GT3696" s="181">
        <v>0</v>
      </c>
      <c r="HD3696" s="181" t="s">
        <v>922</v>
      </c>
      <c r="HE3696" s="181">
        <v>3198.2857142857142</v>
      </c>
      <c r="HF3696" s="181">
        <v>6396.5714285714284</v>
      </c>
      <c r="HG3696" s="181" t="s">
        <v>1102</v>
      </c>
      <c r="HH3696" s="181">
        <v>12883.5</v>
      </c>
      <c r="HI3696" s="181">
        <v>25767</v>
      </c>
      <c r="HL3696" s="181" t="s">
        <v>1224</v>
      </c>
      <c r="HM3696" s="181">
        <v>500</v>
      </c>
      <c r="HN3696" s="181">
        <v>500</v>
      </c>
      <c r="HY3696" s="181" t="s">
        <v>1386</v>
      </c>
      <c r="HZ3696" s="181">
        <v>3</v>
      </c>
      <c r="IA3696" s="181">
        <v>6</v>
      </c>
    </row>
    <row r="3697" spans="1:222">
      <c r="A3697" s="181" t="s">
        <v>247</v>
      </c>
      <c r="B3697" s="181" t="s">
        <v>1087</v>
      </c>
      <c r="C3697" s="181" t="s">
        <v>901</v>
      </c>
      <c r="F3697" s="181" t="s">
        <v>2927</v>
      </c>
      <c r="G3697" s="181">
        <v>44462</v>
      </c>
      <c r="I3697" s="181" t="s">
        <v>2930</v>
      </c>
      <c r="J3697" s="181" t="s">
        <v>1084</v>
      </c>
      <c r="K3697" s="181">
        <v>1</v>
      </c>
      <c r="L3697" s="181" t="s">
        <v>756</v>
      </c>
      <c r="M3697" s="181">
        <v>1</v>
      </c>
      <c r="N3697" s="181" t="s">
        <v>2140</v>
      </c>
      <c r="O3697" s="181" t="s">
        <v>2115</v>
      </c>
      <c r="P3697" s="181">
        <v>30</v>
      </c>
      <c r="Q3697" s="181">
        <v>60</v>
      </c>
      <c r="R3697" s="181">
        <v>400</v>
      </c>
      <c r="S3697" s="181">
        <v>700</v>
      </c>
      <c r="V3697" s="181">
        <v>884000</v>
      </c>
      <c r="W3697" s="181">
        <v>707000</v>
      </c>
      <c r="X3697" s="181">
        <v>58603.328000000001</v>
      </c>
      <c r="Y3697" s="181">
        <v>131857.48800000001</v>
      </c>
      <c r="Z3697" s="181">
        <v>2282614.6597231342</v>
      </c>
      <c r="AA3697" s="181">
        <v>2417742.1213643034</v>
      </c>
      <c r="AY3697" s="181">
        <v>56839.3056</v>
      </c>
      <c r="AZ3697" s="181">
        <v>138940.52480000001</v>
      </c>
      <c r="BA3697" s="181" t="s">
        <v>1093</v>
      </c>
      <c r="BB3697" s="181" t="s">
        <v>1096</v>
      </c>
      <c r="BC3697" s="181">
        <v>0</v>
      </c>
      <c r="BD3697" s="181">
        <v>0</v>
      </c>
      <c r="BG3697" s="181">
        <v>6791.8646736000001</v>
      </c>
      <c r="BH3697" s="181">
        <v>16602.335868800001</v>
      </c>
      <c r="BI3697" s="181">
        <v>1006326.4610741658</v>
      </c>
      <c r="BJ3697" s="181">
        <v>1006326.4610741663</v>
      </c>
      <c r="BK3697" s="181" t="s">
        <v>972</v>
      </c>
      <c r="BL3697" s="181">
        <v>5366.5</v>
      </c>
      <c r="BM3697" s="181">
        <v>10911.883333333331</v>
      </c>
      <c r="BP3697" s="181" t="s">
        <v>972</v>
      </c>
      <c r="BQ3697" s="181">
        <v>1570.125</v>
      </c>
      <c r="BR3697" s="181">
        <v>3140.25</v>
      </c>
      <c r="BU3697" s="181" t="s">
        <v>1099</v>
      </c>
      <c r="BV3697" s="181">
        <v>1383.55</v>
      </c>
      <c r="BW3697" s="181">
        <v>2767.1</v>
      </c>
      <c r="CI3697" s="181">
        <v>0</v>
      </c>
      <c r="CJ3697" s="181">
        <v>4.87E-2</v>
      </c>
      <c r="CK3697" s="181">
        <v>2.9000000000000001E-2</v>
      </c>
      <c r="CL3697" s="181">
        <v>3.7999999999999999E-2</v>
      </c>
      <c r="CN3697" s="181">
        <v>2.01E-2</v>
      </c>
      <c r="CO3697" s="181">
        <v>2E-3</v>
      </c>
      <c r="FY3697" s="181">
        <v>0</v>
      </c>
      <c r="FZ3697" s="181">
        <v>0</v>
      </c>
      <c r="GA3697" s="181">
        <v>0</v>
      </c>
      <c r="GB3697" s="181">
        <v>0</v>
      </c>
      <c r="GC3697" s="181">
        <v>0</v>
      </c>
      <c r="GD3697" s="181">
        <v>0</v>
      </c>
      <c r="GR3697" s="181" t="s">
        <v>178</v>
      </c>
      <c r="GS3697" s="181">
        <v>0</v>
      </c>
      <c r="GT3697" s="181">
        <v>0</v>
      </c>
      <c r="HD3697" s="181" t="s">
        <v>927</v>
      </c>
      <c r="HE3697" s="181">
        <v>905.14285714285711</v>
      </c>
      <c r="HF3697" s="181">
        <v>1810.2857142857142</v>
      </c>
      <c r="HG3697" s="181" t="s">
        <v>924</v>
      </c>
      <c r="HH3697" s="181">
        <v>252.6333333333333</v>
      </c>
      <c r="HI3697" s="181">
        <v>505.26666666666659</v>
      </c>
      <c r="HL3697" s="181" t="s">
        <v>1670</v>
      </c>
      <c r="HM3697" s="181">
        <v>250</v>
      </c>
      <c r="HN3697" s="181">
        <v>250</v>
      </c>
    </row>
    <row r="3698" spans="1:222">
      <c r="A3698" s="181" t="s">
        <v>247</v>
      </c>
      <c r="B3698" s="181" t="s">
        <v>2939</v>
      </c>
      <c r="C3698" s="181" t="s">
        <v>901</v>
      </c>
      <c r="F3698" s="181" t="s">
        <v>2172</v>
      </c>
      <c r="G3698" s="181">
        <v>50</v>
      </c>
      <c r="I3698" s="181" t="s">
        <v>2931</v>
      </c>
      <c r="J3698" s="181" t="s">
        <v>1085</v>
      </c>
      <c r="K3698" s="181">
        <v>100</v>
      </c>
      <c r="L3698" s="181" t="s">
        <v>933</v>
      </c>
      <c r="M3698" s="181">
        <v>2</v>
      </c>
      <c r="N3698" s="181" t="s">
        <v>2140</v>
      </c>
      <c r="O3698" s="181" t="s">
        <v>2115</v>
      </c>
      <c r="P3698" s="181">
        <v>20</v>
      </c>
      <c r="Q3698" s="181">
        <v>50</v>
      </c>
      <c r="R3698" s="181">
        <v>200</v>
      </c>
      <c r="S3698" s="181">
        <v>400</v>
      </c>
      <c r="V3698" s="181">
        <v>460000</v>
      </c>
      <c r="W3698" s="181">
        <v>368000</v>
      </c>
      <c r="X3698" s="181">
        <v>6435.8061734967441</v>
      </c>
      <c r="Y3698" s="181">
        <v>14480.563890367674</v>
      </c>
      <c r="Z3698" s="181">
        <v>2290419.7928697616</v>
      </c>
      <c r="AA3698" s="181">
        <v>2426009.3070196114</v>
      </c>
      <c r="AY3698" s="181">
        <v>5678.4672</v>
      </c>
      <c r="AZ3698" s="181">
        <v>13880.6976</v>
      </c>
      <c r="BA3698" s="181" t="s">
        <v>1094</v>
      </c>
      <c r="BB3698" s="181" t="s">
        <v>919</v>
      </c>
      <c r="BC3698" s="181">
        <v>585.38117175959906</v>
      </c>
      <c r="BD3698" s="181">
        <v>11992.0578830544</v>
      </c>
      <c r="BE3698" s="181">
        <v>657571.56973500282</v>
      </c>
      <c r="BF3698" s="181">
        <v>698586.18114932452</v>
      </c>
      <c r="BG3698" s="181">
        <v>7896.9300308963993</v>
      </c>
      <c r="BH3698" s="181">
        <v>19303.606742191201</v>
      </c>
      <c r="BI3698" s="181">
        <v>536845.55334022408</v>
      </c>
      <c r="BJ3698" s="181">
        <v>594936.21770413453</v>
      </c>
      <c r="BK3698" s="181" t="s">
        <v>2049</v>
      </c>
      <c r="BL3698" s="181">
        <v>3021.0000000000005</v>
      </c>
      <c r="BM3698" s="181">
        <v>6142.7000000000007</v>
      </c>
      <c r="BP3698" s="181" t="s">
        <v>2049</v>
      </c>
      <c r="BQ3698" s="181">
        <v>1080.375</v>
      </c>
      <c r="BR3698" s="181">
        <v>2160.75</v>
      </c>
      <c r="BU3698" s="181" t="s">
        <v>2943</v>
      </c>
      <c r="BV3698" s="181">
        <v>1353.1</v>
      </c>
      <c r="BW3698" s="181">
        <v>2706.2</v>
      </c>
      <c r="CI3698" s="181">
        <v>0.14910000000000001</v>
      </c>
      <c r="CL3698" s="181">
        <v>3.8600000000000002E-2</v>
      </c>
      <c r="CN3698" s="181">
        <v>4.7789999999999999E-2</v>
      </c>
      <c r="CO3698" s="181">
        <v>3.0000000000000001E-3</v>
      </c>
      <c r="FY3698" s="181">
        <v>0</v>
      </c>
      <c r="FZ3698" s="181">
        <v>0</v>
      </c>
      <c r="GA3698" s="181">
        <v>0</v>
      </c>
      <c r="GB3698" s="181">
        <v>0</v>
      </c>
      <c r="GC3698" s="181">
        <v>0</v>
      </c>
      <c r="GD3698" s="181">
        <v>0</v>
      </c>
      <c r="GR3698" s="181" t="s">
        <v>1707</v>
      </c>
      <c r="GS3698" s="181">
        <v>0</v>
      </c>
      <c r="GT3698" s="181">
        <v>0</v>
      </c>
      <c r="HD3698" s="181" t="s">
        <v>1100</v>
      </c>
      <c r="HE3698" s="181">
        <v>1397.7142857142858</v>
      </c>
      <c r="HF3698" s="181">
        <v>2795.4285714285716</v>
      </c>
      <c r="HG3698" s="181" t="s">
        <v>1104</v>
      </c>
      <c r="HH3698" s="181">
        <v>24446.799999999999</v>
      </c>
      <c r="HI3698" s="181">
        <v>48893.599999999999</v>
      </c>
      <c r="HL3698" s="181" t="s">
        <v>2120</v>
      </c>
      <c r="HM3698" s="181">
        <v>400</v>
      </c>
      <c r="HN3698" s="181">
        <v>400</v>
      </c>
    </row>
    <row r="3699" spans="1:222">
      <c r="A3699" s="181" t="s">
        <v>247</v>
      </c>
      <c r="B3699" s="181" t="s">
        <v>1089</v>
      </c>
      <c r="C3699" s="181" t="s">
        <v>666</v>
      </c>
      <c r="F3699" s="181" t="s">
        <v>754</v>
      </c>
      <c r="G3699" s="181">
        <v>50</v>
      </c>
      <c r="I3699" s="181" t="s">
        <v>2932</v>
      </c>
      <c r="V3699" s="181">
        <v>0</v>
      </c>
      <c r="W3699" s="181">
        <v>0</v>
      </c>
      <c r="BA3699" s="181" t="s">
        <v>333</v>
      </c>
      <c r="BB3699" s="181" t="s">
        <v>666</v>
      </c>
      <c r="BC3699" s="181">
        <v>0</v>
      </c>
      <c r="BD3699" s="181">
        <v>2196.9817264872813</v>
      </c>
      <c r="BF3699" s="181">
        <v>1000000</v>
      </c>
      <c r="BG3699" s="181">
        <v>4331.3005664984803</v>
      </c>
      <c r="BH3699" s="181">
        <v>11013.111591231112</v>
      </c>
      <c r="BI3699" s="181">
        <v>1000000</v>
      </c>
      <c r="BJ3699" s="181">
        <v>999999.99999999988</v>
      </c>
      <c r="BK3699" s="181" t="s">
        <v>1101</v>
      </c>
      <c r="BL3699" s="181">
        <v>1827.4999999999998</v>
      </c>
      <c r="BM3699" s="181">
        <v>3715.9166666666661</v>
      </c>
      <c r="BP3699" s="181" t="s">
        <v>1101</v>
      </c>
      <c r="BQ3699" s="181">
        <v>882</v>
      </c>
      <c r="BR3699" s="181">
        <v>1764</v>
      </c>
      <c r="BU3699" s="181" t="s">
        <v>333</v>
      </c>
      <c r="BV3699" s="181">
        <v>987</v>
      </c>
      <c r="BW3699" s="181">
        <v>1974</v>
      </c>
      <c r="CL3699" s="181">
        <v>26.51</v>
      </c>
      <c r="FY3699" s="181">
        <v>0</v>
      </c>
      <c r="FZ3699" s="181">
        <v>8</v>
      </c>
      <c r="GA3699" s="181">
        <v>0</v>
      </c>
      <c r="GB3699" s="181">
        <v>0</v>
      </c>
      <c r="GC3699" s="181">
        <v>8</v>
      </c>
      <c r="GD3699" s="181">
        <v>0</v>
      </c>
      <c r="GR3699" s="181" t="s">
        <v>175</v>
      </c>
      <c r="GS3699" s="181">
        <v>0</v>
      </c>
      <c r="GT3699" s="181">
        <v>0</v>
      </c>
      <c r="HD3699" s="181" t="s">
        <v>1101</v>
      </c>
      <c r="HE3699" s="181">
        <v>1393.1428571428571</v>
      </c>
      <c r="HF3699" s="181">
        <v>2786.2857142857142</v>
      </c>
      <c r="HG3699" s="181" t="s">
        <v>983</v>
      </c>
      <c r="HH3699" s="181">
        <v>2108.4</v>
      </c>
      <c r="HI3699" s="181">
        <v>4216.8</v>
      </c>
      <c r="HL3699" s="181" t="s">
        <v>1742</v>
      </c>
    </row>
    <row r="3700" spans="1:222">
      <c r="A3700" s="181" t="s">
        <v>247</v>
      </c>
      <c r="B3700" s="181" t="s">
        <v>1088</v>
      </c>
      <c r="C3700" s="181" t="s">
        <v>901</v>
      </c>
      <c r="F3700" s="181" t="s">
        <v>2486</v>
      </c>
      <c r="G3700" s="181">
        <v>50</v>
      </c>
      <c r="I3700" s="181" t="s">
        <v>2933</v>
      </c>
      <c r="V3700" s="181">
        <v>0</v>
      </c>
      <c r="W3700" s="181">
        <v>0</v>
      </c>
      <c r="X3700" s="181">
        <v>23782.787519999998</v>
      </c>
      <c r="Y3700" s="181">
        <v>53511.271919999999</v>
      </c>
      <c r="Z3700" s="181">
        <v>379724.06438143982</v>
      </c>
      <c r="AA3700" s="181">
        <v>402203.17566085118</v>
      </c>
      <c r="AY3700" s="181">
        <v>21503.988000000001</v>
      </c>
      <c r="AZ3700" s="181">
        <v>52565.304000000004</v>
      </c>
      <c r="BK3700" s="181" t="s">
        <v>2941</v>
      </c>
      <c r="BL3700" s="181">
        <v>3309</v>
      </c>
      <c r="BM3700" s="181">
        <v>6728.3</v>
      </c>
      <c r="BP3700" s="181" t="s">
        <v>2941</v>
      </c>
      <c r="BQ3700" s="181">
        <v>1031.2499999999998</v>
      </c>
      <c r="BR3700" s="181">
        <v>2062.4999999999995</v>
      </c>
      <c r="GR3700" s="181" t="s">
        <v>1884</v>
      </c>
      <c r="GS3700" s="181">
        <v>137522</v>
      </c>
      <c r="GT3700" s="181">
        <v>265262</v>
      </c>
      <c r="HD3700" s="181" t="s">
        <v>333</v>
      </c>
      <c r="HE3700" s="181">
        <v>3359.4285714285716</v>
      </c>
      <c r="HF3700" s="181">
        <v>6718.8571428571431</v>
      </c>
      <c r="HG3700" s="181" t="s">
        <v>333</v>
      </c>
      <c r="HH3700" s="181">
        <v>12693.8</v>
      </c>
      <c r="HI3700" s="181">
        <v>25387.599999999999</v>
      </c>
      <c r="HL3700" s="181" t="s">
        <v>917</v>
      </c>
      <c r="HM3700" s="181">
        <v>300</v>
      </c>
      <c r="HN3700" s="181">
        <v>300</v>
      </c>
    </row>
    <row r="3701" spans="1:222">
      <c r="A3701" s="181" t="s">
        <v>247</v>
      </c>
      <c r="B3701" s="181" t="s">
        <v>2940</v>
      </c>
      <c r="C3701" s="181" t="s">
        <v>901</v>
      </c>
      <c r="F3701" s="181" t="s">
        <v>657</v>
      </c>
      <c r="G3701" s="181">
        <v>50</v>
      </c>
      <c r="I3701" s="181" t="s">
        <v>2934</v>
      </c>
      <c r="V3701" s="181">
        <v>0</v>
      </c>
      <c r="W3701" s="181">
        <v>0</v>
      </c>
      <c r="X3701" s="181">
        <v>40317.864210390464</v>
      </c>
      <c r="Y3701" s="181">
        <v>90715.194473378535</v>
      </c>
      <c r="Z3701" s="181">
        <v>1418857.7104183645</v>
      </c>
      <c r="AA3701" s="181">
        <v>1502852.0193229127</v>
      </c>
      <c r="AY3701" s="181">
        <v>36370.778400000003</v>
      </c>
      <c r="AZ3701" s="181">
        <v>88906.347200000004</v>
      </c>
      <c r="BK3701" s="181" t="s">
        <v>42</v>
      </c>
      <c r="BL3701" s="181">
        <v>5985</v>
      </c>
      <c r="BM3701" s="181">
        <v>12169.5</v>
      </c>
      <c r="BP3701" s="181" t="s">
        <v>2942</v>
      </c>
      <c r="BQ3701" s="181">
        <v>1599</v>
      </c>
      <c r="BR3701" s="181">
        <v>3198</v>
      </c>
      <c r="GR3701" s="181" t="s">
        <v>871</v>
      </c>
      <c r="GS3701" s="181">
        <v>0</v>
      </c>
      <c r="GT3701" s="181">
        <v>0</v>
      </c>
      <c r="HL3701" s="181" t="s">
        <v>894</v>
      </c>
    </row>
    <row r="3702" spans="1:222">
      <c r="A3702" s="181" t="s">
        <v>247</v>
      </c>
      <c r="B3702" s="181" t="s">
        <v>1090</v>
      </c>
      <c r="C3702" s="181" t="s">
        <v>901</v>
      </c>
      <c r="F3702" s="181" t="s">
        <v>755</v>
      </c>
      <c r="G3702" s="181">
        <v>1018081</v>
      </c>
      <c r="I3702" s="181" t="s">
        <v>2935</v>
      </c>
      <c r="V3702" s="181">
        <v>0</v>
      </c>
      <c r="W3702" s="181">
        <v>0</v>
      </c>
      <c r="BK3702" s="181" t="s">
        <v>333</v>
      </c>
      <c r="BL3702" s="181">
        <v>1579.9999999999998</v>
      </c>
      <c r="BM3702" s="181">
        <v>3212.6666666666661</v>
      </c>
      <c r="BP3702" s="181" t="s">
        <v>333</v>
      </c>
      <c r="BQ3702" s="181">
        <v>1242.375</v>
      </c>
      <c r="BR3702" s="181">
        <v>2484.75</v>
      </c>
      <c r="GR3702" s="181" t="s">
        <v>871</v>
      </c>
      <c r="GS3702" s="181">
        <v>0</v>
      </c>
      <c r="GT3702" s="181">
        <v>0</v>
      </c>
    </row>
    <row r="3703" spans="1:222">
      <c r="A3703" s="181" t="s">
        <v>247</v>
      </c>
      <c r="B3703" s="181" t="s">
        <v>895</v>
      </c>
      <c r="C3703" s="181" t="s">
        <v>666</v>
      </c>
      <c r="I3703" s="181" t="s">
        <v>2936</v>
      </c>
      <c r="V3703" s="181">
        <v>0</v>
      </c>
      <c r="W3703" s="181">
        <v>0</v>
      </c>
      <c r="GR3703" s="181" t="s">
        <v>871</v>
      </c>
      <c r="GS3703" s="181">
        <v>0</v>
      </c>
      <c r="GT3703" s="181">
        <v>0</v>
      </c>
    </row>
    <row r="3704" spans="1:222">
      <c r="A3704" s="181" t="s">
        <v>247</v>
      </c>
      <c r="I3704" s="181" t="s">
        <v>2024</v>
      </c>
      <c r="GR3704" s="181" t="s">
        <v>871</v>
      </c>
      <c r="GS3704" s="181">
        <v>0</v>
      </c>
      <c r="GT3704" s="181">
        <v>0</v>
      </c>
    </row>
    <row r="3705" spans="1:222">
      <c r="A3705" s="181" t="s">
        <v>247</v>
      </c>
      <c r="I3705" s="181" t="s">
        <v>2020</v>
      </c>
      <c r="GR3705" s="181" t="s">
        <v>871</v>
      </c>
      <c r="GS3705" s="181">
        <v>0</v>
      </c>
      <c r="GT3705" s="181">
        <v>0</v>
      </c>
    </row>
    <row r="3706" spans="1:222">
      <c r="A3706" s="181" t="s">
        <v>247</v>
      </c>
      <c r="I3706" s="181" t="s">
        <v>2021</v>
      </c>
      <c r="GR3706" s="181" t="s">
        <v>871</v>
      </c>
      <c r="GS3706" s="181">
        <v>0</v>
      </c>
      <c r="GT3706" s="181">
        <v>0</v>
      </c>
    </row>
    <row r="3707" spans="1:222">
      <c r="A3707" s="181" t="s">
        <v>247</v>
      </c>
      <c r="I3707" s="181" t="s">
        <v>2022</v>
      </c>
      <c r="GR3707" s="181" t="s">
        <v>871</v>
      </c>
      <c r="GS3707" s="181">
        <v>0</v>
      </c>
      <c r="GT3707" s="181">
        <v>0</v>
      </c>
    </row>
    <row r="3708" spans="1:222">
      <c r="A3708" s="181" t="s">
        <v>247</v>
      </c>
      <c r="I3708" s="181" t="s">
        <v>2023</v>
      </c>
      <c r="GR3708" s="181" t="s">
        <v>871</v>
      </c>
      <c r="GS3708" s="181">
        <v>0</v>
      </c>
      <c r="GT3708" s="181">
        <v>0</v>
      </c>
    </row>
    <row r="3709" spans="1:222">
      <c r="A3709" s="181" t="s">
        <v>247</v>
      </c>
      <c r="GR3709" s="181" t="s">
        <v>872</v>
      </c>
      <c r="GS3709" s="181">
        <v>0</v>
      </c>
      <c r="GT3709" s="181">
        <v>0</v>
      </c>
    </row>
    <row r="3710" spans="1:222">
      <c r="A3710" s="181" t="s">
        <v>247</v>
      </c>
      <c r="GR3710" s="181" t="s">
        <v>873</v>
      </c>
      <c r="GS3710" s="181">
        <v>0</v>
      </c>
      <c r="GT3710" s="181">
        <v>0</v>
      </c>
    </row>
    <row r="3711" spans="1:222">
      <c r="A3711" s="181" t="s">
        <v>247</v>
      </c>
      <c r="GR3711" s="181" t="s">
        <v>873</v>
      </c>
      <c r="GS3711" s="181">
        <v>0</v>
      </c>
      <c r="GT3711" s="181">
        <v>0</v>
      </c>
    </row>
    <row r="3712" spans="1:222">
      <c r="A3712" s="181" t="s">
        <v>247</v>
      </c>
      <c r="GR3712" s="181" t="s">
        <v>873</v>
      </c>
      <c r="GS3712" s="181">
        <v>0</v>
      </c>
      <c r="GT3712" s="181">
        <v>0</v>
      </c>
    </row>
    <row r="3713" spans="1:202">
      <c r="A3713" s="181" t="s">
        <v>247</v>
      </c>
      <c r="GR3713" s="181" t="s">
        <v>873</v>
      </c>
      <c r="GS3713" s="181">
        <v>0</v>
      </c>
      <c r="GT3713" s="181">
        <v>0</v>
      </c>
    </row>
    <row r="3714" spans="1:202">
      <c r="A3714" s="181" t="s">
        <v>247</v>
      </c>
      <c r="GR3714" s="181" t="s">
        <v>308</v>
      </c>
      <c r="GS3714" s="181">
        <v>0</v>
      </c>
      <c r="GT3714" s="181">
        <v>0</v>
      </c>
    </row>
    <row r="3715" spans="1:202">
      <c r="A3715" s="181" t="s">
        <v>247</v>
      </c>
      <c r="GR3715" s="181" t="s">
        <v>874</v>
      </c>
      <c r="GS3715" s="181">
        <v>0</v>
      </c>
      <c r="GT3715" s="181">
        <v>0</v>
      </c>
    </row>
    <row r="3716" spans="1:202">
      <c r="A3716" s="181" t="s">
        <v>247</v>
      </c>
      <c r="GR3716" s="181" t="s">
        <v>874</v>
      </c>
      <c r="GS3716" s="181">
        <v>0</v>
      </c>
      <c r="GT3716" s="181">
        <v>0</v>
      </c>
    </row>
    <row r="3717" spans="1:202">
      <c r="A3717" s="181" t="s">
        <v>247</v>
      </c>
      <c r="GR3717" s="181" t="s">
        <v>874</v>
      </c>
      <c r="GS3717" s="181">
        <v>0</v>
      </c>
      <c r="GT3717" s="181">
        <v>0</v>
      </c>
    </row>
    <row r="3718" spans="1:202">
      <c r="A3718" s="181" t="s">
        <v>247</v>
      </c>
      <c r="GR3718" s="181" t="s">
        <v>874</v>
      </c>
      <c r="GS3718" s="181">
        <v>0</v>
      </c>
      <c r="GT3718" s="181">
        <v>0</v>
      </c>
    </row>
    <row r="3719" spans="1:202">
      <c r="A3719" s="181" t="s">
        <v>247</v>
      </c>
      <c r="GR3719" s="181" t="s">
        <v>1384</v>
      </c>
      <c r="GS3719" s="181">
        <v>500</v>
      </c>
      <c r="GT3719" s="181">
        <v>1500</v>
      </c>
    </row>
    <row r="3720" spans="1:202">
      <c r="A3720" s="181" t="s">
        <v>247</v>
      </c>
      <c r="GR3720" s="181" t="s">
        <v>1885</v>
      </c>
      <c r="GS3720" s="181">
        <v>0</v>
      </c>
      <c r="GT3720" s="181">
        <v>0</v>
      </c>
    </row>
    <row r="3721" spans="1:202">
      <c r="A3721" s="181" t="s">
        <v>247</v>
      </c>
      <c r="GR3721" s="181">
        <v>0</v>
      </c>
      <c r="GS3721" s="181">
        <v>0</v>
      </c>
      <c r="GT3721" s="181">
        <v>0</v>
      </c>
    </row>
    <row r="3722" spans="1:202">
      <c r="A3722" s="181" t="s">
        <v>247</v>
      </c>
      <c r="GR3722" s="181">
        <v>0</v>
      </c>
      <c r="GS3722" s="181">
        <v>0</v>
      </c>
      <c r="GT3722" s="181">
        <v>0</v>
      </c>
    </row>
    <row r="3723" spans="1:202">
      <c r="A3723" s="181" t="s">
        <v>247</v>
      </c>
      <c r="GR3723" s="181">
        <v>0</v>
      </c>
      <c r="GS3723" s="181">
        <v>0</v>
      </c>
      <c r="GT3723" s="181">
        <v>0</v>
      </c>
    </row>
    <row r="3724" spans="1:202">
      <c r="A3724" s="181" t="s">
        <v>247</v>
      </c>
      <c r="GR3724" s="181">
        <v>0</v>
      </c>
      <c r="GS3724" s="181">
        <v>0</v>
      </c>
      <c r="GT3724" s="181">
        <v>0</v>
      </c>
    </row>
    <row r="3725" spans="1:202">
      <c r="A3725" s="181" t="s">
        <v>247</v>
      </c>
      <c r="GR3725" s="181">
        <v>0</v>
      </c>
      <c r="GS3725" s="181">
        <v>0</v>
      </c>
      <c r="GT3725" s="181">
        <v>0</v>
      </c>
    </row>
    <row r="3726" spans="1:202">
      <c r="A3726" s="181" t="s">
        <v>247</v>
      </c>
      <c r="GR3726" s="181">
        <v>0</v>
      </c>
      <c r="GS3726" s="181">
        <v>0</v>
      </c>
      <c r="GT3726" s="181">
        <v>0</v>
      </c>
    </row>
    <row r="3727" spans="1:202">
      <c r="A3727" s="181" t="s">
        <v>247</v>
      </c>
      <c r="GR3727" s="181">
        <v>0</v>
      </c>
      <c r="GS3727" s="181">
        <v>0</v>
      </c>
      <c r="GT3727" s="181">
        <v>0</v>
      </c>
    </row>
    <row r="3728" spans="1:202">
      <c r="A3728" s="181" t="s">
        <v>247</v>
      </c>
      <c r="GR3728" s="181">
        <v>0</v>
      </c>
      <c r="GS3728" s="181">
        <v>0</v>
      </c>
      <c r="GT3728" s="181">
        <v>0</v>
      </c>
    </row>
    <row r="3729" spans="1:202">
      <c r="A3729" s="181" t="s">
        <v>247</v>
      </c>
      <c r="GR3729" s="181">
        <v>0</v>
      </c>
      <c r="GS3729" s="181">
        <v>0</v>
      </c>
      <c r="GT3729" s="181">
        <v>0</v>
      </c>
    </row>
    <row r="3730" spans="1:202">
      <c r="A3730" s="181" t="s">
        <v>247</v>
      </c>
      <c r="GR3730" s="181">
        <v>0</v>
      </c>
      <c r="GS3730" s="181">
        <v>0</v>
      </c>
      <c r="GT3730" s="181">
        <v>0</v>
      </c>
    </row>
    <row r="3731" spans="1:202">
      <c r="A3731" s="181" t="s">
        <v>247</v>
      </c>
      <c r="GR3731" s="181">
        <v>0</v>
      </c>
      <c r="GS3731" s="181">
        <v>0</v>
      </c>
      <c r="GT3731" s="181">
        <v>0</v>
      </c>
    </row>
    <row r="3732" spans="1:202">
      <c r="A3732" s="181" t="s">
        <v>247</v>
      </c>
      <c r="GR3732" s="181">
        <v>0</v>
      </c>
      <c r="GS3732" s="181">
        <v>0</v>
      </c>
      <c r="GT3732" s="181">
        <v>0</v>
      </c>
    </row>
    <row r="3733" spans="1:202">
      <c r="A3733" s="181" t="s">
        <v>247</v>
      </c>
      <c r="GR3733" s="181">
        <v>0</v>
      </c>
      <c r="GS3733" s="181">
        <v>0</v>
      </c>
      <c r="GT3733" s="181">
        <v>0</v>
      </c>
    </row>
    <row r="3734" spans="1:202">
      <c r="A3734" s="181" t="s">
        <v>247</v>
      </c>
      <c r="GR3734" s="181" t="s">
        <v>309</v>
      </c>
      <c r="GS3734" s="181">
        <v>0</v>
      </c>
      <c r="GT3734" s="181">
        <v>0</v>
      </c>
    </row>
    <row r="3735" spans="1:202">
      <c r="A3735" s="181" t="s">
        <v>247</v>
      </c>
      <c r="GR3735" s="181" t="s">
        <v>309</v>
      </c>
      <c r="GS3735" s="181">
        <v>0</v>
      </c>
      <c r="GT3735" s="181">
        <v>0</v>
      </c>
    </row>
    <row r="3736" spans="1:202">
      <c r="A3736" s="181" t="s">
        <v>247</v>
      </c>
      <c r="GR3736" s="181" t="s">
        <v>309</v>
      </c>
      <c r="GS3736" s="181">
        <v>0</v>
      </c>
      <c r="GT3736" s="181">
        <v>0</v>
      </c>
    </row>
    <row r="3737" spans="1:202">
      <c r="A3737" s="181" t="s">
        <v>247</v>
      </c>
      <c r="GS3737" s="181">
        <v>455922</v>
      </c>
      <c r="GT3737" s="181">
        <v>1051522</v>
      </c>
    </row>
    <row r="3738" spans="1:202">
      <c r="A3738" s="181" t="s">
        <v>247</v>
      </c>
      <c r="GR3738" s="181" t="s">
        <v>875</v>
      </c>
      <c r="GS3738" s="181">
        <v>0</v>
      </c>
      <c r="GT3738" s="181">
        <v>0</v>
      </c>
    </row>
    <row r="3739" spans="1:202">
      <c r="A3739" s="181" t="s">
        <v>247</v>
      </c>
      <c r="GR3739" s="181" t="s">
        <v>875</v>
      </c>
      <c r="GS3739" s="181">
        <v>0</v>
      </c>
      <c r="GT3739" s="181">
        <v>0</v>
      </c>
    </row>
    <row r="3740" spans="1:202">
      <c r="A3740" s="181" t="s">
        <v>247</v>
      </c>
      <c r="GR3740" s="181" t="s">
        <v>875</v>
      </c>
      <c r="GS3740" s="181">
        <v>0</v>
      </c>
      <c r="GT3740" s="181">
        <v>0</v>
      </c>
    </row>
    <row r="3741" spans="1:202">
      <c r="A3741" s="181" t="s">
        <v>247</v>
      </c>
      <c r="GR3741" s="181" t="s">
        <v>875</v>
      </c>
      <c r="GS3741" s="181">
        <v>0</v>
      </c>
      <c r="GT3741" s="181">
        <v>0</v>
      </c>
    </row>
    <row r="3742" spans="1:202">
      <c r="A3742" s="181" t="s">
        <v>247</v>
      </c>
      <c r="GR3742" s="181" t="s">
        <v>875</v>
      </c>
      <c r="GS3742" s="181">
        <v>0</v>
      </c>
      <c r="GT3742" s="181">
        <v>0</v>
      </c>
    </row>
    <row r="3743" spans="1:202">
      <c r="A3743" s="181" t="s">
        <v>247</v>
      </c>
      <c r="GR3743" s="181" t="s">
        <v>875</v>
      </c>
      <c r="GS3743" s="181">
        <v>0</v>
      </c>
      <c r="GT3743" s="181">
        <v>0</v>
      </c>
    </row>
    <row r="3744" spans="1:202">
      <c r="A3744" s="181" t="s">
        <v>247</v>
      </c>
      <c r="GR3744" s="181" t="s">
        <v>1387</v>
      </c>
      <c r="GS3744" s="181">
        <v>20000</v>
      </c>
      <c r="GT3744" s="181">
        <v>20000</v>
      </c>
    </row>
    <row r="3745" spans="1:202">
      <c r="A3745" s="181" t="s">
        <v>247</v>
      </c>
      <c r="GR3745" s="181" t="s">
        <v>1886</v>
      </c>
      <c r="GS3745" s="181">
        <v>0</v>
      </c>
      <c r="GT3745" s="181">
        <v>0</v>
      </c>
    </row>
    <row r="3746" spans="1:202">
      <c r="A3746" s="181" t="s">
        <v>247</v>
      </c>
      <c r="GR3746" s="181" t="s">
        <v>1365</v>
      </c>
      <c r="GS3746" s="181">
        <v>10000</v>
      </c>
      <c r="GT3746" s="181">
        <v>10000</v>
      </c>
    </row>
    <row r="3747" spans="1:202">
      <c r="A3747" s="181" t="s">
        <v>247</v>
      </c>
      <c r="GR3747" s="181" t="s">
        <v>310</v>
      </c>
      <c r="GS3747" s="181">
        <v>0</v>
      </c>
      <c r="GT3747" s="181">
        <v>0</v>
      </c>
    </row>
    <row r="3748" spans="1:202">
      <c r="A3748" s="181" t="s">
        <v>247</v>
      </c>
      <c r="GR3748" s="181" t="s">
        <v>876</v>
      </c>
      <c r="GS3748" s="181">
        <v>0</v>
      </c>
      <c r="GT3748" s="181">
        <v>0</v>
      </c>
    </row>
    <row r="3749" spans="1:202">
      <c r="A3749" s="181" t="s">
        <v>247</v>
      </c>
      <c r="GR3749" s="181" t="s">
        <v>876</v>
      </c>
      <c r="GS3749" s="181">
        <v>0</v>
      </c>
      <c r="GT3749" s="181">
        <v>0</v>
      </c>
    </row>
    <row r="3750" spans="1:202">
      <c r="A3750" s="181" t="s">
        <v>247</v>
      </c>
      <c r="GR3750" s="181" t="s">
        <v>876</v>
      </c>
      <c r="GS3750" s="181">
        <v>0</v>
      </c>
      <c r="GT3750" s="181">
        <v>0</v>
      </c>
    </row>
    <row r="3751" spans="1:202">
      <c r="A3751" s="181" t="s">
        <v>247</v>
      </c>
      <c r="GR3751" s="181" t="s">
        <v>876</v>
      </c>
      <c r="GS3751" s="181">
        <v>0</v>
      </c>
      <c r="GT3751" s="181">
        <v>0</v>
      </c>
    </row>
    <row r="3752" spans="1:202">
      <c r="A3752" s="181" t="s">
        <v>247</v>
      </c>
      <c r="GR3752" s="181" t="s">
        <v>876</v>
      </c>
      <c r="GS3752" s="181">
        <v>0</v>
      </c>
      <c r="GT3752" s="181">
        <v>0</v>
      </c>
    </row>
    <row r="3753" spans="1:202">
      <c r="A3753" s="181" t="s">
        <v>247</v>
      </c>
      <c r="GR3753" s="181" t="s">
        <v>1385</v>
      </c>
      <c r="GS3753" s="181">
        <v>2</v>
      </c>
      <c r="GT3753" s="181">
        <v>4</v>
      </c>
    </row>
    <row r="3754" spans="1:202">
      <c r="A3754" s="181" t="s">
        <v>247</v>
      </c>
      <c r="GR3754" s="181" t="s">
        <v>1386</v>
      </c>
      <c r="GS3754" s="181">
        <v>3</v>
      </c>
      <c r="GT3754" s="181">
        <v>6</v>
      </c>
    </row>
    <row r="3755" spans="1:202">
      <c r="A3755" s="181" t="s">
        <v>247</v>
      </c>
      <c r="GR3755" s="181" t="s">
        <v>333</v>
      </c>
      <c r="GS3755" s="181">
        <v>0</v>
      </c>
      <c r="GT3755" s="181">
        <v>0</v>
      </c>
    </row>
    <row r="3756" spans="1:202">
      <c r="A3756" s="181" t="s">
        <v>247</v>
      </c>
      <c r="GR3756" s="181">
        <v>0</v>
      </c>
      <c r="GS3756" s="181">
        <v>0</v>
      </c>
      <c r="GT3756" s="181">
        <v>0</v>
      </c>
    </row>
    <row r="3757" spans="1:202">
      <c r="A3757" s="181" t="s">
        <v>247</v>
      </c>
      <c r="GR3757" s="181">
        <v>0</v>
      </c>
      <c r="GS3757" s="181">
        <v>0</v>
      </c>
      <c r="GT3757" s="181">
        <v>0</v>
      </c>
    </row>
    <row r="3758" spans="1:202">
      <c r="A3758" s="181" t="s">
        <v>247</v>
      </c>
      <c r="GR3758" s="181">
        <v>0</v>
      </c>
      <c r="GS3758" s="181">
        <v>0</v>
      </c>
      <c r="GT3758" s="181">
        <v>0</v>
      </c>
    </row>
    <row r="3759" spans="1:202">
      <c r="A3759" s="181" t="s">
        <v>247</v>
      </c>
      <c r="GR3759" s="181">
        <v>0</v>
      </c>
      <c r="GS3759" s="181">
        <v>0</v>
      </c>
      <c r="GT3759" s="181">
        <v>0</v>
      </c>
    </row>
    <row r="3760" spans="1:202">
      <c r="A3760" s="181" t="s">
        <v>247</v>
      </c>
      <c r="GR3760" s="181">
        <v>0</v>
      </c>
      <c r="GS3760" s="181">
        <v>0</v>
      </c>
      <c r="GT3760" s="181">
        <v>0</v>
      </c>
    </row>
    <row r="3761" spans="1:202">
      <c r="A3761" s="181" t="s">
        <v>247</v>
      </c>
      <c r="GR3761" s="181">
        <v>0</v>
      </c>
      <c r="GS3761" s="181">
        <v>0</v>
      </c>
      <c r="GT3761" s="181">
        <v>0</v>
      </c>
    </row>
    <row r="3762" spans="1:202">
      <c r="A3762" s="181" t="s">
        <v>247</v>
      </c>
      <c r="GR3762" s="181">
        <v>0</v>
      </c>
      <c r="GS3762" s="181">
        <v>0</v>
      </c>
      <c r="GT3762" s="181">
        <v>0</v>
      </c>
    </row>
    <row r="3763" spans="1:202">
      <c r="A3763" s="181" t="s">
        <v>247</v>
      </c>
      <c r="GR3763" s="181">
        <v>0</v>
      </c>
      <c r="GS3763" s="181">
        <v>0</v>
      </c>
      <c r="GT3763" s="181">
        <v>0</v>
      </c>
    </row>
    <row r="3764" spans="1:202">
      <c r="A3764" s="181" t="s">
        <v>247</v>
      </c>
      <c r="GR3764" s="181">
        <v>0</v>
      </c>
      <c r="GS3764" s="181">
        <v>0</v>
      </c>
      <c r="GT3764" s="181">
        <v>0</v>
      </c>
    </row>
    <row r="3765" spans="1:202">
      <c r="A3765" s="181" t="s">
        <v>247</v>
      </c>
      <c r="GR3765" s="181">
        <v>0</v>
      </c>
      <c r="GS3765" s="181">
        <v>0</v>
      </c>
      <c r="GT3765" s="181">
        <v>0</v>
      </c>
    </row>
    <row r="3766" spans="1:202">
      <c r="A3766" s="181" t="s">
        <v>247</v>
      </c>
      <c r="GR3766" s="181">
        <v>0</v>
      </c>
      <c r="GS3766" s="181">
        <v>0</v>
      </c>
      <c r="GT3766" s="181">
        <v>0</v>
      </c>
    </row>
    <row r="3767" spans="1:202">
      <c r="A3767" s="181" t="s">
        <v>247</v>
      </c>
      <c r="GR3767" s="181">
        <v>0</v>
      </c>
      <c r="GS3767" s="181">
        <v>0</v>
      </c>
      <c r="GT3767" s="181">
        <v>0</v>
      </c>
    </row>
    <row r="3768" spans="1:202">
      <c r="A3768" s="181" t="s">
        <v>247</v>
      </c>
      <c r="GS3768" s="181">
        <v>30005</v>
      </c>
      <c r="GT3768" s="181">
        <v>30010</v>
      </c>
    </row>
    <row r="3769" spans="1:202">
      <c r="A3769" s="181" t="s">
        <v>247</v>
      </c>
      <c r="GR3769" s="181" t="s">
        <v>309</v>
      </c>
      <c r="GS3769" s="181">
        <v>0</v>
      </c>
      <c r="GT3769" s="181">
        <v>0</v>
      </c>
    </row>
    <row r="3770" spans="1:202">
      <c r="A3770" s="181" t="s">
        <v>247</v>
      </c>
      <c r="GS3770" s="181">
        <v>485927</v>
      </c>
      <c r="GT3770" s="181">
        <v>1081532</v>
      </c>
    </row>
    <row r="3771" spans="1:202">
      <c r="A3771" s="181" t="s">
        <v>247</v>
      </c>
      <c r="GR3771" s="181" t="s">
        <v>312</v>
      </c>
      <c r="GS3771" s="181">
        <v>0</v>
      </c>
      <c r="GT3771" s="181">
        <v>0</v>
      </c>
    </row>
    <row r="3772" spans="1:202">
      <c r="A3772" s="181" t="s">
        <v>247</v>
      </c>
      <c r="GR3772" s="181" t="s">
        <v>312</v>
      </c>
      <c r="GS3772" s="181">
        <v>0</v>
      </c>
      <c r="GT3772" s="181">
        <v>0</v>
      </c>
    </row>
    <row r="3773" spans="1:202">
      <c r="A3773" s="181" t="s">
        <v>247</v>
      </c>
      <c r="GR3773" s="181" t="s">
        <v>312</v>
      </c>
      <c r="GS3773" s="181">
        <v>0</v>
      </c>
      <c r="GT3773" s="181">
        <v>0</v>
      </c>
    </row>
    <row r="3774" spans="1:202">
      <c r="A3774" s="181" t="s">
        <v>247</v>
      </c>
      <c r="GR3774" s="181" t="s">
        <v>312</v>
      </c>
      <c r="GS3774" s="181">
        <v>0</v>
      </c>
      <c r="GT3774" s="181">
        <v>0</v>
      </c>
    </row>
    <row r="3775" spans="1:202">
      <c r="A3775" s="181" t="s">
        <v>247</v>
      </c>
      <c r="GR3775" s="181" t="s">
        <v>312</v>
      </c>
      <c r="GS3775" s="181">
        <v>0</v>
      </c>
      <c r="GT3775" s="181">
        <v>0</v>
      </c>
    </row>
    <row r="3776" spans="1:202">
      <c r="A3776" s="181" t="s">
        <v>247</v>
      </c>
      <c r="GR3776" s="181" t="s">
        <v>312</v>
      </c>
      <c r="GS3776" s="181">
        <v>0</v>
      </c>
      <c r="GT3776" s="181">
        <v>0</v>
      </c>
    </row>
    <row r="3777" spans="1:202">
      <c r="A3777" s="181" t="s">
        <v>247</v>
      </c>
      <c r="GR3777" s="181" t="s">
        <v>312</v>
      </c>
      <c r="GS3777" s="181">
        <v>0</v>
      </c>
      <c r="GT3777" s="181">
        <v>0</v>
      </c>
    </row>
    <row r="3778" spans="1:202">
      <c r="A3778" s="181" t="s">
        <v>247</v>
      </c>
      <c r="GR3778" s="181" t="s">
        <v>877</v>
      </c>
      <c r="GS3778" s="181">
        <v>0</v>
      </c>
      <c r="GT3778" s="181">
        <v>0</v>
      </c>
    </row>
    <row r="3779" spans="1:202">
      <c r="A3779" s="181" t="s">
        <v>247</v>
      </c>
      <c r="GR3779" s="181" t="s">
        <v>1091</v>
      </c>
      <c r="GS3779" s="181">
        <v>365680</v>
      </c>
      <c r="GT3779" s="181">
        <v>797210</v>
      </c>
    </row>
    <row r="3780" spans="1:202">
      <c r="A3780" s="181" t="s">
        <v>247</v>
      </c>
      <c r="GR3780" s="181" t="s">
        <v>1092</v>
      </c>
      <c r="GS3780" s="181">
        <v>0</v>
      </c>
      <c r="GT3780" s="181">
        <v>13500</v>
      </c>
    </row>
    <row r="3781" spans="1:202">
      <c r="A3781" s="181" t="s">
        <v>247</v>
      </c>
      <c r="GR3781" s="181" t="s">
        <v>1093</v>
      </c>
      <c r="GS3781" s="181">
        <v>0</v>
      </c>
      <c r="GT3781" s="181">
        <v>0</v>
      </c>
    </row>
    <row r="3782" spans="1:202">
      <c r="A3782" s="181" t="s">
        <v>247</v>
      </c>
      <c r="GR3782" s="181" t="s">
        <v>1094</v>
      </c>
      <c r="GS3782" s="181">
        <v>1030</v>
      </c>
      <c r="GT3782" s="181">
        <v>7030</v>
      </c>
    </row>
    <row r="3783" spans="1:202">
      <c r="A3783" s="181" t="s">
        <v>247</v>
      </c>
      <c r="GR3783" s="181" t="s">
        <v>333</v>
      </c>
      <c r="GS3783" s="181">
        <v>0</v>
      </c>
      <c r="GT3783" s="181">
        <v>210</v>
      </c>
    </row>
    <row r="3784" spans="1:202">
      <c r="A3784" s="181" t="s">
        <v>247</v>
      </c>
      <c r="GR3784" s="181" t="s">
        <v>1095</v>
      </c>
      <c r="GS3784" s="181">
        <v>0</v>
      </c>
      <c r="GT3784" s="181">
        <v>0</v>
      </c>
    </row>
    <row r="3785" spans="1:202">
      <c r="A3785" s="181" t="s">
        <v>247</v>
      </c>
      <c r="GR3785" s="181" t="s">
        <v>878</v>
      </c>
      <c r="GS3785" s="181">
        <v>0</v>
      </c>
      <c r="GT3785" s="181">
        <v>0</v>
      </c>
    </row>
    <row r="3786" spans="1:202">
      <c r="A3786" s="181" t="s">
        <v>247</v>
      </c>
      <c r="GR3786" s="181" t="s">
        <v>878</v>
      </c>
      <c r="GS3786" s="181">
        <v>0</v>
      </c>
      <c r="GT3786" s="181">
        <v>0</v>
      </c>
    </row>
    <row r="3787" spans="1:202">
      <c r="A3787" s="181" t="s">
        <v>247</v>
      </c>
      <c r="GR3787" s="181" t="s">
        <v>878</v>
      </c>
      <c r="GS3787" s="181">
        <v>0</v>
      </c>
      <c r="GT3787" s="181">
        <v>0</v>
      </c>
    </row>
    <row r="3788" spans="1:202">
      <c r="A3788" s="181" t="s">
        <v>247</v>
      </c>
      <c r="GR3788" s="181" t="s">
        <v>879</v>
      </c>
      <c r="GS3788" s="181">
        <v>0</v>
      </c>
      <c r="GT3788" s="181">
        <v>0</v>
      </c>
    </row>
    <row r="3789" spans="1:202">
      <c r="A3789" s="181" t="s">
        <v>247</v>
      </c>
      <c r="GR3789" s="181" t="s">
        <v>1715</v>
      </c>
      <c r="GS3789" s="181">
        <v>7269</v>
      </c>
      <c r="GT3789" s="181">
        <v>14538</v>
      </c>
    </row>
    <row r="3790" spans="1:202">
      <c r="A3790" s="181" t="s">
        <v>247</v>
      </c>
      <c r="GR3790" s="181" t="s">
        <v>880</v>
      </c>
      <c r="GS3790" s="181">
        <v>27250</v>
      </c>
      <c r="GT3790" s="181">
        <v>60970</v>
      </c>
    </row>
    <row r="3791" spans="1:202">
      <c r="A3791" s="181" t="s">
        <v>247</v>
      </c>
      <c r="GR3791" s="181" t="s">
        <v>881</v>
      </c>
      <c r="GS3791" s="181">
        <v>44302</v>
      </c>
      <c r="GT3791" s="181">
        <v>96802</v>
      </c>
    </row>
    <row r="3792" spans="1:202">
      <c r="A3792" s="181" t="s">
        <v>247</v>
      </c>
      <c r="GR3792" s="181">
        <v>0</v>
      </c>
      <c r="GS3792" s="181">
        <v>0</v>
      </c>
      <c r="GT3792" s="181">
        <v>0</v>
      </c>
    </row>
    <row r="3793" spans="1:202">
      <c r="A3793" s="181" t="s">
        <v>247</v>
      </c>
      <c r="GR3793" s="181">
        <v>0</v>
      </c>
      <c r="GS3793" s="181">
        <v>0</v>
      </c>
      <c r="GT3793" s="181">
        <v>0</v>
      </c>
    </row>
    <row r="3794" spans="1:202">
      <c r="A3794" s="181" t="s">
        <v>247</v>
      </c>
      <c r="GR3794" s="181">
        <v>0</v>
      </c>
      <c r="GS3794" s="181">
        <v>0</v>
      </c>
      <c r="GT3794" s="181">
        <v>0</v>
      </c>
    </row>
    <row r="3795" spans="1:202">
      <c r="A3795" s="181" t="s">
        <v>247</v>
      </c>
      <c r="GR3795" s="181">
        <v>0</v>
      </c>
      <c r="GS3795" s="181">
        <v>0</v>
      </c>
      <c r="GT3795" s="181">
        <v>0</v>
      </c>
    </row>
    <row r="3796" spans="1:202">
      <c r="A3796" s="181" t="s">
        <v>247</v>
      </c>
      <c r="GR3796" s="181">
        <v>0</v>
      </c>
      <c r="GS3796" s="181">
        <v>0</v>
      </c>
      <c r="GT3796" s="181">
        <v>0</v>
      </c>
    </row>
    <row r="3797" spans="1:202">
      <c r="A3797" s="181" t="s">
        <v>247</v>
      </c>
      <c r="GR3797" s="181">
        <v>0</v>
      </c>
      <c r="GS3797" s="181">
        <v>0</v>
      </c>
      <c r="GT3797" s="181">
        <v>0</v>
      </c>
    </row>
    <row r="3798" spans="1:202">
      <c r="A3798" s="181" t="s">
        <v>247</v>
      </c>
      <c r="GR3798" s="181">
        <v>0</v>
      </c>
      <c r="GS3798" s="181">
        <v>0</v>
      </c>
      <c r="GT3798" s="181">
        <v>0</v>
      </c>
    </row>
    <row r="3799" spans="1:202">
      <c r="A3799" s="181" t="s">
        <v>247</v>
      </c>
      <c r="GR3799" s="181">
        <v>0</v>
      </c>
      <c r="GS3799" s="181">
        <v>0</v>
      </c>
      <c r="GT3799" s="181">
        <v>0</v>
      </c>
    </row>
    <row r="3800" spans="1:202">
      <c r="A3800" s="181" t="s">
        <v>247</v>
      </c>
      <c r="GR3800" s="181">
        <v>0</v>
      </c>
      <c r="GS3800" s="181">
        <v>0</v>
      </c>
      <c r="GT3800" s="181">
        <v>0</v>
      </c>
    </row>
    <row r="3801" spans="1:202">
      <c r="A3801" s="181" t="s">
        <v>247</v>
      </c>
      <c r="GR3801" s="181">
        <v>0</v>
      </c>
      <c r="GS3801" s="181">
        <v>0</v>
      </c>
      <c r="GT3801" s="181">
        <v>0</v>
      </c>
    </row>
    <row r="3802" spans="1:202">
      <c r="A3802" s="181" t="s">
        <v>247</v>
      </c>
      <c r="GR3802" s="181">
        <v>0</v>
      </c>
      <c r="GS3802" s="181">
        <v>0</v>
      </c>
      <c r="GT3802" s="181">
        <v>0</v>
      </c>
    </row>
    <row r="3803" spans="1:202">
      <c r="A3803" s="181" t="s">
        <v>247</v>
      </c>
      <c r="GR3803" s="181">
        <v>0</v>
      </c>
      <c r="GS3803" s="181">
        <v>0</v>
      </c>
      <c r="GT3803" s="181">
        <v>0</v>
      </c>
    </row>
    <row r="3804" spans="1:202">
      <c r="A3804" s="181" t="s">
        <v>247</v>
      </c>
      <c r="GR3804" s="181">
        <v>0</v>
      </c>
      <c r="GS3804" s="181">
        <v>0</v>
      </c>
      <c r="GT3804" s="181">
        <v>0</v>
      </c>
    </row>
    <row r="3805" spans="1:202">
      <c r="A3805" s="181" t="s">
        <v>247</v>
      </c>
      <c r="GR3805" s="181">
        <v>0</v>
      </c>
      <c r="GS3805" s="181">
        <v>0</v>
      </c>
      <c r="GT3805" s="181">
        <v>0</v>
      </c>
    </row>
    <row r="3806" spans="1:202">
      <c r="A3806" s="181" t="s">
        <v>247</v>
      </c>
      <c r="GR3806" s="181">
        <v>0</v>
      </c>
      <c r="GS3806" s="181">
        <v>0</v>
      </c>
      <c r="GT3806" s="181">
        <v>0</v>
      </c>
    </row>
    <row r="3807" spans="1:202">
      <c r="A3807" s="181" t="s">
        <v>247</v>
      </c>
      <c r="GR3807" s="181" t="s">
        <v>876</v>
      </c>
      <c r="GS3807" s="181">
        <v>0</v>
      </c>
      <c r="GT3807" s="181">
        <v>0</v>
      </c>
    </row>
    <row r="3808" spans="1:202">
      <c r="A3808" s="181" t="s">
        <v>247</v>
      </c>
      <c r="GR3808" s="181" t="s">
        <v>876</v>
      </c>
      <c r="GS3808" s="181">
        <v>0</v>
      </c>
      <c r="GT3808" s="181">
        <v>0</v>
      </c>
    </row>
    <row r="3809" spans="1:202">
      <c r="A3809" s="181" t="s">
        <v>247</v>
      </c>
      <c r="GR3809" s="181" t="s">
        <v>876</v>
      </c>
      <c r="GS3809" s="181">
        <v>0</v>
      </c>
      <c r="GT3809" s="181">
        <v>0</v>
      </c>
    </row>
    <row r="3810" spans="1:202">
      <c r="A3810" s="181" t="s">
        <v>247</v>
      </c>
      <c r="GR3810" s="181" t="s">
        <v>882</v>
      </c>
      <c r="GS3810" s="181">
        <v>0</v>
      </c>
      <c r="GT3810" s="181">
        <v>0</v>
      </c>
    </row>
    <row r="3811" spans="1:202">
      <c r="A3811" s="181" t="s">
        <v>247</v>
      </c>
      <c r="GR3811" s="181" t="s">
        <v>882</v>
      </c>
      <c r="GS3811" s="181">
        <v>0</v>
      </c>
      <c r="GT3811" s="181">
        <v>0</v>
      </c>
    </row>
    <row r="3812" spans="1:202">
      <c r="A3812" s="181" t="s">
        <v>247</v>
      </c>
      <c r="GR3812" s="181" t="s">
        <v>882</v>
      </c>
      <c r="GS3812" s="181">
        <v>0</v>
      </c>
      <c r="GT3812" s="181">
        <v>0</v>
      </c>
    </row>
    <row r="3813" spans="1:202">
      <c r="A3813" s="181" t="s">
        <v>247</v>
      </c>
      <c r="GR3813" s="181" t="s">
        <v>882</v>
      </c>
      <c r="GS3813" s="181">
        <v>0</v>
      </c>
      <c r="GT3813" s="181">
        <v>0</v>
      </c>
    </row>
    <row r="3814" spans="1:202">
      <c r="A3814" s="181" t="s">
        <v>247</v>
      </c>
      <c r="GR3814" s="181" t="s">
        <v>882</v>
      </c>
      <c r="GS3814" s="181">
        <v>0</v>
      </c>
      <c r="GT3814" s="181">
        <v>0</v>
      </c>
    </row>
    <row r="3815" spans="1:202">
      <c r="A3815" s="181" t="s">
        <v>247</v>
      </c>
      <c r="GR3815" s="181" t="s">
        <v>882</v>
      </c>
      <c r="GS3815" s="181">
        <v>0</v>
      </c>
      <c r="GT3815" s="181">
        <v>0</v>
      </c>
    </row>
    <row r="3816" spans="1:202">
      <c r="A3816" s="181" t="s">
        <v>247</v>
      </c>
      <c r="GR3816" s="181" t="s">
        <v>882</v>
      </c>
      <c r="GS3816" s="181">
        <v>0</v>
      </c>
      <c r="GT3816" s="181">
        <v>0</v>
      </c>
    </row>
    <row r="3817" spans="1:202">
      <c r="A3817" s="181" t="s">
        <v>247</v>
      </c>
      <c r="GR3817" s="181" t="s">
        <v>882</v>
      </c>
      <c r="GS3817" s="181">
        <v>0</v>
      </c>
      <c r="GT3817" s="181">
        <v>0</v>
      </c>
    </row>
    <row r="3818" spans="1:202">
      <c r="A3818" s="181" t="s">
        <v>247</v>
      </c>
      <c r="GR3818" s="181" t="s">
        <v>1887</v>
      </c>
      <c r="GS3818" s="181">
        <v>0</v>
      </c>
      <c r="GT3818" s="181">
        <v>0</v>
      </c>
    </row>
    <row r="3819" spans="1:202">
      <c r="A3819" s="181" t="s">
        <v>247</v>
      </c>
      <c r="GR3819" s="181" t="s">
        <v>883</v>
      </c>
      <c r="GS3819" s="181">
        <v>0</v>
      </c>
      <c r="GT3819" s="181">
        <v>0</v>
      </c>
    </row>
    <row r="3820" spans="1:202">
      <c r="A3820" s="181" t="s">
        <v>247</v>
      </c>
      <c r="GR3820" s="181" t="s">
        <v>1888</v>
      </c>
      <c r="GS3820" s="181">
        <v>0</v>
      </c>
      <c r="GT3820" s="181">
        <v>0</v>
      </c>
    </row>
    <row r="3821" spans="1:202">
      <c r="A3821" s="181" t="s">
        <v>247</v>
      </c>
      <c r="GR3821" s="181" t="s">
        <v>1889</v>
      </c>
      <c r="GS3821" s="181">
        <v>0</v>
      </c>
      <c r="GT3821" s="181">
        <v>0</v>
      </c>
    </row>
    <row r="3822" spans="1:202">
      <c r="A3822" s="181" t="s">
        <v>247</v>
      </c>
      <c r="GR3822" s="181" t="s">
        <v>873</v>
      </c>
      <c r="GS3822" s="181">
        <v>0</v>
      </c>
      <c r="GT3822" s="181">
        <v>0</v>
      </c>
    </row>
    <row r="3823" spans="1:202">
      <c r="A3823" s="181" t="s">
        <v>247</v>
      </c>
      <c r="GR3823" s="181" t="s">
        <v>873</v>
      </c>
      <c r="GS3823" s="181">
        <v>0</v>
      </c>
      <c r="GT3823" s="181">
        <v>0</v>
      </c>
    </row>
    <row r="3824" spans="1:202">
      <c r="A3824" s="181" t="s">
        <v>247</v>
      </c>
      <c r="GR3824" s="181" t="s">
        <v>308</v>
      </c>
      <c r="GS3824" s="181">
        <v>0</v>
      </c>
      <c r="GT3824" s="181">
        <v>0</v>
      </c>
    </row>
    <row r="3825" spans="1:202">
      <c r="A3825" s="181" t="s">
        <v>247</v>
      </c>
      <c r="GR3825" s="181" t="s">
        <v>874</v>
      </c>
      <c r="GS3825" s="181">
        <v>0</v>
      </c>
      <c r="GT3825" s="181">
        <v>0</v>
      </c>
    </row>
    <row r="3826" spans="1:202">
      <c r="A3826" s="181" t="s">
        <v>247</v>
      </c>
      <c r="GR3826" s="181" t="s">
        <v>874</v>
      </c>
      <c r="GS3826" s="181">
        <v>0</v>
      </c>
      <c r="GT3826" s="181">
        <v>0</v>
      </c>
    </row>
    <row r="3827" spans="1:202">
      <c r="A3827" s="181" t="s">
        <v>247</v>
      </c>
      <c r="GR3827" s="181" t="s">
        <v>874</v>
      </c>
      <c r="GS3827" s="181">
        <v>0</v>
      </c>
      <c r="GT3827" s="181">
        <v>0</v>
      </c>
    </row>
    <row r="3828" spans="1:202">
      <c r="A3828" s="181" t="s">
        <v>247</v>
      </c>
      <c r="GR3828" s="181" t="s">
        <v>874</v>
      </c>
      <c r="GS3828" s="181">
        <v>0</v>
      </c>
      <c r="GT3828" s="181">
        <v>0</v>
      </c>
    </row>
    <row r="3829" spans="1:202">
      <c r="A3829" s="181" t="s">
        <v>247</v>
      </c>
      <c r="GR3829" s="181" t="s">
        <v>870</v>
      </c>
      <c r="GS3829" s="181">
        <v>0</v>
      </c>
      <c r="GT3829" s="181">
        <v>11531</v>
      </c>
    </row>
    <row r="3830" spans="1:202">
      <c r="A3830" s="181" t="s">
        <v>247</v>
      </c>
      <c r="GR3830" s="181" t="s">
        <v>1846</v>
      </c>
      <c r="GS3830" s="181">
        <v>7500</v>
      </c>
      <c r="GT3830" s="181">
        <v>19500</v>
      </c>
    </row>
    <row r="3831" spans="1:202">
      <c r="A3831" s="181" t="s">
        <v>247</v>
      </c>
      <c r="GR3831" s="181" t="s">
        <v>309</v>
      </c>
      <c r="GS3831" s="181">
        <v>0</v>
      </c>
      <c r="GT3831" s="181">
        <v>0</v>
      </c>
    </row>
    <row r="3832" spans="1:202">
      <c r="A3832" s="181" t="s">
        <v>247</v>
      </c>
      <c r="GR3832" s="181" t="s">
        <v>309</v>
      </c>
      <c r="GS3832" s="181">
        <v>0</v>
      </c>
      <c r="GT3832" s="181">
        <v>0</v>
      </c>
    </row>
    <row r="3833" spans="1:202">
      <c r="A3833" s="181" t="s">
        <v>247</v>
      </c>
      <c r="GS3833" s="181">
        <v>453031</v>
      </c>
      <c r="GT3833" s="181">
        <v>1021291</v>
      </c>
    </row>
    <row r="3834" spans="1:202">
      <c r="A3834" s="181" t="s">
        <v>247</v>
      </c>
      <c r="GR3834" s="181" t="s">
        <v>845</v>
      </c>
      <c r="GS3834" s="181">
        <v>0</v>
      </c>
      <c r="GT3834" s="181">
        <v>400</v>
      </c>
    </row>
    <row r="3835" spans="1:202">
      <c r="A3835" s="181" t="s">
        <v>247</v>
      </c>
      <c r="GR3835" s="181" t="s">
        <v>931</v>
      </c>
      <c r="GS3835" s="181">
        <v>750</v>
      </c>
      <c r="GT3835" s="181">
        <v>750</v>
      </c>
    </row>
    <row r="3836" spans="1:202">
      <c r="A3836" s="181" t="s">
        <v>247</v>
      </c>
      <c r="GR3836" s="181" t="s">
        <v>1890</v>
      </c>
      <c r="GS3836" s="181">
        <v>0</v>
      </c>
      <c r="GT3836" s="181">
        <v>0</v>
      </c>
    </row>
    <row r="3837" spans="1:202">
      <c r="A3837" s="181" t="s">
        <v>247</v>
      </c>
      <c r="GR3837" s="181" t="s">
        <v>917</v>
      </c>
      <c r="GS3837" s="181">
        <v>0</v>
      </c>
      <c r="GT3837" s="181">
        <v>300</v>
      </c>
    </row>
    <row r="3838" spans="1:202">
      <c r="A3838" s="181" t="s">
        <v>247</v>
      </c>
      <c r="GR3838" s="181" t="s">
        <v>875</v>
      </c>
      <c r="GS3838" s="181">
        <v>0</v>
      </c>
      <c r="GT3838" s="181">
        <v>0</v>
      </c>
    </row>
    <row r="3839" spans="1:202">
      <c r="A3839" s="181" t="s">
        <v>247</v>
      </c>
      <c r="GR3839" s="181" t="s">
        <v>875</v>
      </c>
      <c r="GS3839" s="181">
        <v>0</v>
      </c>
      <c r="GT3839" s="181">
        <v>0</v>
      </c>
    </row>
    <row r="3840" spans="1:202">
      <c r="A3840" s="181" t="s">
        <v>247</v>
      </c>
      <c r="GR3840" s="181" t="s">
        <v>1891</v>
      </c>
      <c r="GS3840" s="181">
        <v>14250</v>
      </c>
      <c r="GT3840" s="181">
        <v>28500</v>
      </c>
    </row>
    <row r="3841" spans="1:202">
      <c r="A3841" s="181" t="s">
        <v>247</v>
      </c>
      <c r="GR3841" s="181" t="s">
        <v>1886</v>
      </c>
      <c r="GS3841" s="181">
        <v>5000</v>
      </c>
      <c r="GT3841" s="181">
        <v>10000</v>
      </c>
    </row>
    <row r="3842" spans="1:202">
      <c r="A3842" s="181" t="s">
        <v>247</v>
      </c>
      <c r="GR3842" s="181" t="s">
        <v>1365</v>
      </c>
      <c r="GS3842" s="181">
        <v>20150</v>
      </c>
      <c r="GT3842" s="181">
        <v>20150</v>
      </c>
    </row>
    <row r="3843" spans="1:202">
      <c r="A3843" s="181" t="s">
        <v>247</v>
      </c>
      <c r="GR3843" s="181" t="s">
        <v>1892</v>
      </c>
      <c r="GS3843" s="181">
        <v>0</v>
      </c>
      <c r="GT3843" s="181">
        <v>0</v>
      </c>
    </row>
    <row r="3844" spans="1:202">
      <c r="A3844" s="181" t="s">
        <v>247</v>
      </c>
      <c r="GR3844" s="181" t="s">
        <v>310</v>
      </c>
      <c r="GS3844" s="181">
        <v>0</v>
      </c>
      <c r="GT3844" s="181">
        <v>0</v>
      </c>
    </row>
    <row r="3845" spans="1:202">
      <c r="A3845" s="181" t="s">
        <v>247</v>
      </c>
      <c r="GR3845" s="181" t="s">
        <v>310</v>
      </c>
      <c r="GS3845" s="181">
        <v>0</v>
      </c>
      <c r="GT3845" s="181">
        <v>0</v>
      </c>
    </row>
    <row r="3846" spans="1:202">
      <c r="A3846" s="181" t="s">
        <v>247</v>
      </c>
      <c r="GR3846" s="181" t="s">
        <v>310</v>
      </c>
      <c r="GS3846" s="181">
        <v>0</v>
      </c>
      <c r="GT3846" s="181">
        <v>0</v>
      </c>
    </row>
    <row r="3847" spans="1:202">
      <c r="A3847" s="181" t="s">
        <v>247</v>
      </c>
      <c r="GR3847" s="181" t="s">
        <v>310</v>
      </c>
      <c r="GS3847" s="181">
        <v>0</v>
      </c>
      <c r="GT3847" s="181">
        <v>0</v>
      </c>
    </row>
    <row r="3848" spans="1:202">
      <c r="A3848" s="181" t="s">
        <v>247</v>
      </c>
      <c r="GR3848" s="181" t="s">
        <v>876</v>
      </c>
      <c r="GS3848" s="181">
        <v>0</v>
      </c>
      <c r="GT3848" s="181">
        <v>0</v>
      </c>
    </row>
    <row r="3849" spans="1:202">
      <c r="A3849" s="181" t="s">
        <v>247</v>
      </c>
      <c r="GR3849" s="181" t="s">
        <v>876</v>
      </c>
      <c r="GS3849" s="181">
        <v>0</v>
      </c>
      <c r="GT3849" s="181">
        <v>0</v>
      </c>
    </row>
    <row r="3850" spans="1:202">
      <c r="A3850" s="181" t="s">
        <v>247</v>
      </c>
      <c r="GR3850" s="181" t="s">
        <v>876</v>
      </c>
      <c r="GS3850" s="181">
        <v>0</v>
      </c>
      <c r="GT3850" s="181">
        <v>0</v>
      </c>
    </row>
    <row r="3851" spans="1:202">
      <c r="A3851" s="181" t="s">
        <v>247</v>
      </c>
      <c r="GR3851" s="181" t="s">
        <v>876</v>
      </c>
      <c r="GS3851" s="181">
        <v>0</v>
      </c>
      <c r="GT3851" s="181">
        <v>0</v>
      </c>
    </row>
    <row r="3852" spans="1:202">
      <c r="A3852" s="181" t="s">
        <v>247</v>
      </c>
      <c r="GR3852" s="181" t="s">
        <v>876</v>
      </c>
      <c r="GS3852" s="181">
        <v>0</v>
      </c>
      <c r="GT3852" s="181">
        <v>0</v>
      </c>
    </row>
    <row r="3853" spans="1:202">
      <c r="A3853" s="181" t="s">
        <v>247</v>
      </c>
      <c r="GR3853" s="181">
        <v>0</v>
      </c>
      <c r="GS3853" s="181">
        <v>0</v>
      </c>
      <c r="GT3853" s="181">
        <v>0</v>
      </c>
    </row>
    <row r="3854" spans="1:202">
      <c r="A3854" s="181" t="s">
        <v>247</v>
      </c>
      <c r="GR3854" s="181">
        <v>0</v>
      </c>
      <c r="GS3854" s="181">
        <v>0</v>
      </c>
      <c r="GT3854" s="181">
        <v>0</v>
      </c>
    </row>
    <row r="3855" spans="1:202">
      <c r="A3855" s="181" t="s">
        <v>247</v>
      </c>
      <c r="GR3855" s="181">
        <v>0</v>
      </c>
      <c r="GS3855" s="181">
        <v>0</v>
      </c>
      <c r="GT3855" s="181">
        <v>0</v>
      </c>
    </row>
    <row r="3856" spans="1:202">
      <c r="A3856" s="181" t="s">
        <v>247</v>
      </c>
      <c r="GR3856" s="181">
        <v>0</v>
      </c>
      <c r="GS3856" s="181">
        <v>0</v>
      </c>
      <c r="GT3856" s="181">
        <v>0</v>
      </c>
    </row>
    <row r="3857" spans="1:202">
      <c r="A3857" s="181" t="s">
        <v>247</v>
      </c>
      <c r="GR3857" s="181">
        <v>0</v>
      </c>
      <c r="GS3857" s="181">
        <v>0</v>
      </c>
      <c r="GT3857" s="181">
        <v>0</v>
      </c>
    </row>
    <row r="3858" spans="1:202">
      <c r="A3858" s="181" t="s">
        <v>247</v>
      </c>
      <c r="GR3858" s="181">
        <v>0</v>
      </c>
      <c r="GS3858" s="181">
        <v>0</v>
      </c>
      <c r="GT3858" s="181">
        <v>0</v>
      </c>
    </row>
    <row r="3859" spans="1:202">
      <c r="A3859" s="181" t="s">
        <v>247</v>
      </c>
      <c r="GR3859" s="181">
        <v>0</v>
      </c>
      <c r="GS3859" s="181">
        <v>0</v>
      </c>
      <c r="GT3859" s="181">
        <v>0</v>
      </c>
    </row>
    <row r="3860" spans="1:202">
      <c r="A3860" s="181" t="s">
        <v>247</v>
      </c>
      <c r="GR3860" s="181">
        <v>0</v>
      </c>
      <c r="GS3860" s="181">
        <v>0</v>
      </c>
      <c r="GT3860" s="181">
        <v>0</v>
      </c>
    </row>
    <row r="3861" spans="1:202">
      <c r="A3861" s="181" t="s">
        <v>247</v>
      </c>
      <c r="GR3861" s="181">
        <v>0</v>
      </c>
      <c r="GS3861" s="181">
        <v>0</v>
      </c>
      <c r="GT3861" s="181">
        <v>0</v>
      </c>
    </row>
    <row r="3862" spans="1:202">
      <c r="A3862" s="181" t="s">
        <v>247</v>
      </c>
      <c r="GR3862" s="181">
        <v>0</v>
      </c>
      <c r="GS3862" s="181">
        <v>0</v>
      </c>
      <c r="GT3862" s="181">
        <v>0</v>
      </c>
    </row>
    <row r="3863" spans="1:202">
      <c r="A3863" s="181" t="s">
        <v>247</v>
      </c>
      <c r="GR3863" s="181">
        <v>0</v>
      </c>
      <c r="GS3863" s="181">
        <v>0</v>
      </c>
      <c r="GT3863" s="181">
        <v>0</v>
      </c>
    </row>
    <row r="3864" spans="1:202">
      <c r="A3864" s="181" t="s">
        <v>247</v>
      </c>
      <c r="GR3864" s="181">
        <v>0</v>
      </c>
      <c r="GS3864" s="181">
        <v>0</v>
      </c>
      <c r="GT3864" s="181">
        <v>0</v>
      </c>
    </row>
    <row r="3865" spans="1:202">
      <c r="A3865" s="181" t="s">
        <v>247</v>
      </c>
      <c r="GR3865" s="181">
        <v>0</v>
      </c>
      <c r="GS3865" s="181">
        <v>0</v>
      </c>
      <c r="GT3865" s="181">
        <v>0</v>
      </c>
    </row>
    <row r="3866" spans="1:202">
      <c r="A3866" s="181" t="s">
        <v>247</v>
      </c>
      <c r="GR3866" s="181">
        <v>0</v>
      </c>
      <c r="GS3866" s="181">
        <v>0</v>
      </c>
      <c r="GT3866" s="181">
        <v>0</v>
      </c>
    </row>
    <row r="3867" spans="1:202">
      <c r="A3867" s="181" t="s">
        <v>247</v>
      </c>
      <c r="GR3867" s="181">
        <v>0</v>
      </c>
      <c r="GS3867" s="181">
        <v>0</v>
      </c>
      <c r="GT3867" s="181">
        <v>0</v>
      </c>
    </row>
    <row r="3868" spans="1:202">
      <c r="A3868" s="181" t="s">
        <v>247</v>
      </c>
      <c r="GS3868" s="181">
        <v>40150</v>
      </c>
      <c r="GT3868" s="181">
        <v>60100</v>
      </c>
    </row>
    <row r="3869" spans="1:202">
      <c r="A3869" s="181" t="s">
        <v>247</v>
      </c>
      <c r="GR3869" s="181" t="s">
        <v>309</v>
      </c>
      <c r="GS3869" s="181">
        <v>0</v>
      </c>
      <c r="GT3869" s="181">
        <v>0</v>
      </c>
    </row>
    <row r="3870" spans="1:202">
      <c r="A3870" s="181" t="s">
        <v>247</v>
      </c>
      <c r="GS3870" s="181">
        <v>493181</v>
      </c>
      <c r="GT3870" s="181">
        <v>1081391</v>
      </c>
    </row>
    <row r="3871" spans="1:202">
      <c r="A3871" s="181" t="s">
        <v>247</v>
      </c>
      <c r="GS3871" s="181">
        <v>-7254</v>
      </c>
      <c r="GT3871" s="181">
        <v>141</v>
      </c>
    </row>
    <row r="3872" spans="1:202">
      <c r="A3872" s="181" t="s">
        <v>247</v>
      </c>
      <c r="GS3872" s="181">
        <v>9869.8746596947312</v>
      </c>
      <c r="GT3872" s="181">
        <v>9869.8746596947312</v>
      </c>
    </row>
    <row r="3873" spans="1:1">
      <c r="A3873" s="181" t="s">
        <v>247</v>
      </c>
    </row>
    <row r="3874" spans="1:1">
      <c r="A3874" s="181" t="s">
        <v>247</v>
      </c>
    </row>
    <row r="3875" spans="1:1">
      <c r="A3875" s="181" t="s">
        <v>247</v>
      </c>
    </row>
    <row r="3876" spans="1:1">
      <c r="A3876" s="181" t="s">
        <v>247</v>
      </c>
    </row>
    <row r="3877" spans="1:1">
      <c r="A3877" s="181" t="s">
        <v>247</v>
      </c>
    </row>
    <row r="3878" spans="1:1">
      <c r="A3878" s="181" t="s">
        <v>247</v>
      </c>
    </row>
    <row r="3879" spans="1:1">
      <c r="A3879" s="181" t="s">
        <v>247</v>
      </c>
    </row>
    <row r="3880" spans="1:1">
      <c r="A3880" s="181" t="s">
        <v>247</v>
      </c>
    </row>
    <row r="3881" spans="1:1">
      <c r="A3881" s="181" t="s">
        <v>247</v>
      </c>
    </row>
    <row r="3882" spans="1:1">
      <c r="A3882" s="181" t="s">
        <v>247</v>
      </c>
    </row>
    <row r="3883" spans="1:1">
      <c r="A3883" s="181" t="s">
        <v>247</v>
      </c>
    </row>
    <row r="3884" spans="1:1">
      <c r="A3884" s="181" t="s">
        <v>247</v>
      </c>
    </row>
    <row r="3885" spans="1:1">
      <c r="A3885" s="181" t="s">
        <v>247</v>
      </c>
    </row>
    <row r="3886" spans="1:1">
      <c r="A3886" s="181" t="s">
        <v>247</v>
      </c>
    </row>
    <row r="3887" spans="1:1">
      <c r="A3887" s="181" t="s">
        <v>247</v>
      </c>
    </row>
    <row r="3888" spans="1:1">
      <c r="A3888" s="181" t="s">
        <v>247</v>
      </c>
    </row>
    <row r="3889" spans="1:220">
      <c r="A3889" s="181" t="s">
        <v>247</v>
      </c>
    </row>
    <row r="3890" spans="1:220">
      <c r="A3890" s="181" t="s">
        <v>247</v>
      </c>
    </row>
    <row r="3891" spans="1:220">
      <c r="A3891" s="181" t="s">
        <v>247</v>
      </c>
    </row>
    <row r="3892" spans="1:220">
      <c r="A3892" s="181" t="s">
        <v>247</v>
      </c>
    </row>
    <row r="3893" spans="1:220">
      <c r="A3893" s="181" t="s">
        <v>247</v>
      </c>
    </row>
    <row r="3894" spans="1:220">
      <c r="A3894" s="181" t="s">
        <v>247</v>
      </c>
    </row>
    <row r="3895" spans="1:220">
      <c r="A3895" s="181" t="s">
        <v>247</v>
      </c>
    </row>
    <row r="3896" spans="1:220">
      <c r="A3896" s="181" t="s">
        <v>247</v>
      </c>
    </row>
    <row r="3897" spans="1:220">
      <c r="A3897" s="181" t="s">
        <v>248</v>
      </c>
      <c r="F3897" s="181" t="s">
        <v>635</v>
      </c>
      <c r="G3897" s="181">
        <v>99999900</v>
      </c>
      <c r="H3897" s="181">
        <v>8</v>
      </c>
      <c r="J3897" s="181" t="s">
        <v>1152</v>
      </c>
      <c r="L3897" s="181" t="s">
        <v>933</v>
      </c>
      <c r="HD3897" s="181" t="s">
        <v>1128</v>
      </c>
      <c r="HG3897" s="181" t="s">
        <v>887</v>
      </c>
      <c r="HL3897" s="181" t="s">
        <v>1224</v>
      </c>
    </row>
    <row r="3898" spans="1:220">
      <c r="A3898" s="181" t="s">
        <v>248</v>
      </c>
      <c r="F3898" s="181" t="s">
        <v>757</v>
      </c>
      <c r="G3898" s="181">
        <v>50</v>
      </c>
      <c r="J3898" s="181" t="s">
        <v>1238</v>
      </c>
      <c r="L3898" s="181" t="s">
        <v>933</v>
      </c>
      <c r="HD3898" s="181" t="s">
        <v>1225</v>
      </c>
      <c r="HG3898" s="181" t="s">
        <v>1226</v>
      </c>
      <c r="HL3898" s="181" t="s">
        <v>917</v>
      </c>
    </row>
    <row r="3899" spans="1:220">
      <c r="A3899" s="181" t="s">
        <v>248</v>
      </c>
      <c r="F3899" s="181" t="s">
        <v>758</v>
      </c>
      <c r="G3899" s="181">
        <v>50</v>
      </c>
      <c r="J3899" s="181" t="s">
        <v>1239</v>
      </c>
      <c r="L3899" s="181" t="s">
        <v>933</v>
      </c>
      <c r="HD3899" s="181" t="s">
        <v>1080</v>
      </c>
      <c r="HG3899" s="181" t="s">
        <v>1227</v>
      </c>
      <c r="HL3899" s="181" t="s">
        <v>928</v>
      </c>
    </row>
    <row r="3900" spans="1:220">
      <c r="A3900" s="181" t="s">
        <v>248</v>
      </c>
      <c r="L3900" s="181" t="s">
        <v>933</v>
      </c>
      <c r="HD3900" s="181" t="s">
        <v>1101</v>
      </c>
      <c r="HG3900" s="181" t="s">
        <v>1228</v>
      </c>
      <c r="HL3900" s="181">
        <v>0</v>
      </c>
    </row>
    <row r="3901" spans="1:220">
      <c r="A3901" s="181" t="s">
        <v>248</v>
      </c>
      <c r="HD3901" s="181" t="s">
        <v>1229</v>
      </c>
      <c r="HG3901" s="181" t="s">
        <v>482</v>
      </c>
    </row>
    <row r="3902" spans="1:220">
      <c r="A3902" s="181" t="s">
        <v>248</v>
      </c>
      <c r="HD3902" s="181" t="s">
        <v>45</v>
      </c>
      <c r="HG3902" s="181" t="s">
        <v>1230</v>
      </c>
    </row>
    <row r="3903" spans="1:220">
      <c r="A3903" s="181" t="s">
        <v>248</v>
      </c>
      <c r="HD3903" s="181" t="s">
        <v>1231</v>
      </c>
      <c r="HG3903" s="181" t="s">
        <v>1232</v>
      </c>
    </row>
    <row r="3904" spans="1:220">
      <c r="A3904" s="181" t="s">
        <v>248</v>
      </c>
      <c r="HD3904" s="181" t="s">
        <v>1233</v>
      </c>
      <c r="HG3904" s="181" t="s">
        <v>654</v>
      </c>
    </row>
    <row r="3905" spans="1:215">
      <c r="A3905" s="181" t="s">
        <v>248</v>
      </c>
      <c r="HD3905" s="181" t="s">
        <v>930</v>
      </c>
      <c r="HG3905" s="181" t="s">
        <v>1124</v>
      </c>
    </row>
    <row r="3906" spans="1:215">
      <c r="A3906" s="181" t="s">
        <v>248</v>
      </c>
      <c r="HD3906" s="181" t="s">
        <v>1064</v>
      </c>
      <c r="HG3906" s="181" t="s">
        <v>1234</v>
      </c>
    </row>
    <row r="3907" spans="1:215">
      <c r="A3907" s="181" t="s">
        <v>248</v>
      </c>
      <c r="HD3907" s="181" t="s">
        <v>909</v>
      </c>
      <c r="HG3907" s="181" t="s">
        <v>1235</v>
      </c>
    </row>
    <row r="3908" spans="1:215">
      <c r="A3908" s="181" t="s">
        <v>248</v>
      </c>
      <c r="HD3908" s="181" t="s">
        <v>944</v>
      </c>
      <c r="HG3908" s="181" t="s">
        <v>1236</v>
      </c>
    </row>
    <row r="3909" spans="1:215">
      <c r="A3909" s="181" t="s">
        <v>248</v>
      </c>
      <c r="HG3909" s="181" t="s">
        <v>333</v>
      </c>
    </row>
    <row r="3910" spans="1:215">
      <c r="A3910" s="181" t="s">
        <v>248</v>
      </c>
      <c r="HG3910" s="181" t="s">
        <v>929</v>
      </c>
    </row>
    <row r="3911" spans="1:215">
      <c r="A3911" s="181" t="s">
        <v>248</v>
      </c>
      <c r="HG3911" s="181" t="s">
        <v>918</v>
      </c>
    </row>
    <row r="3912" spans="1:215">
      <c r="A3912" s="181" t="s">
        <v>248</v>
      </c>
      <c r="HG3912" s="181" t="s">
        <v>1237</v>
      </c>
    </row>
    <row r="3913" spans="1:215">
      <c r="A3913" s="181" t="s">
        <v>248</v>
      </c>
      <c r="HG3913" s="181" t="s">
        <v>1119</v>
      </c>
    </row>
    <row r="3914" spans="1:215">
      <c r="A3914" s="181" t="s">
        <v>248</v>
      </c>
    </row>
    <row r="3915" spans="1:215">
      <c r="A3915" s="181" t="s">
        <v>248</v>
      </c>
    </row>
    <row r="3916" spans="1:215">
      <c r="A3916" s="181" t="s">
        <v>248</v>
      </c>
    </row>
    <row r="3917" spans="1:215">
      <c r="A3917" s="181" t="s">
        <v>248</v>
      </c>
    </row>
    <row r="3918" spans="1:215">
      <c r="A3918" s="181" t="s">
        <v>248</v>
      </c>
    </row>
    <row r="3919" spans="1:215">
      <c r="A3919" s="181" t="s">
        <v>248</v>
      </c>
    </row>
    <row r="3920" spans="1:215">
      <c r="A3920" s="181" t="s">
        <v>248</v>
      </c>
    </row>
    <row r="3921" spans="1:1">
      <c r="A3921" s="181" t="s">
        <v>248</v>
      </c>
    </row>
    <row r="3922" spans="1:1">
      <c r="A3922" s="181" t="s">
        <v>248</v>
      </c>
    </row>
    <row r="3923" spans="1:1">
      <c r="A3923" s="181" t="s">
        <v>248</v>
      </c>
    </row>
    <row r="3924" spans="1:1">
      <c r="A3924" s="181" t="s">
        <v>248</v>
      </c>
    </row>
    <row r="3925" spans="1:1">
      <c r="A3925" s="181" t="s">
        <v>248</v>
      </c>
    </row>
    <row r="3926" spans="1:1">
      <c r="A3926" s="181" t="s">
        <v>248</v>
      </c>
    </row>
    <row r="3927" spans="1:1">
      <c r="A3927" s="181" t="s">
        <v>248</v>
      </c>
    </row>
    <row r="3928" spans="1:1">
      <c r="A3928" s="181" t="s">
        <v>248</v>
      </c>
    </row>
    <row r="3929" spans="1:1">
      <c r="A3929" s="181" t="s">
        <v>248</v>
      </c>
    </row>
    <row r="3930" spans="1:1">
      <c r="A3930" s="181" t="s">
        <v>248</v>
      </c>
    </row>
    <row r="3931" spans="1:1">
      <c r="A3931" s="181" t="s">
        <v>248</v>
      </c>
    </row>
    <row r="3932" spans="1:1">
      <c r="A3932" s="181" t="s">
        <v>248</v>
      </c>
    </row>
    <row r="3933" spans="1:1">
      <c r="A3933" s="181" t="s">
        <v>248</v>
      </c>
    </row>
    <row r="3934" spans="1:1">
      <c r="A3934" s="181" t="s">
        <v>248</v>
      </c>
    </row>
    <row r="3935" spans="1:1">
      <c r="A3935" s="181" t="s">
        <v>248</v>
      </c>
    </row>
    <row r="3936" spans="1:1">
      <c r="A3936" s="181" t="s">
        <v>248</v>
      </c>
    </row>
    <row r="3937" spans="1:1">
      <c r="A3937" s="181" t="s">
        <v>248</v>
      </c>
    </row>
    <row r="3938" spans="1:1">
      <c r="A3938" s="181" t="s">
        <v>248</v>
      </c>
    </row>
    <row r="3939" spans="1:1">
      <c r="A3939" s="181" t="s">
        <v>248</v>
      </c>
    </row>
    <row r="3940" spans="1:1">
      <c r="A3940" s="181" t="s">
        <v>248</v>
      </c>
    </row>
    <row r="3941" spans="1:1">
      <c r="A3941" s="181" t="s">
        <v>248</v>
      </c>
    </row>
    <row r="3942" spans="1:1">
      <c r="A3942" s="181" t="s">
        <v>248</v>
      </c>
    </row>
    <row r="3943" spans="1:1">
      <c r="A3943" s="181" t="s">
        <v>248</v>
      </c>
    </row>
    <row r="3944" spans="1:1">
      <c r="A3944" s="181" t="s">
        <v>248</v>
      </c>
    </row>
    <row r="3945" spans="1:1">
      <c r="A3945" s="181" t="s">
        <v>248</v>
      </c>
    </row>
    <row r="3946" spans="1:1">
      <c r="A3946" s="181" t="s">
        <v>248</v>
      </c>
    </row>
    <row r="3947" spans="1:1">
      <c r="A3947" s="181" t="s">
        <v>248</v>
      </c>
    </row>
    <row r="3948" spans="1:1">
      <c r="A3948" s="181" t="s">
        <v>248</v>
      </c>
    </row>
    <row r="3949" spans="1:1">
      <c r="A3949" s="181" t="s">
        <v>248</v>
      </c>
    </row>
    <row r="3950" spans="1:1">
      <c r="A3950" s="181" t="s">
        <v>248</v>
      </c>
    </row>
    <row r="3951" spans="1:1">
      <c r="A3951" s="181" t="s">
        <v>248</v>
      </c>
    </row>
    <row r="3952" spans="1:1">
      <c r="A3952" s="181" t="s">
        <v>248</v>
      </c>
    </row>
    <row r="3953" spans="1:1">
      <c r="A3953" s="181" t="s">
        <v>248</v>
      </c>
    </row>
    <row r="3954" spans="1:1">
      <c r="A3954" s="181" t="s">
        <v>248</v>
      </c>
    </row>
    <row r="3955" spans="1:1">
      <c r="A3955" s="181" t="s">
        <v>248</v>
      </c>
    </row>
    <row r="3956" spans="1:1">
      <c r="A3956" s="181" t="s">
        <v>248</v>
      </c>
    </row>
    <row r="3957" spans="1:1">
      <c r="A3957" s="181" t="s">
        <v>248</v>
      </c>
    </row>
    <row r="3958" spans="1:1">
      <c r="A3958" s="181" t="s">
        <v>248</v>
      </c>
    </row>
    <row r="3959" spans="1:1">
      <c r="A3959" s="181" t="s">
        <v>248</v>
      </c>
    </row>
    <row r="3960" spans="1:1">
      <c r="A3960" s="181" t="s">
        <v>248</v>
      </c>
    </row>
    <row r="3961" spans="1:1">
      <c r="A3961" s="181" t="s">
        <v>248</v>
      </c>
    </row>
    <row r="3962" spans="1:1">
      <c r="A3962" s="181" t="s">
        <v>248</v>
      </c>
    </row>
    <row r="3963" spans="1:1">
      <c r="A3963" s="181" t="s">
        <v>248</v>
      </c>
    </row>
    <row r="3964" spans="1:1">
      <c r="A3964" s="181" t="s">
        <v>248</v>
      </c>
    </row>
    <row r="3965" spans="1:1">
      <c r="A3965" s="181" t="s">
        <v>248</v>
      </c>
    </row>
    <row r="3966" spans="1:1">
      <c r="A3966" s="181" t="s">
        <v>248</v>
      </c>
    </row>
    <row r="3967" spans="1:1">
      <c r="A3967" s="181" t="s">
        <v>248</v>
      </c>
    </row>
    <row r="3968" spans="1:1">
      <c r="A3968" s="181" t="s">
        <v>248</v>
      </c>
    </row>
    <row r="3969" spans="1:1">
      <c r="A3969" s="181" t="s">
        <v>248</v>
      </c>
    </row>
    <row r="3970" spans="1:1">
      <c r="A3970" s="181" t="s">
        <v>248</v>
      </c>
    </row>
    <row r="3971" spans="1:1">
      <c r="A3971" s="181" t="s">
        <v>248</v>
      </c>
    </row>
    <row r="3972" spans="1:1">
      <c r="A3972" s="181" t="s">
        <v>248</v>
      </c>
    </row>
    <row r="3973" spans="1:1">
      <c r="A3973" s="181" t="s">
        <v>248</v>
      </c>
    </row>
    <row r="3974" spans="1:1">
      <c r="A3974" s="181" t="s">
        <v>248</v>
      </c>
    </row>
    <row r="3975" spans="1:1">
      <c r="A3975" s="181" t="s">
        <v>248</v>
      </c>
    </row>
    <row r="3976" spans="1:1">
      <c r="A3976" s="181" t="s">
        <v>248</v>
      </c>
    </row>
    <row r="3977" spans="1:1">
      <c r="A3977" s="181" t="s">
        <v>248</v>
      </c>
    </row>
    <row r="3978" spans="1:1">
      <c r="A3978" s="181" t="s">
        <v>248</v>
      </c>
    </row>
    <row r="3979" spans="1:1">
      <c r="A3979" s="181" t="s">
        <v>248</v>
      </c>
    </row>
    <row r="3980" spans="1:1">
      <c r="A3980" s="181" t="s">
        <v>248</v>
      </c>
    </row>
    <row r="3981" spans="1:1">
      <c r="A3981" s="181" t="s">
        <v>248</v>
      </c>
    </row>
    <row r="3982" spans="1:1">
      <c r="A3982" s="181" t="s">
        <v>248</v>
      </c>
    </row>
    <row r="3983" spans="1:1">
      <c r="A3983" s="181" t="s">
        <v>248</v>
      </c>
    </row>
    <row r="3984" spans="1:1">
      <c r="A3984" s="181" t="s">
        <v>248</v>
      </c>
    </row>
    <row r="3985" spans="1:1">
      <c r="A3985" s="181" t="s">
        <v>248</v>
      </c>
    </row>
    <row r="3986" spans="1:1">
      <c r="A3986" s="181" t="s">
        <v>248</v>
      </c>
    </row>
    <row r="3987" spans="1:1">
      <c r="A3987" s="181" t="s">
        <v>248</v>
      </c>
    </row>
    <row r="3988" spans="1:1">
      <c r="A3988" s="181" t="s">
        <v>248</v>
      </c>
    </row>
    <row r="3989" spans="1:1">
      <c r="A3989" s="181" t="s">
        <v>248</v>
      </c>
    </row>
    <row r="3990" spans="1:1">
      <c r="A3990" s="181" t="s">
        <v>248</v>
      </c>
    </row>
    <row r="3991" spans="1:1">
      <c r="A3991" s="181" t="s">
        <v>248</v>
      </c>
    </row>
    <row r="3992" spans="1:1">
      <c r="A3992" s="181" t="s">
        <v>248</v>
      </c>
    </row>
    <row r="3993" spans="1:1">
      <c r="A3993" s="181" t="s">
        <v>248</v>
      </c>
    </row>
    <row r="3994" spans="1:1">
      <c r="A3994" s="181" t="s">
        <v>248</v>
      </c>
    </row>
    <row r="3995" spans="1:1">
      <c r="A3995" s="181" t="s">
        <v>248</v>
      </c>
    </row>
    <row r="3996" spans="1:1">
      <c r="A3996" s="181" t="s">
        <v>248</v>
      </c>
    </row>
    <row r="3997" spans="1:1">
      <c r="A3997" s="181" t="s">
        <v>248</v>
      </c>
    </row>
    <row r="3998" spans="1:1">
      <c r="A3998" s="181" t="s">
        <v>248</v>
      </c>
    </row>
    <row r="3999" spans="1:1">
      <c r="A3999" s="181" t="s">
        <v>248</v>
      </c>
    </row>
    <row r="4000" spans="1:1">
      <c r="A4000" s="181" t="s">
        <v>248</v>
      </c>
    </row>
    <row r="4001" spans="1:1">
      <c r="A4001" s="181" t="s">
        <v>248</v>
      </c>
    </row>
    <row r="4002" spans="1:1">
      <c r="A4002" s="181" t="s">
        <v>248</v>
      </c>
    </row>
    <row r="4003" spans="1:1">
      <c r="A4003" s="181" t="s">
        <v>248</v>
      </c>
    </row>
    <row r="4004" spans="1:1">
      <c r="A4004" s="181" t="s">
        <v>248</v>
      </c>
    </row>
    <row r="4005" spans="1:1">
      <c r="A4005" s="181" t="s">
        <v>248</v>
      </c>
    </row>
    <row r="4006" spans="1:1">
      <c r="A4006" s="181" t="s">
        <v>248</v>
      </c>
    </row>
    <row r="4007" spans="1:1">
      <c r="A4007" s="181" t="s">
        <v>248</v>
      </c>
    </row>
    <row r="4008" spans="1:1">
      <c r="A4008" s="181" t="s">
        <v>248</v>
      </c>
    </row>
    <row r="4009" spans="1:1">
      <c r="A4009" s="181" t="s">
        <v>248</v>
      </c>
    </row>
    <row r="4010" spans="1:1">
      <c r="A4010" s="181" t="s">
        <v>248</v>
      </c>
    </row>
    <row r="4011" spans="1:1">
      <c r="A4011" s="181" t="s">
        <v>248</v>
      </c>
    </row>
    <row r="4012" spans="1:1">
      <c r="A4012" s="181" t="s">
        <v>248</v>
      </c>
    </row>
    <row r="4013" spans="1:1">
      <c r="A4013" s="181" t="s">
        <v>248</v>
      </c>
    </row>
    <row r="4014" spans="1:1">
      <c r="A4014" s="181" t="s">
        <v>248</v>
      </c>
    </row>
    <row r="4015" spans="1:1">
      <c r="A4015" s="181" t="s">
        <v>248</v>
      </c>
    </row>
    <row r="4016" spans="1:1">
      <c r="A4016" s="181" t="s">
        <v>248</v>
      </c>
    </row>
    <row r="4017" spans="1:1">
      <c r="A4017" s="181" t="s">
        <v>248</v>
      </c>
    </row>
    <row r="4018" spans="1:1">
      <c r="A4018" s="181" t="s">
        <v>248</v>
      </c>
    </row>
    <row r="4019" spans="1:1">
      <c r="A4019" s="181" t="s">
        <v>248</v>
      </c>
    </row>
    <row r="4020" spans="1:1">
      <c r="A4020" s="181" t="s">
        <v>248</v>
      </c>
    </row>
    <row r="4021" spans="1:1">
      <c r="A4021" s="181" t="s">
        <v>248</v>
      </c>
    </row>
    <row r="4022" spans="1:1">
      <c r="A4022" s="181" t="s">
        <v>248</v>
      </c>
    </row>
    <row r="4023" spans="1:1">
      <c r="A4023" s="181" t="s">
        <v>248</v>
      </c>
    </row>
    <row r="4024" spans="1:1">
      <c r="A4024" s="181" t="s">
        <v>248</v>
      </c>
    </row>
    <row r="4025" spans="1:1">
      <c r="A4025" s="181" t="s">
        <v>248</v>
      </c>
    </row>
    <row r="4026" spans="1:1">
      <c r="A4026" s="181" t="s">
        <v>248</v>
      </c>
    </row>
    <row r="4027" spans="1:1">
      <c r="A4027" s="181" t="s">
        <v>248</v>
      </c>
    </row>
    <row r="4028" spans="1:1">
      <c r="A4028" s="181" t="s">
        <v>248</v>
      </c>
    </row>
    <row r="4029" spans="1:1">
      <c r="A4029" s="181" t="s">
        <v>248</v>
      </c>
    </row>
    <row r="4030" spans="1:1">
      <c r="A4030" s="181" t="s">
        <v>248</v>
      </c>
    </row>
    <row r="4031" spans="1:1">
      <c r="A4031" s="181" t="s">
        <v>248</v>
      </c>
    </row>
    <row r="4032" spans="1:1">
      <c r="A4032" s="181" t="s">
        <v>248</v>
      </c>
    </row>
    <row r="4033" spans="1:1">
      <c r="A4033" s="181" t="s">
        <v>248</v>
      </c>
    </row>
    <row r="4034" spans="1:1">
      <c r="A4034" s="181" t="s">
        <v>248</v>
      </c>
    </row>
    <row r="4035" spans="1:1">
      <c r="A4035" s="181" t="s">
        <v>248</v>
      </c>
    </row>
    <row r="4036" spans="1:1">
      <c r="A4036" s="181" t="s">
        <v>248</v>
      </c>
    </row>
    <row r="4037" spans="1:1">
      <c r="A4037" s="181" t="s">
        <v>248</v>
      </c>
    </row>
    <row r="4038" spans="1:1">
      <c r="A4038" s="181" t="s">
        <v>248</v>
      </c>
    </row>
    <row r="4039" spans="1:1">
      <c r="A4039" s="181" t="s">
        <v>248</v>
      </c>
    </row>
    <row r="4040" spans="1:1">
      <c r="A4040" s="181" t="s">
        <v>248</v>
      </c>
    </row>
    <row r="4041" spans="1:1">
      <c r="A4041" s="181" t="s">
        <v>248</v>
      </c>
    </row>
    <row r="4042" spans="1:1">
      <c r="A4042" s="181" t="s">
        <v>248</v>
      </c>
    </row>
    <row r="4043" spans="1:1">
      <c r="A4043" s="181" t="s">
        <v>248</v>
      </c>
    </row>
    <row r="4044" spans="1:1">
      <c r="A4044" s="181" t="s">
        <v>248</v>
      </c>
    </row>
    <row r="4045" spans="1:1">
      <c r="A4045" s="181" t="s">
        <v>248</v>
      </c>
    </row>
    <row r="4046" spans="1:1">
      <c r="A4046" s="181" t="s">
        <v>248</v>
      </c>
    </row>
    <row r="4047" spans="1:1">
      <c r="A4047" s="181" t="s">
        <v>248</v>
      </c>
    </row>
    <row r="4048" spans="1:1">
      <c r="A4048" s="181" t="s">
        <v>248</v>
      </c>
    </row>
    <row r="4049" spans="1:1">
      <c r="A4049" s="181" t="s">
        <v>248</v>
      </c>
    </row>
    <row r="4050" spans="1:1">
      <c r="A4050" s="181" t="s">
        <v>248</v>
      </c>
    </row>
    <row r="4051" spans="1:1">
      <c r="A4051" s="181" t="s">
        <v>248</v>
      </c>
    </row>
    <row r="4052" spans="1:1">
      <c r="A4052" s="181" t="s">
        <v>248</v>
      </c>
    </row>
    <row r="4053" spans="1:1">
      <c r="A4053" s="181" t="s">
        <v>248</v>
      </c>
    </row>
    <row r="4054" spans="1:1">
      <c r="A4054" s="181" t="s">
        <v>248</v>
      </c>
    </row>
    <row r="4055" spans="1:1">
      <c r="A4055" s="181" t="s">
        <v>248</v>
      </c>
    </row>
    <row r="4056" spans="1:1">
      <c r="A4056" s="181" t="s">
        <v>248</v>
      </c>
    </row>
    <row r="4057" spans="1:1">
      <c r="A4057" s="181" t="s">
        <v>248</v>
      </c>
    </row>
    <row r="4058" spans="1:1">
      <c r="A4058" s="181" t="s">
        <v>248</v>
      </c>
    </row>
    <row r="4059" spans="1:1">
      <c r="A4059" s="181" t="s">
        <v>248</v>
      </c>
    </row>
    <row r="4060" spans="1:1">
      <c r="A4060" s="181" t="s">
        <v>248</v>
      </c>
    </row>
    <row r="4061" spans="1:1">
      <c r="A4061" s="181" t="s">
        <v>248</v>
      </c>
    </row>
    <row r="4062" spans="1:1">
      <c r="A4062" s="181" t="s">
        <v>248</v>
      </c>
    </row>
    <row r="4063" spans="1:1">
      <c r="A4063" s="181" t="s">
        <v>248</v>
      </c>
    </row>
    <row r="4064" spans="1:1">
      <c r="A4064" s="181" t="s">
        <v>248</v>
      </c>
    </row>
    <row r="4065" spans="1:1">
      <c r="A4065" s="181" t="s">
        <v>248</v>
      </c>
    </row>
    <row r="4066" spans="1:1">
      <c r="A4066" s="181" t="s">
        <v>248</v>
      </c>
    </row>
    <row r="4067" spans="1:1">
      <c r="A4067" s="181" t="s">
        <v>248</v>
      </c>
    </row>
    <row r="4068" spans="1:1">
      <c r="A4068" s="181" t="s">
        <v>248</v>
      </c>
    </row>
    <row r="4069" spans="1:1">
      <c r="A4069" s="181" t="s">
        <v>248</v>
      </c>
    </row>
    <row r="4070" spans="1:1">
      <c r="A4070" s="181" t="s">
        <v>248</v>
      </c>
    </row>
    <row r="4071" spans="1:1">
      <c r="A4071" s="181" t="s">
        <v>248</v>
      </c>
    </row>
    <row r="4072" spans="1:1">
      <c r="A4072" s="181" t="s">
        <v>248</v>
      </c>
    </row>
    <row r="4073" spans="1:1">
      <c r="A4073" s="181" t="s">
        <v>248</v>
      </c>
    </row>
    <row r="4074" spans="1:1">
      <c r="A4074" s="181" t="s">
        <v>248</v>
      </c>
    </row>
    <row r="4075" spans="1:1">
      <c r="A4075" s="181" t="s">
        <v>248</v>
      </c>
    </row>
    <row r="4076" spans="1:1">
      <c r="A4076" s="181" t="s">
        <v>248</v>
      </c>
    </row>
    <row r="4077" spans="1:1">
      <c r="A4077" s="181" t="s">
        <v>248</v>
      </c>
    </row>
    <row r="4078" spans="1:1">
      <c r="A4078" s="181" t="s">
        <v>248</v>
      </c>
    </row>
    <row r="4079" spans="1:1">
      <c r="A4079" s="181" t="s">
        <v>248</v>
      </c>
    </row>
    <row r="4080" spans="1:1">
      <c r="A4080" s="181" t="s">
        <v>248</v>
      </c>
    </row>
    <row r="4081" spans="1:1">
      <c r="A4081" s="181" t="s">
        <v>248</v>
      </c>
    </row>
    <row r="4082" spans="1:1">
      <c r="A4082" s="181" t="s">
        <v>248</v>
      </c>
    </row>
    <row r="4083" spans="1:1">
      <c r="A4083" s="181" t="s">
        <v>248</v>
      </c>
    </row>
    <row r="4084" spans="1:1">
      <c r="A4084" s="181" t="s">
        <v>248</v>
      </c>
    </row>
    <row r="4085" spans="1:1">
      <c r="A4085" s="181" t="s">
        <v>248</v>
      </c>
    </row>
    <row r="4086" spans="1:1">
      <c r="A4086" s="181" t="s">
        <v>248</v>
      </c>
    </row>
    <row r="4087" spans="1:1">
      <c r="A4087" s="181" t="s">
        <v>248</v>
      </c>
    </row>
    <row r="4088" spans="1:1">
      <c r="A4088" s="181" t="s">
        <v>248</v>
      </c>
    </row>
    <row r="4089" spans="1:1">
      <c r="A4089" s="181" t="s">
        <v>248</v>
      </c>
    </row>
    <row r="4090" spans="1:1">
      <c r="A4090" s="181" t="s">
        <v>248</v>
      </c>
    </row>
    <row r="4091" spans="1:1">
      <c r="A4091" s="181" t="s">
        <v>248</v>
      </c>
    </row>
    <row r="4092" spans="1:1">
      <c r="A4092" s="181" t="s">
        <v>248</v>
      </c>
    </row>
    <row r="4093" spans="1:1">
      <c r="A4093" s="181" t="s">
        <v>248</v>
      </c>
    </row>
    <row r="4094" spans="1:1">
      <c r="A4094" s="181" t="s">
        <v>248</v>
      </c>
    </row>
    <row r="4095" spans="1:1">
      <c r="A4095" s="181" t="s">
        <v>248</v>
      </c>
    </row>
    <row r="4096" spans="1:1">
      <c r="A4096" s="181" t="s">
        <v>248</v>
      </c>
    </row>
    <row r="4097" spans="1:235">
      <c r="A4097" s="181" t="s">
        <v>248</v>
      </c>
    </row>
    <row r="4098" spans="1:235">
      <c r="A4098" s="181" t="s">
        <v>248</v>
      </c>
    </row>
    <row r="4099" spans="1:235">
      <c r="A4099" s="181" t="s">
        <v>248</v>
      </c>
    </row>
    <row r="4100" spans="1:235">
      <c r="A4100" s="181" t="s">
        <v>248</v>
      </c>
    </row>
    <row r="4101" spans="1:235">
      <c r="A4101" s="181" t="s">
        <v>248</v>
      </c>
    </row>
    <row r="4102" spans="1:235">
      <c r="A4102" s="181" t="s">
        <v>249</v>
      </c>
      <c r="D4102" s="181" t="s">
        <v>1209</v>
      </c>
      <c r="E4102" s="181" t="s">
        <v>1210</v>
      </c>
      <c r="F4102" s="181" t="s">
        <v>636</v>
      </c>
      <c r="G4102" s="181">
        <v>4496</v>
      </c>
      <c r="H4102" s="181">
        <v>18</v>
      </c>
      <c r="I4102" s="181" t="s">
        <v>2946</v>
      </c>
      <c r="J4102" s="181" t="s">
        <v>2958</v>
      </c>
      <c r="K4102" s="181">
        <v>100</v>
      </c>
      <c r="L4102" s="181" t="s">
        <v>933</v>
      </c>
      <c r="M4102" s="181">
        <v>1</v>
      </c>
      <c r="N4102" s="181" t="s">
        <v>2038</v>
      </c>
      <c r="O4102" s="181" t="s">
        <v>2037</v>
      </c>
      <c r="P4102" s="181">
        <v>100</v>
      </c>
      <c r="Q4102" s="181">
        <v>100</v>
      </c>
      <c r="R4102" s="181">
        <v>15000</v>
      </c>
      <c r="S4102" s="181">
        <v>15000</v>
      </c>
      <c r="AL4102" s="181">
        <v>5559000</v>
      </c>
      <c r="AM4102" s="181">
        <v>11148000</v>
      </c>
      <c r="AN4102" s="181">
        <v>69213</v>
      </c>
      <c r="AO4102" s="181">
        <v>69235.059203444558</v>
      </c>
      <c r="DC4102" s="181">
        <v>5559000</v>
      </c>
      <c r="DD4102" s="181">
        <v>11148000</v>
      </c>
      <c r="DN4102" s="181" t="s">
        <v>971</v>
      </c>
      <c r="DO4102" s="181">
        <v>796746.12931034481</v>
      </c>
      <c r="DP4102" s="181">
        <v>1585831.2381465517</v>
      </c>
      <c r="DX4102" s="181" t="s">
        <v>3000</v>
      </c>
      <c r="DY4102" s="181">
        <v>613418.4</v>
      </c>
      <c r="DZ4102" s="181">
        <v>2453673.6</v>
      </c>
      <c r="EA4102" s="181">
        <v>255350.79900000003</v>
      </c>
      <c r="EB4102" s="181">
        <v>510701.59800000006</v>
      </c>
      <c r="FY4102" s="181">
        <v>0</v>
      </c>
      <c r="FZ4102" s="181">
        <v>0</v>
      </c>
      <c r="GA4102" s="181">
        <v>0</v>
      </c>
      <c r="GR4102" s="181" t="s">
        <v>176</v>
      </c>
      <c r="GS4102" s="181">
        <v>0</v>
      </c>
      <c r="GT4102" s="181">
        <v>0</v>
      </c>
      <c r="HD4102" s="181" t="s">
        <v>881</v>
      </c>
      <c r="HE4102" s="181">
        <v>116106.575</v>
      </c>
      <c r="HF4102" s="181">
        <v>232213.15</v>
      </c>
      <c r="HG4102" s="181" t="s">
        <v>1634</v>
      </c>
      <c r="HH4102" s="181">
        <v>0</v>
      </c>
      <c r="HI4102" s="181">
        <v>0</v>
      </c>
      <c r="HJ4102" s="181">
        <v>-255350.79900000003</v>
      </c>
      <c r="HK4102" s="181">
        <v>-510701.59800000006</v>
      </c>
      <c r="HL4102" s="181" t="s">
        <v>932</v>
      </c>
      <c r="HM4102" s="181">
        <v>90000</v>
      </c>
      <c r="HN4102" s="181">
        <v>90000</v>
      </c>
      <c r="HS4102" s="181" t="s">
        <v>1361</v>
      </c>
      <c r="HT4102" s="181">
        <v>220130</v>
      </c>
      <c r="HU4102" s="181">
        <v>440260</v>
      </c>
      <c r="HY4102" s="181" t="s">
        <v>1389</v>
      </c>
      <c r="HZ4102" s="181">
        <v>60389</v>
      </c>
      <c r="IA4102" s="181">
        <v>75083</v>
      </c>
    </row>
    <row r="4103" spans="1:235">
      <c r="A4103" s="181" t="s">
        <v>249</v>
      </c>
      <c r="D4103" s="181" t="s">
        <v>1211</v>
      </c>
      <c r="E4103" s="181" t="s">
        <v>475</v>
      </c>
      <c r="F4103" s="181" t="s">
        <v>2944</v>
      </c>
      <c r="G4103" s="181">
        <v>3000</v>
      </c>
      <c r="I4103" s="181" t="s">
        <v>2947</v>
      </c>
      <c r="J4103" s="181" t="s">
        <v>2959</v>
      </c>
      <c r="K4103" s="181">
        <v>100</v>
      </c>
      <c r="L4103" s="181" t="s">
        <v>933</v>
      </c>
      <c r="M4103" s="181">
        <v>1</v>
      </c>
      <c r="N4103" s="181" t="s">
        <v>2038</v>
      </c>
      <c r="O4103" s="181" t="s">
        <v>2037</v>
      </c>
      <c r="P4103" s="181">
        <v>100</v>
      </c>
      <c r="Q4103" s="181">
        <v>100</v>
      </c>
      <c r="R4103" s="181">
        <v>8000</v>
      </c>
      <c r="S4103" s="181">
        <v>8000</v>
      </c>
      <c r="AL4103" s="181">
        <v>57000</v>
      </c>
      <c r="AM4103" s="181">
        <v>114000</v>
      </c>
      <c r="AN4103" s="181">
        <v>1506107</v>
      </c>
      <c r="AO4103" s="181">
        <v>1506107</v>
      </c>
      <c r="DC4103" s="181">
        <v>66460.885127029484</v>
      </c>
      <c r="DD4103" s="181">
        <v>132921.77025405897</v>
      </c>
      <c r="DN4103" s="181" t="s">
        <v>922</v>
      </c>
      <c r="DO4103" s="181">
        <v>179188.44181034478</v>
      </c>
      <c r="DP4103" s="181">
        <v>356653.91783405165</v>
      </c>
      <c r="DX4103" s="181" t="s">
        <v>2995</v>
      </c>
      <c r="DY4103" s="181">
        <v>30662.97</v>
      </c>
      <c r="DZ4103" s="181">
        <v>103782.36</v>
      </c>
      <c r="FY4103" s="181">
        <v>0</v>
      </c>
      <c r="FZ4103" s="181">
        <v>0</v>
      </c>
      <c r="GA4103" s="181">
        <v>0</v>
      </c>
      <c r="GR4103" s="181" t="s">
        <v>177</v>
      </c>
      <c r="GS4103" s="181">
        <v>0</v>
      </c>
      <c r="GT4103" s="181">
        <v>0</v>
      </c>
      <c r="HD4103" s="181" t="s">
        <v>2786</v>
      </c>
      <c r="HE4103" s="181">
        <v>50260.987500000003</v>
      </c>
      <c r="HF4103" s="181">
        <v>100521.97500000001</v>
      </c>
      <c r="HG4103" s="181" t="s">
        <v>3002</v>
      </c>
      <c r="HH4103" s="181">
        <v>11507.75</v>
      </c>
      <c r="HI4103" s="181">
        <v>23015.5</v>
      </c>
      <c r="HL4103" s="181" t="s">
        <v>1224</v>
      </c>
      <c r="HM4103" s="181">
        <v>10000</v>
      </c>
      <c r="HN4103" s="181">
        <v>10000</v>
      </c>
      <c r="HY4103" s="181" t="s">
        <v>1390</v>
      </c>
      <c r="HZ4103" s="181">
        <v>0</v>
      </c>
      <c r="IA4103" s="181">
        <v>0</v>
      </c>
    </row>
    <row r="4104" spans="1:235">
      <c r="A4104" s="181" t="s">
        <v>249</v>
      </c>
      <c r="D4104" s="181" t="s">
        <v>2983</v>
      </c>
      <c r="E4104" s="181" t="s">
        <v>666</v>
      </c>
      <c r="F4104" s="181" t="s">
        <v>2945</v>
      </c>
      <c r="G4104" s="181">
        <v>4</v>
      </c>
      <c r="I4104" s="181" t="s">
        <v>2174</v>
      </c>
      <c r="J4104" s="181" t="s">
        <v>2960</v>
      </c>
      <c r="K4104" s="181">
        <v>350</v>
      </c>
      <c r="L4104" s="181" t="s">
        <v>899</v>
      </c>
      <c r="M4104" s="181">
        <v>1</v>
      </c>
      <c r="N4104" s="181" t="s">
        <v>2043</v>
      </c>
      <c r="O4104" s="181" t="s">
        <v>2039</v>
      </c>
      <c r="P4104" s="181">
        <v>0</v>
      </c>
      <c r="Q4104" s="181">
        <v>100</v>
      </c>
      <c r="R4104" s="181">
        <v>0</v>
      </c>
      <c r="S4104" s="181">
        <v>10000</v>
      </c>
      <c r="AL4104" s="181">
        <v>163078</v>
      </c>
      <c r="AM4104" s="181">
        <v>305276</v>
      </c>
      <c r="AN4104" s="181">
        <v>1000000</v>
      </c>
      <c r="AO4104" s="181">
        <v>1000000</v>
      </c>
      <c r="DC4104" s="181">
        <v>163078</v>
      </c>
      <c r="DD4104" s="181">
        <v>305276</v>
      </c>
      <c r="DN4104" s="181" t="s">
        <v>2786</v>
      </c>
      <c r="DO4104" s="181">
        <v>295117.8609913793</v>
      </c>
      <c r="DP4104" s="181">
        <v>587398.05024245684</v>
      </c>
      <c r="DX4104" s="181" t="s">
        <v>887</v>
      </c>
      <c r="DY4104" s="181">
        <v>28537.040000000001</v>
      </c>
      <c r="DZ4104" s="181">
        <v>57074.080000000002</v>
      </c>
      <c r="FY4104" s="181">
        <v>3</v>
      </c>
      <c r="FZ4104" s="181">
        <v>517</v>
      </c>
      <c r="GA4104" s="181">
        <v>0</v>
      </c>
      <c r="GB4104" s="181">
        <v>3</v>
      </c>
      <c r="GC4104" s="181">
        <v>515</v>
      </c>
      <c r="GR4104" s="181" t="s">
        <v>178</v>
      </c>
      <c r="GS4104" s="181">
        <v>2455870.7223260002</v>
      </c>
      <c r="GT4104" s="181">
        <v>8197913.3531420007</v>
      </c>
      <c r="HD4104" s="181" t="s">
        <v>922</v>
      </c>
      <c r="HE4104" s="181">
        <v>26743.275000000001</v>
      </c>
      <c r="HF4104" s="181">
        <v>53486.55</v>
      </c>
      <c r="HG4104" s="181" t="s">
        <v>1108</v>
      </c>
      <c r="HH4104" s="181">
        <v>9034.7999999999993</v>
      </c>
      <c r="HI4104" s="181">
        <v>18069.599999999999</v>
      </c>
      <c r="HL4104" s="181" t="s">
        <v>1670</v>
      </c>
      <c r="HM4104" s="181">
        <v>23000</v>
      </c>
      <c r="HN4104" s="181">
        <v>23000</v>
      </c>
      <c r="HY4104" s="181" t="s">
        <v>2837</v>
      </c>
      <c r="HZ4104" s="181">
        <v>968</v>
      </c>
      <c r="IA4104" s="181">
        <v>1936</v>
      </c>
    </row>
    <row r="4105" spans="1:235">
      <c r="A4105" s="181" t="s">
        <v>249</v>
      </c>
      <c r="D4105" s="181" t="s">
        <v>2984</v>
      </c>
      <c r="E4105" s="181" t="s">
        <v>666</v>
      </c>
      <c r="I4105" s="181" t="s">
        <v>2948</v>
      </c>
      <c r="J4105" s="181" t="s">
        <v>2961</v>
      </c>
      <c r="K4105" s="181">
        <v>7500</v>
      </c>
      <c r="L4105" s="181" t="s">
        <v>2567</v>
      </c>
      <c r="M4105" s="181">
        <v>1</v>
      </c>
      <c r="N4105" s="181" t="s">
        <v>2140</v>
      </c>
      <c r="O4105" s="181" t="s">
        <v>2037</v>
      </c>
      <c r="P4105" s="181">
        <v>100</v>
      </c>
      <c r="Q4105" s="181">
        <v>100</v>
      </c>
      <c r="R4105" s="181">
        <v>90000</v>
      </c>
      <c r="S4105" s="181">
        <v>90000</v>
      </c>
      <c r="AL4105" s="181">
        <v>71533</v>
      </c>
      <c r="AM4105" s="181">
        <v>143066</v>
      </c>
      <c r="AN4105" s="181">
        <v>1000000</v>
      </c>
      <c r="AO4105" s="181">
        <v>1000000</v>
      </c>
      <c r="DC4105" s="181">
        <v>71533</v>
      </c>
      <c r="DD4105" s="181">
        <v>143066</v>
      </c>
      <c r="DN4105" s="181" t="s">
        <v>927</v>
      </c>
      <c r="DO4105" s="181">
        <v>60447.156250000007</v>
      </c>
      <c r="DP4105" s="181">
        <v>120313.08984375001</v>
      </c>
      <c r="DX4105" s="181" t="s">
        <v>2996</v>
      </c>
      <c r="DY4105" s="181">
        <v>168513.75</v>
      </c>
      <c r="DZ4105" s="181">
        <v>337027.5</v>
      </c>
      <c r="FY4105" s="181">
        <v>0</v>
      </c>
      <c r="FZ4105" s="181">
        <v>0</v>
      </c>
      <c r="GA4105" s="181">
        <v>0</v>
      </c>
      <c r="GR4105" s="181" t="s">
        <v>1707</v>
      </c>
      <c r="GS4105" s="181">
        <v>0</v>
      </c>
      <c r="GT4105" s="181">
        <v>0</v>
      </c>
      <c r="HD4105" s="181" t="s">
        <v>927</v>
      </c>
      <c r="HE4105" s="181">
        <v>13935.95</v>
      </c>
      <c r="HF4105" s="181">
        <v>27871.9</v>
      </c>
      <c r="HG4105" s="181" t="s">
        <v>1212</v>
      </c>
      <c r="HH4105" s="181">
        <v>14517.5</v>
      </c>
      <c r="HI4105" s="181">
        <v>29035</v>
      </c>
      <c r="HL4105" s="181" t="s">
        <v>2120</v>
      </c>
    </row>
    <row r="4106" spans="1:235">
      <c r="A4106" s="181" t="s">
        <v>249</v>
      </c>
      <c r="D4106" s="181" t="s">
        <v>2985</v>
      </c>
      <c r="E4106" s="181" t="s">
        <v>666</v>
      </c>
      <c r="I4106" s="181" t="s">
        <v>2949</v>
      </c>
      <c r="J4106" s="181" t="s">
        <v>2962</v>
      </c>
      <c r="K4106" s="181">
        <v>2</v>
      </c>
      <c r="L4106" s="181" t="s">
        <v>720</v>
      </c>
      <c r="M4106" s="181">
        <v>1</v>
      </c>
      <c r="N4106" s="181" t="s">
        <v>2140</v>
      </c>
      <c r="O4106" s="181" t="s">
        <v>2115</v>
      </c>
      <c r="P4106" s="181">
        <v>25</v>
      </c>
      <c r="Q4106" s="181">
        <v>50</v>
      </c>
      <c r="R4106" s="181">
        <v>0</v>
      </c>
      <c r="S4106" s="181">
        <v>0</v>
      </c>
      <c r="AL4106" s="181">
        <v>30958</v>
      </c>
      <c r="AM4106" s="181">
        <v>61916</v>
      </c>
      <c r="AN4106" s="181">
        <v>1000000</v>
      </c>
      <c r="AO4106" s="181">
        <v>1000000</v>
      </c>
      <c r="DC4106" s="181">
        <v>30958</v>
      </c>
      <c r="DD4106" s="181">
        <v>61916</v>
      </c>
      <c r="DN4106" s="181" t="s">
        <v>1040</v>
      </c>
      <c r="DO4106" s="181">
        <v>93702.375</v>
      </c>
      <c r="DP4106" s="181">
        <v>186503.765625</v>
      </c>
      <c r="DX4106" s="181" t="s">
        <v>2997</v>
      </c>
      <c r="DY4106" s="181">
        <v>39720.25</v>
      </c>
      <c r="DZ4106" s="181">
        <v>79440.5</v>
      </c>
      <c r="FY4106" s="181">
        <v>12</v>
      </c>
      <c r="FZ4106" s="181">
        <v>48</v>
      </c>
      <c r="GA4106" s="181">
        <v>0</v>
      </c>
      <c r="GB4106" s="181">
        <v>12</v>
      </c>
      <c r="GC4106" s="181">
        <v>48</v>
      </c>
      <c r="GR4106" s="181" t="s">
        <v>175</v>
      </c>
      <c r="GS4106" s="181">
        <v>0</v>
      </c>
      <c r="GT4106" s="181">
        <v>0</v>
      </c>
      <c r="HD4106" s="181" t="s">
        <v>2049</v>
      </c>
      <c r="HE4106" s="181">
        <v>31243.512500000001</v>
      </c>
      <c r="HF4106" s="181">
        <v>62487.025000000001</v>
      </c>
      <c r="HG4106" s="181" t="s">
        <v>887</v>
      </c>
      <c r="HH4106" s="181">
        <v>3261.75</v>
      </c>
      <c r="HI4106" s="181">
        <v>6523.5</v>
      </c>
      <c r="HL4106" s="181" t="s">
        <v>1742</v>
      </c>
    </row>
    <row r="4107" spans="1:235" ht="90">
      <c r="A4107" s="181" t="s">
        <v>249</v>
      </c>
      <c r="D4107" s="181" t="s">
        <v>1215</v>
      </c>
      <c r="E4107" s="181" t="s">
        <v>1216</v>
      </c>
      <c r="I4107" s="2057" t="s">
        <v>2950</v>
      </c>
      <c r="J4107" s="181" t="s">
        <v>2963</v>
      </c>
      <c r="K4107" s="181">
        <v>5</v>
      </c>
      <c r="L4107" s="181" t="s">
        <v>720</v>
      </c>
      <c r="M4107" s="181">
        <v>1</v>
      </c>
      <c r="N4107" s="181" t="s">
        <v>2140</v>
      </c>
      <c r="O4107" s="181" t="s">
        <v>2115</v>
      </c>
      <c r="P4107" s="181">
        <v>25</v>
      </c>
      <c r="Q4107" s="181">
        <v>50</v>
      </c>
      <c r="R4107" s="181">
        <v>10000</v>
      </c>
      <c r="S4107" s="181">
        <v>20000</v>
      </c>
      <c r="AL4107" s="181">
        <v>6.0000000000000009</v>
      </c>
      <c r="AM4107" s="181">
        <v>24</v>
      </c>
      <c r="AN4107" s="181">
        <v>109211400000</v>
      </c>
      <c r="AO4107" s="181">
        <v>109211400000</v>
      </c>
      <c r="DC4107" s="181">
        <v>5.8500000000000005</v>
      </c>
      <c r="DD4107" s="181">
        <v>23.400000000000002</v>
      </c>
      <c r="DN4107" s="181" t="s">
        <v>2994</v>
      </c>
      <c r="DO4107" s="181">
        <v>1205.7499999999998</v>
      </c>
      <c r="DP4107" s="181">
        <v>2399.9062499999995</v>
      </c>
      <c r="DX4107" s="181" t="s">
        <v>1218</v>
      </c>
      <c r="DY4107" s="181">
        <v>33484.5</v>
      </c>
      <c r="DZ4107" s="181">
        <v>66969</v>
      </c>
      <c r="GR4107" s="181" t="s">
        <v>147</v>
      </c>
      <c r="GS4107" s="181">
        <v>23148</v>
      </c>
      <c r="GT4107" s="181">
        <v>46296</v>
      </c>
      <c r="HD4107" s="181" t="s">
        <v>1214</v>
      </c>
      <c r="HE4107" s="181">
        <v>686.9375</v>
      </c>
      <c r="HF4107" s="181">
        <v>1373.875</v>
      </c>
      <c r="HG4107" s="181" t="s">
        <v>2996</v>
      </c>
      <c r="HH4107" s="181">
        <v>2753.2500000000009</v>
      </c>
      <c r="HI4107" s="181">
        <v>5506.5000000000018</v>
      </c>
      <c r="HL4107" s="181" t="s">
        <v>917</v>
      </c>
    </row>
    <row r="4108" spans="1:235">
      <c r="A4108" s="181" t="s">
        <v>249</v>
      </c>
      <c r="D4108" s="181" t="s">
        <v>2986</v>
      </c>
      <c r="E4108" s="181" t="s">
        <v>2543</v>
      </c>
      <c r="I4108" s="181" t="s">
        <v>2951</v>
      </c>
      <c r="J4108" s="181" t="s">
        <v>2964</v>
      </c>
      <c r="K4108" s="181">
        <v>2</v>
      </c>
      <c r="L4108" s="181" t="s">
        <v>720</v>
      </c>
      <c r="M4108" s="181">
        <v>1</v>
      </c>
      <c r="N4108" s="181" t="s">
        <v>2114</v>
      </c>
      <c r="O4108" s="181" t="s">
        <v>2115</v>
      </c>
      <c r="Q4108" s="181">
        <v>0</v>
      </c>
      <c r="R4108" s="181">
        <v>0</v>
      </c>
      <c r="S4108" s="181">
        <v>0</v>
      </c>
      <c r="AL4108" s="181">
        <v>35650.000000000007</v>
      </c>
      <c r="AM4108" s="181">
        <v>65650</v>
      </c>
      <c r="AN4108" s="181">
        <v>5400000</v>
      </c>
      <c r="AO4108" s="181">
        <v>5400000</v>
      </c>
      <c r="DC4108" s="181">
        <v>48190.130280300036</v>
      </c>
      <c r="DD4108" s="181">
        <v>88742.834583497824</v>
      </c>
      <c r="DN4108" s="181" t="s">
        <v>2993</v>
      </c>
      <c r="DO4108" s="181">
        <v>2132.8125</v>
      </c>
      <c r="DP4108" s="181">
        <v>4245.1171875</v>
      </c>
      <c r="DX4108" s="181" t="s">
        <v>1219</v>
      </c>
      <c r="DY4108" s="181">
        <v>27602.1</v>
      </c>
      <c r="DZ4108" s="181">
        <v>84646.44</v>
      </c>
      <c r="GR4108" s="181" t="s">
        <v>871</v>
      </c>
      <c r="GS4108" s="181">
        <v>0</v>
      </c>
      <c r="GT4108" s="181">
        <v>0</v>
      </c>
      <c r="HD4108" s="181" t="s">
        <v>2993</v>
      </c>
      <c r="HE4108" s="181">
        <v>569.48749999999995</v>
      </c>
      <c r="HF4108" s="181">
        <v>1138.9749999999999</v>
      </c>
      <c r="HG4108" s="181" t="s">
        <v>929</v>
      </c>
      <c r="HH4108" s="181">
        <v>8114.7</v>
      </c>
      <c r="HI4108" s="181">
        <v>16229.4</v>
      </c>
      <c r="HL4108" s="181" t="s">
        <v>894</v>
      </c>
    </row>
    <row r="4109" spans="1:235">
      <c r="A4109" s="181" t="s">
        <v>249</v>
      </c>
      <c r="D4109" s="181" t="s">
        <v>1221</v>
      </c>
      <c r="E4109" s="181" t="s">
        <v>666</v>
      </c>
      <c r="I4109" s="181" t="s">
        <v>2952</v>
      </c>
      <c r="J4109" s="181" t="s">
        <v>2965</v>
      </c>
      <c r="K4109" s="181">
        <v>12</v>
      </c>
      <c r="L4109" s="181" t="s">
        <v>720</v>
      </c>
      <c r="M4109" s="181">
        <v>1</v>
      </c>
      <c r="N4109" s="181" t="s">
        <v>2114</v>
      </c>
      <c r="O4109" s="181" t="s">
        <v>2115</v>
      </c>
      <c r="Q4109" s="181">
        <v>0</v>
      </c>
      <c r="R4109" s="181">
        <v>0</v>
      </c>
      <c r="S4109" s="181">
        <v>0</v>
      </c>
      <c r="AL4109" s="181">
        <v>91638</v>
      </c>
      <c r="AM4109" s="181">
        <v>143676</v>
      </c>
      <c r="AN4109" s="181">
        <v>1000000</v>
      </c>
      <c r="AO4109" s="181">
        <v>1000000</v>
      </c>
      <c r="DC4109" s="181">
        <v>88686</v>
      </c>
      <c r="DD4109" s="181">
        <v>140724</v>
      </c>
      <c r="DX4109" s="181" t="s">
        <v>1220</v>
      </c>
      <c r="DY4109" s="181">
        <v>98976.5</v>
      </c>
      <c r="DZ4109" s="181">
        <v>197953</v>
      </c>
      <c r="GR4109" s="181" t="s">
        <v>871</v>
      </c>
      <c r="GS4109" s="181">
        <v>0</v>
      </c>
      <c r="GT4109" s="181">
        <v>0</v>
      </c>
      <c r="HG4109" s="181" t="s">
        <v>949</v>
      </c>
      <c r="HH4109" s="181">
        <v>5556.25</v>
      </c>
      <c r="HI4109" s="181">
        <v>11112.5</v>
      </c>
      <c r="HL4109" s="181" t="s">
        <v>2121</v>
      </c>
    </row>
    <row r="4110" spans="1:235">
      <c r="A4110" s="181" t="s">
        <v>249</v>
      </c>
      <c r="D4110" s="181" t="s">
        <v>2987</v>
      </c>
      <c r="E4110" s="181" t="s">
        <v>666</v>
      </c>
      <c r="I4110" s="181" t="s">
        <v>2953</v>
      </c>
      <c r="J4110" s="181" t="s">
        <v>2966</v>
      </c>
      <c r="K4110" s="181">
        <v>12</v>
      </c>
      <c r="L4110" s="181" t="s">
        <v>720</v>
      </c>
      <c r="M4110" s="181">
        <v>1</v>
      </c>
      <c r="N4110" s="181" t="s">
        <v>2140</v>
      </c>
      <c r="O4110" s="181" t="s">
        <v>2115</v>
      </c>
      <c r="P4110" s="181">
        <v>25</v>
      </c>
      <c r="Q4110" s="181">
        <v>50</v>
      </c>
      <c r="R4110" s="181">
        <v>0</v>
      </c>
      <c r="S4110" s="181">
        <v>0</v>
      </c>
      <c r="AL4110" s="181">
        <v>60500</v>
      </c>
      <c r="AM4110" s="181">
        <v>403999.99999999994</v>
      </c>
      <c r="AN4110" s="181">
        <v>1000000</v>
      </c>
      <c r="AO4110" s="181">
        <v>1000000</v>
      </c>
      <c r="DC4110" s="181">
        <v>60500</v>
      </c>
      <c r="DD4110" s="181">
        <v>403999.99999999994</v>
      </c>
      <c r="DX4110" s="181" t="s">
        <v>3001</v>
      </c>
      <c r="DY4110" s="181">
        <v>106370.5</v>
      </c>
      <c r="DZ4110" s="181">
        <v>212741</v>
      </c>
      <c r="GR4110" s="181" t="s">
        <v>871</v>
      </c>
      <c r="GS4110" s="181">
        <v>0</v>
      </c>
      <c r="GT4110" s="181">
        <v>0</v>
      </c>
      <c r="HG4110" s="181" t="s">
        <v>3003</v>
      </c>
      <c r="HH4110" s="181">
        <v>2813.2499999999991</v>
      </c>
      <c r="HI4110" s="181">
        <v>5626.4999999999982</v>
      </c>
      <c r="HL4110" s="181" t="s">
        <v>2685</v>
      </c>
    </row>
    <row r="4111" spans="1:235">
      <c r="A4111" s="181" t="s">
        <v>249</v>
      </c>
      <c r="D4111" s="181" t="s">
        <v>2988</v>
      </c>
      <c r="E4111" s="181" t="s">
        <v>666</v>
      </c>
      <c r="I4111" s="181" t="s">
        <v>2954</v>
      </c>
      <c r="J4111" s="181" t="s">
        <v>2967</v>
      </c>
      <c r="K4111" s="181">
        <v>5</v>
      </c>
      <c r="L4111" s="181" t="s">
        <v>720</v>
      </c>
      <c r="M4111" s="181">
        <v>1</v>
      </c>
      <c r="N4111" s="181" t="s">
        <v>2140</v>
      </c>
      <c r="O4111" s="181" t="s">
        <v>2115</v>
      </c>
      <c r="P4111" s="181">
        <v>25</v>
      </c>
      <c r="Q4111" s="181">
        <v>50</v>
      </c>
      <c r="R4111" s="181">
        <v>40000</v>
      </c>
      <c r="S4111" s="181">
        <v>43000</v>
      </c>
      <c r="AL4111" s="181">
        <v>8356.25</v>
      </c>
      <c r="AM4111" s="181">
        <v>16712.5</v>
      </c>
      <c r="AN4111" s="181">
        <v>1000000</v>
      </c>
      <c r="AO4111" s="181">
        <v>1000000</v>
      </c>
      <c r="DC4111" s="181">
        <v>8317.3946266084095</v>
      </c>
      <c r="DD4111" s="181">
        <v>16634.789253216819</v>
      </c>
      <c r="DX4111" s="181" t="s">
        <v>2998</v>
      </c>
      <c r="DY4111" s="181">
        <v>84046.5</v>
      </c>
      <c r="DZ4111" s="181">
        <v>168093</v>
      </c>
      <c r="GR4111" s="181" t="s">
        <v>871</v>
      </c>
      <c r="GS4111" s="181">
        <v>0</v>
      </c>
      <c r="GT4111" s="181">
        <v>0</v>
      </c>
      <c r="HG4111" s="181" t="s">
        <v>1222</v>
      </c>
      <c r="HH4111" s="181">
        <v>747.6</v>
      </c>
      <c r="HI4111" s="181">
        <v>1495.2</v>
      </c>
      <c r="HL4111" s="181" t="s">
        <v>1213</v>
      </c>
    </row>
    <row r="4112" spans="1:235">
      <c r="A4112" s="181" t="s">
        <v>249</v>
      </c>
      <c r="D4112" s="181" t="s">
        <v>2989</v>
      </c>
      <c r="E4112" s="181" t="s">
        <v>666</v>
      </c>
      <c r="I4112" s="181" t="s">
        <v>2955</v>
      </c>
      <c r="J4112" s="181" t="s">
        <v>2968</v>
      </c>
      <c r="K4112" s="181">
        <v>7</v>
      </c>
      <c r="L4112" s="181" t="s">
        <v>720</v>
      </c>
      <c r="M4112" s="181">
        <v>1</v>
      </c>
      <c r="N4112" s="181" t="s">
        <v>2140</v>
      </c>
      <c r="O4112" s="181" t="s">
        <v>2115</v>
      </c>
      <c r="P4112" s="181">
        <v>75</v>
      </c>
      <c r="Q4112" s="181">
        <v>100</v>
      </c>
      <c r="R4112" s="181">
        <v>600</v>
      </c>
      <c r="S4112" s="181">
        <v>1800</v>
      </c>
      <c r="AL4112" s="181">
        <v>-52112.749999999993</v>
      </c>
      <c r="AM4112" s="181">
        <v>-104225.49999999999</v>
      </c>
      <c r="AN4112" s="181">
        <v>1000000</v>
      </c>
      <c r="AO4112" s="181">
        <v>1000000</v>
      </c>
      <c r="DC4112" s="181">
        <v>-30942.800263300294</v>
      </c>
      <c r="DD4112" s="181">
        <v>-61885.600526600589</v>
      </c>
      <c r="DX4112" s="181" t="s">
        <v>333</v>
      </c>
      <c r="DY4112" s="181">
        <v>81057.899999999994</v>
      </c>
      <c r="DZ4112" s="181">
        <v>162115.79999999999</v>
      </c>
      <c r="GR4112" s="181" t="s">
        <v>871</v>
      </c>
      <c r="GS4112" s="181">
        <v>0</v>
      </c>
      <c r="GT4112" s="181">
        <v>0</v>
      </c>
      <c r="HG4112" s="181" t="s">
        <v>1223</v>
      </c>
      <c r="HH4112" s="181">
        <v>626.75</v>
      </c>
      <c r="HI4112" s="181">
        <v>1253.5</v>
      </c>
    </row>
    <row r="4113" spans="1:217">
      <c r="A4113" s="181" t="s">
        <v>249</v>
      </c>
      <c r="D4113" s="181" t="s">
        <v>2990</v>
      </c>
      <c r="E4113" s="181" t="s">
        <v>478</v>
      </c>
      <c r="I4113" s="181" t="s">
        <v>2956</v>
      </c>
      <c r="J4113" s="181" t="s">
        <v>2969</v>
      </c>
      <c r="K4113" s="181">
        <v>8</v>
      </c>
      <c r="L4113" s="181" t="s">
        <v>720</v>
      </c>
      <c r="M4113" s="181">
        <v>1</v>
      </c>
      <c r="N4113" s="181" t="s">
        <v>2114</v>
      </c>
      <c r="O4113" s="181" t="s">
        <v>2115</v>
      </c>
      <c r="Q4113" s="181">
        <v>0</v>
      </c>
      <c r="R4113" s="181">
        <v>0</v>
      </c>
      <c r="S4113" s="181">
        <v>0</v>
      </c>
      <c r="AL4113" s="181">
        <v>15299363</v>
      </c>
      <c r="AM4113" s="181">
        <v>61197451</v>
      </c>
      <c r="AN4113" s="181">
        <v>10162</v>
      </c>
      <c r="AO4113" s="181">
        <v>10162</v>
      </c>
      <c r="DC4113" s="181">
        <v>15299363</v>
      </c>
      <c r="DD4113" s="181">
        <v>61197451</v>
      </c>
      <c r="DX4113" s="181" t="s">
        <v>2999</v>
      </c>
      <c r="DY4113" s="181">
        <v>642084.30000000005</v>
      </c>
      <c r="DZ4113" s="181">
        <v>2568337.2000000002</v>
      </c>
      <c r="GR4113" s="181" t="s">
        <v>871</v>
      </c>
      <c r="GS4113" s="181">
        <v>0</v>
      </c>
      <c r="GT4113" s="181">
        <v>0</v>
      </c>
      <c r="HG4113" s="181" t="s">
        <v>333</v>
      </c>
      <c r="HH4113" s="181">
        <v>16767.575000000001</v>
      </c>
      <c r="HI4113" s="181">
        <v>33535.15</v>
      </c>
    </row>
    <row r="4114" spans="1:217">
      <c r="A4114" s="181" t="s">
        <v>249</v>
      </c>
      <c r="D4114" s="181" t="s">
        <v>2991</v>
      </c>
      <c r="E4114" s="181" t="s">
        <v>475</v>
      </c>
      <c r="I4114" s="181" t="s">
        <v>2957</v>
      </c>
      <c r="J4114" s="181" t="s">
        <v>2970</v>
      </c>
      <c r="K4114" s="181">
        <v>4</v>
      </c>
      <c r="L4114" s="181" t="s">
        <v>720</v>
      </c>
      <c r="M4114" s="181">
        <v>1</v>
      </c>
      <c r="N4114" s="181" t="s">
        <v>2140</v>
      </c>
      <c r="O4114" s="181" t="s">
        <v>2115</v>
      </c>
      <c r="P4114" s="181">
        <v>25</v>
      </c>
      <c r="Q4114" s="181">
        <v>50</v>
      </c>
      <c r="R4114" s="181">
        <v>0</v>
      </c>
      <c r="S4114" s="181">
        <v>1600</v>
      </c>
      <c r="AL4114" s="181">
        <v>422312</v>
      </c>
      <c r="AM4114" s="181">
        <v>1689248</v>
      </c>
      <c r="AN4114" s="181">
        <v>255960</v>
      </c>
      <c r="AO4114" s="181">
        <v>255960</v>
      </c>
      <c r="DC4114" s="181">
        <v>422312</v>
      </c>
      <c r="DD4114" s="181">
        <v>1689248</v>
      </c>
      <c r="GR4114" s="181" t="s">
        <v>871</v>
      </c>
      <c r="GS4114" s="181">
        <v>0</v>
      </c>
      <c r="GT4114" s="181">
        <v>0</v>
      </c>
    </row>
    <row r="4115" spans="1:217">
      <c r="A4115" s="181" t="s">
        <v>249</v>
      </c>
      <c r="D4115" s="181" t="s">
        <v>2992</v>
      </c>
      <c r="E4115" s="181" t="s">
        <v>666</v>
      </c>
      <c r="I4115" s="181" t="s">
        <v>2150</v>
      </c>
      <c r="J4115" s="181" t="s">
        <v>2971</v>
      </c>
      <c r="K4115" s="181">
        <v>1980000</v>
      </c>
      <c r="L4115" s="181" t="s">
        <v>2820</v>
      </c>
      <c r="M4115" s="181">
        <v>1</v>
      </c>
      <c r="N4115" s="181" t="s">
        <v>2114</v>
      </c>
      <c r="O4115" s="181" t="s">
        <v>2115</v>
      </c>
      <c r="Q4115" s="181">
        <v>100</v>
      </c>
      <c r="S4115" s="181">
        <v>0</v>
      </c>
      <c r="AL4115" s="181">
        <v>642084.30000000005</v>
      </c>
      <c r="AM4115" s="181">
        <v>2568337.2000000002</v>
      </c>
      <c r="AN4115" s="181">
        <v>1000000</v>
      </c>
      <c r="AO4115" s="181">
        <v>999999.99999999988</v>
      </c>
      <c r="DC4115" s="181">
        <v>642084.30000000005</v>
      </c>
      <c r="DD4115" s="181">
        <v>2568337.2000000002</v>
      </c>
      <c r="GR4115" s="181" t="s">
        <v>871</v>
      </c>
      <c r="GS4115" s="181">
        <v>0</v>
      </c>
      <c r="GT4115" s="181">
        <v>0</v>
      </c>
    </row>
    <row r="4116" spans="1:217">
      <c r="A4116" s="181" t="s">
        <v>249</v>
      </c>
      <c r="I4116" s="181" t="s">
        <v>2134</v>
      </c>
      <c r="J4116" s="181" t="s">
        <v>2972</v>
      </c>
      <c r="K4116" s="181">
        <v>100</v>
      </c>
      <c r="L4116" s="181" t="s">
        <v>933</v>
      </c>
      <c r="M4116" s="181">
        <v>1</v>
      </c>
      <c r="N4116" s="181" t="s">
        <v>2507</v>
      </c>
      <c r="O4116" s="181" t="s">
        <v>2982</v>
      </c>
      <c r="P4116" s="181">
        <v>11</v>
      </c>
      <c r="Q4116" s="181">
        <v>44</v>
      </c>
      <c r="S4116" s="181">
        <v>0</v>
      </c>
      <c r="GR4116" s="181" t="s">
        <v>872</v>
      </c>
      <c r="GS4116" s="181">
        <v>0</v>
      </c>
      <c r="GT4116" s="181">
        <v>0</v>
      </c>
    </row>
    <row r="4117" spans="1:217">
      <c r="A4117" s="181" t="s">
        <v>249</v>
      </c>
      <c r="I4117" s="181" t="s">
        <v>2185</v>
      </c>
      <c r="J4117" s="181" t="s">
        <v>2973</v>
      </c>
      <c r="K4117" s="181">
        <v>100</v>
      </c>
      <c r="L4117" s="181" t="s">
        <v>933</v>
      </c>
      <c r="M4117" s="181">
        <v>1</v>
      </c>
      <c r="N4117" s="181" t="s">
        <v>2140</v>
      </c>
      <c r="O4117" s="181" t="s">
        <v>2115</v>
      </c>
      <c r="P4117" s="181">
        <v>25</v>
      </c>
      <c r="Q4117" s="181">
        <v>50</v>
      </c>
      <c r="S4117" s="181">
        <v>0</v>
      </c>
      <c r="GR4117" s="181" t="s">
        <v>873</v>
      </c>
      <c r="GS4117" s="181">
        <v>0</v>
      </c>
      <c r="GT4117" s="181">
        <v>0</v>
      </c>
    </row>
    <row r="4118" spans="1:217">
      <c r="A4118" s="181" t="s">
        <v>249</v>
      </c>
      <c r="I4118" s="181" t="s">
        <v>2158</v>
      </c>
      <c r="J4118" s="181" t="s">
        <v>2974</v>
      </c>
      <c r="K4118" s="181">
        <v>100</v>
      </c>
      <c r="L4118" s="181" t="s">
        <v>933</v>
      </c>
      <c r="M4118" s="181">
        <v>1</v>
      </c>
      <c r="N4118" s="181" t="s">
        <v>2140</v>
      </c>
      <c r="O4118" s="181" t="s">
        <v>2115</v>
      </c>
      <c r="P4118" s="181">
        <v>25</v>
      </c>
      <c r="Q4118" s="181">
        <v>50</v>
      </c>
      <c r="GR4118" s="181" t="s">
        <v>873</v>
      </c>
      <c r="GS4118" s="181">
        <v>0</v>
      </c>
      <c r="GT4118" s="181">
        <v>0</v>
      </c>
    </row>
    <row r="4119" spans="1:217">
      <c r="A4119" s="181" t="s">
        <v>249</v>
      </c>
      <c r="I4119" s="181" t="s">
        <v>1330</v>
      </c>
      <c r="J4119" s="181" t="s">
        <v>2975</v>
      </c>
      <c r="K4119" s="181">
        <v>100</v>
      </c>
      <c r="L4119" s="181" t="s">
        <v>933</v>
      </c>
      <c r="M4119" s="181">
        <v>1</v>
      </c>
      <c r="N4119" s="181" t="s">
        <v>2140</v>
      </c>
      <c r="O4119" s="181" t="s">
        <v>2115</v>
      </c>
      <c r="P4119" s="181">
        <v>25</v>
      </c>
      <c r="Q4119" s="181">
        <v>50</v>
      </c>
      <c r="GR4119" s="181" t="s">
        <v>873</v>
      </c>
      <c r="GS4119" s="181">
        <v>0</v>
      </c>
      <c r="GT4119" s="181">
        <v>0</v>
      </c>
    </row>
    <row r="4120" spans="1:217">
      <c r="A4120" s="181" t="s">
        <v>249</v>
      </c>
      <c r="J4120" s="181" t="s">
        <v>2976</v>
      </c>
      <c r="K4120" s="181">
        <v>100</v>
      </c>
      <c r="L4120" s="181" t="s">
        <v>933</v>
      </c>
      <c r="M4120" s="181">
        <v>1</v>
      </c>
      <c r="N4120" s="181" t="s">
        <v>2140</v>
      </c>
      <c r="O4120" s="181" t="s">
        <v>2115</v>
      </c>
      <c r="P4120" s="181">
        <v>25</v>
      </c>
      <c r="Q4120" s="181">
        <v>50</v>
      </c>
      <c r="GR4120" s="181" t="s">
        <v>873</v>
      </c>
      <c r="GS4120" s="181">
        <v>0</v>
      </c>
      <c r="GT4120" s="181">
        <v>0</v>
      </c>
    </row>
    <row r="4121" spans="1:217">
      <c r="A4121" s="181" t="s">
        <v>249</v>
      </c>
      <c r="J4121" s="181" t="s">
        <v>2977</v>
      </c>
      <c r="K4121" s="181">
        <v>100</v>
      </c>
      <c r="L4121" s="181" t="s">
        <v>933</v>
      </c>
      <c r="M4121" s="181">
        <v>1</v>
      </c>
      <c r="N4121" s="181" t="s">
        <v>2140</v>
      </c>
      <c r="O4121" s="181" t="s">
        <v>2115</v>
      </c>
      <c r="P4121" s="181">
        <v>25</v>
      </c>
      <c r="Q4121" s="181">
        <v>50</v>
      </c>
      <c r="GR4121" s="181" t="s">
        <v>308</v>
      </c>
      <c r="GS4121" s="181">
        <v>0</v>
      </c>
      <c r="GT4121" s="181">
        <v>0</v>
      </c>
    </row>
    <row r="4122" spans="1:217">
      <c r="A4122" s="181" t="s">
        <v>249</v>
      </c>
      <c r="J4122" s="181" t="s">
        <v>2978</v>
      </c>
      <c r="K4122" s="181">
        <v>100</v>
      </c>
      <c r="L4122" s="181" t="s">
        <v>933</v>
      </c>
      <c r="M4122" s="181">
        <v>1</v>
      </c>
      <c r="N4122" s="181" t="s">
        <v>2140</v>
      </c>
      <c r="O4122" s="181" t="s">
        <v>2115</v>
      </c>
      <c r="P4122" s="181">
        <v>25</v>
      </c>
      <c r="Q4122" s="181">
        <v>50</v>
      </c>
      <c r="GR4122" s="181" t="s">
        <v>874</v>
      </c>
      <c r="GS4122" s="181">
        <v>0</v>
      </c>
      <c r="GT4122" s="181">
        <v>0</v>
      </c>
    </row>
    <row r="4123" spans="1:217">
      <c r="A4123" s="181" t="s">
        <v>249</v>
      </c>
      <c r="J4123" s="181" t="s">
        <v>2979</v>
      </c>
      <c r="K4123" s="181">
        <v>100</v>
      </c>
      <c r="L4123" s="181" t="s">
        <v>933</v>
      </c>
      <c r="M4123" s="181">
        <v>1</v>
      </c>
      <c r="N4123" s="181" t="s">
        <v>2140</v>
      </c>
      <c r="O4123" s="181" t="s">
        <v>2115</v>
      </c>
      <c r="P4123" s="181">
        <v>25</v>
      </c>
      <c r="Q4123" s="181">
        <v>50</v>
      </c>
      <c r="GR4123" s="181" t="s">
        <v>874</v>
      </c>
      <c r="GS4123" s="181">
        <v>0</v>
      </c>
      <c r="GT4123" s="181">
        <v>0</v>
      </c>
    </row>
    <row r="4124" spans="1:217">
      <c r="A4124" s="181" t="s">
        <v>249</v>
      </c>
      <c r="J4124" s="181" t="s">
        <v>2980</v>
      </c>
      <c r="K4124" s="181">
        <v>100</v>
      </c>
      <c r="L4124" s="181" t="s">
        <v>933</v>
      </c>
      <c r="M4124" s="181">
        <v>1</v>
      </c>
      <c r="N4124" s="181" t="s">
        <v>2140</v>
      </c>
      <c r="O4124" s="181" t="s">
        <v>2115</v>
      </c>
      <c r="P4124" s="181">
        <v>25</v>
      </c>
      <c r="Q4124" s="181">
        <v>50</v>
      </c>
      <c r="GR4124" s="181" t="s">
        <v>874</v>
      </c>
      <c r="GS4124" s="181">
        <v>0</v>
      </c>
      <c r="GT4124" s="181">
        <v>0</v>
      </c>
    </row>
    <row r="4125" spans="1:217">
      <c r="A4125" s="181" t="s">
        <v>249</v>
      </c>
      <c r="J4125" s="181" t="s">
        <v>2981</v>
      </c>
      <c r="K4125" s="181">
        <v>100</v>
      </c>
      <c r="L4125" s="181" t="s">
        <v>933</v>
      </c>
      <c r="M4125" s="181">
        <v>1</v>
      </c>
      <c r="N4125" s="181" t="s">
        <v>2140</v>
      </c>
      <c r="O4125" s="181" t="s">
        <v>2115</v>
      </c>
      <c r="P4125" s="181">
        <v>25</v>
      </c>
      <c r="Q4125" s="181">
        <v>50</v>
      </c>
      <c r="GR4125" s="181" t="s">
        <v>874</v>
      </c>
      <c r="GS4125" s="181">
        <v>0</v>
      </c>
      <c r="GT4125" s="181">
        <v>0</v>
      </c>
    </row>
    <row r="4126" spans="1:217">
      <c r="A4126" s="181" t="s">
        <v>249</v>
      </c>
      <c r="GR4126" s="181" t="s">
        <v>1361</v>
      </c>
      <c r="GS4126" s="181">
        <v>220129.80000000002</v>
      </c>
      <c r="GT4126" s="181">
        <v>440259.6</v>
      </c>
    </row>
    <row r="4127" spans="1:217">
      <c r="A4127" s="181" t="s">
        <v>249</v>
      </c>
      <c r="GR4127" s="181">
        <v>0</v>
      </c>
      <c r="GS4127" s="181">
        <v>0</v>
      </c>
      <c r="GT4127" s="181">
        <v>0</v>
      </c>
    </row>
    <row r="4128" spans="1:217">
      <c r="A4128" s="181" t="s">
        <v>249</v>
      </c>
      <c r="GR4128" s="181">
        <v>0</v>
      </c>
      <c r="GS4128" s="181">
        <v>0</v>
      </c>
      <c r="GT4128" s="181">
        <v>0</v>
      </c>
    </row>
    <row r="4129" spans="1:202">
      <c r="A4129" s="181" t="s">
        <v>249</v>
      </c>
      <c r="GR4129" s="181">
        <v>0</v>
      </c>
      <c r="GS4129" s="181">
        <v>0</v>
      </c>
      <c r="GT4129" s="181">
        <v>0</v>
      </c>
    </row>
    <row r="4130" spans="1:202">
      <c r="A4130" s="181" t="s">
        <v>249</v>
      </c>
      <c r="GR4130" s="181">
        <v>0</v>
      </c>
      <c r="GS4130" s="181">
        <v>0</v>
      </c>
      <c r="GT4130" s="181">
        <v>0</v>
      </c>
    </row>
    <row r="4131" spans="1:202">
      <c r="A4131" s="181" t="s">
        <v>249</v>
      </c>
      <c r="GR4131" s="181">
        <v>0</v>
      </c>
      <c r="GS4131" s="181">
        <v>0</v>
      </c>
      <c r="GT4131" s="181">
        <v>0</v>
      </c>
    </row>
    <row r="4132" spans="1:202">
      <c r="A4132" s="181" t="s">
        <v>249</v>
      </c>
      <c r="GR4132" s="181">
        <v>0</v>
      </c>
      <c r="GS4132" s="181">
        <v>0</v>
      </c>
      <c r="GT4132" s="181">
        <v>0</v>
      </c>
    </row>
    <row r="4133" spans="1:202">
      <c r="A4133" s="181" t="s">
        <v>249</v>
      </c>
      <c r="GR4133" s="181">
        <v>0</v>
      </c>
      <c r="GS4133" s="181">
        <v>0</v>
      </c>
      <c r="GT4133" s="181">
        <v>0</v>
      </c>
    </row>
    <row r="4134" spans="1:202">
      <c r="A4134" s="181" t="s">
        <v>249</v>
      </c>
      <c r="GR4134" s="181">
        <v>0</v>
      </c>
      <c r="GS4134" s="181">
        <v>0</v>
      </c>
      <c r="GT4134" s="181">
        <v>0</v>
      </c>
    </row>
    <row r="4135" spans="1:202">
      <c r="A4135" s="181" t="s">
        <v>249</v>
      </c>
      <c r="GR4135" s="181">
        <v>0</v>
      </c>
      <c r="GS4135" s="181">
        <v>0</v>
      </c>
      <c r="GT4135" s="181">
        <v>0</v>
      </c>
    </row>
    <row r="4136" spans="1:202">
      <c r="A4136" s="181" t="s">
        <v>249</v>
      </c>
      <c r="GR4136" s="181">
        <v>0</v>
      </c>
      <c r="GS4136" s="181">
        <v>0</v>
      </c>
      <c r="GT4136" s="181">
        <v>0</v>
      </c>
    </row>
    <row r="4137" spans="1:202">
      <c r="A4137" s="181" t="s">
        <v>249</v>
      </c>
      <c r="GR4137" s="181">
        <v>0</v>
      </c>
      <c r="GS4137" s="181">
        <v>0</v>
      </c>
      <c r="GT4137" s="181">
        <v>0</v>
      </c>
    </row>
    <row r="4138" spans="1:202">
      <c r="A4138" s="181" t="s">
        <v>249</v>
      </c>
      <c r="GR4138" s="181">
        <v>0</v>
      </c>
      <c r="GS4138" s="181">
        <v>0</v>
      </c>
      <c r="GT4138" s="181">
        <v>0</v>
      </c>
    </row>
    <row r="4139" spans="1:202">
      <c r="A4139" s="181" t="s">
        <v>249</v>
      </c>
      <c r="GR4139" s="181">
        <v>0</v>
      </c>
      <c r="GS4139" s="181">
        <v>0</v>
      </c>
      <c r="GT4139" s="181">
        <v>0</v>
      </c>
    </row>
    <row r="4140" spans="1:202">
      <c r="A4140" s="181" t="s">
        <v>249</v>
      </c>
      <c r="GR4140" s="181">
        <v>0</v>
      </c>
      <c r="GS4140" s="181">
        <v>0</v>
      </c>
      <c r="GT4140" s="181">
        <v>0</v>
      </c>
    </row>
    <row r="4141" spans="1:202">
      <c r="A4141" s="181" t="s">
        <v>249</v>
      </c>
      <c r="GR4141" s="181" t="s">
        <v>309</v>
      </c>
      <c r="GS4141" s="181">
        <v>0</v>
      </c>
      <c r="GT4141" s="181">
        <v>0</v>
      </c>
    </row>
    <row r="4142" spans="1:202">
      <c r="A4142" s="181" t="s">
        <v>249</v>
      </c>
      <c r="GR4142" s="181" t="s">
        <v>309</v>
      </c>
      <c r="GS4142" s="181">
        <v>0</v>
      </c>
      <c r="GT4142" s="181">
        <v>0</v>
      </c>
    </row>
    <row r="4143" spans="1:202">
      <c r="A4143" s="181" t="s">
        <v>249</v>
      </c>
      <c r="GR4143" s="181" t="s">
        <v>309</v>
      </c>
      <c r="GS4143" s="181">
        <v>0</v>
      </c>
      <c r="GT4143" s="181">
        <v>0</v>
      </c>
    </row>
    <row r="4144" spans="1:202">
      <c r="A4144" s="181" t="s">
        <v>249</v>
      </c>
      <c r="GS4144" s="181">
        <v>2699148.522326</v>
      </c>
      <c r="GT4144" s="181">
        <v>8684468.9531420022</v>
      </c>
    </row>
    <row r="4145" spans="1:202">
      <c r="A4145" s="181" t="s">
        <v>249</v>
      </c>
      <c r="GR4145" s="181" t="s">
        <v>1893</v>
      </c>
      <c r="GS4145" s="181">
        <v>0</v>
      </c>
      <c r="GT4145" s="181">
        <v>0</v>
      </c>
    </row>
    <row r="4146" spans="1:202">
      <c r="A4146" s="181" t="s">
        <v>249</v>
      </c>
      <c r="GR4146" s="181" t="s">
        <v>875</v>
      </c>
      <c r="GS4146" s="181">
        <v>0</v>
      </c>
      <c r="GT4146" s="181">
        <v>0</v>
      </c>
    </row>
    <row r="4147" spans="1:202">
      <c r="A4147" s="181" t="s">
        <v>249</v>
      </c>
      <c r="GR4147" s="181" t="s">
        <v>875</v>
      </c>
      <c r="GS4147" s="181">
        <v>0</v>
      </c>
      <c r="GT4147" s="181">
        <v>0</v>
      </c>
    </row>
    <row r="4148" spans="1:202">
      <c r="A4148" s="181" t="s">
        <v>249</v>
      </c>
      <c r="GR4148" s="181" t="s">
        <v>875</v>
      </c>
      <c r="GS4148" s="181">
        <v>0</v>
      </c>
      <c r="GT4148" s="181">
        <v>0</v>
      </c>
    </row>
    <row r="4149" spans="1:202">
      <c r="A4149" s="181" t="s">
        <v>249</v>
      </c>
      <c r="GR4149" s="181" t="s">
        <v>875</v>
      </c>
      <c r="GS4149" s="181">
        <v>0</v>
      </c>
      <c r="GT4149" s="181">
        <v>0</v>
      </c>
    </row>
    <row r="4150" spans="1:202">
      <c r="A4150" s="181" t="s">
        <v>249</v>
      </c>
      <c r="GR4150" s="181" t="s">
        <v>875</v>
      </c>
      <c r="GS4150" s="181">
        <v>0</v>
      </c>
      <c r="GT4150" s="181">
        <v>0</v>
      </c>
    </row>
    <row r="4151" spans="1:202">
      <c r="A4151" s="181" t="s">
        <v>249</v>
      </c>
      <c r="GR4151" s="181" t="s">
        <v>310</v>
      </c>
      <c r="GS4151" s="181">
        <v>0</v>
      </c>
      <c r="GT4151" s="181">
        <v>0</v>
      </c>
    </row>
    <row r="4152" spans="1:202">
      <c r="A4152" s="181" t="s">
        <v>249</v>
      </c>
      <c r="GR4152" s="181" t="s">
        <v>310</v>
      </c>
      <c r="GS4152" s="181">
        <v>0</v>
      </c>
      <c r="GT4152" s="181">
        <v>0</v>
      </c>
    </row>
    <row r="4153" spans="1:202">
      <c r="A4153" s="181" t="s">
        <v>249</v>
      </c>
      <c r="GR4153" s="181" t="s">
        <v>310</v>
      </c>
      <c r="GS4153" s="181">
        <v>0</v>
      </c>
      <c r="GT4153" s="181">
        <v>0</v>
      </c>
    </row>
    <row r="4154" spans="1:202">
      <c r="A4154" s="181" t="s">
        <v>249</v>
      </c>
      <c r="GR4154" s="181" t="s">
        <v>310</v>
      </c>
      <c r="GS4154" s="181">
        <v>0</v>
      </c>
      <c r="GT4154" s="181">
        <v>0</v>
      </c>
    </row>
    <row r="4155" spans="1:202">
      <c r="A4155" s="181" t="s">
        <v>249</v>
      </c>
      <c r="GR4155" s="181" t="s">
        <v>876</v>
      </c>
      <c r="GS4155" s="181">
        <v>0</v>
      </c>
      <c r="GT4155" s="181">
        <v>0</v>
      </c>
    </row>
    <row r="4156" spans="1:202">
      <c r="A4156" s="181" t="s">
        <v>249</v>
      </c>
      <c r="GR4156" s="181" t="s">
        <v>876</v>
      </c>
      <c r="GS4156" s="181">
        <v>0</v>
      </c>
      <c r="GT4156" s="181">
        <v>0</v>
      </c>
    </row>
    <row r="4157" spans="1:202">
      <c r="A4157" s="181" t="s">
        <v>249</v>
      </c>
      <c r="GR4157" s="181" t="s">
        <v>876</v>
      </c>
      <c r="GS4157" s="181">
        <v>0</v>
      </c>
      <c r="GT4157" s="181">
        <v>0</v>
      </c>
    </row>
    <row r="4158" spans="1:202">
      <c r="A4158" s="181" t="s">
        <v>249</v>
      </c>
      <c r="GR4158" s="181" t="s">
        <v>876</v>
      </c>
      <c r="GS4158" s="181">
        <v>0</v>
      </c>
      <c r="GT4158" s="181">
        <v>0</v>
      </c>
    </row>
    <row r="4159" spans="1:202">
      <c r="A4159" s="181" t="s">
        <v>249</v>
      </c>
      <c r="GR4159" s="181" t="s">
        <v>876</v>
      </c>
      <c r="GS4159" s="181">
        <v>0</v>
      </c>
      <c r="GT4159" s="181">
        <v>0</v>
      </c>
    </row>
    <row r="4160" spans="1:202">
      <c r="A4160" s="181" t="s">
        <v>249</v>
      </c>
      <c r="GR4160" s="181" t="s">
        <v>1389</v>
      </c>
      <c r="GS4160" s="181">
        <v>60389</v>
      </c>
      <c r="GT4160" s="181">
        <v>75083</v>
      </c>
    </row>
    <row r="4161" spans="1:202">
      <c r="A4161" s="181" t="s">
        <v>249</v>
      </c>
      <c r="GR4161" s="181" t="s">
        <v>1390</v>
      </c>
      <c r="GS4161" s="181">
        <v>0</v>
      </c>
      <c r="GT4161" s="181">
        <v>0</v>
      </c>
    </row>
    <row r="4162" spans="1:202">
      <c r="A4162" s="181" t="s">
        <v>249</v>
      </c>
      <c r="GR4162" s="181" t="s">
        <v>884</v>
      </c>
      <c r="GS4162" s="181">
        <v>966</v>
      </c>
      <c r="GT4162" s="181">
        <v>1932</v>
      </c>
    </row>
    <row r="4163" spans="1:202">
      <c r="A4163" s="181" t="s">
        <v>249</v>
      </c>
      <c r="GR4163" s="181" t="s">
        <v>1391</v>
      </c>
      <c r="GS4163" s="181">
        <v>0</v>
      </c>
      <c r="GT4163" s="181">
        <v>0</v>
      </c>
    </row>
    <row r="4164" spans="1:202">
      <c r="A4164" s="181" t="s">
        <v>249</v>
      </c>
      <c r="GR4164" s="181" t="s">
        <v>1383</v>
      </c>
      <c r="GS4164" s="181">
        <v>0</v>
      </c>
      <c r="GT4164" s="181">
        <v>0</v>
      </c>
    </row>
    <row r="4165" spans="1:202">
      <c r="A4165" s="181" t="s">
        <v>249</v>
      </c>
      <c r="GR4165" s="181" t="s">
        <v>333</v>
      </c>
      <c r="GS4165" s="181">
        <v>0</v>
      </c>
      <c r="GT4165" s="181">
        <v>0</v>
      </c>
    </row>
    <row r="4166" spans="1:202">
      <c r="A4166" s="181" t="s">
        <v>249</v>
      </c>
      <c r="GR4166" s="181" t="s">
        <v>1217</v>
      </c>
      <c r="GS4166" s="181">
        <v>0</v>
      </c>
      <c r="GT4166" s="181">
        <v>0</v>
      </c>
    </row>
    <row r="4167" spans="1:202">
      <c r="A4167" s="181" t="s">
        <v>249</v>
      </c>
      <c r="GR4167" s="181">
        <v>0</v>
      </c>
      <c r="GS4167" s="181">
        <v>0</v>
      </c>
      <c r="GT4167" s="181">
        <v>0</v>
      </c>
    </row>
    <row r="4168" spans="1:202">
      <c r="A4168" s="181" t="s">
        <v>249</v>
      </c>
      <c r="GR4168" s="181">
        <v>0</v>
      </c>
      <c r="GS4168" s="181">
        <v>0</v>
      </c>
      <c r="GT4168" s="181">
        <v>0</v>
      </c>
    </row>
    <row r="4169" spans="1:202">
      <c r="A4169" s="181" t="s">
        <v>249</v>
      </c>
      <c r="GR4169" s="181">
        <v>0</v>
      </c>
      <c r="GS4169" s="181">
        <v>0</v>
      </c>
      <c r="GT4169" s="181">
        <v>0</v>
      </c>
    </row>
    <row r="4170" spans="1:202">
      <c r="A4170" s="181" t="s">
        <v>249</v>
      </c>
      <c r="GR4170" s="181">
        <v>0</v>
      </c>
      <c r="GS4170" s="181">
        <v>0</v>
      </c>
      <c r="GT4170" s="181">
        <v>0</v>
      </c>
    </row>
    <row r="4171" spans="1:202">
      <c r="A4171" s="181" t="s">
        <v>249</v>
      </c>
      <c r="GR4171" s="181">
        <v>0</v>
      </c>
      <c r="GS4171" s="181">
        <v>0</v>
      </c>
      <c r="GT4171" s="181">
        <v>0</v>
      </c>
    </row>
    <row r="4172" spans="1:202">
      <c r="A4172" s="181" t="s">
        <v>249</v>
      </c>
      <c r="GR4172" s="181">
        <v>0</v>
      </c>
      <c r="GS4172" s="181">
        <v>0</v>
      </c>
      <c r="GT4172" s="181">
        <v>0</v>
      </c>
    </row>
    <row r="4173" spans="1:202">
      <c r="A4173" s="181" t="s">
        <v>249</v>
      </c>
      <c r="GR4173" s="181">
        <v>0</v>
      </c>
      <c r="GS4173" s="181">
        <v>0</v>
      </c>
      <c r="GT4173" s="181">
        <v>0</v>
      </c>
    </row>
    <row r="4174" spans="1:202">
      <c r="A4174" s="181" t="s">
        <v>249</v>
      </c>
      <c r="GR4174" s="181">
        <v>0</v>
      </c>
      <c r="GS4174" s="181">
        <v>0</v>
      </c>
      <c r="GT4174" s="181">
        <v>0</v>
      </c>
    </row>
    <row r="4175" spans="1:202">
      <c r="A4175" s="181" t="s">
        <v>249</v>
      </c>
      <c r="GS4175" s="181">
        <v>61355</v>
      </c>
      <c r="GT4175" s="181">
        <v>77015</v>
      </c>
    </row>
    <row r="4176" spans="1:202">
      <c r="A4176" s="181" t="s">
        <v>249</v>
      </c>
      <c r="GR4176" s="181" t="s">
        <v>309</v>
      </c>
      <c r="GS4176" s="181">
        <v>0</v>
      </c>
      <c r="GT4176" s="181">
        <v>0</v>
      </c>
    </row>
    <row r="4177" spans="1:202">
      <c r="A4177" s="181" t="s">
        <v>249</v>
      </c>
      <c r="GS4177" s="181">
        <v>2760503.522326</v>
      </c>
      <c r="GT4177" s="181">
        <v>8761483.9531420022</v>
      </c>
    </row>
    <row r="4178" spans="1:202">
      <c r="A4178" s="181" t="s">
        <v>249</v>
      </c>
      <c r="GR4178" s="181" t="s">
        <v>312</v>
      </c>
      <c r="GS4178" s="181">
        <v>0</v>
      </c>
      <c r="GT4178" s="181">
        <v>0</v>
      </c>
    </row>
    <row r="4179" spans="1:202">
      <c r="A4179" s="181" t="s">
        <v>249</v>
      </c>
      <c r="GR4179" s="181" t="s">
        <v>312</v>
      </c>
      <c r="GS4179" s="181">
        <v>0</v>
      </c>
      <c r="GT4179" s="181">
        <v>0</v>
      </c>
    </row>
    <row r="4180" spans="1:202">
      <c r="A4180" s="181" t="s">
        <v>249</v>
      </c>
      <c r="GR4180" s="181" t="s">
        <v>312</v>
      </c>
      <c r="GS4180" s="181">
        <v>0</v>
      </c>
      <c r="GT4180" s="181">
        <v>0</v>
      </c>
    </row>
    <row r="4181" spans="1:202">
      <c r="A4181" s="181" t="s">
        <v>249</v>
      </c>
      <c r="GR4181" s="181" t="s">
        <v>312</v>
      </c>
      <c r="GS4181" s="181">
        <v>0</v>
      </c>
      <c r="GT4181" s="181">
        <v>0</v>
      </c>
    </row>
    <row r="4182" spans="1:202">
      <c r="A4182" s="181" t="s">
        <v>249</v>
      </c>
      <c r="GR4182" s="181" t="s">
        <v>312</v>
      </c>
      <c r="GS4182" s="181">
        <v>0</v>
      </c>
      <c r="GT4182" s="181">
        <v>0</v>
      </c>
    </row>
    <row r="4183" spans="1:202">
      <c r="A4183" s="181" t="s">
        <v>249</v>
      </c>
      <c r="GR4183" s="181" t="s">
        <v>312</v>
      </c>
      <c r="GS4183" s="181">
        <v>0</v>
      </c>
      <c r="GT4183" s="181">
        <v>0</v>
      </c>
    </row>
    <row r="4184" spans="1:202">
      <c r="A4184" s="181" t="s">
        <v>249</v>
      </c>
      <c r="GR4184" s="181" t="s">
        <v>312</v>
      </c>
      <c r="GS4184" s="181">
        <v>0</v>
      </c>
      <c r="GT4184" s="181">
        <v>0</v>
      </c>
    </row>
    <row r="4185" spans="1:202">
      <c r="A4185" s="181" t="s">
        <v>249</v>
      </c>
      <c r="GR4185" s="181" t="s">
        <v>877</v>
      </c>
      <c r="GS4185" s="181">
        <v>0</v>
      </c>
      <c r="GT4185" s="181">
        <v>0</v>
      </c>
    </row>
    <row r="4186" spans="1:202">
      <c r="A4186" s="181" t="s">
        <v>249</v>
      </c>
      <c r="GR4186" s="181" t="s">
        <v>878</v>
      </c>
      <c r="GS4186" s="181">
        <v>0</v>
      </c>
      <c r="GT4186" s="181">
        <v>0</v>
      </c>
    </row>
    <row r="4187" spans="1:202">
      <c r="A4187" s="181" t="s">
        <v>249</v>
      </c>
      <c r="GR4187" s="181" t="s">
        <v>878</v>
      </c>
      <c r="GS4187" s="181">
        <v>0</v>
      </c>
      <c r="GT4187" s="181">
        <v>0</v>
      </c>
    </row>
    <row r="4188" spans="1:202">
      <c r="A4188" s="181" t="s">
        <v>249</v>
      </c>
      <c r="GR4188" s="181" t="s">
        <v>878</v>
      </c>
      <c r="GS4188" s="181">
        <v>0</v>
      </c>
      <c r="GT4188" s="181">
        <v>0</v>
      </c>
    </row>
    <row r="4189" spans="1:202">
      <c r="A4189" s="181" t="s">
        <v>249</v>
      </c>
      <c r="GR4189" s="181" t="s">
        <v>878</v>
      </c>
      <c r="GS4189" s="181">
        <v>0</v>
      </c>
      <c r="GT4189" s="181">
        <v>0</v>
      </c>
    </row>
    <row r="4190" spans="1:202">
      <c r="A4190" s="181" t="s">
        <v>249</v>
      </c>
      <c r="GR4190" s="181" t="s">
        <v>878</v>
      </c>
      <c r="GS4190" s="181">
        <v>0</v>
      </c>
      <c r="GT4190" s="181">
        <v>0</v>
      </c>
    </row>
    <row r="4191" spans="1:202">
      <c r="A4191" s="181" t="s">
        <v>249</v>
      </c>
      <c r="GR4191" s="181" t="s">
        <v>878</v>
      </c>
      <c r="GS4191" s="181">
        <v>0</v>
      </c>
      <c r="GT4191" s="181">
        <v>0</v>
      </c>
    </row>
    <row r="4192" spans="1:202">
      <c r="A4192" s="181" t="s">
        <v>249</v>
      </c>
      <c r="GR4192" s="181" t="s">
        <v>878</v>
      </c>
      <c r="GS4192" s="181">
        <v>0</v>
      </c>
      <c r="GT4192" s="181">
        <v>0</v>
      </c>
    </row>
    <row r="4193" spans="1:202">
      <c r="A4193" s="181" t="s">
        <v>249</v>
      </c>
      <c r="GR4193" s="181" t="s">
        <v>878</v>
      </c>
      <c r="GS4193" s="181">
        <v>0</v>
      </c>
      <c r="GT4193" s="181">
        <v>0</v>
      </c>
    </row>
    <row r="4194" spans="1:202">
      <c r="A4194" s="181" t="s">
        <v>249</v>
      </c>
      <c r="GR4194" s="181" t="s">
        <v>878</v>
      </c>
      <c r="GS4194" s="181">
        <v>0</v>
      </c>
      <c r="GT4194" s="181">
        <v>0</v>
      </c>
    </row>
    <row r="4195" spans="1:202">
      <c r="A4195" s="181" t="s">
        <v>249</v>
      </c>
      <c r="GR4195" s="181" t="s">
        <v>879</v>
      </c>
      <c r="GS4195" s="181">
        <v>0</v>
      </c>
      <c r="GT4195" s="181">
        <v>0</v>
      </c>
    </row>
    <row r="4196" spans="1:202">
      <c r="A4196" s="181" t="s">
        <v>249</v>
      </c>
      <c r="GR4196" s="181" t="s">
        <v>1715</v>
      </c>
      <c r="GS4196" s="181">
        <v>1925937.67</v>
      </c>
      <c r="GT4196" s="181">
        <v>6434779.3999999994</v>
      </c>
    </row>
    <row r="4197" spans="1:202">
      <c r="A4197" s="181" t="s">
        <v>249</v>
      </c>
      <c r="GR4197" s="181" t="s">
        <v>880</v>
      </c>
      <c r="GS4197" s="181">
        <v>72439.425000000003</v>
      </c>
      <c r="GT4197" s="181">
        <v>144878.85</v>
      </c>
    </row>
    <row r="4198" spans="1:202">
      <c r="A4198" s="181" t="s">
        <v>249</v>
      </c>
      <c r="GR4198" s="181" t="s">
        <v>881</v>
      </c>
      <c r="GS4198" s="181">
        <v>1468758.2571120691</v>
      </c>
      <c r="GT4198" s="181">
        <v>2925262.7546605607</v>
      </c>
    </row>
    <row r="4199" spans="1:202">
      <c r="A4199" s="181" t="s">
        <v>249</v>
      </c>
      <c r="GR4199" s="181" t="s">
        <v>1362</v>
      </c>
      <c r="GS4199" s="181">
        <v>0</v>
      </c>
      <c r="GT4199" s="181">
        <v>0</v>
      </c>
    </row>
    <row r="4200" spans="1:202">
      <c r="A4200" s="181" t="s">
        <v>249</v>
      </c>
      <c r="GR4200" s="181">
        <v>0</v>
      </c>
      <c r="GS4200" s="181">
        <v>0</v>
      </c>
      <c r="GT4200" s="181">
        <v>0</v>
      </c>
    </row>
    <row r="4201" spans="1:202">
      <c r="A4201" s="181" t="s">
        <v>249</v>
      </c>
      <c r="GR4201" s="181">
        <v>0</v>
      </c>
      <c r="GS4201" s="181">
        <v>0</v>
      </c>
      <c r="GT4201" s="181">
        <v>0</v>
      </c>
    </row>
    <row r="4202" spans="1:202">
      <c r="A4202" s="181" t="s">
        <v>249</v>
      </c>
      <c r="GR4202" s="181">
        <v>0</v>
      </c>
      <c r="GS4202" s="181">
        <v>0</v>
      </c>
      <c r="GT4202" s="181">
        <v>0</v>
      </c>
    </row>
    <row r="4203" spans="1:202">
      <c r="A4203" s="181" t="s">
        <v>249</v>
      </c>
      <c r="GR4203" s="181">
        <v>0</v>
      </c>
      <c r="GS4203" s="181">
        <v>0</v>
      </c>
      <c r="GT4203" s="181">
        <v>0</v>
      </c>
    </row>
    <row r="4204" spans="1:202">
      <c r="A4204" s="181" t="s">
        <v>249</v>
      </c>
      <c r="GR4204" s="181">
        <v>0</v>
      </c>
      <c r="GS4204" s="181">
        <v>0</v>
      </c>
      <c r="GT4204" s="181">
        <v>0</v>
      </c>
    </row>
    <row r="4205" spans="1:202">
      <c r="A4205" s="181" t="s">
        <v>249</v>
      </c>
      <c r="GR4205" s="181">
        <v>0</v>
      </c>
      <c r="GS4205" s="181">
        <v>0</v>
      </c>
      <c r="GT4205" s="181">
        <v>0</v>
      </c>
    </row>
    <row r="4206" spans="1:202">
      <c r="A4206" s="181" t="s">
        <v>249</v>
      </c>
      <c r="GR4206" s="181">
        <v>0</v>
      </c>
      <c r="GS4206" s="181">
        <v>0</v>
      </c>
      <c r="GT4206" s="181">
        <v>0</v>
      </c>
    </row>
    <row r="4207" spans="1:202">
      <c r="A4207" s="181" t="s">
        <v>249</v>
      </c>
      <c r="GR4207" s="181">
        <v>0</v>
      </c>
      <c r="GS4207" s="181">
        <v>0</v>
      </c>
      <c r="GT4207" s="181">
        <v>0</v>
      </c>
    </row>
    <row r="4208" spans="1:202">
      <c r="A4208" s="181" t="s">
        <v>249</v>
      </c>
      <c r="GR4208" s="181">
        <v>0</v>
      </c>
      <c r="GS4208" s="181">
        <v>0</v>
      </c>
      <c r="GT4208" s="181">
        <v>0</v>
      </c>
    </row>
    <row r="4209" spans="1:202">
      <c r="A4209" s="181" t="s">
        <v>249</v>
      </c>
      <c r="GR4209" s="181">
        <v>0</v>
      </c>
      <c r="GS4209" s="181">
        <v>0</v>
      </c>
      <c r="GT4209" s="181">
        <v>0</v>
      </c>
    </row>
    <row r="4210" spans="1:202">
      <c r="A4210" s="181" t="s">
        <v>249</v>
      </c>
      <c r="GR4210" s="181">
        <v>0</v>
      </c>
      <c r="GS4210" s="181">
        <v>0</v>
      </c>
      <c r="GT4210" s="181">
        <v>0</v>
      </c>
    </row>
    <row r="4211" spans="1:202">
      <c r="A4211" s="181" t="s">
        <v>249</v>
      </c>
      <c r="GR4211" s="181">
        <v>0</v>
      </c>
      <c r="GS4211" s="181">
        <v>0</v>
      </c>
      <c r="GT4211" s="181">
        <v>0</v>
      </c>
    </row>
    <row r="4212" spans="1:202">
      <c r="A4212" s="181" t="s">
        <v>249</v>
      </c>
      <c r="GR4212" s="181">
        <v>0</v>
      </c>
      <c r="GS4212" s="181">
        <v>0</v>
      </c>
      <c r="GT4212" s="181">
        <v>0</v>
      </c>
    </row>
    <row r="4213" spans="1:202">
      <c r="A4213" s="181" t="s">
        <v>249</v>
      </c>
      <c r="GR4213" s="181">
        <v>0</v>
      </c>
      <c r="GS4213" s="181">
        <v>0</v>
      </c>
      <c r="GT4213" s="181">
        <v>0</v>
      </c>
    </row>
    <row r="4214" spans="1:202">
      <c r="A4214" s="181" t="s">
        <v>249</v>
      </c>
      <c r="GR4214" s="181" t="s">
        <v>1894</v>
      </c>
      <c r="GS4214" s="181">
        <v>72636</v>
      </c>
      <c r="GT4214" s="181">
        <v>145272</v>
      </c>
    </row>
    <row r="4215" spans="1:202">
      <c r="A4215" s="181" t="s">
        <v>249</v>
      </c>
      <c r="GR4215" s="181" t="s">
        <v>876</v>
      </c>
      <c r="GS4215" s="181">
        <v>0</v>
      </c>
      <c r="GT4215" s="181">
        <v>0</v>
      </c>
    </row>
    <row r="4216" spans="1:202">
      <c r="A4216" s="181" t="s">
        <v>249</v>
      </c>
      <c r="GR4216" s="181" t="s">
        <v>876</v>
      </c>
      <c r="GS4216" s="181">
        <v>0</v>
      </c>
      <c r="GT4216" s="181">
        <v>0</v>
      </c>
    </row>
    <row r="4217" spans="1:202">
      <c r="A4217" s="181" t="s">
        <v>249</v>
      </c>
      <c r="GR4217" s="181" t="s">
        <v>882</v>
      </c>
      <c r="GS4217" s="181">
        <v>0</v>
      </c>
      <c r="GT4217" s="181">
        <v>0</v>
      </c>
    </row>
    <row r="4218" spans="1:202">
      <c r="A4218" s="181" t="s">
        <v>249</v>
      </c>
      <c r="GR4218" s="181" t="s">
        <v>882</v>
      </c>
      <c r="GS4218" s="181">
        <v>0</v>
      </c>
      <c r="GT4218" s="181">
        <v>0</v>
      </c>
    </row>
    <row r="4219" spans="1:202">
      <c r="A4219" s="181" t="s">
        <v>249</v>
      </c>
      <c r="GR4219" s="181" t="s">
        <v>882</v>
      </c>
      <c r="GS4219" s="181">
        <v>0</v>
      </c>
      <c r="GT4219" s="181">
        <v>0</v>
      </c>
    </row>
    <row r="4220" spans="1:202">
      <c r="A4220" s="181" t="s">
        <v>249</v>
      </c>
      <c r="GR4220" s="181" t="s">
        <v>882</v>
      </c>
      <c r="GS4220" s="181">
        <v>0</v>
      </c>
      <c r="GT4220" s="181">
        <v>0</v>
      </c>
    </row>
    <row r="4221" spans="1:202">
      <c r="A4221" s="181" t="s">
        <v>249</v>
      </c>
      <c r="GR4221" s="181" t="s">
        <v>882</v>
      </c>
      <c r="GS4221" s="181">
        <v>0</v>
      </c>
      <c r="GT4221" s="181">
        <v>0</v>
      </c>
    </row>
    <row r="4222" spans="1:202">
      <c r="A4222" s="181" t="s">
        <v>249</v>
      </c>
      <c r="GR4222" s="181" t="s">
        <v>882</v>
      </c>
      <c r="GS4222" s="181">
        <v>0</v>
      </c>
      <c r="GT4222" s="181">
        <v>0</v>
      </c>
    </row>
    <row r="4223" spans="1:202">
      <c r="A4223" s="181" t="s">
        <v>249</v>
      </c>
      <c r="GR4223" s="181" t="s">
        <v>882</v>
      </c>
      <c r="GS4223" s="181">
        <v>0</v>
      </c>
      <c r="GT4223" s="181">
        <v>0</v>
      </c>
    </row>
    <row r="4224" spans="1:202">
      <c r="A4224" s="181" t="s">
        <v>249</v>
      </c>
      <c r="GR4224" s="181" t="s">
        <v>882</v>
      </c>
      <c r="GS4224" s="181">
        <v>0</v>
      </c>
      <c r="GT4224" s="181">
        <v>0</v>
      </c>
    </row>
    <row r="4225" spans="1:202">
      <c r="A4225" s="181" t="s">
        <v>249</v>
      </c>
      <c r="GR4225" s="181" t="s">
        <v>882</v>
      </c>
      <c r="GS4225" s="181">
        <v>0</v>
      </c>
      <c r="GT4225" s="181">
        <v>0</v>
      </c>
    </row>
    <row r="4226" spans="1:202">
      <c r="A4226" s="181" t="s">
        <v>249</v>
      </c>
      <c r="GR4226" s="181" t="s">
        <v>883</v>
      </c>
      <c r="GS4226" s="181">
        <v>0</v>
      </c>
      <c r="GT4226" s="181">
        <v>0</v>
      </c>
    </row>
    <row r="4227" spans="1:202">
      <c r="A4227" s="181" t="s">
        <v>249</v>
      </c>
      <c r="GR4227" s="181" t="s">
        <v>161</v>
      </c>
      <c r="GS4227" s="181">
        <v>45820</v>
      </c>
      <c r="GT4227" s="181">
        <v>91640</v>
      </c>
    </row>
    <row r="4228" spans="1:202">
      <c r="A4228" s="181" t="s">
        <v>249</v>
      </c>
      <c r="GR4228" s="181" t="s">
        <v>873</v>
      </c>
      <c r="GS4228" s="181">
        <v>0</v>
      </c>
      <c r="GT4228" s="181">
        <v>0</v>
      </c>
    </row>
    <row r="4229" spans="1:202">
      <c r="A4229" s="181" t="s">
        <v>249</v>
      </c>
      <c r="GR4229" s="181" t="s">
        <v>873</v>
      </c>
      <c r="GS4229" s="181">
        <v>0</v>
      </c>
      <c r="GT4229" s="181">
        <v>0</v>
      </c>
    </row>
    <row r="4230" spans="1:202">
      <c r="A4230" s="181" t="s">
        <v>249</v>
      </c>
      <c r="GR4230" s="181" t="s">
        <v>873</v>
      </c>
      <c r="GS4230" s="181">
        <v>0</v>
      </c>
      <c r="GT4230" s="181">
        <v>0</v>
      </c>
    </row>
    <row r="4231" spans="1:202">
      <c r="A4231" s="181" t="s">
        <v>249</v>
      </c>
      <c r="GR4231" s="181" t="s">
        <v>308</v>
      </c>
      <c r="GS4231" s="181">
        <v>0</v>
      </c>
      <c r="GT4231" s="181">
        <v>0</v>
      </c>
    </row>
    <row r="4232" spans="1:202">
      <c r="A4232" s="181" t="s">
        <v>249</v>
      </c>
      <c r="GR4232" s="181" t="s">
        <v>874</v>
      </c>
      <c r="GS4232" s="181">
        <v>0</v>
      </c>
      <c r="GT4232" s="181">
        <v>0</v>
      </c>
    </row>
    <row r="4233" spans="1:202">
      <c r="A4233" s="181" t="s">
        <v>249</v>
      </c>
      <c r="GR4233" s="181" t="s">
        <v>874</v>
      </c>
      <c r="GS4233" s="181">
        <v>0</v>
      </c>
      <c r="GT4233" s="181">
        <v>0</v>
      </c>
    </row>
    <row r="4234" spans="1:202">
      <c r="A4234" s="181" t="s">
        <v>249</v>
      </c>
      <c r="GR4234" s="181" t="s">
        <v>874</v>
      </c>
      <c r="GS4234" s="181">
        <v>0</v>
      </c>
      <c r="GT4234" s="181">
        <v>0</v>
      </c>
    </row>
    <row r="4235" spans="1:202">
      <c r="A4235" s="181" t="s">
        <v>249</v>
      </c>
      <c r="GR4235" s="181" t="s">
        <v>874</v>
      </c>
      <c r="GS4235" s="181">
        <v>0</v>
      </c>
      <c r="GT4235" s="181">
        <v>0</v>
      </c>
    </row>
    <row r="4236" spans="1:202">
      <c r="A4236" s="181" t="s">
        <v>249</v>
      </c>
      <c r="GR4236" s="181" t="s">
        <v>870</v>
      </c>
      <c r="GS4236" s="181">
        <v>74494.204424305542</v>
      </c>
      <c r="GT4236" s="181">
        <v>148988.40884861108</v>
      </c>
    </row>
    <row r="4237" spans="1:202">
      <c r="A4237" s="181" t="s">
        <v>249</v>
      </c>
      <c r="GR4237" s="181" t="s">
        <v>309</v>
      </c>
      <c r="GS4237" s="181">
        <v>0</v>
      </c>
      <c r="GT4237" s="181">
        <v>0</v>
      </c>
    </row>
    <row r="4238" spans="1:202">
      <c r="A4238" s="181" t="s">
        <v>249</v>
      </c>
      <c r="GR4238" s="181" t="s">
        <v>309</v>
      </c>
      <c r="GS4238" s="181">
        <v>0</v>
      </c>
      <c r="GT4238" s="181">
        <v>0</v>
      </c>
    </row>
    <row r="4239" spans="1:202">
      <c r="A4239" s="181" t="s">
        <v>249</v>
      </c>
      <c r="GR4239" s="181" t="s">
        <v>309</v>
      </c>
      <c r="GS4239" s="181">
        <v>0</v>
      </c>
      <c r="GT4239" s="181">
        <v>0</v>
      </c>
    </row>
    <row r="4240" spans="1:202">
      <c r="A4240" s="181" t="s">
        <v>249</v>
      </c>
      <c r="GS4240" s="181">
        <v>3660085.5565363741</v>
      </c>
      <c r="GT4240" s="181">
        <v>9890821.4135091715</v>
      </c>
    </row>
    <row r="4241" spans="1:202">
      <c r="A4241" s="181" t="s">
        <v>249</v>
      </c>
      <c r="GR4241" s="181" t="s">
        <v>875</v>
      </c>
      <c r="GS4241" s="181">
        <v>0</v>
      </c>
      <c r="GT4241" s="181">
        <v>0</v>
      </c>
    </row>
    <row r="4242" spans="1:202">
      <c r="A4242" s="181" t="s">
        <v>249</v>
      </c>
      <c r="GR4242" s="181" t="s">
        <v>875</v>
      </c>
      <c r="GS4242" s="181">
        <v>0</v>
      </c>
      <c r="GT4242" s="181">
        <v>0</v>
      </c>
    </row>
    <row r="4243" spans="1:202">
      <c r="A4243" s="181" t="s">
        <v>249</v>
      </c>
      <c r="GR4243" s="181" t="s">
        <v>875</v>
      </c>
      <c r="GS4243" s="181">
        <v>0</v>
      </c>
      <c r="GT4243" s="181">
        <v>0</v>
      </c>
    </row>
    <row r="4244" spans="1:202">
      <c r="A4244" s="181" t="s">
        <v>249</v>
      </c>
      <c r="GR4244" s="181" t="s">
        <v>875</v>
      </c>
      <c r="GS4244" s="181">
        <v>0</v>
      </c>
      <c r="GT4244" s="181">
        <v>0</v>
      </c>
    </row>
    <row r="4245" spans="1:202">
      <c r="A4245" s="181" t="s">
        <v>249</v>
      </c>
      <c r="GR4245" s="181" t="s">
        <v>875</v>
      </c>
      <c r="GS4245" s="181">
        <v>0</v>
      </c>
      <c r="GT4245" s="181">
        <v>0</v>
      </c>
    </row>
    <row r="4246" spans="1:202">
      <c r="A4246" s="181" t="s">
        <v>249</v>
      </c>
      <c r="GR4246" s="181" t="s">
        <v>1895</v>
      </c>
      <c r="GS4246" s="181">
        <v>0</v>
      </c>
      <c r="GT4246" s="181">
        <v>0</v>
      </c>
    </row>
    <row r="4247" spans="1:202">
      <c r="A4247" s="181" t="s">
        <v>249</v>
      </c>
      <c r="GR4247" s="181" t="s">
        <v>310</v>
      </c>
      <c r="GS4247" s="181">
        <v>0</v>
      </c>
      <c r="GT4247" s="181">
        <v>0</v>
      </c>
    </row>
    <row r="4248" spans="1:202">
      <c r="A4248" s="181" t="s">
        <v>249</v>
      </c>
      <c r="GR4248" s="181" t="s">
        <v>1895</v>
      </c>
      <c r="GS4248" s="181">
        <v>113000</v>
      </c>
      <c r="GT4248" s="181">
        <v>122999.99999999999</v>
      </c>
    </row>
    <row r="4249" spans="1:202">
      <c r="A4249" s="181" t="s">
        <v>249</v>
      </c>
      <c r="GR4249" s="181" t="s">
        <v>310</v>
      </c>
      <c r="GS4249" s="181">
        <v>0</v>
      </c>
      <c r="GT4249" s="181">
        <v>0</v>
      </c>
    </row>
    <row r="4250" spans="1:202">
      <c r="A4250" s="181" t="s">
        <v>249</v>
      </c>
      <c r="GR4250" s="181" t="s">
        <v>310</v>
      </c>
      <c r="GS4250" s="181">
        <v>0</v>
      </c>
      <c r="GT4250" s="181">
        <v>0</v>
      </c>
    </row>
    <row r="4251" spans="1:202">
      <c r="A4251" s="181" t="s">
        <v>249</v>
      </c>
      <c r="GR4251" s="181" t="s">
        <v>310</v>
      </c>
      <c r="GS4251" s="181">
        <v>0</v>
      </c>
      <c r="GT4251" s="181">
        <v>0</v>
      </c>
    </row>
    <row r="4252" spans="1:202">
      <c r="A4252" s="181" t="s">
        <v>249</v>
      </c>
      <c r="GR4252" s="181" t="s">
        <v>310</v>
      </c>
      <c r="GS4252" s="181">
        <v>0</v>
      </c>
      <c r="GT4252" s="181">
        <v>0</v>
      </c>
    </row>
    <row r="4253" spans="1:202">
      <c r="A4253" s="181" t="s">
        <v>249</v>
      </c>
      <c r="GR4253" s="181" t="s">
        <v>310</v>
      </c>
      <c r="GS4253" s="181">
        <v>0</v>
      </c>
      <c r="GT4253" s="181">
        <v>0</v>
      </c>
    </row>
    <row r="4254" spans="1:202">
      <c r="A4254" s="181" t="s">
        <v>249</v>
      </c>
      <c r="GR4254" s="181" t="s">
        <v>310</v>
      </c>
      <c r="GS4254" s="181">
        <v>0</v>
      </c>
      <c r="GT4254" s="181">
        <v>0</v>
      </c>
    </row>
    <row r="4255" spans="1:202">
      <c r="A4255" s="181" t="s">
        <v>249</v>
      </c>
      <c r="GR4255" s="181" t="s">
        <v>1896</v>
      </c>
      <c r="GS4255" s="181">
        <v>0</v>
      </c>
      <c r="GT4255" s="181">
        <v>178786.09061833331</v>
      </c>
    </row>
    <row r="4256" spans="1:202">
      <c r="A4256" s="181" t="s">
        <v>249</v>
      </c>
      <c r="GR4256" s="181" t="s">
        <v>876</v>
      </c>
      <c r="GS4256" s="181">
        <v>0</v>
      </c>
      <c r="GT4256" s="181">
        <v>0</v>
      </c>
    </row>
    <row r="4257" spans="1:202">
      <c r="A4257" s="181" t="s">
        <v>249</v>
      </c>
      <c r="GR4257" s="181" t="s">
        <v>876</v>
      </c>
      <c r="GS4257" s="181">
        <v>0</v>
      </c>
      <c r="GT4257" s="181">
        <v>0</v>
      </c>
    </row>
    <row r="4258" spans="1:202">
      <c r="A4258" s="181" t="s">
        <v>249</v>
      </c>
      <c r="GR4258" s="181" t="s">
        <v>876</v>
      </c>
      <c r="GS4258" s="181">
        <v>0</v>
      </c>
      <c r="GT4258" s="181">
        <v>0</v>
      </c>
    </row>
    <row r="4259" spans="1:202">
      <c r="A4259" s="181" t="s">
        <v>249</v>
      </c>
      <c r="GR4259" s="181" t="s">
        <v>876</v>
      </c>
      <c r="GS4259" s="181">
        <v>0</v>
      </c>
      <c r="GT4259" s="181">
        <v>0</v>
      </c>
    </row>
    <row r="4260" spans="1:202">
      <c r="A4260" s="181" t="s">
        <v>249</v>
      </c>
      <c r="GR4260" s="181" t="s">
        <v>1897</v>
      </c>
      <c r="GS4260" s="181">
        <v>0</v>
      </c>
      <c r="GT4260" s="181">
        <v>0</v>
      </c>
    </row>
    <row r="4261" spans="1:202">
      <c r="A4261" s="181" t="s">
        <v>249</v>
      </c>
      <c r="GR4261" s="181">
        <v>0</v>
      </c>
      <c r="GS4261" s="181">
        <v>0</v>
      </c>
      <c r="GT4261" s="181">
        <v>0</v>
      </c>
    </row>
    <row r="4262" spans="1:202">
      <c r="A4262" s="181" t="s">
        <v>249</v>
      </c>
      <c r="GR4262" s="181">
        <v>0</v>
      </c>
      <c r="GS4262" s="181">
        <v>0</v>
      </c>
      <c r="GT4262" s="181">
        <v>0</v>
      </c>
    </row>
    <row r="4263" spans="1:202">
      <c r="A4263" s="181" t="s">
        <v>249</v>
      </c>
      <c r="GR4263" s="181">
        <v>0</v>
      </c>
      <c r="GS4263" s="181">
        <v>0</v>
      </c>
      <c r="GT4263" s="181">
        <v>0</v>
      </c>
    </row>
    <row r="4264" spans="1:202">
      <c r="A4264" s="181" t="s">
        <v>249</v>
      </c>
      <c r="GR4264" s="181">
        <v>0</v>
      </c>
      <c r="GS4264" s="181">
        <v>0</v>
      </c>
      <c r="GT4264" s="181">
        <v>0</v>
      </c>
    </row>
    <row r="4265" spans="1:202">
      <c r="A4265" s="181" t="s">
        <v>249</v>
      </c>
      <c r="GR4265" s="181">
        <v>0</v>
      </c>
      <c r="GS4265" s="181">
        <v>0</v>
      </c>
      <c r="GT4265" s="181">
        <v>0</v>
      </c>
    </row>
    <row r="4266" spans="1:202">
      <c r="A4266" s="181" t="s">
        <v>249</v>
      </c>
      <c r="GR4266" s="181">
        <v>0</v>
      </c>
      <c r="GS4266" s="181">
        <v>0</v>
      </c>
      <c r="GT4266" s="181">
        <v>0</v>
      </c>
    </row>
    <row r="4267" spans="1:202">
      <c r="A4267" s="181" t="s">
        <v>249</v>
      </c>
      <c r="GR4267" s="181">
        <v>0</v>
      </c>
      <c r="GS4267" s="181">
        <v>0</v>
      </c>
      <c r="GT4267" s="181">
        <v>0</v>
      </c>
    </row>
    <row r="4268" spans="1:202">
      <c r="A4268" s="181" t="s">
        <v>249</v>
      </c>
      <c r="GR4268" s="181">
        <v>0</v>
      </c>
      <c r="GS4268" s="181">
        <v>0</v>
      </c>
      <c r="GT4268" s="181">
        <v>0</v>
      </c>
    </row>
    <row r="4269" spans="1:202">
      <c r="A4269" s="181" t="s">
        <v>249</v>
      </c>
      <c r="GR4269" s="181">
        <v>0</v>
      </c>
      <c r="GS4269" s="181">
        <v>0</v>
      </c>
      <c r="GT4269" s="181">
        <v>0</v>
      </c>
    </row>
    <row r="4270" spans="1:202">
      <c r="A4270" s="181" t="s">
        <v>249</v>
      </c>
      <c r="GR4270" s="181">
        <v>0</v>
      </c>
      <c r="GS4270" s="181">
        <v>0</v>
      </c>
      <c r="GT4270" s="181">
        <v>0</v>
      </c>
    </row>
    <row r="4271" spans="1:202">
      <c r="A4271" s="181" t="s">
        <v>249</v>
      </c>
      <c r="GR4271" s="181">
        <v>0</v>
      </c>
      <c r="GS4271" s="181">
        <v>0</v>
      </c>
      <c r="GT4271" s="181">
        <v>0</v>
      </c>
    </row>
    <row r="4272" spans="1:202">
      <c r="A4272" s="181" t="s">
        <v>249</v>
      </c>
      <c r="GR4272" s="181">
        <v>0</v>
      </c>
      <c r="GS4272" s="181">
        <v>0</v>
      </c>
      <c r="GT4272" s="181">
        <v>0</v>
      </c>
    </row>
    <row r="4273" spans="1:202">
      <c r="A4273" s="181" t="s">
        <v>249</v>
      </c>
      <c r="GR4273" s="181">
        <v>0</v>
      </c>
      <c r="GS4273" s="181">
        <v>0</v>
      </c>
      <c r="GT4273" s="181">
        <v>0</v>
      </c>
    </row>
    <row r="4274" spans="1:202">
      <c r="A4274" s="181" t="s">
        <v>249</v>
      </c>
      <c r="GR4274" s="181">
        <v>0</v>
      </c>
      <c r="GS4274" s="181">
        <v>0</v>
      </c>
      <c r="GT4274" s="181">
        <v>0</v>
      </c>
    </row>
    <row r="4275" spans="1:202">
      <c r="A4275" s="181" t="s">
        <v>249</v>
      </c>
      <c r="GS4275" s="181">
        <v>113000</v>
      </c>
      <c r="GT4275" s="181">
        <v>301786.09061833331</v>
      </c>
    </row>
    <row r="4276" spans="1:202">
      <c r="A4276" s="181" t="s">
        <v>249</v>
      </c>
      <c r="GR4276" s="181" t="s">
        <v>309</v>
      </c>
      <c r="GS4276" s="181">
        <v>0</v>
      </c>
      <c r="GT4276" s="181">
        <v>0</v>
      </c>
    </row>
    <row r="4277" spans="1:202">
      <c r="A4277" s="181" t="s">
        <v>249</v>
      </c>
      <c r="GS4277" s="181">
        <v>3773085.5565363746</v>
      </c>
      <c r="GT4277" s="181">
        <v>10192607.504127504</v>
      </c>
    </row>
    <row r="4278" spans="1:202">
      <c r="A4278" s="181" t="s">
        <v>249</v>
      </c>
      <c r="GS4278" s="181">
        <v>-1012582.0342103743</v>
      </c>
      <c r="GT4278" s="181">
        <v>-1431123.5509855037</v>
      </c>
    </row>
    <row r="4279" spans="1:202">
      <c r="A4279" s="181" t="s">
        <v>249</v>
      </c>
      <c r="GS4279" s="181">
        <v>1677907.2707888894</v>
      </c>
      <c r="GT4279" s="181">
        <v>1677907.2707888894</v>
      </c>
    </row>
    <row r="4280" spans="1:202">
      <c r="A4280" s="181" t="s">
        <v>249</v>
      </c>
    </row>
    <row r="4281" spans="1:202">
      <c r="A4281" s="181" t="s">
        <v>249</v>
      </c>
    </row>
    <row r="4282" spans="1:202">
      <c r="A4282" s="181" t="s">
        <v>249</v>
      </c>
    </row>
    <row r="4283" spans="1:202">
      <c r="A4283" s="181" t="s">
        <v>249</v>
      </c>
    </row>
    <row r="4284" spans="1:202">
      <c r="A4284" s="181" t="s">
        <v>249</v>
      </c>
    </row>
    <row r="4285" spans="1:202">
      <c r="A4285" s="181" t="s">
        <v>249</v>
      </c>
    </row>
    <row r="4286" spans="1:202">
      <c r="A4286" s="181" t="s">
        <v>249</v>
      </c>
    </row>
    <row r="4287" spans="1:202">
      <c r="A4287" s="181" t="s">
        <v>249</v>
      </c>
    </row>
    <row r="4288" spans="1:202">
      <c r="A4288" s="181" t="s">
        <v>249</v>
      </c>
    </row>
    <row r="4289" spans="1:1">
      <c r="A4289" s="181" t="s">
        <v>249</v>
      </c>
    </row>
    <row r="4290" spans="1:1">
      <c r="A4290" s="181" t="s">
        <v>249</v>
      </c>
    </row>
    <row r="4291" spans="1:1">
      <c r="A4291" s="181" t="s">
        <v>249</v>
      </c>
    </row>
    <row r="4292" spans="1:1">
      <c r="A4292" s="181" t="s">
        <v>249</v>
      </c>
    </row>
    <row r="4293" spans="1:1">
      <c r="A4293" s="181" t="s">
        <v>249</v>
      </c>
    </row>
    <row r="4294" spans="1:1">
      <c r="A4294" s="181" t="s">
        <v>249</v>
      </c>
    </row>
    <row r="4295" spans="1:1">
      <c r="A4295" s="181" t="s">
        <v>249</v>
      </c>
    </row>
    <row r="4296" spans="1:1">
      <c r="A4296" s="181" t="s">
        <v>249</v>
      </c>
    </row>
    <row r="4297" spans="1:1">
      <c r="A4297" s="181" t="s">
        <v>249</v>
      </c>
    </row>
    <row r="4298" spans="1:1">
      <c r="A4298" s="181" t="s">
        <v>249</v>
      </c>
    </row>
    <row r="4299" spans="1:1">
      <c r="A4299" s="181" t="s">
        <v>249</v>
      </c>
    </row>
    <row r="4300" spans="1:1">
      <c r="A4300" s="181" t="s">
        <v>249</v>
      </c>
    </row>
    <row r="4301" spans="1:1">
      <c r="A4301" s="181" t="s">
        <v>249</v>
      </c>
    </row>
    <row r="4302" spans="1:1">
      <c r="A4302" s="181" t="s">
        <v>249</v>
      </c>
    </row>
    <row r="4303" spans="1:1">
      <c r="A4303" s="181" t="s">
        <v>249</v>
      </c>
    </row>
    <row r="4304" spans="1:1">
      <c r="A4304" s="181" t="s">
        <v>249</v>
      </c>
    </row>
    <row r="4305" spans="1:235">
      <c r="A4305" s="181" t="s">
        <v>249</v>
      </c>
    </row>
    <row r="4306" spans="1:235">
      <c r="A4306" s="181" t="s">
        <v>249</v>
      </c>
    </row>
    <row r="4307" spans="1:235">
      <c r="A4307" s="181" t="s">
        <v>250</v>
      </c>
      <c r="B4307" s="181" t="s">
        <v>1166</v>
      </c>
      <c r="C4307" s="181" t="s">
        <v>475</v>
      </c>
      <c r="F4307" s="181" t="s">
        <v>1680</v>
      </c>
      <c r="G4307" s="181">
        <v>31546288</v>
      </c>
      <c r="H4307" s="181">
        <v>15</v>
      </c>
      <c r="I4307" s="181" t="s">
        <v>3004</v>
      </c>
      <c r="J4307" s="181" t="s">
        <v>3013</v>
      </c>
      <c r="K4307" s="181">
        <v>100</v>
      </c>
      <c r="L4307" s="181" t="s">
        <v>933</v>
      </c>
      <c r="M4307" s="181">
        <v>1</v>
      </c>
      <c r="N4307" s="181" t="s">
        <v>2114</v>
      </c>
      <c r="O4307" s="181" t="s">
        <v>2115</v>
      </c>
      <c r="P4307" s="181">
        <v>0</v>
      </c>
      <c r="Q4307" s="181">
        <v>0</v>
      </c>
      <c r="S4307" s="181">
        <v>0</v>
      </c>
      <c r="V4307" s="181">
        <v>3600</v>
      </c>
      <c r="W4307" s="181">
        <v>1200</v>
      </c>
      <c r="X4307" s="181">
        <v>0</v>
      </c>
      <c r="Y4307" s="181">
        <v>0</v>
      </c>
      <c r="Z4307" s="181">
        <v>0</v>
      </c>
      <c r="AY4307" s="181">
        <v>0</v>
      </c>
      <c r="AZ4307" s="181">
        <v>0</v>
      </c>
      <c r="BA4307" s="181" t="s">
        <v>1167</v>
      </c>
      <c r="BB4307" s="181" t="s">
        <v>475</v>
      </c>
      <c r="BC4307" s="181">
        <v>16.200000000000006</v>
      </c>
      <c r="BD4307" s="181">
        <v>38.100000000000009</v>
      </c>
      <c r="BE4307" s="181">
        <v>1553489916.681072</v>
      </c>
      <c r="BF4307" s="181">
        <v>1553489916.6810718</v>
      </c>
      <c r="BG4307" s="181">
        <v>24.300000000000004</v>
      </c>
      <c r="BH4307" s="181">
        <v>45.000000000000007</v>
      </c>
      <c r="BI4307" s="181">
        <v>1127976687.5074797</v>
      </c>
      <c r="BJ4307" s="181">
        <v>1276817669.1288254</v>
      </c>
      <c r="BK4307" s="181" t="s">
        <v>37</v>
      </c>
      <c r="BL4307" s="181">
        <v>51820</v>
      </c>
      <c r="BM4307" s="181">
        <v>103640</v>
      </c>
      <c r="BP4307" s="181" t="s">
        <v>37</v>
      </c>
      <c r="BQ4307" s="181">
        <v>39978</v>
      </c>
      <c r="BR4307" s="181">
        <v>79956</v>
      </c>
      <c r="BU4307" s="181" t="s">
        <v>1634</v>
      </c>
      <c r="BZ4307" s="181">
        <v>28639.526623875005</v>
      </c>
      <c r="CI4307" s="181">
        <v>1E-3</v>
      </c>
      <c r="CJ4307" s="181">
        <v>1E-3</v>
      </c>
      <c r="FY4307" s="181">
        <v>0</v>
      </c>
      <c r="FZ4307" s="181">
        <v>23</v>
      </c>
      <c r="GA4307" s="181">
        <v>0</v>
      </c>
      <c r="GB4307" s="181">
        <v>0</v>
      </c>
      <c r="GC4307" s="181">
        <v>23</v>
      </c>
      <c r="GD4307" s="181">
        <v>0</v>
      </c>
      <c r="GR4307" s="181" t="s">
        <v>176</v>
      </c>
      <c r="GS4307" s="181">
        <v>328800.00000000006</v>
      </c>
      <c r="GT4307" s="181">
        <v>657600.00000000012</v>
      </c>
      <c r="HD4307" s="181" t="s">
        <v>3033</v>
      </c>
      <c r="HE4307" s="181">
        <v>4500</v>
      </c>
      <c r="HF4307" s="181">
        <v>9000</v>
      </c>
      <c r="HG4307" s="181" t="s">
        <v>1634</v>
      </c>
      <c r="HH4307" s="181">
        <v>0</v>
      </c>
      <c r="HI4307" s="181">
        <v>0</v>
      </c>
      <c r="HL4307" s="181" t="s">
        <v>932</v>
      </c>
      <c r="HS4307" s="181" t="s">
        <v>1905</v>
      </c>
      <c r="HT4307" s="181">
        <v>5400</v>
      </c>
      <c r="HU4307" s="181">
        <v>10800</v>
      </c>
      <c r="HV4307" s="181" t="s">
        <v>3041</v>
      </c>
      <c r="HW4307" s="181">
        <v>10000</v>
      </c>
      <c r="HX4307" s="181">
        <v>20000</v>
      </c>
      <c r="HY4307" s="181" t="s">
        <v>3042</v>
      </c>
      <c r="HZ4307" s="181">
        <v>100</v>
      </c>
      <c r="IA4307" s="181">
        <v>200</v>
      </c>
    </row>
    <row r="4308" spans="1:235">
      <c r="A4308" s="181" t="s">
        <v>250</v>
      </c>
      <c r="B4308" s="181" t="s">
        <v>1168</v>
      </c>
      <c r="C4308" s="181" t="s">
        <v>475</v>
      </c>
      <c r="F4308" s="181" t="s">
        <v>2699</v>
      </c>
      <c r="G4308" s="181">
        <v>11999234</v>
      </c>
      <c r="I4308" s="181" t="s">
        <v>3005</v>
      </c>
      <c r="J4308" s="181" t="s">
        <v>3014</v>
      </c>
      <c r="K4308" s="181">
        <v>1</v>
      </c>
      <c r="L4308" s="181" t="s">
        <v>720</v>
      </c>
      <c r="M4308" s="181">
        <v>1</v>
      </c>
      <c r="N4308" s="181" t="s">
        <v>2114</v>
      </c>
      <c r="O4308" s="181" t="s">
        <v>2115</v>
      </c>
      <c r="P4308" s="181">
        <v>0</v>
      </c>
      <c r="Q4308" s="181">
        <v>0</v>
      </c>
      <c r="S4308" s="181">
        <v>0</v>
      </c>
      <c r="V4308" s="181">
        <v>106250</v>
      </c>
      <c r="W4308" s="181">
        <v>37500</v>
      </c>
      <c r="X4308" s="181">
        <v>20237.689969604864</v>
      </c>
      <c r="Y4308" s="181">
        <v>37477.20364741642</v>
      </c>
      <c r="Z4308" s="181">
        <v>24000000</v>
      </c>
      <c r="AA4308" s="181">
        <v>24000000</v>
      </c>
      <c r="AY4308" s="181">
        <v>24300.000000000004</v>
      </c>
      <c r="AZ4308" s="181">
        <v>45000.000000000007</v>
      </c>
      <c r="BA4308" s="181" t="s">
        <v>1169</v>
      </c>
      <c r="BB4308" s="181" t="s">
        <v>475</v>
      </c>
      <c r="BC4308" s="181">
        <v>77.190000000000012</v>
      </c>
      <c r="BD4308" s="181">
        <v>142.89000000000004</v>
      </c>
      <c r="BE4308" s="181">
        <v>86911635.404454872</v>
      </c>
      <c r="BF4308" s="181">
        <v>86911635.404454842</v>
      </c>
      <c r="BG4308" s="181">
        <v>72.900000000000006</v>
      </c>
      <c r="BH4308" s="181">
        <v>135.00000000000003</v>
      </c>
      <c r="BI4308" s="181">
        <v>76611705.458011448</v>
      </c>
      <c r="BJ4308" s="181">
        <v>80214535.120527789</v>
      </c>
      <c r="BU4308" s="181" t="s">
        <v>3031</v>
      </c>
      <c r="BV4308" s="181">
        <v>37812.500000000007</v>
      </c>
      <c r="BW4308" s="181">
        <v>75625.000000000015</v>
      </c>
      <c r="CA4308" s="181">
        <v>19497.212208200381</v>
      </c>
      <c r="CB4308" s="181">
        <v>21877.094544580246</v>
      </c>
      <c r="CI4308" s="181">
        <v>0</v>
      </c>
      <c r="CJ4308" s="181">
        <v>3.0000000000000001E-3</v>
      </c>
      <c r="FY4308" s="181">
        <v>1</v>
      </c>
      <c r="FZ4308" s="181">
        <v>18</v>
      </c>
      <c r="GA4308" s="181">
        <v>0</v>
      </c>
      <c r="GB4308" s="181">
        <v>1</v>
      </c>
      <c r="GC4308" s="181">
        <v>18</v>
      </c>
      <c r="GD4308" s="181">
        <v>0</v>
      </c>
      <c r="GR4308" s="181" t="s">
        <v>177</v>
      </c>
      <c r="GS4308" s="181">
        <v>0</v>
      </c>
      <c r="GT4308" s="181">
        <v>0</v>
      </c>
      <c r="HD4308" s="181" t="s">
        <v>972</v>
      </c>
      <c r="HE4308" s="181">
        <v>2811.75</v>
      </c>
      <c r="HF4308" s="181">
        <v>5623.5</v>
      </c>
      <c r="HG4308" s="181" t="s">
        <v>945</v>
      </c>
      <c r="HH4308" s="181">
        <v>868.06666666666661</v>
      </c>
      <c r="HI4308" s="181">
        <v>1736.1333333333332</v>
      </c>
      <c r="HL4308" s="181" t="s">
        <v>1224</v>
      </c>
    </row>
    <row r="4309" spans="1:235">
      <c r="A4309" s="181" t="s">
        <v>250</v>
      </c>
      <c r="B4309" s="181" t="s">
        <v>1170</v>
      </c>
      <c r="C4309" s="181" t="s">
        <v>475</v>
      </c>
      <c r="F4309" s="181" t="s">
        <v>755</v>
      </c>
      <c r="G4309" s="181">
        <v>16454478</v>
      </c>
      <c r="I4309" s="181" t="s">
        <v>3006</v>
      </c>
      <c r="J4309" s="181" t="s">
        <v>3015</v>
      </c>
      <c r="K4309" s="181">
        <v>1</v>
      </c>
      <c r="L4309" s="181" t="s">
        <v>720</v>
      </c>
      <c r="M4309" s="181">
        <v>1</v>
      </c>
      <c r="N4309" s="181" t="s">
        <v>2114</v>
      </c>
      <c r="O4309" s="181" t="s">
        <v>2115</v>
      </c>
      <c r="P4309" s="181">
        <v>0</v>
      </c>
      <c r="Q4309" s="181">
        <v>0</v>
      </c>
      <c r="S4309" s="181">
        <v>0</v>
      </c>
      <c r="V4309" s="181">
        <v>0</v>
      </c>
      <c r="W4309" s="181">
        <v>0</v>
      </c>
      <c r="X4309" s="181">
        <v>0</v>
      </c>
      <c r="Y4309" s="181">
        <v>0</v>
      </c>
      <c r="Z4309" s="181">
        <v>0</v>
      </c>
      <c r="AY4309" s="181">
        <v>0</v>
      </c>
      <c r="AZ4309" s="181">
        <v>0</v>
      </c>
      <c r="BA4309" s="181" t="s">
        <v>1171</v>
      </c>
      <c r="BB4309" s="181" t="s">
        <v>475</v>
      </c>
      <c r="BC4309" s="181">
        <v>1.5600000000000003</v>
      </c>
      <c r="BD4309" s="181">
        <v>2.6550000000000002</v>
      </c>
      <c r="BE4309" s="181">
        <v>10215758968.058968</v>
      </c>
      <c r="BF4309" s="181">
        <v>10215758968.058968</v>
      </c>
      <c r="BG4309" s="181">
        <v>1.2150000000000003</v>
      </c>
      <c r="BH4309" s="181">
        <v>2.2500000000000004</v>
      </c>
      <c r="BI4309" s="181">
        <v>15825390378.315376</v>
      </c>
      <c r="BJ4309" s="181">
        <v>13863188057.936102</v>
      </c>
      <c r="BU4309" s="181" t="s">
        <v>3032</v>
      </c>
      <c r="BV4309" s="181">
        <v>24076.162669609726</v>
      </c>
      <c r="BW4309" s="181">
        <v>48152.325339219453</v>
      </c>
      <c r="CI4309" s="181">
        <v>1E-4</v>
      </c>
      <c r="CJ4309" s="181">
        <v>5.0000000000000002E-5</v>
      </c>
      <c r="FY4309" s="181">
        <v>0</v>
      </c>
      <c r="FZ4309" s="181">
        <v>0</v>
      </c>
      <c r="GA4309" s="181">
        <v>0</v>
      </c>
      <c r="GB4309" s="181">
        <v>0</v>
      </c>
      <c r="GC4309" s="181">
        <v>0</v>
      </c>
      <c r="GD4309" s="181">
        <v>0</v>
      </c>
      <c r="GR4309" s="181" t="s">
        <v>178</v>
      </c>
      <c r="GS4309" s="181">
        <v>0</v>
      </c>
      <c r="GT4309" s="181">
        <v>0</v>
      </c>
      <c r="HD4309" s="181" t="s">
        <v>3034</v>
      </c>
      <c r="HE4309" s="181">
        <v>10761.375</v>
      </c>
      <c r="HF4309" s="181">
        <v>21522.75</v>
      </c>
      <c r="HG4309" s="181" t="s">
        <v>3038</v>
      </c>
      <c r="HH4309" s="181">
        <v>4350</v>
      </c>
      <c r="HI4309" s="181">
        <v>8700</v>
      </c>
      <c r="HL4309" s="181" t="s">
        <v>1670</v>
      </c>
    </row>
    <row r="4310" spans="1:235">
      <c r="A4310" s="181" t="s">
        <v>250</v>
      </c>
      <c r="B4310" s="181" t="s">
        <v>3023</v>
      </c>
      <c r="C4310" s="181" t="s">
        <v>475</v>
      </c>
      <c r="I4310" s="181" t="s">
        <v>3007</v>
      </c>
      <c r="J4310" s="181" t="s">
        <v>3016</v>
      </c>
      <c r="K4310" s="181">
        <v>100</v>
      </c>
      <c r="L4310" s="181" t="s">
        <v>933</v>
      </c>
      <c r="M4310" s="181">
        <v>1</v>
      </c>
      <c r="N4310" s="181" t="s">
        <v>2114</v>
      </c>
      <c r="O4310" s="181" t="s">
        <v>2115</v>
      </c>
      <c r="P4310" s="181">
        <v>0</v>
      </c>
      <c r="Q4310" s="181">
        <v>0</v>
      </c>
      <c r="S4310" s="181">
        <v>0</v>
      </c>
      <c r="V4310" s="181">
        <v>0</v>
      </c>
      <c r="W4310" s="181">
        <v>0</v>
      </c>
      <c r="X4310" s="181">
        <v>0</v>
      </c>
      <c r="Y4310" s="181">
        <v>0</v>
      </c>
      <c r="Z4310" s="181">
        <v>0</v>
      </c>
      <c r="AY4310" s="181">
        <v>0</v>
      </c>
      <c r="AZ4310" s="181">
        <v>0</v>
      </c>
      <c r="BA4310" s="181" t="s">
        <v>1172</v>
      </c>
      <c r="BB4310" s="181" t="s">
        <v>475</v>
      </c>
      <c r="BC4310" s="181">
        <v>0</v>
      </c>
      <c r="BD4310" s="181">
        <v>0.50500000000000012</v>
      </c>
      <c r="BF4310" s="181">
        <v>9395679775.5885353</v>
      </c>
      <c r="BG4310" s="181">
        <v>1.2150000000000003</v>
      </c>
      <c r="BH4310" s="181">
        <v>2.2500000000000004</v>
      </c>
      <c r="BI4310" s="181">
        <v>3893962385.9883709</v>
      </c>
      <c r="BJ4310" s="181">
        <v>4781496378.7690086</v>
      </c>
      <c r="BU4310" s="181" t="s">
        <v>3028</v>
      </c>
      <c r="BV4310" s="181">
        <v>51337.661216737499</v>
      </c>
      <c r="BW4310" s="181">
        <v>102675.322433475</v>
      </c>
      <c r="CI4310" s="181">
        <v>1E-4</v>
      </c>
      <c r="CJ4310" s="181">
        <v>5.0000000000000002E-5</v>
      </c>
      <c r="FY4310" s="181">
        <v>0</v>
      </c>
      <c r="FZ4310" s="181">
        <v>0</v>
      </c>
      <c r="GA4310" s="181">
        <v>0</v>
      </c>
      <c r="GB4310" s="181">
        <v>0</v>
      </c>
      <c r="GC4310" s="181">
        <v>0</v>
      </c>
      <c r="GD4310" s="181">
        <v>0</v>
      </c>
      <c r="GR4310" s="181" t="s">
        <v>1707</v>
      </c>
      <c r="GS4310" s="181">
        <v>0</v>
      </c>
      <c r="GT4310" s="181">
        <v>0</v>
      </c>
      <c r="HD4310" s="181" t="s">
        <v>3035</v>
      </c>
      <c r="HE4310" s="181">
        <v>1877.25</v>
      </c>
      <c r="HF4310" s="181">
        <v>3754.5</v>
      </c>
      <c r="HG4310" s="181" t="s">
        <v>3039</v>
      </c>
      <c r="HH4310" s="181">
        <v>1788.2125000000001</v>
      </c>
      <c r="HI4310" s="181">
        <v>3576.4250000000002</v>
      </c>
      <c r="HL4310" s="181" t="s">
        <v>2120</v>
      </c>
      <c r="HM4310" s="181">
        <v>28524</v>
      </c>
      <c r="HN4310" s="181">
        <v>28524</v>
      </c>
    </row>
    <row r="4311" spans="1:235">
      <c r="A4311" s="181" t="s">
        <v>250</v>
      </c>
      <c r="B4311" s="181" t="s">
        <v>3024</v>
      </c>
      <c r="C4311" s="181" t="s">
        <v>475</v>
      </c>
      <c r="I4311" s="181" t="s">
        <v>3008</v>
      </c>
      <c r="J4311" s="181" t="s">
        <v>3017</v>
      </c>
      <c r="K4311" s="181">
        <v>100</v>
      </c>
      <c r="L4311" s="181" t="s">
        <v>933</v>
      </c>
      <c r="M4311" s="181">
        <v>1</v>
      </c>
      <c r="N4311" s="181" t="s">
        <v>2114</v>
      </c>
      <c r="O4311" s="181" t="s">
        <v>2115</v>
      </c>
      <c r="P4311" s="181">
        <v>0</v>
      </c>
      <c r="Q4311" s="181">
        <v>0</v>
      </c>
      <c r="S4311" s="181">
        <v>0</v>
      </c>
      <c r="V4311" s="181">
        <v>0</v>
      </c>
      <c r="W4311" s="181">
        <v>0</v>
      </c>
      <c r="X4311" s="181">
        <v>2750</v>
      </c>
      <c r="Y4311" s="181">
        <v>5500</v>
      </c>
      <c r="Z4311" s="181">
        <v>0</v>
      </c>
      <c r="AY4311" s="181">
        <v>2750</v>
      </c>
      <c r="AZ4311" s="181">
        <v>5500</v>
      </c>
      <c r="BA4311" s="181" t="s">
        <v>1173</v>
      </c>
      <c r="BB4311" s="181" t="s">
        <v>475</v>
      </c>
      <c r="BC4311" s="181">
        <v>0</v>
      </c>
      <c r="BD4311" s="181">
        <v>0</v>
      </c>
      <c r="BG4311" s="181">
        <v>0</v>
      </c>
      <c r="BH4311" s="181">
        <v>0</v>
      </c>
      <c r="BU4311" s="181" t="s">
        <v>3029</v>
      </c>
      <c r="BV4311" s="181">
        <v>25375</v>
      </c>
      <c r="BW4311" s="181">
        <v>50750</v>
      </c>
      <c r="CI4311" s="181">
        <v>0</v>
      </c>
      <c r="CJ4311" s="181">
        <v>0</v>
      </c>
      <c r="FY4311" s="181">
        <v>2</v>
      </c>
      <c r="FZ4311" s="181">
        <v>6</v>
      </c>
      <c r="GA4311" s="181">
        <v>0</v>
      </c>
      <c r="GB4311" s="181">
        <v>2</v>
      </c>
      <c r="GC4311" s="181">
        <v>6</v>
      </c>
      <c r="GD4311" s="181">
        <v>0</v>
      </c>
      <c r="GR4311" s="181" t="s">
        <v>175</v>
      </c>
      <c r="GS4311" s="181">
        <v>0</v>
      </c>
      <c r="GT4311" s="181">
        <v>0</v>
      </c>
      <c r="HD4311" s="181" t="s">
        <v>3036</v>
      </c>
      <c r="HE4311" s="181">
        <v>4350</v>
      </c>
      <c r="HF4311" s="181">
        <v>8700</v>
      </c>
      <c r="HG4311" s="181" t="s">
        <v>3037</v>
      </c>
      <c r="HH4311" s="181">
        <v>1138.8599999999999</v>
      </c>
      <c r="HI4311" s="181">
        <v>2277.7199999999998</v>
      </c>
      <c r="HL4311" s="181" t="s">
        <v>1742</v>
      </c>
    </row>
    <row r="4312" spans="1:235">
      <c r="A4312" s="181" t="s">
        <v>250</v>
      </c>
      <c r="I4312" s="181" t="s">
        <v>3009</v>
      </c>
      <c r="J4312" s="181" t="s">
        <v>3018</v>
      </c>
      <c r="K4312" s="181">
        <v>100</v>
      </c>
      <c r="L4312" s="181" t="s">
        <v>933</v>
      </c>
      <c r="M4312" s="181">
        <v>1</v>
      </c>
      <c r="N4312" s="181" t="s">
        <v>3021</v>
      </c>
      <c r="O4312" s="181" t="s">
        <v>2115</v>
      </c>
      <c r="P4312" s="181">
        <v>0</v>
      </c>
      <c r="Q4312" s="181">
        <v>100</v>
      </c>
      <c r="S4312" s="181">
        <v>20000</v>
      </c>
      <c r="BA4312" s="181" t="s">
        <v>1174</v>
      </c>
      <c r="BB4312" s="181" t="s">
        <v>475</v>
      </c>
      <c r="BC4312" s="181">
        <v>8.2156503822261584E-14</v>
      </c>
      <c r="BD4312" s="181">
        <v>8.2156503822261584E-14</v>
      </c>
      <c r="BE4312" s="181">
        <v>150</v>
      </c>
      <c r="BF4312" s="181">
        <v>150</v>
      </c>
      <c r="BG4312" s="181">
        <v>1.2150000000000003</v>
      </c>
      <c r="BH4312" s="181">
        <v>2.2500000000000004</v>
      </c>
      <c r="BI4312" s="181">
        <v>249999.99999998306</v>
      </c>
      <c r="BJ4312" s="181">
        <v>249999.99999999994</v>
      </c>
      <c r="BU4312" s="181" t="s">
        <v>333</v>
      </c>
      <c r="BV4312" s="181">
        <v>5312.1504014333304</v>
      </c>
      <c r="BW4312" s="181">
        <v>10624.300802866701</v>
      </c>
      <c r="CI4312" s="181">
        <v>2.0000000000000001E-4</v>
      </c>
      <c r="CJ4312" s="181">
        <v>5.0000000000000002E-5</v>
      </c>
      <c r="GR4312" s="181" t="s">
        <v>1898</v>
      </c>
      <c r="GS4312" s="181">
        <v>0</v>
      </c>
      <c r="GT4312" s="181">
        <v>0</v>
      </c>
      <c r="HD4312" s="181" t="s">
        <v>3040</v>
      </c>
      <c r="HE4312" s="181">
        <v>2493.9999999999995</v>
      </c>
      <c r="HF4312" s="181">
        <v>4987.9999999999991</v>
      </c>
      <c r="HL4312" s="181" t="s">
        <v>917</v>
      </c>
    </row>
    <row r="4313" spans="1:235">
      <c r="A4313" s="181" t="s">
        <v>250</v>
      </c>
      <c r="I4313" s="181" t="s">
        <v>3010</v>
      </c>
      <c r="J4313" s="181" t="s">
        <v>3019</v>
      </c>
      <c r="K4313" s="181">
        <v>100</v>
      </c>
      <c r="L4313" s="181" t="s">
        <v>933</v>
      </c>
      <c r="M4313" s="181">
        <v>1</v>
      </c>
      <c r="N4313" s="181" t="s">
        <v>3021</v>
      </c>
      <c r="O4313" s="181" t="s">
        <v>3022</v>
      </c>
      <c r="P4313" s="181">
        <v>100</v>
      </c>
      <c r="Q4313" s="181">
        <v>100</v>
      </c>
      <c r="S4313" s="181">
        <v>0</v>
      </c>
      <c r="BA4313" s="181" t="s">
        <v>3025</v>
      </c>
      <c r="BB4313" s="181" t="s">
        <v>475</v>
      </c>
      <c r="BC4313" s="181">
        <v>0</v>
      </c>
      <c r="BD4313" s="181">
        <v>0</v>
      </c>
      <c r="BG4313" s="181">
        <v>0</v>
      </c>
      <c r="BH4313" s="181">
        <v>0</v>
      </c>
      <c r="BU4313" s="181" t="s">
        <v>1119</v>
      </c>
      <c r="BV4313" s="181">
        <v>7001.083333333333</v>
      </c>
      <c r="BW4313" s="181">
        <v>14002.166666666666</v>
      </c>
      <c r="CI4313" s="181">
        <v>0</v>
      </c>
      <c r="CJ4313" s="181">
        <v>0</v>
      </c>
      <c r="GR4313" s="181" t="s">
        <v>1899</v>
      </c>
      <c r="GS4313" s="181">
        <v>0</v>
      </c>
      <c r="GT4313" s="181">
        <v>0</v>
      </c>
      <c r="HL4313" s="181" t="s">
        <v>894</v>
      </c>
      <c r="HM4313" s="181">
        <v>31262</v>
      </c>
      <c r="HN4313" s="181">
        <v>31262</v>
      </c>
    </row>
    <row r="4314" spans="1:235">
      <c r="A4314" s="181" t="s">
        <v>250</v>
      </c>
      <c r="I4314" s="181" t="s">
        <v>3011</v>
      </c>
      <c r="J4314" s="181" t="s">
        <v>3020</v>
      </c>
      <c r="K4314" s="181">
        <v>100</v>
      </c>
      <c r="L4314" s="181" t="s">
        <v>933</v>
      </c>
      <c r="M4314" s="181">
        <v>1</v>
      </c>
      <c r="N4314" s="181" t="s">
        <v>3021</v>
      </c>
      <c r="O4314" s="181" t="s">
        <v>2037</v>
      </c>
      <c r="P4314" s="181">
        <v>100</v>
      </c>
      <c r="Q4314" s="181">
        <v>100</v>
      </c>
      <c r="S4314" s="181">
        <v>0</v>
      </c>
      <c r="BA4314" s="181" t="s">
        <v>3026</v>
      </c>
      <c r="BB4314" s="181" t="s">
        <v>475</v>
      </c>
      <c r="BC4314" s="181">
        <v>0</v>
      </c>
      <c r="BD4314" s="181">
        <v>0</v>
      </c>
      <c r="BG4314" s="181">
        <v>0</v>
      </c>
      <c r="BH4314" s="181">
        <v>0</v>
      </c>
      <c r="BU4314" s="181" t="s">
        <v>3030</v>
      </c>
      <c r="BV4314" s="181">
        <v>7531.3537061875013</v>
      </c>
      <c r="BW4314" s="181">
        <v>15062.707412375003</v>
      </c>
      <c r="CI4314" s="181">
        <v>0</v>
      </c>
      <c r="CJ4314" s="181">
        <v>0</v>
      </c>
      <c r="GR4314" s="181" t="s">
        <v>1900</v>
      </c>
      <c r="GS4314" s="181">
        <v>0</v>
      </c>
      <c r="GT4314" s="181">
        <v>0</v>
      </c>
      <c r="HL4314" s="181" t="s">
        <v>2125</v>
      </c>
    </row>
    <row r="4315" spans="1:235">
      <c r="A4315" s="181" t="s">
        <v>250</v>
      </c>
      <c r="I4315" s="181" t="s">
        <v>3012</v>
      </c>
      <c r="J4315" s="181" t="s">
        <v>2194</v>
      </c>
      <c r="K4315" s="181">
        <v>100</v>
      </c>
      <c r="L4315" s="181" t="s">
        <v>933</v>
      </c>
      <c r="M4315" s="181">
        <v>1</v>
      </c>
      <c r="N4315" s="181" t="s">
        <v>3021</v>
      </c>
      <c r="O4315" s="181" t="s">
        <v>2041</v>
      </c>
      <c r="P4315" s="181">
        <v>50</v>
      </c>
      <c r="Q4315" s="181">
        <v>100</v>
      </c>
      <c r="BA4315" s="181" t="s">
        <v>333</v>
      </c>
      <c r="BB4315" s="181" t="s">
        <v>475</v>
      </c>
      <c r="BC4315" s="181">
        <v>0</v>
      </c>
      <c r="BD4315" s="181">
        <v>0</v>
      </c>
      <c r="BG4315" s="181">
        <v>0</v>
      </c>
      <c r="BH4315" s="181">
        <v>0</v>
      </c>
      <c r="CI4315" s="181">
        <v>0</v>
      </c>
      <c r="CJ4315" s="181">
        <v>0</v>
      </c>
      <c r="GR4315" s="181" t="s">
        <v>1901</v>
      </c>
      <c r="GS4315" s="181">
        <v>0</v>
      </c>
      <c r="GT4315" s="181">
        <v>0</v>
      </c>
      <c r="HL4315" s="181" t="s">
        <v>2685</v>
      </c>
      <c r="HM4315" s="181">
        <v>10000</v>
      </c>
      <c r="HN4315" s="181">
        <v>10000</v>
      </c>
    </row>
    <row r="4316" spans="1:235">
      <c r="A4316" s="181" t="s">
        <v>250</v>
      </c>
      <c r="I4316" s="181" t="s">
        <v>2150</v>
      </c>
      <c r="BA4316" s="181" t="s">
        <v>3027</v>
      </c>
      <c r="BB4316" s="181" t="s">
        <v>475</v>
      </c>
      <c r="BC4316" s="181">
        <v>0</v>
      </c>
      <c r="BD4316" s="181">
        <v>0</v>
      </c>
      <c r="BG4316" s="181">
        <v>0</v>
      </c>
      <c r="BH4316" s="181">
        <v>0</v>
      </c>
      <c r="CL4316" s="181">
        <v>26.423440527685898</v>
      </c>
      <c r="GR4316" s="181" t="s">
        <v>871</v>
      </c>
      <c r="GS4316" s="181">
        <v>0</v>
      </c>
      <c r="GT4316" s="181">
        <v>0</v>
      </c>
      <c r="HL4316" s="181" t="s">
        <v>2796</v>
      </c>
    </row>
    <row r="4317" spans="1:235">
      <c r="A4317" s="181" t="s">
        <v>250</v>
      </c>
      <c r="I4317" s="181" t="s">
        <v>2475</v>
      </c>
      <c r="GR4317" s="181" t="s">
        <v>871</v>
      </c>
      <c r="GS4317" s="181">
        <v>0</v>
      </c>
      <c r="GT4317" s="181">
        <v>0</v>
      </c>
    </row>
    <row r="4318" spans="1:235">
      <c r="A4318" s="181" t="s">
        <v>250</v>
      </c>
      <c r="I4318" s="181" t="s">
        <v>1328</v>
      </c>
      <c r="GR4318" s="181" t="s">
        <v>871</v>
      </c>
      <c r="GS4318" s="181">
        <v>0</v>
      </c>
      <c r="GT4318" s="181">
        <v>0</v>
      </c>
    </row>
    <row r="4319" spans="1:235">
      <c r="A4319" s="181" t="s">
        <v>250</v>
      </c>
      <c r="I4319" s="181" t="s">
        <v>2158</v>
      </c>
      <c r="GR4319" s="181" t="s">
        <v>871</v>
      </c>
      <c r="GS4319" s="181">
        <v>0</v>
      </c>
      <c r="GT4319" s="181">
        <v>0</v>
      </c>
    </row>
    <row r="4320" spans="1:235">
      <c r="A4320" s="181" t="s">
        <v>250</v>
      </c>
      <c r="I4320" s="181" t="s">
        <v>2022</v>
      </c>
      <c r="GR4320" s="181" t="s">
        <v>871</v>
      </c>
      <c r="GS4320" s="181">
        <v>0</v>
      </c>
      <c r="GT4320" s="181">
        <v>0</v>
      </c>
    </row>
    <row r="4321" spans="1:222">
      <c r="A4321" s="181" t="s">
        <v>250</v>
      </c>
      <c r="I4321" s="181" t="s">
        <v>2023</v>
      </c>
      <c r="GR4321" s="181" t="s">
        <v>872</v>
      </c>
      <c r="GS4321" s="181">
        <v>0</v>
      </c>
      <c r="GT4321" s="181">
        <v>0</v>
      </c>
    </row>
    <row r="4322" spans="1:222">
      <c r="A4322" s="181" t="s">
        <v>250</v>
      </c>
      <c r="GR4322" s="181" t="s">
        <v>1898</v>
      </c>
      <c r="GS4322" s="181">
        <v>0</v>
      </c>
      <c r="GT4322" s="181">
        <v>0</v>
      </c>
    </row>
    <row r="4323" spans="1:222">
      <c r="A4323" s="181" t="s">
        <v>250</v>
      </c>
      <c r="GR4323" s="181" t="s">
        <v>1902</v>
      </c>
      <c r="GS4323" s="181">
        <v>0</v>
      </c>
      <c r="GT4323" s="181">
        <v>0</v>
      </c>
    </row>
    <row r="4324" spans="1:222">
      <c r="A4324" s="181" t="s">
        <v>250</v>
      </c>
      <c r="GR4324" s="181" t="s">
        <v>1903</v>
      </c>
      <c r="GS4324" s="181">
        <v>0</v>
      </c>
      <c r="GT4324" s="181">
        <v>0</v>
      </c>
    </row>
    <row r="4325" spans="1:222">
      <c r="A4325" s="181" t="s">
        <v>250</v>
      </c>
      <c r="GR4325" s="181" t="s">
        <v>1904</v>
      </c>
      <c r="GS4325" s="181">
        <v>0</v>
      </c>
      <c r="GT4325" s="181">
        <v>0</v>
      </c>
    </row>
    <row r="4326" spans="1:222">
      <c r="A4326" s="181" t="s">
        <v>250</v>
      </c>
      <c r="GR4326" s="181" t="s">
        <v>308</v>
      </c>
      <c r="GS4326" s="181">
        <v>0</v>
      </c>
      <c r="GT4326" s="181">
        <v>0</v>
      </c>
      <c r="HL4326" s="181" t="s">
        <v>1946</v>
      </c>
      <c r="HM4326" s="181">
        <v>20000</v>
      </c>
      <c r="HN4326" s="181">
        <v>20000</v>
      </c>
    </row>
    <row r="4327" spans="1:222">
      <c r="A4327" s="181" t="s">
        <v>250</v>
      </c>
      <c r="GR4327" s="181" t="s">
        <v>874</v>
      </c>
      <c r="GS4327" s="181">
        <v>0</v>
      </c>
      <c r="GT4327" s="181">
        <v>0</v>
      </c>
    </row>
    <row r="4328" spans="1:222">
      <c r="A4328" s="181" t="s">
        <v>250</v>
      </c>
      <c r="GR4328" s="181" t="s">
        <v>874</v>
      </c>
      <c r="GS4328" s="181">
        <v>0</v>
      </c>
      <c r="GT4328" s="181">
        <v>0</v>
      </c>
    </row>
    <row r="4329" spans="1:222">
      <c r="A4329" s="181" t="s">
        <v>250</v>
      </c>
      <c r="GR4329" s="181" t="s">
        <v>874</v>
      </c>
      <c r="GS4329" s="181">
        <v>0</v>
      </c>
      <c r="GT4329" s="181">
        <v>0</v>
      </c>
    </row>
    <row r="4330" spans="1:222">
      <c r="A4330" s="181" t="s">
        <v>250</v>
      </c>
      <c r="GR4330" s="181" t="s">
        <v>874</v>
      </c>
      <c r="GS4330" s="181">
        <v>0</v>
      </c>
      <c r="GT4330" s="181">
        <v>0</v>
      </c>
    </row>
    <row r="4331" spans="1:222">
      <c r="A4331" s="181" t="s">
        <v>250</v>
      </c>
      <c r="GR4331" s="181" t="s">
        <v>1905</v>
      </c>
      <c r="GS4331" s="181">
        <v>5400</v>
      </c>
      <c r="GT4331" s="181">
        <v>10800</v>
      </c>
    </row>
    <row r="4332" spans="1:222">
      <c r="A4332" s="181" t="s">
        <v>250</v>
      </c>
      <c r="GR4332" s="181" t="s">
        <v>1906</v>
      </c>
      <c r="GS4332" s="181">
        <v>0</v>
      </c>
      <c r="GT4332" s="181">
        <v>0</v>
      </c>
    </row>
    <row r="4333" spans="1:222">
      <c r="A4333" s="181" t="s">
        <v>250</v>
      </c>
      <c r="GR4333" s="181">
        <v>0</v>
      </c>
      <c r="GS4333" s="181">
        <v>0</v>
      </c>
      <c r="GT4333" s="181">
        <v>0</v>
      </c>
    </row>
    <row r="4334" spans="1:222">
      <c r="A4334" s="181" t="s">
        <v>250</v>
      </c>
      <c r="GR4334" s="181">
        <v>0</v>
      </c>
      <c r="GS4334" s="181">
        <v>0</v>
      </c>
      <c r="GT4334" s="181">
        <v>0</v>
      </c>
    </row>
    <row r="4335" spans="1:222">
      <c r="A4335" s="181" t="s">
        <v>250</v>
      </c>
      <c r="GR4335" s="181">
        <v>0</v>
      </c>
      <c r="GS4335" s="181">
        <v>0</v>
      </c>
      <c r="GT4335" s="181">
        <v>0</v>
      </c>
    </row>
    <row r="4336" spans="1:222">
      <c r="A4336" s="181" t="s">
        <v>250</v>
      </c>
      <c r="GR4336" s="181">
        <v>0</v>
      </c>
      <c r="GS4336" s="181">
        <v>0</v>
      </c>
      <c r="GT4336" s="181">
        <v>0</v>
      </c>
    </row>
    <row r="4337" spans="1:202">
      <c r="A4337" s="181" t="s">
        <v>250</v>
      </c>
      <c r="GR4337" s="181">
        <v>0</v>
      </c>
      <c r="GS4337" s="181">
        <v>0</v>
      </c>
      <c r="GT4337" s="181">
        <v>0</v>
      </c>
    </row>
    <row r="4338" spans="1:202">
      <c r="A4338" s="181" t="s">
        <v>250</v>
      </c>
      <c r="GR4338" s="181">
        <v>0</v>
      </c>
      <c r="GS4338" s="181">
        <v>0</v>
      </c>
      <c r="GT4338" s="181">
        <v>0</v>
      </c>
    </row>
    <row r="4339" spans="1:202">
      <c r="A4339" s="181" t="s">
        <v>250</v>
      </c>
      <c r="GR4339" s="181">
        <v>0</v>
      </c>
      <c r="GS4339" s="181">
        <v>0</v>
      </c>
      <c r="GT4339" s="181">
        <v>0</v>
      </c>
    </row>
    <row r="4340" spans="1:202">
      <c r="A4340" s="181" t="s">
        <v>250</v>
      </c>
      <c r="GR4340" s="181">
        <v>0</v>
      </c>
      <c r="GS4340" s="181">
        <v>0</v>
      </c>
      <c r="GT4340" s="181">
        <v>0</v>
      </c>
    </row>
    <row r="4341" spans="1:202">
      <c r="A4341" s="181" t="s">
        <v>250</v>
      </c>
      <c r="GR4341" s="181">
        <v>0</v>
      </c>
      <c r="GS4341" s="181">
        <v>0</v>
      </c>
      <c r="GT4341" s="181">
        <v>0</v>
      </c>
    </row>
    <row r="4342" spans="1:202">
      <c r="A4342" s="181" t="s">
        <v>250</v>
      </c>
      <c r="GR4342" s="181">
        <v>0</v>
      </c>
      <c r="GS4342" s="181">
        <v>0</v>
      </c>
      <c r="GT4342" s="181">
        <v>0</v>
      </c>
    </row>
    <row r="4343" spans="1:202">
      <c r="A4343" s="181" t="s">
        <v>250</v>
      </c>
      <c r="GR4343" s="181">
        <v>0</v>
      </c>
      <c r="GS4343" s="181">
        <v>0</v>
      </c>
      <c r="GT4343" s="181">
        <v>0</v>
      </c>
    </row>
    <row r="4344" spans="1:202">
      <c r="A4344" s="181" t="s">
        <v>250</v>
      </c>
      <c r="GR4344" s="181">
        <v>0</v>
      </c>
      <c r="GS4344" s="181">
        <v>0</v>
      </c>
      <c r="GT4344" s="181">
        <v>0</v>
      </c>
    </row>
    <row r="4345" spans="1:202">
      <c r="A4345" s="181" t="s">
        <v>250</v>
      </c>
      <c r="GR4345" s="181">
        <v>0</v>
      </c>
      <c r="GS4345" s="181">
        <v>0</v>
      </c>
      <c r="GT4345" s="181">
        <v>0</v>
      </c>
    </row>
    <row r="4346" spans="1:202">
      <c r="A4346" s="181" t="s">
        <v>250</v>
      </c>
      <c r="GR4346" s="181" t="s">
        <v>309</v>
      </c>
      <c r="GS4346" s="181">
        <v>0</v>
      </c>
      <c r="GT4346" s="181">
        <v>0</v>
      </c>
    </row>
    <row r="4347" spans="1:202">
      <c r="A4347" s="181" t="s">
        <v>250</v>
      </c>
      <c r="GR4347" s="181" t="s">
        <v>309</v>
      </c>
      <c r="GS4347" s="181">
        <v>0</v>
      </c>
      <c r="GT4347" s="181">
        <v>0</v>
      </c>
    </row>
    <row r="4348" spans="1:202">
      <c r="A4348" s="181" t="s">
        <v>250</v>
      </c>
      <c r="GR4348" s="181" t="s">
        <v>1907</v>
      </c>
      <c r="GS4348" s="181">
        <v>0</v>
      </c>
      <c r="GT4348" s="181">
        <v>0</v>
      </c>
    </row>
    <row r="4349" spans="1:202">
      <c r="A4349" s="181" t="s">
        <v>250</v>
      </c>
      <c r="GS4349" s="181">
        <v>334200.00000000006</v>
      </c>
      <c r="GT4349" s="181">
        <v>668400.00000000012</v>
      </c>
    </row>
    <row r="4350" spans="1:202">
      <c r="A4350" s="181" t="s">
        <v>250</v>
      </c>
      <c r="GR4350" s="181" t="s">
        <v>875</v>
      </c>
      <c r="GS4350" s="181">
        <v>0</v>
      </c>
      <c r="GT4350" s="181">
        <v>0</v>
      </c>
    </row>
    <row r="4351" spans="1:202">
      <c r="A4351" s="181" t="s">
        <v>250</v>
      </c>
      <c r="GR4351" s="181" t="s">
        <v>875</v>
      </c>
      <c r="GS4351" s="181">
        <v>0</v>
      </c>
      <c r="GT4351" s="181">
        <v>0</v>
      </c>
    </row>
    <row r="4352" spans="1:202">
      <c r="A4352" s="181" t="s">
        <v>250</v>
      </c>
      <c r="GR4352" s="181" t="s">
        <v>875</v>
      </c>
      <c r="GS4352" s="181">
        <v>0</v>
      </c>
      <c r="GT4352" s="181">
        <v>0</v>
      </c>
    </row>
    <row r="4353" spans="1:202">
      <c r="A4353" s="181" t="s">
        <v>250</v>
      </c>
      <c r="GR4353" s="181" t="s">
        <v>875</v>
      </c>
      <c r="GS4353" s="181">
        <v>0</v>
      </c>
      <c r="GT4353" s="181">
        <v>0</v>
      </c>
    </row>
    <row r="4354" spans="1:202">
      <c r="A4354" s="181" t="s">
        <v>250</v>
      </c>
      <c r="GR4354" s="181" t="s">
        <v>875</v>
      </c>
      <c r="GS4354" s="181">
        <v>0</v>
      </c>
      <c r="GT4354" s="181">
        <v>0</v>
      </c>
    </row>
    <row r="4355" spans="1:202">
      <c r="A4355" s="181" t="s">
        <v>250</v>
      </c>
      <c r="GR4355" s="181" t="s">
        <v>875</v>
      </c>
      <c r="GS4355" s="181">
        <v>0</v>
      </c>
      <c r="GT4355" s="181">
        <v>0</v>
      </c>
    </row>
    <row r="4356" spans="1:202">
      <c r="A4356" s="181" t="s">
        <v>250</v>
      </c>
      <c r="GR4356" s="181" t="s">
        <v>310</v>
      </c>
      <c r="GS4356" s="181">
        <v>0</v>
      </c>
      <c r="GT4356" s="181">
        <v>0</v>
      </c>
    </row>
    <row r="4357" spans="1:202">
      <c r="A4357" s="181" t="s">
        <v>250</v>
      </c>
      <c r="GR4357" s="181" t="s">
        <v>310</v>
      </c>
      <c r="GS4357" s="181">
        <v>0</v>
      </c>
      <c r="GT4357" s="181">
        <v>0</v>
      </c>
    </row>
    <row r="4358" spans="1:202">
      <c r="A4358" s="181" t="s">
        <v>250</v>
      </c>
      <c r="GR4358" s="181" t="s">
        <v>310</v>
      </c>
      <c r="GS4358" s="181">
        <v>0</v>
      </c>
      <c r="GT4358" s="181">
        <v>0</v>
      </c>
    </row>
    <row r="4359" spans="1:202">
      <c r="A4359" s="181" t="s">
        <v>250</v>
      </c>
      <c r="GR4359" s="181" t="s">
        <v>310</v>
      </c>
      <c r="GS4359" s="181">
        <v>0</v>
      </c>
      <c r="GT4359" s="181">
        <v>0</v>
      </c>
    </row>
    <row r="4360" spans="1:202">
      <c r="A4360" s="181" t="s">
        <v>250</v>
      </c>
      <c r="GR4360" s="181" t="s">
        <v>1662</v>
      </c>
      <c r="GS4360" s="181">
        <v>0</v>
      </c>
      <c r="GT4360" s="181">
        <v>0</v>
      </c>
    </row>
    <row r="4361" spans="1:202">
      <c r="A4361" s="181" t="s">
        <v>250</v>
      </c>
      <c r="GR4361" s="181" t="s">
        <v>1908</v>
      </c>
      <c r="GS4361" s="181">
        <v>0</v>
      </c>
      <c r="GT4361" s="181">
        <v>1462348</v>
      </c>
    </row>
    <row r="4362" spans="1:202">
      <c r="A4362" s="181" t="s">
        <v>250</v>
      </c>
      <c r="GR4362" s="181" t="s">
        <v>876</v>
      </c>
      <c r="GS4362" s="181">
        <v>0</v>
      </c>
      <c r="GT4362" s="181">
        <v>0</v>
      </c>
    </row>
    <row r="4363" spans="1:202">
      <c r="A4363" s="181" t="s">
        <v>250</v>
      </c>
      <c r="GR4363" s="181" t="s">
        <v>876</v>
      </c>
      <c r="GS4363" s="181">
        <v>0</v>
      </c>
      <c r="GT4363" s="181">
        <v>0</v>
      </c>
    </row>
    <row r="4364" spans="1:202">
      <c r="A4364" s="181" t="s">
        <v>250</v>
      </c>
      <c r="GR4364" s="181" t="s">
        <v>876</v>
      </c>
      <c r="GS4364" s="181">
        <v>0</v>
      </c>
      <c r="GT4364" s="181">
        <v>0</v>
      </c>
    </row>
    <row r="4365" spans="1:202">
      <c r="A4365" s="181" t="s">
        <v>250</v>
      </c>
      <c r="GR4365" s="181" t="s">
        <v>1383</v>
      </c>
      <c r="GS4365" s="181">
        <v>0</v>
      </c>
      <c r="GT4365" s="181">
        <v>0</v>
      </c>
    </row>
    <row r="4366" spans="1:202">
      <c r="A4366" s="181" t="s">
        <v>250</v>
      </c>
      <c r="GR4366" s="181" t="s">
        <v>1909</v>
      </c>
      <c r="GS4366" s="181">
        <v>6</v>
      </c>
      <c r="GT4366" s="181">
        <v>12</v>
      </c>
    </row>
    <row r="4367" spans="1:202">
      <c r="A4367" s="181" t="s">
        <v>250</v>
      </c>
      <c r="GR4367" s="181">
        <v>0</v>
      </c>
      <c r="GS4367" s="181">
        <v>0</v>
      </c>
      <c r="GT4367" s="181">
        <v>0</v>
      </c>
    </row>
    <row r="4368" spans="1:202">
      <c r="A4368" s="181" t="s">
        <v>250</v>
      </c>
      <c r="GR4368" s="181">
        <v>0</v>
      </c>
      <c r="GS4368" s="181">
        <v>0</v>
      </c>
      <c r="GT4368" s="181">
        <v>0</v>
      </c>
    </row>
    <row r="4369" spans="1:202">
      <c r="A4369" s="181" t="s">
        <v>250</v>
      </c>
      <c r="GR4369" s="181">
        <v>0</v>
      </c>
      <c r="GS4369" s="181">
        <v>0</v>
      </c>
      <c r="GT4369" s="181">
        <v>0</v>
      </c>
    </row>
    <row r="4370" spans="1:202">
      <c r="A4370" s="181" t="s">
        <v>250</v>
      </c>
      <c r="GR4370" s="181">
        <v>0</v>
      </c>
      <c r="GS4370" s="181">
        <v>0</v>
      </c>
      <c r="GT4370" s="181">
        <v>0</v>
      </c>
    </row>
    <row r="4371" spans="1:202">
      <c r="A4371" s="181" t="s">
        <v>250</v>
      </c>
      <c r="GR4371" s="181">
        <v>0</v>
      </c>
      <c r="GS4371" s="181">
        <v>0</v>
      </c>
      <c r="GT4371" s="181">
        <v>0</v>
      </c>
    </row>
    <row r="4372" spans="1:202">
      <c r="A4372" s="181" t="s">
        <v>250</v>
      </c>
      <c r="GR4372" s="181">
        <v>0</v>
      </c>
      <c r="GS4372" s="181">
        <v>0</v>
      </c>
      <c r="GT4372" s="181">
        <v>0</v>
      </c>
    </row>
    <row r="4373" spans="1:202">
      <c r="A4373" s="181" t="s">
        <v>250</v>
      </c>
      <c r="GR4373" s="181">
        <v>0</v>
      </c>
      <c r="GS4373" s="181">
        <v>0</v>
      </c>
      <c r="GT4373" s="181">
        <v>0</v>
      </c>
    </row>
    <row r="4374" spans="1:202">
      <c r="A4374" s="181" t="s">
        <v>250</v>
      </c>
      <c r="GR4374" s="181">
        <v>0</v>
      </c>
      <c r="GS4374" s="181">
        <v>0</v>
      </c>
      <c r="GT4374" s="181">
        <v>0</v>
      </c>
    </row>
    <row r="4375" spans="1:202">
      <c r="A4375" s="181" t="s">
        <v>250</v>
      </c>
      <c r="GR4375" s="181">
        <v>0</v>
      </c>
      <c r="GS4375" s="181">
        <v>0</v>
      </c>
      <c r="GT4375" s="181">
        <v>0</v>
      </c>
    </row>
    <row r="4376" spans="1:202">
      <c r="A4376" s="181" t="s">
        <v>250</v>
      </c>
      <c r="GR4376" s="181">
        <v>0</v>
      </c>
      <c r="GS4376" s="181">
        <v>0</v>
      </c>
      <c r="GT4376" s="181">
        <v>0</v>
      </c>
    </row>
    <row r="4377" spans="1:202">
      <c r="A4377" s="181" t="s">
        <v>250</v>
      </c>
      <c r="GR4377" s="181">
        <v>0</v>
      </c>
      <c r="GS4377" s="181">
        <v>0</v>
      </c>
      <c r="GT4377" s="181">
        <v>0</v>
      </c>
    </row>
    <row r="4378" spans="1:202">
      <c r="A4378" s="181" t="s">
        <v>250</v>
      </c>
      <c r="GR4378" s="181">
        <v>0</v>
      </c>
      <c r="GS4378" s="181">
        <v>0</v>
      </c>
      <c r="GT4378" s="181">
        <v>0</v>
      </c>
    </row>
    <row r="4379" spans="1:202">
      <c r="A4379" s="181" t="s">
        <v>250</v>
      </c>
      <c r="GR4379" s="181">
        <v>0</v>
      </c>
      <c r="GS4379" s="181">
        <v>0</v>
      </c>
      <c r="GT4379" s="181">
        <v>0</v>
      </c>
    </row>
    <row r="4380" spans="1:202">
      <c r="A4380" s="181" t="s">
        <v>250</v>
      </c>
      <c r="GS4380" s="181">
        <v>6</v>
      </c>
      <c r="GT4380" s="181">
        <v>1462360</v>
      </c>
    </row>
    <row r="4381" spans="1:202">
      <c r="A4381" s="181" t="s">
        <v>250</v>
      </c>
      <c r="GR4381" s="181" t="s">
        <v>309</v>
      </c>
      <c r="GS4381" s="181">
        <v>0</v>
      </c>
      <c r="GT4381" s="181">
        <v>0</v>
      </c>
    </row>
    <row r="4382" spans="1:202">
      <c r="A4382" s="181" t="s">
        <v>250</v>
      </c>
      <c r="GS4382" s="181">
        <v>334206.00000000006</v>
      </c>
      <c r="GT4382" s="181">
        <v>2130760</v>
      </c>
    </row>
    <row r="4383" spans="1:202">
      <c r="A4383" s="181" t="s">
        <v>250</v>
      </c>
      <c r="GR4383" s="181" t="s">
        <v>312</v>
      </c>
      <c r="GS4383" s="181">
        <v>0</v>
      </c>
      <c r="GT4383" s="181">
        <v>0</v>
      </c>
    </row>
    <row r="4384" spans="1:202">
      <c r="A4384" s="181" t="s">
        <v>250</v>
      </c>
      <c r="GR4384" s="181" t="s">
        <v>312</v>
      </c>
      <c r="GS4384" s="181">
        <v>0</v>
      </c>
      <c r="GT4384" s="181">
        <v>0</v>
      </c>
    </row>
    <row r="4385" spans="1:202">
      <c r="A4385" s="181" t="s">
        <v>250</v>
      </c>
      <c r="GR4385" s="181" t="s">
        <v>312</v>
      </c>
      <c r="GS4385" s="181">
        <v>0</v>
      </c>
      <c r="GT4385" s="181">
        <v>0</v>
      </c>
    </row>
    <row r="4386" spans="1:202">
      <c r="A4386" s="181" t="s">
        <v>250</v>
      </c>
      <c r="GR4386" s="181" t="s">
        <v>312</v>
      </c>
      <c r="GS4386" s="181">
        <v>0</v>
      </c>
      <c r="GT4386" s="181">
        <v>0</v>
      </c>
    </row>
    <row r="4387" spans="1:202">
      <c r="A4387" s="181" t="s">
        <v>250</v>
      </c>
      <c r="GR4387" s="181" t="s">
        <v>312</v>
      </c>
      <c r="GS4387" s="181">
        <v>0</v>
      </c>
      <c r="GT4387" s="181">
        <v>0</v>
      </c>
    </row>
    <row r="4388" spans="1:202">
      <c r="A4388" s="181" t="s">
        <v>250</v>
      </c>
      <c r="GR4388" s="181" t="s">
        <v>312</v>
      </c>
      <c r="GS4388" s="181">
        <v>0</v>
      </c>
      <c r="GT4388" s="181">
        <v>0</v>
      </c>
    </row>
    <row r="4389" spans="1:202">
      <c r="A4389" s="181" t="s">
        <v>250</v>
      </c>
      <c r="GR4389" s="181" t="s">
        <v>312</v>
      </c>
      <c r="GS4389" s="181">
        <v>0</v>
      </c>
      <c r="GT4389" s="181">
        <v>0</v>
      </c>
    </row>
    <row r="4390" spans="1:202">
      <c r="A4390" s="181" t="s">
        <v>250</v>
      </c>
      <c r="GR4390" s="181" t="s">
        <v>877</v>
      </c>
      <c r="GS4390" s="181">
        <v>0</v>
      </c>
      <c r="GT4390" s="181">
        <v>0</v>
      </c>
    </row>
    <row r="4391" spans="1:202">
      <c r="A4391" s="181" t="s">
        <v>250</v>
      </c>
      <c r="GR4391" s="181" t="s">
        <v>878</v>
      </c>
      <c r="GS4391" s="181">
        <v>0</v>
      </c>
      <c r="GT4391" s="181">
        <v>0</v>
      </c>
    </row>
    <row r="4392" spans="1:202">
      <c r="A4392" s="181" t="s">
        <v>250</v>
      </c>
      <c r="GR4392" s="181" t="s">
        <v>878</v>
      </c>
      <c r="GS4392" s="181">
        <v>58581.57620046215</v>
      </c>
      <c r="GT4392" s="181">
        <v>117163.1524009243</v>
      </c>
    </row>
    <row r="4393" spans="1:202">
      <c r="A4393" s="181" t="s">
        <v>250</v>
      </c>
      <c r="GR4393" s="181" t="s">
        <v>878</v>
      </c>
      <c r="GS4393" s="181">
        <v>0</v>
      </c>
      <c r="GT4393" s="181">
        <v>0</v>
      </c>
    </row>
    <row r="4394" spans="1:202">
      <c r="A4394" s="181" t="s">
        <v>250</v>
      </c>
      <c r="GR4394" s="181" t="s">
        <v>878</v>
      </c>
      <c r="GS4394" s="181">
        <v>0</v>
      </c>
      <c r="GT4394" s="181">
        <v>0</v>
      </c>
    </row>
    <row r="4395" spans="1:202">
      <c r="A4395" s="181" t="s">
        <v>250</v>
      </c>
      <c r="GR4395" s="181" t="s">
        <v>878</v>
      </c>
      <c r="GS4395" s="181">
        <v>0</v>
      </c>
      <c r="GT4395" s="181">
        <v>0</v>
      </c>
    </row>
    <row r="4396" spans="1:202">
      <c r="A4396" s="181" t="s">
        <v>250</v>
      </c>
      <c r="GR4396" s="181" t="s">
        <v>878</v>
      </c>
      <c r="GS4396" s="181">
        <v>0</v>
      </c>
      <c r="GT4396" s="181">
        <v>0</v>
      </c>
    </row>
    <row r="4397" spans="1:202">
      <c r="A4397" s="181" t="s">
        <v>250</v>
      </c>
      <c r="GR4397" s="181" t="s">
        <v>878</v>
      </c>
      <c r="GS4397" s="181">
        <v>0</v>
      </c>
      <c r="GT4397" s="181">
        <v>0</v>
      </c>
    </row>
    <row r="4398" spans="1:202">
      <c r="A4398" s="181" t="s">
        <v>250</v>
      </c>
      <c r="GR4398" s="181" t="s">
        <v>878</v>
      </c>
      <c r="GS4398" s="181">
        <v>0</v>
      </c>
      <c r="GT4398" s="181">
        <v>0</v>
      </c>
    </row>
    <row r="4399" spans="1:202">
      <c r="A4399" s="181" t="s">
        <v>250</v>
      </c>
      <c r="GR4399" s="181" t="s">
        <v>878</v>
      </c>
      <c r="GS4399" s="181">
        <v>0</v>
      </c>
      <c r="GT4399" s="181">
        <v>0</v>
      </c>
    </row>
    <row r="4400" spans="1:202">
      <c r="A4400" s="181" t="s">
        <v>250</v>
      </c>
      <c r="GR4400" s="181" t="s">
        <v>879</v>
      </c>
      <c r="GS4400" s="181">
        <v>0</v>
      </c>
      <c r="GT4400" s="181">
        <v>0</v>
      </c>
    </row>
    <row r="4401" spans="1:202">
      <c r="A4401" s="181" t="s">
        <v>250</v>
      </c>
      <c r="GR4401" s="181" t="s">
        <v>1715</v>
      </c>
      <c r="GS4401" s="181">
        <v>95258.411327301408</v>
      </c>
      <c r="GT4401" s="181">
        <v>190516.82265460282</v>
      </c>
    </row>
    <row r="4402" spans="1:202">
      <c r="A4402" s="181" t="s">
        <v>250</v>
      </c>
      <c r="GR4402" s="181" t="s">
        <v>880</v>
      </c>
      <c r="GS4402" s="181">
        <v>34336.120833333334</v>
      </c>
      <c r="GT4402" s="181">
        <v>68672.241666666669</v>
      </c>
    </row>
    <row r="4403" spans="1:202">
      <c r="A4403" s="181" t="s">
        <v>250</v>
      </c>
      <c r="GR4403" s="181" t="s">
        <v>881</v>
      </c>
      <c r="GS4403" s="181">
        <v>91798</v>
      </c>
      <c r="GT4403" s="181">
        <v>183596</v>
      </c>
    </row>
    <row r="4404" spans="1:202">
      <c r="A4404" s="181" t="s">
        <v>250</v>
      </c>
      <c r="GR4404" s="181" t="s">
        <v>885</v>
      </c>
      <c r="GS4404" s="181">
        <v>10000</v>
      </c>
      <c r="GT4404" s="181">
        <v>20000</v>
      </c>
    </row>
    <row r="4405" spans="1:202">
      <c r="A4405" s="181" t="s">
        <v>250</v>
      </c>
      <c r="GR4405" s="181" t="s">
        <v>1910</v>
      </c>
      <c r="GS4405" s="181">
        <v>0</v>
      </c>
      <c r="GT4405" s="181">
        <v>0</v>
      </c>
    </row>
    <row r="4406" spans="1:202">
      <c r="A4406" s="181" t="s">
        <v>250</v>
      </c>
      <c r="GR4406" s="181">
        <v>0</v>
      </c>
      <c r="GS4406" s="181">
        <v>0</v>
      </c>
      <c r="GT4406" s="181">
        <v>0</v>
      </c>
    </row>
    <row r="4407" spans="1:202">
      <c r="A4407" s="181" t="s">
        <v>250</v>
      </c>
      <c r="GR4407" s="181">
        <v>0</v>
      </c>
      <c r="GS4407" s="181">
        <v>0</v>
      </c>
      <c r="GT4407" s="181">
        <v>0</v>
      </c>
    </row>
    <row r="4408" spans="1:202">
      <c r="A4408" s="181" t="s">
        <v>250</v>
      </c>
      <c r="GR4408" s="181">
        <v>0</v>
      </c>
      <c r="GS4408" s="181">
        <v>0</v>
      </c>
      <c r="GT4408" s="181">
        <v>0</v>
      </c>
    </row>
    <row r="4409" spans="1:202">
      <c r="A4409" s="181" t="s">
        <v>250</v>
      </c>
      <c r="GR4409" s="181">
        <v>0</v>
      </c>
      <c r="GS4409" s="181">
        <v>0</v>
      </c>
      <c r="GT4409" s="181">
        <v>0</v>
      </c>
    </row>
    <row r="4410" spans="1:202">
      <c r="A4410" s="181" t="s">
        <v>250</v>
      </c>
      <c r="GR4410" s="181">
        <v>0</v>
      </c>
      <c r="GS4410" s="181">
        <v>0</v>
      </c>
      <c r="GT4410" s="181">
        <v>0</v>
      </c>
    </row>
    <row r="4411" spans="1:202">
      <c r="A4411" s="181" t="s">
        <v>250</v>
      </c>
      <c r="GR4411" s="181">
        <v>0</v>
      </c>
      <c r="GS4411" s="181">
        <v>0</v>
      </c>
      <c r="GT4411" s="181">
        <v>0</v>
      </c>
    </row>
    <row r="4412" spans="1:202">
      <c r="A4412" s="181" t="s">
        <v>250</v>
      </c>
      <c r="GR4412" s="181">
        <v>0</v>
      </c>
      <c r="GS4412" s="181">
        <v>0</v>
      </c>
      <c r="GT4412" s="181">
        <v>0</v>
      </c>
    </row>
    <row r="4413" spans="1:202">
      <c r="A4413" s="181" t="s">
        <v>250</v>
      </c>
      <c r="GR4413" s="181">
        <v>0</v>
      </c>
      <c r="GS4413" s="181">
        <v>0</v>
      </c>
      <c r="GT4413" s="181">
        <v>0</v>
      </c>
    </row>
    <row r="4414" spans="1:202">
      <c r="A4414" s="181" t="s">
        <v>250</v>
      </c>
      <c r="GR4414" s="181">
        <v>0</v>
      </c>
      <c r="GS4414" s="181">
        <v>0</v>
      </c>
      <c r="GT4414" s="181">
        <v>0</v>
      </c>
    </row>
    <row r="4415" spans="1:202">
      <c r="A4415" s="181" t="s">
        <v>250</v>
      </c>
      <c r="GR4415" s="181">
        <v>0</v>
      </c>
      <c r="GS4415" s="181">
        <v>0</v>
      </c>
      <c r="GT4415" s="181">
        <v>0</v>
      </c>
    </row>
    <row r="4416" spans="1:202">
      <c r="A4416" s="181" t="s">
        <v>250</v>
      </c>
      <c r="GR4416" s="181">
        <v>0</v>
      </c>
      <c r="GS4416" s="181">
        <v>0</v>
      </c>
      <c r="GT4416" s="181">
        <v>0</v>
      </c>
    </row>
    <row r="4417" spans="1:202">
      <c r="A4417" s="181" t="s">
        <v>250</v>
      </c>
      <c r="GR4417" s="181">
        <v>0</v>
      </c>
      <c r="GS4417" s="181">
        <v>0</v>
      </c>
      <c r="GT4417" s="181">
        <v>0</v>
      </c>
    </row>
    <row r="4418" spans="1:202">
      <c r="A4418" s="181" t="s">
        <v>250</v>
      </c>
      <c r="GR4418" s="181">
        <v>0</v>
      </c>
      <c r="GS4418" s="181">
        <v>0</v>
      </c>
      <c r="GT4418" s="181">
        <v>0</v>
      </c>
    </row>
    <row r="4419" spans="1:202">
      <c r="A4419" s="181" t="s">
        <v>250</v>
      </c>
      <c r="GR4419" s="181" t="s">
        <v>1911</v>
      </c>
      <c r="GS4419" s="181">
        <v>0</v>
      </c>
      <c r="GT4419" s="181">
        <v>0</v>
      </c>
    </row>
    <row r="4420" spans="1:202">
      <c r="A4420" s="181" t="s">
        <v>250</v>
      </c>
      <c r="GR4420" s="181" t="s">
        <v>1912</v>
      </c>
      <c r="GS4420" s="181">
        <v>0</v>
      </c>
      <c r="GT4420" s="181">
        <v>0</v>
      </c>
    </row>
    <row r="4421" spans="1:202">
      <c r="A4421" s="181" t="s">
        <v>250</v>
      </c>
      <c r="GR4421" s="181" t="s">
        <v>1913</v>
      </c>
      <c r="GS4421" s="181">
        <v>0</v>
      </c>
      <c r="GT4421" s="181">
        <v>0</v>
      </c>
    </row>
    <row r="4422" spans="1:202">
      <c r="A4422" s="181" t="s">
        <v>250</v>
      </c>
      <c r="GR4422" s="181" t="s">
        <v>882</v>
      </c>
      <c r="GS4422" s="181">
        <v>0</v>
      </c>
      <c r="GT4422" s="181">
        <v>0</v>
      </c>
    </row>
    <row r="4423" spans="1:202">
      <c r="A4423" s="181" t="s">
        <v>250</v>
      </c>
      <c r="GR4423" s="181" t="s">
        <v>1914</v>
      </c>
      <c r="GS4423" s="181">
        <v>12000</v>
      </c>
      <c r="GT4423" s="181">
        <v>24000</v>
      </c>
    </row>
    <row r="4424" spans="1:202">
      <c r="A4424" s="181" t="s">
        <v>250</v>
      </c>
      <c r="GR4424" s="181" t="s">
        <v>1915</v>
      </c>
      <c r="GS4424" s="181">
        <v>0</v>
      </c>
      <c r="GT4424" s="181">
        <v>0</v>
      </c>
    </row>
    <row r="4425" spans="1:202">
      <c r="A4425" s="181" t="s">
        <v>250</v>
      </c>
      <c r="GR4425" s="181" t="s">
        <v>1916</v>
      </c>
      <c r="GS4425" s="181">
        <v>0</v>
      </c>
      <c r="GT4425" s="181">
        <v>0</v>
      </c>
    </row>
    <row r="4426" spans="1:202">
      <c r="A4426" s="181" t="s">
        <v>250</v>
      </c>
      <c r="GR4426" s="181" t="s">
        <v>882</v>
      </c>
      <c r="GS4426" s="181">
        <v>0</v>
      </c>
      <c r="GT4426" s="181">
        <v>0</v>
      </c>
    </row>
    <row r="4427" spans="1:202">
      <c r="A4427" s="181" t="s">
        <v>250</v>
      </c>
      <c r="GR4427" s="181" t="s">
        <v>882</v>
      </c>
      <c r="GS4427" s="181">
        <v>0</v>
      </c>
      <c r="GT4427" s="181">
        <v>0</v>
      </c>
    </row>
    <row r="4428" spans="1:202">
      <c r="A4428" s="181" t="s">
        <v>250</v>
      </c>
      <c r="GR4428" s="181" t="s">
        <v>882</v>
      </c>
      <c r="GS4428" s="181">
        <v>0</v>
      </c>
      <c r="GT4428" s="181">
        <v>0</v>
      </c>
    </row>
    <row r="4429" spans="1:202">
      <c r="A4429" s="181" t="s">
        <v>250</v>
      </c>
      <c r="GR4429" s="181" t="s">
        <v>882</v>
      </c>
      <c r="GS4429" s="181">
        <v>0</v>
      </c>
      <c r="GT4429" s="181">
        <v>0</v>
      </c>
    </row>
    <row r="4430" spans="1:202">
      <c r="A4430" s="181" t="s">
        <v>250</v>
      </c>
      <c r="GR4430" s="181" t="s">
        <v>882</v>
      </c>
      <c r="GS4430" s="181">
        <v>0</v>
      </c>
      <c r="GT4430" s="181">
        <v>0</v>
      </c>
    </row>
    <row r="4431" spans="1:202">
      <c r="A4431" s="181" t="s">
        <v>250</v>
      </c>
      <c r="GR4431" s="181" t="s">
        <v>883</v>
      </c>
      <c r="GS4431" s="181">
        <v>0</v>
      </c>
      <c r="GT4431" s="181">
        <v>0</v>
      </c>
    </row>
    <row r="4432" spans="1:202">
      <c r="A4432" s="181" t="s">
        <v>250</v>
      </c>
      <c r="GR4432" s="181" t="s">
        <v>1920</v>
      </c>
      <c r="GS4432" s="181">
        <v>0</v>
      </c>
      <c r="GT4432" s="181">
        <v>0</v>
      </c>
    </row>
    <row r="4433" spans="1:202">
      <c r="A4433" s="181" t="s">
        <v>250</v>
      </c>
      <c r="GR4433" s="181" t="s">
        <v>1920</v>
      </c>
      <c r="GS4433" s="181">
        <v>0</v>
      </c>
      <c r="GT4433" s="181">
        <v>0</v>
      </c>
    </row>
    <row r="4434" spans="1:202">
      <c r="A4434" s="181" t="s">
        <v>250</v>
      </c>
      <c r="GR4434" s="181" t="s">
        <v>1920</v>
      </c>
      <c r="GS4434" s="181">
        <v>0</v>
      </c>
      <c r="GT4434" s="181">
        <v>0</v>
      </c>
    </row>
    <row r="4435" spans="1:202">
      <c r="A4435" s="181" t="s">
        <v>250</v>
      </c>
      <c r="GR4435" s="181" t="s">
        <v>1920</v>
      </c>
      <c r="GS4435" s="181">
        <v>0</v>
      </c>
      <c r="GT4435" s="181">
        <v>0</v>
      </c>
    </row>
    <row r="4436" spans="1:202">
      <c r="A4436" s="181" t="s">
        <v>250</v>
      </c>
      <c r="GR4436" s="181" t="s">
        <v>308</v>
      </c>
      <c r="GS4436" s="181">
        <v>0</v>
      </c>
      <c r="GT4436" s="181">
        <v>0</v>
      </c>
    </row>
    <row r="4437" spans="1:202">
      <c r="A4437" s="181" t="s">
        <v>250</v>
      </c>
      <c r="GR4437" s="181" t="s">
        <v>874</v>
      </c>
      <c r="GS4437" s="181">
        <v>0</v>
      </c>
      <c r="GT4437" s="181">
        <v>0</v>
      </c>
    </row>
    <row r="4438" spans="1:202">
      <c r="A4438" s="181" t="s">
        <v>250</v>
      </c>
      <c r="GR4438" s="181" t="s">
        <v>874</v>
      </c>
      <c r="GS4438" s="181">
        <v>0</v>
      </c>
      <c r="GT4438" s="181">
        <v>0</v>
      </c>
    </row>
    <row r="4439" spans="1:202">
      <c r="A4439" s="181" t="s">
        <v>250</v>
      </c>
      <c r="GR4439" s="181" t="s">
        <v>874</v>
      </c>
      <c r="GS4439" s="181">
        <v>0</v>
      </c>
      <c r="GT4439" s="181">
        <v>0</v>
      </c>
    </row>
    <row r="4440" spans="1:202">
      <c r="A4440" s="181" t="s">
        <v>250</v>
      </c>
      <c r="GR4440" s="181" t="s">
        <v>874</v>
      </c>
      <c r="GS4440" s="181">
        <v>0</v>
      </c>
      <c r="GT4440" s="181">
        <v>0</v>
      </c>
    </row>
    <row r="4441" spans="1:202">
      <c r="A4441" s="181" t="s">
        <v>250</v>
      </c>
      <c r="GR4441" s="181" t="s">
        <v>870</v>
      </c>
      <c r="GS4441" s="181">
        <v>0</v>
      </c>
      <c r="GT4441" s="181">
        <v>0</v>
      </c>
    </row>
    <row r="4442" spans="1:202">
      <c r="A4442" s="181" t="s">
        <v>250</v>
      </c>
      <c r="GR4442" s="181" t="s">
        <v>309</v>
      </c>
      <c r="GS4442" s="181">
        <v>0</v>
      </c>
      <c r="GT4442" s="181">
        <v>0</v>
      </c>
    </row>
    <row r="4443" spans="1:202">
      <c r="A4443" s="181" t="s">
        <v>250</v>
      </c>
      <c r="GR4443" s="181" t="s">
        <v>309</v>
      </c>
      <c r="GS4443" s="181">
        <v>0</v>
      </c>
      <c r="GT4443" s="181">
        <v>0</v>
      </c>
    </row>
    <row r="4444" spans="1:202">
      <c r="A4444" s="181" t="s">
        <v>250</v>
      </c>
      <c r="GR4444" s="181" t="s">
        <v>309</v>
      </c>
      <c r="GS4444" s="181">
        <v>0</v>
      </c>
      <c r="GT4444" s="181">
        <v>0</v>
      </c>
    </row>
    <row r="4445" spans="1:202">
      <c r="A4445" s="181" t="s">
        <v>250</v>
      </c>
      <c r="GS4445" s="181">
        <v>301974.10836109694</v>
      </c>
      <c r="GT4445" s="181">
        <v>603948.21672219376</v>
      </c>
    </row>
    <row r="4446" spans="1:202">
      <c r="A4446" s="181" t="s">
        <v>250</v>
      </c>
      <c r="GR4446" s="181" t="s">
        <v>875</v>
      </c>
      <c r="GS4446" s="181">
        <v>0</v>
      </c>
      <c r="GT4446" s="181">
        <v>0</v>
      </c>
    </row>
    <row r="4447" spans="1:202">
      <c r="A4447" s="181" t="s">
        <v>250</v>
      </c>
      <c r="GR4447" s="181" t="s">
        <v>875</v>
      </c>
      <c r="GS4447" s="181">
        <v>0</v>
      </c>
      <c r="GT4447" s="181">
        <v>0</v>
      </c>
    </row>
    <row r="4448" spans="1:202">
      <c r="A4448" s="181" t="s">
        <v>250</v>
      </c>
      <c r="GR4448" s="181" t="s">
        <v>875</v>
      </c>
      <c r="GS4448" s="181">
        <v>0</v>
      </c>
      <c r="GT4448" s="181">
        <v>0</v>
      </c>
    </row>
    <row r="4449" spans="1:202">
      <c r="A4449" s="181" t="s">
        <v>250</v>
      </c>
      <c r="GR4449" s="181" t="s">
        <v>1917</v>
      </c>
      <c r="GS4449" s="181">
        <v>34893</v>
      </c>
      <c r="GT4449" s="181">
        <v>69786</v>
      </c>
    </row>
    <row r="4450" spans="1:202">
      <c r="A4450" s="181" t="s">
        <v>250</v>
      </c>
      <c r="GR4450" s="181" t="s">
        <v>1918</v>
      </c>
      <c r="GS4450" s="181">
        <v>0</v>
      </c>
      <c r="GT4450" s="181">
        <v>0</v>
      </c>
    </row>
    <row r="4451" spans="1:202">
      <c r="A4451" s="181" t="s">
        <v>250</v>
      </c>
      <c r="GR4451" s="181" t="s">
        <v>1919</v>
      </c>
      <c r="GS4451" s="181">
        <v>0</v>
      </c>
      <c r="GT4451" s="181">
        <v>0</v>
      </c>
    </row>
    <row r="4452" spans="1:202">
      <c r="A4452" s="181" t="s">
        <v>250</v>
      </c>
      <c r="GR4452" s="181" t="s">
        <v>310</v>
      </c>
      <c r="GS4452" s="181">
        <v>0</v>
      </c>
      <c r="GT4452" s="181">
        <v>0</v>
      </c>
    </row>
    <row r="4453" spans="1:202">
      <c r="A4453" s="181" t="s">
        <v>250</v>
      </c>
      <c r="GR4453" s="181" t="s">
        <v>310</v>
      </c>
      <c r="GS4453" s="181">
        <v>0</v>
      </c>
      <c r="GT4453" s="181">
        <v>0</v>
      </c>
    </row>
    <row r="4454" spans="1:202">
      <c r="A4454" s="181" t="s">
        <v>250</v>
      </c>
      <c r="GR4454" s="181" t="s">
        <v>310</v>
      </c>
      <c r="GS4454" s="181">
        <v>0</v>
      </c>
      <c r="GT4454" s="181">
        <v>0</v>
      </c>
    </row>
    <row r="4455" spans="1:202">
      <c r="A4455" s="181" t="s">
        <v>250</v>
      </c>
      <c r="GR4455" s="181" t="s">
        <v>310</v>
      </c>
      <c r="GS4455" s="181">
        <v>0</v>
      </c>
      <c r="GT4455" s="181">
        <v>0</v>
      </c>
    </row>
    <row r="4456" spans="1:202">
      <c r="A4456" s="181" t="s">
        <v>250</v>
      </c>
      <c r="GR4456" s="181" t="s">
        <v>310</v>
      </c>
      <c r="GS4456" s="181">
        <v>0</v>
      </c>
      <c r="GT4456" s="181">
        <v>0</v>
      </c>
    </row>
    <row r="4457" spans="1:202">
      <c r="A4457" s="181" t="s">
        <v>250</v>
      </c>
      <c r="GR4457" s="181" t="s">
        <v>310</v>
      </c>
      <c r="GS4457" s="181">
        <v>0</v>
      </c>
      <c r="GT4457" s="181">
        <v>0</v>
      </c>
    </row>
    <row r="4458" spans="1:202">
      <c r="A4458" s="181" t="s">
        <v>250</v>
      </c>
      <c r="GR4458" s="181" t="s">
        <v>310</v>
      </c>
      <c r="GS4458" s="181">
        <v>0</v>
      </c>
      <c r="GT4458" s="181">
        <v>0</v>
      </c>
    </row>
    <row r="4459" spans="1:202">
      <c r="A4459" s="181" t="s">
        <v>250</v>
      </c>
      <c r="GR4459" s="181" t="s">
        <v>310</v>
      </c>
      <c r="GS4459" s="181">
        <v>0</v>
      </c>
      <c r="GT4459" s="181">
        <v>0</v>
      </c>
    </row>
    <row r="4460" spans="1:202">
      <c r="A4460" s="181" t="s">
        <v>250</v>
      </c>
      <c r="GR4460" s="181" t="s">
        <v>876</v>
      </c>
      <c r="GS4460" s="181">
        <v>0</v>
      </c>
      <c r="GT4460" s="181">
        <v>0</v>
      </c>
    </row>
    <row r="4461" spans="1:202">
      <c r="A4461" s="181" t="s">
        <v>250</v>
      </c>
      <c r="GR4461" s="181" t="s">
        <v>876</v>
      </c>
      <c r="GS4461" s="181">
        <v>0</v>
      </c>
      <c r="GT4461" s="181">
        <v>0</v>
      </c>
    </row>
    <row r="4462" spans="1:202">
      <c r="A4462" s="181" t="s">
        <v>250</v>
      </c>
      <c r="GR4462" s="181" t="s">
        <v>876</v>
      </c>
      <c r="GS4462" s="181">
        <v>0</v>
      </c>
      <c r="GT4462" s="181">
        <v>0</v>
      </c>
    </row>
    <row r="4463" spans="1:202">
      <c r="A4463" s="181" t="s">
        <v>250</v>
      </c>
      <c r="GR4463" s="181" t="s">
        <v>876</v>
      </c>
      <c r="GS4463" s="181">
        <v>0</v>
      </c>
      <c r="GT4463" s="181">
        <v>0</v>
      </c>
    </row>
    <row r="4464" spans="1:202">
      <c r="A4464" s="181" t="s">
        <v>250</v>
      </c>
      <c r="GR4464" s="181" t="s">
        <v>333</v>
      </c>
      <c r="GS4464" s="181">
        <v>0</v>
      </c>
      <c r="GT4464" s="181">
        <v>0</v>
      </c>
    </row>
    <row r="4465" spans="1:202">
      <c r="A4465" s="181" t="s">
        <v>250</v>
      </c>
      <c r="GR4465" s="181">
        <v>0</v>
      </c>
      <c r="GS4465" s="181">
        <v>0</v>
      </c>
      <c r="GT4465" s="181">
        <v>0</v>
      </c>
    </row>
    <row r="4466" spans="1:202">
      <c r="A4466" s="181" t="s">
        <v>250</v>
      </c>
      <c r="GR4466" s="181">
        <v>0</v>
      </c>
      <c r="GS4466" s="181">
        <v>0</v>
      </c>
      <c r="GT4466" s="181">
        <v>0</v>
      </c>
    </row>
    <row r="4467" spans="1:202">
      <c r="A4467" s="181" t="s">
        <v>250</v>
      </c>
      <c r="GR4467" s="181">
        <v>0</v>
      </c>
      <c r="GS4467" s="181">
        <v>0</v>
      </c>
      <c r="GT4467" s="181">
        <v>0</v>
      </c>
    </row>
    <row r="4468" spans="1:202">
      <c r="A4468" s="181" t="s">
        <v>250</v>
      </c>
      <c r="GR4468" s="181">
        <v>0</v>
      </c>
      <c r="GS4468" s="181">
        <v>0</v>
      </c>
      <c r="GT4468" s="181">
        <v>0</v>
      </c>
    </row>
    <row r="4469" spans="1:202">
      <c r="A4469" s="181" t="s">
        <v>250</v>
      </c>
      <c r="GR4469" s="181">
        <v>0</v>
      </c>
      <c r="GS4469" s="181">
        <v>0</v>
      </c>
      <c r="GT4469" s="181">
        <v>0</v>
      </c>
    </row>
    <row r="4470" spans="1:202">
      <c r="A4470" s="181" t="s">
        <v>250</v>
      </c>
      <c r="GR4470" s="181">
        <v>0</v>
      </c>
      <c r="GS4470" s="181">
        <v>0</v>
      </c>
      <c r="GT4470" s="181">
        <v>0</v>
      </c>
    </row>
    <row r="4471" spans="1:202">
      <c r="A4471" s="181" t="s">
        <v>250</v>
      </c>
      <c r="GR4471" s="181">
        <v>0</v>
      </c>
      <c r="GS4471" s="181">
        <v>0</v>
      </c>
      <c r="GT4471" s="181">
        <v>0</v>
      </c>
    </row>
    <row r="4472" spans="1:202">
      <c r="A4472" s="181" t="s">
        <v>250</v>
      </c>
      <c r="GR4472" s="181">
        <v>0</v>
      </c>
      <c r="GS4472" s="181">
        <v>0</v>
      </c>
      <c r="GT4472" s="181">
        <v>0</v>
      </c>
    </row>
    <row r="4473" spans="1:202">
      <c r="A4473" s="181" t="s">
        <v>250</v>
      </c>
      <c r="GR4473" s="181">
        <v>0</v>
      </c>
      <c r="GS4473" s="181">
        <v>0</v>
      </c>
      <c r="GT4473" s="181">
        <v>0</v>
      </c>
    </row>
    <row r="4474" spans="1:202">
      <c r="A4474" s="181" t="s">
        <v>250</v>
      </c>
      <c r="GR4474" s="181">
        <v>0</v>
      </c>
      <c r="GS4474" s="181">
        <v>0</v>
      </c>
      <c r="GT4474" s="181">
        <v>0</v>
      </c>
    </row>
    <row r="4475" spans="1:202">
      <c r="A4475" s="181" t="s">
        <v>250</v>
      </c>
      <c r="GR4475" s="181">
        <v>0</v>
      </c>
      <c r="GS4475" s="181">
        <v>0</v>
      </c>
      <c r="GT4475" s="181">
        <v>0</v>
      </c>
    </row>
    <row r="4476" spans="1:202">
      <c r="A4476" s="181" t="s">
        <v>250</v>
      </c>
      <c r="GR4476" s="181">
        <v>0</v>
      </c>
      <c r="GS4476" s="181">
        <v>0</v>
      </c>
      <c r="GT4476" s="181">
        <v>0</v>
      </c>
    </row>
    <row r="4477" spans="1:202">
      <c r="A4477" s="181" t="s">
        <v>250</v>
      </c>
      <c r="GR4477" s="181">
        <v>0</v>
      </c>
      <c r="GS4477" s="181">
        <v>0</v>
      </c>
      <c r="GT4477" s="181">
        <v>0</v>
      </c>
    </row>
    <row r="4478" spans="1:202">
      <c r="A4478" s="181" t="s">
        <v>250</v>
      </c>
      <c r="GR4478" s="181">
        <v>0</v>
      </c>
      <c r="GS4478" s="181">
        <v>0</v>
      </c>
      <c r="GT4478" s="181">
        <v>0</v>
      </c>
    </row>
    <row r="4479" spans="1:202">
      <c r="A4479" s="181" t="s">
        <v>250</v>
      </c>
      <c r="GR4479" s="181">
        <v>0</v>
      </c>
      <c r="GS4479" s="181">
        <v>0</v>
      </c>
      <c r="GT4479" s="181">
        <v>0</v>
      </c>
    </row>
    <row r="4480" spans="1:202">
      <c r="A4480" s="181" t="s">
        <v>250</v>
      </c>
      <c r="GS4480" s="181">
        <v>34893</v>
      </c>
      <c r="GT4480" s="181">
        <v>69786</v>
      </c>
    </row>
    <row r="4481" spans="1:202">
      <c r="A4481" s="181" t="s">
        <v>250</v>
      </c>
      <c r="GR4481" s="181" t="s">
        <v>1105</v>
      </c>
      <c r="GS4481" s="181">
        <v>0</v>
      </c>
      <c r="GT4481" s="181">
        <v>20000</v>
      </c>
    </row>
    <row r="4482" spans="1:202">
      <c r="A4482" s="181" t="s">
        <v>250</v>
      </c>
      <c r="GS4482" s="181">
        <v>336867.10836109694</v>
      </c>
      <c r="GT4482" s="181">
        <v>693734.21672219376</v>
      </c>
    </row>
    <row r="4483" spans="1:202">
      <c r="A4483" s="181" t="s">
        <v>250</v>
      </c>
      <c r="GS4483" s="181">
        <v>-2661.1083610968635</v>
      </c>
      <c r="GT4483" s="181">
        <v>1437025.7832778064</v>
      </c>
    </row>
    <row r="4484" spans="1:202">
      <c r="A4484" s="181" t="s">
        <v>250</v>
      </c>
      <c r="GS4484" s="181">
        <v>56267</v>
      </c>
      <c r="GT4484" s="181">
        <v>56267</v>
      </c>
    </row>
    <row r="4485" spans="1:202">
      <c r="A4485" s="181" t="s">
        <v>250</v>
      </c>
    </row>
    <row r="4486" spans="1:202">
      <c r="A4486" s="181" t="s">
        <v>250</v>
      </c>
    </row>
    <row r="4487" spans="1:202">
      <c r="A4487" s="181" t="s">
        <v>250</v>
      </c>
    </row>
    <row r="4488" spans="1:202">
      <c r="A4488" s="181" t="s">
        <v>250</v>
      </c>
    </row>
    <row r="4489" spans="1:202">
      <c r="A4489" s="181" t="s">
        <v>250</v>
      </c>
    </row>
    <row r="4490" spans="1:202">
      <c r="A4490" s="181" t="s">
        <v>250</v>
      </c>
    </row>
    <row r="4491" spans="1:202">
      <c r="A4491" s="181" t="s">
        <v>250</v>
      </c>
    </row>
    <row r="4492" spans="1:202">
      <c r="A4492" s="181" t="s">
        <v>250</v>
      </c>
    </row>
    <row r="4493" spans="1:202">
      <c r="A4493" s="181" t="s">
        <v>250</v>
      </c>
    </row>
    <row r="4494" spans="1:202">
      <c r="A4494" s="181" t="s">
        <v>250</v>
      </c>
    </row>
    <row r="4495" spans="1:202">
      <c r="A4495" s="181" t="s">
        <v>250</v>
      </c>
    </row>
    <row r="4496" spans="1:202">
      <c r="A4496" s="181" t="s">
        <v>250</v>
      </c>
    </row>
    <row r="4497" spans="1:1">
      <c r="A4497" s="181" t="s">
        <v>250</v>
      </c>
    </row>
    <row r="4498" spans="1:1">
      <c r="A4498" s="181" t="s">
        <v>250</v>
      </c>
    </row>
    <row r="4499" spans="1:1">
      <c r="A4499" s="181" t="s">
        <v>250</v>
      </c>
    </row>
    <row r="4500" spans="1:1">
      <c r="A4500" s="181" t="s">
        <v>250</v>
      </c>
    </row>
  </sheetData>
  <autoFilter ref="A1:JQ45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E60000"/>
    <pageSetUpPr fitToPage="1"/>
  </sheetPr>
  <dimension ref="A1:M23"/>
  <sheetViews>
    <sheetView rightToLeft="1" view="pageBreakPreview" topLeftCell="A2" zoomScaleNormal="100" zoomScaleSheetLayoutView="100" workbookViewId="0">
      <selection activeCell="A7" sqref="A7:H8"/>
    </sheetView>
  </sheetViews>
  <sheetFormatPr defaultColWidth="9" defaultRowHeight="15"/>
  <cols>
    <col min="1" max="1" width="3" style="5" customWidth="1"/>
    <col min="2" max="2" width="9.42578125" style="5" customWidth="1"/>
    <col min="3" max="6" width="13.140625" style="5" customWidth="1"/>
    <col min="7" max="7" width="9.42578125" style="5" bestFit="1" customWidth="1"/>
    <col min="8" max="10" width="9" style="5"/>
    <col min="11" max="11" width="9" style="212" hidden="1" customWidth="1"/>
    <col min="12" max="13" width="0" style="5" hidden="1" customWidth="1"/>
    <col min="14" max="16384" width="9" style="5"/>
  </cols>
  <sheetData>
    <row r="1" spans="1:13" ht="43.5" customHeight="1">
      <c r="A1" s="2665" t="s">
        <v>27</v>
      </c>
      <c r="B1" s="2665"/>
      <c r="C1" s="2665"/>
      <c r="D1" s="2665"/>
      <c r="E1" s="2665"/>
      <c r="F1" s="2665"/>
      <c r="G1" s="2665"/>
      <c r="H1" s="2665"/>
    </row>
    <row r="2" spans="1:13" ht="32.25">
      <c r="C2" s="723"/>
      <c r="D2" s="724"/>
      <c r="E2" s="724"/>
      <c r="F2" s="724"/>
    </row>
    <row r="3" spans="1:13" ht="32.25">
      <c r="C3" s="723"/>
      <c r="D3" s="724"/>
      <c r="E3" s="724"/>
      <c r="F3" s="724"/>
    </row>
    <row r="4" spans="1:13" ht="24.75">
      <c r="A4" s="2668" t="s">
        <v>359</v>
      </c>
      <c r="B4" s="2668"/>
      <c r="C4" s="2668"/>
      <c r="D4" s="2671" t="str">
        <f>First!A59</f>
        <v>انبارهای عمومی و خدمات گمرکی ایران</v>
      </c>
      <c r="E4" s="2671"/>
      <c r="F4" s="2671"/>
      <c r="G4" s="89"/>
      <c r="H4" s="89"/>
    </row>
    <row r="5" spans="1:13" ht="35.25">
      <c r="C5" s="726"/>
      <c r="D5" s="724"/>
      <c r="E5" s="724"/>
      <c r="F5" s="724"/>
    </row>
    <row r="6" spans="1:13" ht="24.75">
      <c r="A6" s="2668" t="s">
        <v>359</v>
      </c>
      <c r="B6" s="2668"/>
      <c r="C6" s="2668"/>
      <c r="D6" s="2670" t="s">
        <v>3201</v>
      </c>
      <c r="E6" s="2670"/>
      <c r="F6" s="2670"/>
    </row>
    <row r="7" spans="1:13" ht="40.5" customHeight="1">
      <c r="A7" s="2669" t="s">
        <v>1240</v>
      </c>
      <c r="B7" s="2669"/>
      <c r="C7" s="2669"/>
      <c r="D7" s="2669"/>
      <c r="E7" s="2669"/>
      <c r="F7" s="2669"/>
      <c r="G7" s="2669"/>
      <c r="H7" s="2669"/>
    </row>
    <row r="8" spans="1:13" ht="32.25" customHeight="1">
      <c r="A8" s="2669"/>
      <c r="B8" s="2669"/>
      <c r="C8" s="2669"/>
      <c r="D8" s="2669"/>
      <c r="E8" s="2669"/>
      <c r="F8" s="2669"/>
      <c r="G8" s="2669"/>
      <c r="H8" s="2669"/>
    </row>
    <row r="9" spans="1:13" ht="36">
      <c r="C9" s="1086" t="s">
        <v>379</v>
      </c>
      <c r="D9" s="1087">
        <v>1405</v>
      </c>
      <c r="E9" s="1086" t="s">
        <v>1241</v>
      </c>
      <c r="F9" s="1087" t="s">
        <v>1243</v>
      </c>
      <c r="K9" s="212" t="s">
        <v>354</v>
      </c>
      <c r="L9" s="5">
        <v>1403</v>
      </c>
      <c r="M9" s="5" t="s">
        <v>1242</v>
      </c>
    </row>
    <row r="10" spans="1:13" ht="24.75">
      <c r="A10" s="2666" t="s">
        <v>353</v>
      </c>
      <c r="B10" s="2666"/>
      <c r="C10" s="2666"/>
      <c r="D10" s="2666"/>
      <c r="E10" s="89" t="s">
        <v>354</v>
      </c>
      <c r="F10" s="89"/>
      <c r="G10" s="89"/>
      <c r="H10" s="89"/>
      <c r="K10" s="212" t="s">
        <v>355</v>
      </c>
      <c r="L10" s="5">
        <v>1404</v>
      </c>
      <c r="M10" s="5" t="s">
        <v>1243</v>
      </c>
    </row>
    <row r="11" spans="1:13" ht="24.75">
      <c r="C11" s="727"/>
      <c r="D11" s="727"/>
      <c r="E11" s="727"/>
      <c r="F11" s="727"/>
      <c r="K11" s="212" t="s">
        <v>356</v>
      </c>
      <c r="L11" s="5">
        <v>1405</v>
      </c>
    </row>
    <row r="12" spans="1:13" ht="24.75">
      <c r="C12" s="727"/>
      <c r="D12" s="727"/>
      <c r="E12" s="727"/>
      <c r="F12" s="727"/>
      <c r="K12" s="212" t="s">
        <v>357</v>
      </c>
      <c r="L12" s="5">
        <v>1406</v>
      </c>
    </row>
    <row r="13" spans="1:13" ht="24.75">
      <c r="C13" s="727"/>
      <c r="D13" s="727"/>
      <c r="E13" s="727"/>
      <c r="F13" s="727"/>
      <c r="K13" s="212" t="s">
        <v>358</v>
      </c>
      <c r="L13" s="5">
        <v>1407</v>
      </c>
    </row>
    <row r="14" spans="1:13" ht="24.75">
      <c r="C14" s="727"/>
      <c r="D14" s="727"/>
      <c r="E14" s="727"/>
      <c r="F14" s="727"/>
      <c r="L14" s="5">
        <v>1408</v>
      </c>
    </row>
    <row r="15" spans="1:13" ht="24.75">
      <c r="C15" s="727"/>
      <c r="D15" s="727"/>
      <c r="E15" s="727"/>
      <c r="F15" s="727"/>
      <c r="L15" s="5">
        <v>1409</v>
      </c>
    </row>
    <row r="16" spans="1:13" ht="24.75">
      <c r="C16" s="727"/>
      <c r="D16" s="727"/>
      <c r="E16" s="727"/>
      <c r="F16" s="727"/>
      <c r="L16" s="5">
        <v>1410</v>
      </c>
    </row>
    <row r="17" spans="1:8" ht="24.75" hidden="1">
      <c r="C17" s="727"/>
      <c r="D17" s="724"/>
      <c r="E17" s="724"/>
      <c r="F17" s="728"/>
    </row>
    <row r="18" spans="1:8" ht="24.75" hidden="1">
      <c r="C18" s="727"/>
      <c r="D18" s="724"/>
      <c r="E18" s="724"/>
      <c r="F18" s="724"/>
    </row>
    <row r="19" spans="1:8" ht="24.75">
      <c r="C19" s="725"/>
      <c r="D19" s="724"/>
      <c r="E19" s="724"/>
      <c r="F19" s="724"/>
    </row>
    <row r="20" spans="1:8" ht="24.75">
      <c r="C20" s="725"/>
      <c r="D20" s="724"/>
      <c r="E20" s="729"/>
      <c r="F20" s="724"/>
    </row>
    <row r="21" spans="1:8" ht="24.75">
      <c r="C21" s="725"/>
      <c r="D21" s="724"/>
      <c r="E21" s="724"/>
      <c r="F21" s="724"/>
    </row>
    <row r="22" spans="1:8" ht="24.75">
      <c r="C22" s="725"/>
      <c r="D22" s="724"/>
      <c r="E22" s="724"/>
      <c r="F22" s="724"/>
    </row>
    <row r="23" spans="1:8" ht="24.75">
      <c r="A23" s="2666" t="s">
        <v>391</v>
      </c>
      <c r="B23" s="2666"/>
      <c r="C23" s="2666"/>
      <c r="D23" s="2666"/>
      <c r="E23" s="2667"/>
      <c r="F23" s="2667"/>
      <c r="G23" s="2667"/>
      <c r="H23" s="89"/>
    </row>
  </sheetData>
  <mergeCells count="9">
    <mergeCell ref="A1:H1"/>
    <mergeCell ref="A23:D23"/>
    <mergeCell ref="E23:G23"/>
    <mergeCell ref="A10:D10"/>
    <mergeCell ref="A4:C4"/>
    <mergeCell ref="A7:H8"/>
    <mergeCell ref="A6:C6"/>
    <mergeCell ref="D6:F6"/>
    <mergeCell ref="D4:F4"/>
  </mergeCells>
  <dataValidations count="3">
    <dataValidation type="list" allowBlank="1" showInputMessage="1" showErrorMessage="1" sqref="E10" xr:uid="{00000000-0002-0000-0200-000000000000}">
      <formula1>$K$9:$K$13</formula1>
    </dataValidation>
    <dataValidation type="list" allowBlank="1" showInputMessage="1" showErrorMessage="1" sqref="F9" xr:uid="{00000000-0002-0000-0200-000001000000}">
      <formula1>$M$9:$M$10</formula1>
    </dataValidation>
    <dataValidation type="list" allowBlank="1" showInputMessage="1" showErrorMessage="1" sqref="D9" xr:uid="{00000000-0002-0000-0200-000002000000}">
      <formula1>$L$9:$L$16</formula1>
    </dataValidation>
  </dataValidations>
  <printOptions horizontalCentered="1" verticalCentered="1"/>
  <pageMargins left="0.19685039370078741" right="0.59055118110236227" top="0.19685039370078741" bottom="0.59055118110236227"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tabColor rgb="FF002060"/>
    <pageSetUpPr fitToPage="1"/>
  </sheetPr>
  <dimension ref="A1:J94"/>
  <sheetViews>
    <sheetView rightToLeft="1" topLeftCell="A4" workbookViewId="0">
      <selection activeCell="A34" sqref="A34"/>
    </sheetView>
  </sheetViews>
  <sheetFormatPr defaultColWidth="9" defaultRowHeight="15"/>
  <cols>
    <col min="1" max="1" width="35.5703125" style="5" bestFit="1" customWidth="1"/>
    <col min="2" max="2" width="15.28515625" style="5" customWidth="1"/>
    <col min="3" max="3" width="5" style="5" customWidth="1"/>
    <col min="4" max="4" width="10.42578125" style="5" bestFit="1" customWidth="1"/>
    <col min="5" max="5" width="7.85546875" style="5" customWidth="1"/>
    <col min="6" max="6" width="4" style="5" customWidth="1"/>
    <col min="7" max="7" width="9.7109375" style="5" customWidth="1"/>
    <col min="8" max="8" width="1.85546875" style="5" customWidth="1"/>
    <col min="9" max="9" width="2.140625" style="5" customWidth="1"/>
    <col min="10" max="10" width="10.5703125" style="5" customWidth="1"/>
    <col min="11" max="11" width="4.7109375" style="5" customWidth="1"/>
    <col min="12" max="12" width="20.42578125" style="5" bestFit="1" customWidth="1"/>
    <col min="13" max="13" width="9.42578125" style="5" bestFit="1" customWidth="1"/>
    <col min="14" max="14" width="13.140625" style="5" bestFit="1" customWidth="1"/>
    <col min="15" max="15" width="11.42578125" style="5" bestFit="1" customWidth="1"/>
    <col min="16" max="16" width="17.42578125" style="5" bestFit="1" customWidth="1"/>
    <col min="17" max="17" width="15.7109375" style="5" bestFit="1" customWidth="1"/>
    <col min="18" max="18" width="11.7109375" style="5" bestFit="1" customWidth="1"/>
    <col min="19" max="19" width="15.42578125" style="5" bestFit="1" customWidth="1"/>
    <col min="20" max="20" width="11.42578125" style="5" bestFit="1" customWidth="1"/>
    <col min="21" max="16384" width="9" style="5"/>
  </cols>
  <sheetData>
    <row r="1" spans="1:10" hidden="1"/>
    <row r="2" spans="1:10" ht="38.25" customHeight="1">
      <c r="A2" s="1199" t="s">
        <v>199</v>
      </c>
      <c r="B2" s="2672" t="s">
        <v>335</v>
      </c>
      <c r="C2" s="2672"/>
      <c r="D2" s="2672"/>
      <c r="E2" s="2672"/>
      <c r="F2" s="2672"/>
      <c r="G2" s="2672"/>
      <c r="H2" s="2672"/>
      <c r="I2" s="2672"/>
      <c r="J2" s="2672"/>
    </row>
    <row r="18" spans="1:9" ht="20.25" customHeight="1"/>
    <row r="19" spans="1:9" s="18" customFormat="1" hidden="1"/>
    <row r="20" spans="1:9" s="169" customFormat="1" ht="18" hidden="1">
      <c r="A20" s="2493" t="s">
        <v>232</v>
      </c>
      <c r="B20" s="16" t="s">
        <v>265</v>
      </c>
      <c r="C20" s="16" t="s">
        <v>266</v>
      </c>
      <c r="D20" s="169" t="s">
        <v>267</v>
      </c>
      <c r="E20" s="169" t="s">
        <v>268</v>
      </c>
    </row>
    <row r="21" spans="1:9" s="16" customFormat="1" hidden="1">
      <c r="A21" s="2494" t="s">
        <v>252</v>
      </c>
      <c r="B21" s="16">
        <f>IFERROR(VLOOKUP(A21,$C$34:$H$39,4,FALSE),"")</f>
        <v>0</v>
      </c>
      <c r="C21" s="16">
        <f>IFERROR(VLOOKUP(A21,$C$34:$H$39,5,FALSE),"")</f>
        <v>0</v>
      </c>
      <c r="D21" s="16">
        <f>IFERROR(VLOOKUP(A21,$C$34:$H$39,6,FALSE),"")</f>
        <v>192</v>
      </c>
      <c r="E21" s="16">
        <f>IFERROR(VLOOKUP(A21,$C$34:$I$73,7,FALSE),"")</f>
        <v>192</v>
      </c>
    </row>
    <row r="22" spans="1:9" s="16" customFormat="1" hidden="1">
      <c r="A22" s="2494" t="s">
        <v>352</v>
      </c>
      <c r="B22" s="16" t="str">
        <f t="shared" ref="B22:B31" si="0">IFERROR(VLOOKUP(A22,$C$34:$H$39,4,FALSE),"")</f>
        <v/>
      </c>
      <c r="C22" s="16" t="str">
        <f t="shared" ref="C22:C31" si="1">IFERROR(VLOOKUP(A22,$C$34:$H$39,5,FALSE),"")</f>
        <v/>
      </c>
      <c r="D22" s="16" t="str">
        <f t="shared" ref="D22:D31" si="2">IFERROR(VLOOKUP(A22,$C$34:$H$39,6,FALSE),"")</f>
        <v/>
      </c>
      <c r="E22" s="16">
        <f>IFERROR(VLOOKUP(A22,$C$34:$I$73,7,FALSE),"")</f>
        <v>7637829</v>
      </c>
    </row>
    <row r="23" spans="1:9" s="16" customFormat="1" hidden="1">
      <c r="A23" s="2494" t="s">
        <v>372</v>
      </c>
      <c r="B23" s="16" t="str">
        <f t="shared" si="0"/>
        <v/>
      </c>
      <c r="C23" s="16" t="str">
        <f t="shared" si="1"/>
        <v/>
      </c>
      <c r="D23" s="16" t="str">
        <f t="shared" si="2"/>
        <v/>
      </c>
      <c r="E23" s="16">
        <f t="shared" ref="E23:E30" si="3">IFERROR(VLOOKUP(A23,$C$34:$I$73,7,FALSE),"")</f>
        <v>3329330</v>
      </c>
    </row>
    <row r="24" spans="1:9" s="16" customFormat="1" hidden="1">
      <c r="A24" s="2494" t="s">
        <v>862</v>
      </c>
      <c r="B24" s="16" t="str">
        <f t="shared" si="0"/>
        <v/>
      </c>
      <c r="C24" s="16" t="str">
        <f t="shared" si="1"/>
        <v/>
      </c>
      <c r="D24" s="16" t="str">
        <f t="shared" si="2"/>
        <v/>
      </c>
      <c r="E24" s="16">
        <f t="shared" si="3"/>
        <v>7737549</v>
      </c>
    </row>
    <row r="25" spans="1:9" s="16" customFormat="1" hidden="1">
      <c r="A25"/>
      <c r="B25" s="16" t="str">
        <f t="shared" si="0"/>
        <v/>
      </c>
      <c r="C25" s="16" t="str">
        <f t="shared" si="1"/>
        <v/>
      </c>
      <c r="D25" s="16" t="str">
        <f t="shared" si="2"/>
        <v/>
      </c>
      <c r="E25" s="16" t="str">
        <f t="shared" si="3"/>
        <v/>
      </c>
    </row>
    <row r="26" spans="1:9" s="16" customFormat="1" hidden="1">
      <c r="A26" s="730"/>
      <c r="B26" s="16" t="str">
        <f t="shared" si="0"/>
        <v/>
      </c>
      <c r="C26" s="16" t="str">
        <f t="shared" si="1"/>
        <v/>
      </c>
      <c r="D26" s="16" t="str">
        <f t="shared" si="2"/>
        <v/>
      </c>
      <c r="E26" s="16" t="str">
        <f t="shared" si="3"/>
        <v/>
      </c>
    </row>
    <row r="27" spans="1:9" s="16" customFormat="1" hidden="1">
      <c r="A27" s="730"/>
      <c r="B27" s="16" t="str">
        <f t="shared" si="0"/>
        <v/>
      </c>
      <c r="C27" s="16" t="str">
        <f t="shared" si="1"/>
        <v/>
      </c>
      <c r="D27" s="16" t="str">
        <f t="shared" si="2"/>
        <v/>
      </c>
      <c r="E27" s="16" t="str">
        <f t="shared" si="3"/>
        <v/>
      </c>
    </row>
    <row r="28" spans="1:9" s="16" customFormat="1" hidden="1">
      <c r="A28" s="730"/>
      <c r="B28" s="16" t="str">
        <f t="shared" si="0"/>
        <v/>
      </c>
      <c r="C28" s="16" t="str">
        <f t="shared" si="1"/>
        <v/>
      </c>
      <c r="D28" s="16" t="str">
        <f t="shared" si="2"/>
        <v/>
      </c>
      <c r="E28" s="16" t="str">
        <f t="shared" si="3"/>
        <v/>
      </c>
      <c r="H28" s="16" t="s">
        <v>264</v>
      </c>
      <c r="I28" s="16">
        <f>COUNTA(B21:B30)-COUNTBLANK(B21:B30)</f>
        <v>1</v>
      </c>
    </row>
    <row r="29" spans="1:9" s="16" customFormat="1" hidden="1">
      <c r="A29" s="730"/>
      <c r="B29" s="16" t="str">
        <f t="shared" si="0"/>
        <v/>
      </c>
      <c r="C29" s="16" t="str">
        <f t="shared" si="1"/>
        <v/>
      </c>
      <c r="D29" s="16" t="str">
        <f t="shared" si="2"/>
        <v/>
      </c>
      <c r="E29" s="16" t="str">
        <f t="shared" si="3"/>
        <v/>
      </c>
    </row>
    <row r="30" spans="1:9" s="16" customFormat="1" hidden="1">
      <c r="A30" s="730"/>
      <c r="B30" s="16" t="str">
        <f t="shared" si="0"/>
        <v/>
      </c>
      <c r="C30" s="16" t="str">
        <f t="shared" si="1"/>
        <v/>
      </c>
      <c r="D30" s="16" t="str">
        <f t="shared" si="2"/>
        <v/>
      </c>
      <c r="E30" s="16" t="str">
        <f t="shared" si="3"/>
        <v/>
      </c>
    </row>
    <row r="31" spans="1:9" s="16" customFormat="1" hidden="1">
      <c r="A31" s="16" t="s">
        <v>269</v>
      </c>
      <c r="B31" s="16" t="str">
        <f t="shared" si="0"/>
        <v/>
      </c>
      <c r="C31" s="16" t="str">
        <f t="shared" si="1"/>
        <v/>
      </c>
      <c r="D31" s="16" t="str">
        <f t="shared" si="2"/>
        <v/>
      </c>
      <c r="E31" s="16">
        <f>IFERROR(VLOOKUP(A31,$C$34:$I$73,7,FALSE),"")</f>
        <v>230</v>
      </c>
    </row>
    <row r="32" spans="1:9" s="16" customFormat="1" hidden="1">
      <c r="A32" s="730"/>
      <c r="B32" s="16" t="str">
        <f t="shared" ref="B32:B38" si="4">IFERROR(VLOOKUP(A33,$C$34:$E$39,3,FALSE),"")</f>
        <v/>
      </c>
    </row>
    <row r="33" spans="1:9" s="16" customFormat="1" hidden="1">
      <c r="A33" s="730"/>
      <c r="B33" s="16" t="str">
        <f t="shared" si="4"/>
        <v/>
      </c>
    </row>
    <row r="34" spans="1:9" s="16" customFormat="1" hidden="1">
      <c r="A34" s="730"/>
      <c r="B34" s="16" t="str">
        <f t="shared" si="4"/>
        <v/>
      </c>
      <c r="C34" s="16" t="s">
        <v>252</v>
      </c>
      <c r="E34" s="16" t="s">
        <v>257</v>
      </c>
      <c r="F34" s="16">
        <v>0</v>
      </c>
      <c r="G34" s="16">
        <v>0</v>
      </c>
      <c r="H34" s="16">
        <v>192</v>
      </c>
      <c r="I34" s="16">
        <v>192</v>
      </c>
    </row>
    <row r="35" spans="1:9" s="16" customFormat="1" hidden="1">
      <c r="B35" s="16" t="str">
        <f t="shared" si="4"/>
        <v/>
      </c>
      <c r="C35" s="16" t="s">
        <v>253</v>
      </c>
      <c r="E35" s="16" t="s">
        <v>258</v>
      </c>
      <c r="F35" s="16">
        <v>0</v>
      </c>
      <c r="G35" s="16">
        <v>0</v>
      </c>
      <c r="H35" s="16">
        <v>255</v>
      </c>
      <c r="I35" s="16">
        <v>8036607</v>
      </c>
    </row>
    <row r="36" spans="1:9" s="16" customFormat="1" hidden="1">
      <c r="B36" s="16" t="str">
        <f t="shared" si="4"/>
        <v/>
      </c>
      <c r="C36" s="16" t="s">
        <v>254</v>
      </c>
      <c r="E36" s="16" t="s">
        <v>259</v>
      </c>
      <c r="F36" s="16">
        <v>0</v>
      </c>
      <c r="G36" s="16">
        <v>192</v>
      </c>
      <c r="H36" s="16">
        <v>255</v>
      </c>
      <c r="I36" s="16">
        <v>49407</v>
      </c>
    </row>
    <row r="37" spans="1:9" s="16" customFormat="1" hidden="1">
      <c r="B37" s="16" t="str">
        <f t="shared" si="4"/>
        <v/>
      </c>
      <c r="C37" s="16" t="s">
        <v>256</v>
      </c>
      <c r="E37" s="16" t="s">
        <v>260</v>
      </c>
      <c r="F37" s="16">
        <v>0</v>
      </c>
      <c r="G37" s="16">
        <v>255</v>
      </c>
      <c r="H37" s="16">
        <v>255</v>
      </c>
      <c r="I37" s="16">
        <v>65535</v>
      </c>
    </row>
    <row r="38" spans="1:9" s="16" customFormat="1" hidden="1">
      <c r="B38" s="16" t="str">
        <f t="shared" si="4"/>
        <v/>
      </c>
      <c r="C38" s="16" t="s">
        <v>233</v>
      </c>
      <c r="E38" s="16" t="s">
        <v>261</v>
      </c>
      <c r="F38" s="16">
        <v>80</v>
      </c>
      <c r="G38" s="16">
        <v>176</v>
      </c>
      <c r="H38" s="16">
        <v>0</v>
      </c>
      <c r="I38" s="16">
        <v>5287936</v>
      </c>
    </row>
    <row r="39" spans="1:9" s="16" customFormat="1" hidden="1">
      <c r="C39" s="16" t="s">
        <v>231</v>
      </c>
      <c r="E39" s="16" t="s">
        <v>262</v>
      </c>
      <c r="F39" s="16">
        <v>240</v>
      </c>
      <c r="G39" s="16">
        <v>176</v>
      </c>
      <c r="H39" s="16">
        <v>0</v>
      </c>
      <c r="I39" s="16">
        <v>15773696</v>
      </c>
    </row>
    <row r="40" spans="1:9" s="16" customFormat="1" hidden="1">
      <c r="C40" s="16" t="s">
        <v>269</v>
      </c>
      <c r="I40" s="16">
        <v>230</v>
      </c>
    </row>
    <row r="41" spans="1:9" s="16" customFormat="1" hidden="1">
      <c r="C41" s="16" t="s">
        <v>352</v>
      </c>
      <c r="F41" s="16">
        <v>116</v>
      </c>
      <c r="G41" s="16">
        <v>139</v>
      </c>
      <c r="H41" s="16">
        <v>69</v>
      </c>
      <c r="I41" s="16">
        <v>7637829</v>
      </c>
    </row>
    <row r="42" spans="1:9" s="16" customFormat="1" hidden="1">
      <c r="C42" s="16" t="s">
        <v>372</v>
      </c>
      <c r="I42" s="16">
        <v>3329330</v>
      </c>
    </row>
    <row r="43" spans="1:9" s="16" customFormat="1" hidden="1">
      <c r="C43" s="16" t="s">
        <v>576</v>
      </c>
      <c r="I43" s="16">
        <v>11583693</v>
      </c>
    </row>
    <row r="44" spans="1:9" s="16" customFormat="1" hidden="1">
      <c r="C44" s="16" t="s">
        <v>619</v>
      </c>
      <c r="I44" s="16">
        <v>16711680</v>
      </c>
    </row>
    <row r="45" spans="1:9" s="16" customFormat="1" hidden="1">
      <c r="C45" s="16" t="s">
        <v>621</v>
      </c>
      <c r="I45" s="16">
        <v>1219071</v>
      </c>
    </row>
    <row r="46" spans="1:9" s="16" customFormat="1" hidden="1">
      <c r="C46" s="16" t="s">
        <v>622</v>
      </c>
      <c r="I46" s="16">
        <v>9125192</v>
      </c>
    </row>
    <row r="47" spans="1:9" s="16" customFormat="1" hidden="1">
      <c r="C47" s="16" t="s">
        <v>634</v>
      </c>
      <c r="I47" s="16">
        <v>9145088</v>
      </c>
    </row>
    <row r="48" spans="1:9" s="16" customFormat="1" hidden="1">
      <c r="C48" s="16" t="s">
        <v>861</v>
      </c>
      <c r="I48" s="16">
        <v>14822282</v>
      </c>
    </row>
    <row r="49" spans="1:9" s="16" customFormat="1" hidden="1">
      <c r="C49" s="16" t="s">
        <v>862</v>
      </c>
      <c r="I49" s="16">
        <v>7737549</v>
      </c>
    </row>
    <row r="50" spans="1:9" s="16" customFormat="1" hidden="1"/>
    <row r="51" spans="1:9" s="16" customFormat="1" hidden="1"/>
    <row r="52" spans="1:9" s="16" customFormat="1" hidden="1"/>
    <row r="53" spans="1:9" s="16" customFormat="1" hidden="1"/>
    <row r="54" spans="1:9" s="16" customFormat="1" hidden="1"/>
    <row r="55" spans="1:9" s="16" customFormat="1" hidden="1"/>
    <row r="56" spans="1:9" s="16" customFormat="1" hidden="1"/>
    <row r="57" spans="1:9" s="16" customFormat="1" hidden="1"/>
    <row r="58" spans="1:9" s="16" customFormat="1" hidden="1">
      <c r="A58" s="2491" t="s">
        <v>360</v>
      </c>
    </row>
    <row r="59" spans="1:9" s="16" customFormat="1" hidden="1">
      <c r="A59" s="2492" t="s">
        <v>235</v>
      </c>
    </row>
    <row r="60" spans="1:9" s="18" customFormat="1" hidden="1">
      <c r="A60" s="2492" t="s">
        <v>361</v>
      </c>
    </row>
    <row r="61" spans="1:9" s="18" customFormat="1" hidden="1">
      <c r="A61" s="730"/>
    </row>
    <row r="62" spans="1:9" s="18" customFormat="1" hidden="1">
      <c r="A62" s="730"/>
    </row>
    <row r="63" spans="1:9" s="18" customFormat="1" hidden="1">
      <c r="A63" s="730"/>
    </row>
    <row r="64" spans="1:9" s="18" customFormat="1" hidden="1">
      <c r="A64" s="730"/>
    </row>
    <row r="65" spans="1:6" s="18" customFormat="1" hidden="1">
      <c r="A65" s="730"/>
    </row>
    <row r="66" spans="1:6" s="18" customFormat="1" hidden="1">
      <c r="A66" s="730"/>
      <c r="C66" s="18" t="s">
        <v>341</v>
      </c>
    </row>
    <row r="67" spans="1:6" s="18" customFormat="1" hidden="1">
      <c r="A67" s="730"/>
    </row>
    <row r="68" spans="1:6" s="18" customFormat="1" hidden="1">
      <c r="A68" s="730"/>
      <c r="F68" s="18" t="s">
        <v>341</v>
      </c>
    </row>
    <row r="69" spans="1:6" s="18" customFormat="1" hidden="1">
      <c r="A69" s="730"/>
    </row>
    <row r="70" spans="1:6" s="18" customFormat="1" hidden="1">
      <c r="A70" s="730"/>
    </row>
    <row r="71" spans="1:6" s="18" customFormat="1" hidden="1">
      <c r="A71" s="730"/>
    </row>
    <row r="72" spans="1:6" s="18" customFormat="1" hidden="1">
      <c r="A72" s="730"/>
    </row>
    <row r="73" spans="1:6" s="18" customFormat="1" hidden="1">
      <c r="A73" s="730"/>
    </row>
    <row r="74" spans="1:6" s="18" customFormat="1" hidden="1">
      <c r="A74" s="730"/>
    </row>
    <row r="75" spans="1:6" s="18" customFormat="1" hidden="1">
      <c r="A75" s="730"/>
    </row>
    <row r="76" spans="1:6" s="18" customFormat="1" hidden="1">
      <c r="A76" s="730"/>
    </row>
    <row r="77" spans="1:6" s="79" customFormat="1">
      <c r="A77"/>
    </row>
    <row r="78" spans="1:6" s="79" customFormat="1"/>
    <row r="79" spans="1:6" s="79" customFormat="1"/>
    <row r="80" spans="1:6" s="79" customFormat="1"/>
    <row r="81" s="79" customFormat="1"/>
    <row r="82" s="79" customFormat="1"/>
    <row r="83" s="79" customFormat="1"/>
    <row r="84" s="79" customFormat="1"/>
    <row r="85" s="79" customFormat="1"/>
    <row r="86" s="79" customFormat="1"/>
    <row r="87" s="79" customFormat="1"/>
    <row r="88" s="79" customFormat="1"/>
    <row r="89" s="79" customFormat="1"/>
    <row r="90" s="79" customFormat="1"/>
    <row r="91" s="79" customFormat="1"/>
    <row r="92" s="79" customFormat="1"/>
    <row r="93" s="79" customFormat="1"/>
    <row r="94" s="79" customFormat="1"/>
  </sheetData>
  <mergeCells count="1">
    <mergeCell ref="B2:J2"/>
  </mergeCells>
  <pageMargins left="0.7" right="0.7" top="0.75" bottom="0.75" header="0.3" footer="0.3"/>
  <pageSetup paperSize="9" scale="76" fitToHeight="0" orientation="portrait" r:id="rId3"/>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4">
    <tabColor rgb="FF32CD32"/>
    <pageSetUpPr fitToPage="1"/>
  </sheetPr>
  <dimension ref="A1:BA112"/>
  <sheetViews>
    <sheetView rightToLeft="1" view="pageBreakPreview" zoomScale="60" zoomScaleNormal="100" workbookViewId="0">
      <selection activeCell="C35" sqref="C35"/>
    </sheetView>
  </sheetViews>
  <sheetFormatPr defaultColWidth="9" defaultRowHeight="15"/>
  <cols>
    <col min="1" max="14" width="9" style="41"/>
    <col min="15" max="16" width="9" style="93"/>
    <col min="17" max="19" width="9" style="93" customWidth="1"/>
    <col min="20" max="22" width="10.42578125" style="93" customWidth="1"/>
    <col min="23" max="23" width="9.28515625" style="93" bestFit="1" customWidth="1"/>
    <col min="24" max="24" width="16.28515625" style="93" bestFit="1" customWidth="1"/>
    <col min="25" max="25" width="7.5703125" style="93" bestFit="1" customWidth="1"/>
    <col min="26" max="26" width="8.5703125" style="93" bestFit="1" customWidth="1"/>
    <col min="27" max="27" width="11.42578125" style="93" bestFit="1" customWidth="1"/>
    <col min="28" max="28" width="14.7109375" style="93" bestFit="1" customWidth="1"/>
    <col min="29" max="29" width="12.7109375" style="93" bestFit="1" customWidth="1"/>
    <col min="30" max="30" width="12.5703125" style="93" bestFit="1" customWidth="1"/>
    <col min="31" max="31" width="10.5703125" style="93" bestFit="1" customWidth="1"/>
    <col min="32" max="32" width="12" style="93" bestFit="1" customWidth="1"/>
    <col min="33" max="34" width="15.85546875" style="93" bestFit="1" customWidth="1"/>
    <col min="35" max="38" width="9" style="140"/>
    <col min="39" max="53" width="9" style="208"/>
    <col min="54" max="16384" width="9" style="41"/>
  </cols>
  <sheetData>
    <row r="1" spans="1:42" ht="22.5">
      <c r="A1" s="2673" t="str">
        <f>'الف-ب-ج'!A2:F2</f>
        <v>انبارهای عمومی و خدمات گمرکی ایران</v>
      </c>
      <c r="B1" s="2673"/>
      <c r="C1" s="2673"/>
      <c r="D1" s="2673"/>
      <c r="E1" s="2673"/>
      <c r="F1" s="2673"/>
      <c r="G1" s="2673"/>
      <c r="H1" s="2673"/>
      <c r="I1" s="2673"/>
      <c r="J1" s="2673"/>
      <c r="K1" s="2673"/>
      <c r="L1" s="2673"/>
      <c r="M1" s="2673"/>
      <c r="N1" s="2673"/>
    </row>
    <row r="2" spans="1:42" ht="25.5">
      <c r="A2" s="2674" t="str">
        <f>"در یک نگاه عملکرد در مقایسه با بودجه دوره " &amp; روکش!F9 &amp; " سال " &amp; روکش!D9</f>
        <v>در یک نگاه عملکرد در مقایسه با بودجه دوره شش ماهه سال 1405</v>
      </c>
      <c r="B2" s="2674"/>
      <c r="C2" s="2674"/>
      <c r="D2" s="2674"/>
      <c r="E2" s="2674"/>
      <c r="F2" s="2674"/>
      <c r="G2" s="2674"/>
      <c r="H2" s="2674"/>
      <c r="I2" s="2674"/>
      <c r="J2" s="2674"/>
      <c r="K2" s="2674"/>
      <c r="L2" s="2674"/>
      <c r="M2" s="2674"/>
      <c r="N2" s="2674"/>
      <c r="T2" s="93" t="s">
        <v>216</v>
      </c>
      <c r="U2" s="93" t="s">
        <v>53</v>
      </c>
      <c r="AO2" s="208">
        <f>_xlfn.IFNA(S42,0)</f>
        <v>0</v>
      </c>
      <c r="AP2" s="208">
        <f ca="1">_xlfn.IFNA(T42,0)</f>
        <v>0</v>
      </c>
    </row>
    <row r="3" spans="1:42">
      <c r="S3" s="93" t="s">
        <v>336</v>
      </c>
      <c r="T3" s="671">
        <f>'صورت سود و زیان'!D11+'صورت سود و زیان'!D18+'سایر غیرعملیاتی'!D22</f>
        <v>3740969</v>
      </c>
      <c r="U3" s="671">
        <f ca="1">'صورت سود و زیان'!C11+'صورت سود و زیان'!C18+'سایر غیرعملیاتی'!C22</f>
        <v>2675144</v>
      </c>
    </row>
    <row r="4" spans="1:42">
      <c r="S4" s="93" t="s">
        <v>337</v>
      </c>
      <c r="T4" s="671">
        <f ca="1">-'صورت سود و زیان'!D15-'صورت سود و زیان'!D17-'صورت سود و زیان'!D19-'صورت سود و زیان'!D21+'سایر غیرعملیاتی'!D39</f>
        <v>3215048</v>
      </c>
      <c r="U4" s="671">
        <f ca="1">-'صورت سود و زیان'!C15-'صورت سود و زیان'!C17-'صورت سود و زیان'!C19-'صورت سود و زیان'!C21+'سایر غیرعملیاتی'!C39</f>
        <v>3958611</v>
      </c>
      <c r="W4" s="2675"/>
      <c r="X4" s="2675"/>
      <c r="Y4" s="2675"/>
      <c r="Z4" s="2675"/>
      <c r="AA4" s="2675"/>
      <c r="AB4" s="2675"/>
      <c r="AC4" s="2675"/>
      <c r="AD4" s="2675"/>
      <c r="AE4" s="2675"/>
      <c r="AF4" s="2675"/>
      <c r="AG4" s="2675"/>
      <c r="AH4" s="2675"/>
      <c r="AI4" s="2675"/>
    </row>
    <row r="5" spans="1:42">
      <c r="S5" s="93" t="s">
        <v>625</v>
      </c>
      <c r="T5" s="671">
        <f ca="1">'صورت سود و زیان'!D23</f>
        <v>525921</v>
      </c>
      <c r="U5" s="671">
        <f ca="1">'صورت سود و زیان'!C23</f>
        <v>-1283467</v>
      </c>
    </row>
    <row r="6" spans="1:42">
      <c r="T6" s="672"/>
      <c r="W6" s="673"/>
      <c r="X6" s="673"/>
      <c r="Y6" s="673"/>
      <c r="Z6" s="673"/>
      <c r="AA6" s="673"/>
      <c r="AB6" s="673"/>
      <c r="AC6" s="673"/>
      <c r="AD6" s="673"/>
      <c r="AE6" s="673"/>
      <c r="AF6" s="673"/>
      <c r="AG6" s="673"/>
      <c r="AH6" s="673"/>
      <c r="AI6" s="207"/>
    </row>
    <row r="7" spans="1:42">
      <c r="W7" s="673"/>
      <c r="X7" s="673"/>
      <c r="Y7" s="673"/>
      <c r="Z7" s="673"/>
      <c r="AA7" s="673"/>
      <c r="AB7" s="673"/>
      <c r="AC7" s="673"/>
      <c r="AD7" s="673"/>
      <c r="AE7" s="673"/>
      <c r="AF7" s="673"/>
      <c r="AG7" s="673"/>
      <c r="AH7" s="673"/>
    </row>
    <row r="8" spans="1:42">
      <c r="W8" s="673"/>
      <c r="X8" s="673"/>
      <c r="Y8" s="673"/>
      <c r="Z8" s="673"/>
      <c r="AA8" s="673"/>
      <c r="AB8" s="673"/>
      <c r="AC8" s="673"/>
      <c r="AD8" s="673"/>
      <c r="AE8" s="673"/>
      <c r="AF8" s="673"/>
      <c r="AG8" s="673"/>
      <c r="AH8" s="673"/>
    </row>
    <row r="9" spans="1:42">
      <c r="W9" s="673"/>
      <c r="X9" s="673"/>
      <c r="Y9" s="673"/>
      <c r="Z9" s="673"/>
      <c r="AA9" s="673"/>
      <c r="AB9" s="673"/>
      <c r="AC9" s="673"/>
      <c r="AD9" s="673"/>
      <c r="AE9" s="673"/>
      <c r="AF9" s="673"/>
      <c r="AG9" s="673"/>
      <c r="AH9" s="673"/>
    </row>
    <row r="10" spans="1:42">
      <c r="W10" s="673"/>
      <c r="X10" s="673"/>
      <c r="Y10" s="673"/>
      <c r="Z10" s="673"/>
      <c r="AA10" s="673"/>
      <c r="AB10" s="673"/>
      <c r="AC10" s="673"/>
      <c r="AD10" s="673"/>
      <c r="AE10" s="673"/>
      <c r="AF10" s="673"/>
      <c r="AG10" s="673"/>
      <c r="AH10" s="673"/>
    </row>
    <row r="11" spans="1:42">
      <c r="W11" s="673"/>
      <c r="X11" s="673"/>
      <c r="Y11" s="673"/>
      <c r="Z11" s="673"/>
      <c r="AA11" s="673"/>
      <c r="AB11" s="673"/>
      <c r="AC11" s="673"/>
      <c r="AD11" s="673"/>
      <c r="AE11" s="673"/>
      <c r="AF11" s="673"/>
      <c r="AG11" s="673"/>
      <c r="AH11" s="673"/>
    </row>
    <row r="12" spans="1:42">
      <c r="W12" s="673"/>
      <c r="X12" s="673"/>
      <c r="Y12" s="673"/>
      <c r="Z12" s="673"/>
      <c r="AA12" s="673"/>
      <c r="AB12" s="673"/>
      <c r="AC12" s="673"/>
      <c r="AD12" s="673"/>
      <c r="AE12" s="673"/>
      <c r="AF12" s="673"/>
      <c r="AG12" s="673"/>
      <c r="AH12" s="673"/>
    </row>
    <row r="13" spans="1:42">
      <c r="T13" s="93" t="s">
        <v>627</v>
      </c>
      <c r="U13" s="93" t="s">
        <v>53</v>
      </c>
      <c r="V13" s="93" t="s">
        <v>216</v>
      </c>
      <c r="W13" s="673"/>
      <c r="X13" s="673"/>
      <c r="Y13" s="673"/>
      <c r="Z13" s="673"/>
      <c r="AA13" s="673"/>
      <c r="AB13" s="673"/>
      <c r="AC13" s="673"/>
      <c r="AD13" s="673"/>
      <c r="AE13" s="673"/>
      <c r="AF13" s="673"/>
      <c r="AG13" s="673"/>
      <c r="AH13" s="673"/>
    </row>
    <row r="14" spans="1:42">
      <c r="T14" s="93" t="s">
        <v>628</v>
      </c>
      <c r="U14" s="671">
        <f ca="1">'هزینه اداری عمومی'!C26+'هزینه پرسنلی غیرمستقیم خدمات'!C31+'هزینه پرسنلی مستقیم خدمات'!C31+'هزینه پرسنلی غیرمستقیم تولید'!C31+'هزینه پرسنلی مستقیم تولید'!C31</f>
        <v>1356288</v>
      </c>
      <c r="V14" s="671">
        <f>'هزینه اداری عمومی'!D26+'هزینه پرسنلی غیرمستقیم خدمات'!D31+'هزینه پرسنلی مستقیم خدمات'!D31+'هزینه پرسنلی غیرمستقیم تولید'!D31+'هزینه پرسنلی مستقیم تولید'!D31</f>
        <v>1466479</v>
      </c>
      <c r="W14" s="673"/>
      <c r="X14" s="673"/>
      <c r="Y14" s="673"/>
      <c r="Z14" s="673"/>
      <c r="AA14" s="673"/>
      <c r="AB14" s="673"/>
      <c r="AC14" s="673"/>
      <c r="AD14" s="673"/>
      <c r="AE14" s="673"/>
      <c r="AF14" s="673"/>
      <c r="AG14" s="673"/>
      <c r="AH14" s="673"/>
    </row>
    <row r="15" spans="1:42">
      <c r="T15" s="93" t="s">
        <v>629</v>
      </c>
      <c r="U15" s="671">
        <f ca="1">'بهای تمام شده تولید'!C10+'بهای خدمات'!C10</f>
        <v>0</v>
      </c>
      <c r="V15" s="671">
        <f>'بهای تمام شده تولید'!D10+'بهای خدمات'!D10</f>
        <v>0</v>
      </c>
      <c r="W15" s="673"/>
      <c r="X15" s="673"/>
      <c r="Y15" s="673"/>
      <c r="Z15" s="674"/>
      <c r="AA15" s="673"/>
      <c r="AB15" s="673"/>
      <c r="AC15" s="673"/>
      <c r="AD15" s="673"/>
      <c r="AE15" s="673"/>
      <c r="AF15" s="673"/>
      <c r="AG15" s="673"/>
      <c r="AH15" s="673"/>
    </row>
    <row r="16" spans="1:42">
      <c r="T16" s="93" t="s">
        <v>630</v>
      </c>
      <c r="U16" s="671">
        <f ca="1">'هزینه سربار خدمات'!C31+'هزینه سربار تولید'!C26</f>
        <v>840989</v>
      </c>
      <c r="V16" s="671">
        <f>'هزینه سربار خدمات'!D31+'هزینه سربار تولید'!D26</f>
        <v>1708534</v>
      </c>
      <c r="W16" s="673"/>
      <c r="X16" s="673"/>
      <c r="Y16" s="673"/>
      <c r="Z16" s="674"/>
      <c r="AA16" s="673"/>
      <c r="AB16" s="673"/>
      <c r="AC16" s="673"/>
      <c r="AD16" s="673"/>
      <c r="AE16" s="673"/>
      <c r="AF16" s="673"/>
      <c r="AG16" s="673"/>
      <c r="AH16" s="673"/>
    </row>
    <row r="17" spans="1:53" s="93" customFormat="1">
      <c r="A17" s="312"/>
      <c r="B17" s="312"/>
      <c r="C17" s="312"/>
      <c r="D17" s="312"/>
      <c r="E17" s="312"/>
      <c r="F17" s="312"/>
      <c r="G17" s="312"/>
      <c r="H17" s="312"/>
      <c r="I17" s="312"/>
      <c r="J17" s="312"/>
      <c r="K17" s="312"/>
      <c r="L17" s="312"/>
      <c r="M17" s="312"/>
      <c r="N17" s="312"/>
      <c r="T17" s="93" t="s">
        <v>312</v>
      </c>
      <c r="U17" s="671">
        <f ca="1">'بهای کالای تجاری'!C11</f>
        <v>0</v>
      </c>
      <c r="V17" s="671">
        <f>'بهای کالای تجاری'!D11</f>
        <v>0</v>
      </c>
      <c r="W17" s="673"/>
      <c r="X17" s="673"/>
      <c r="Y17" s="673"/>
      <c r="Z17" s="674"/>
      <c r="AA17" s="673"/>
      <c r="AB17" s="673"/>
      <c r="AC17" s="673"/>
      <c r="AD17" s="673"/>
      <c r="AE17" s="673"/>
      <c r="AF17" s="673"/>
      <c r="AG17" s="673"/>
      <c r="AH17" s="673"/>
      <c r="AI17" s="140"/>
      <c r="AJ17" s="140"/>
      <c r="AK17" s="140"/>
      <c r="AL17" s="140"/>
      <c r="AM17" s="208"/>
      <c r="AN17" s="140"/>
      <c r="AO17" s="140"/>
      <c r="AP17" s="140"/>
      <c r="AQ17" s="140"/>
      <c r="AR17" s="140"/>
      <c r="AS17" s="140"/>
      <c r="AT17" s="140"/>
      <c r="AU17" s="140"/>
      <c r="AV17" s="140"/>
      <c r="AW17" s="140"/>
      <c r="AX17" s="140"/>
      <c r="AY17" s="140"/>
      <c r="AZ17" s="140"/>
      <c r="BA17" s="140"/>
    </row>
    <row r="18" spans="1:53" s="93" customFormat="1">
      <c r="T18" s="93" t="s">
        <v>333</v>
      </c>
      <c r="U18" s="675">
        <f ca="1">U4-SUM(U14:U17)</f>
        <v>1761334</v>
      </c>
      <c r="V18" s="675">
        <f ca="1">T4-SUM(V14:V17)</f>
        <v>40035</v>
      </c>
      <c r="W18" s="673"/>
      <c r="X18" s="673"/>
      <c r="Y18" s="673"/>
      <c r="Z18" s="674"/>
      <c r="AA18" s="673"/>
      <c r="AB18" s="673"/>
      <c r="AC18" s="673"/>
      <c r="AD18" s="673"/>
      <c r="AE18" s="673"/>
      <c r="AF18" s="673"/>
      <c r="AG18" s="673"/>
      <c r="AH18" s="673"/>
      <c r="AI18" s="140"/>
      <c r="AJ18" s="140"/>
      <c r="AK18" s="140"/>
      <c r="AL18" s="140"/>
      <c r="AM18" s="208"/>
      <c r="AN18" s="140"/>
      <c r="AO18" s="140"/>
      <c r="AP18" s="140"/>
      <c r="AQ18" s="140"/>
      <c r="AR18" s="140"/>
      <c r="AS18" s="140"/>
      <c r="AT18" s="140"/>
      <c r="AU18" s="140"/>
      <c r="AV18" s="140"/>
      <c r="AW18" s="140"/>
      <c r="AX18" s="140"/>
      <c r="AY18" s="140"/>
      <c r="AZ18" s="140"/>
      <c r="BA18" s="140"/>
    </row>
    <row r="19" spans="1:53" s="93" customFormat="1">
      <c r="U19" s="676"/>
      <c r="W19" s="673"/>
      <c r="X19" s="673"/>
      <c r="Y19" s="673"/>
      <c r="Z19" s="674"/>
      <c r="AA19" s="673"/>
      <c r="AB19" s="673"/>
      <c r="AC19" s="673"/>
      <c r="AD19" s="673"/>
      <c r="AE19" s="673"/>
      <c r="AF19" s="673"/>
      <c r="AG19" s="673"/>
      <c r="AH19" s="673"/>
      <c r="AI19" s="140"/>
      <c r="AJ19" s="140"/>
      <c r="AK19" s="140"/>
      <c r="AL19" s="140"/>
      <c r="AM19" s="208"/>
      <c r="AN19" s="140"/>
      <c r="AO19" s="140"/>
      <c r="AP19" s="140"/>
      <c r="AQ19" s="140"/>
      <c r="AR19" s="140"/>
      <c r="AS19" s="140"/>
      <c r="AT19" s="140"/>
      <c r="AU19" s="140"/>
      <c r="AV19" s="140"/>
      <c r="AW19" s="140"/>
      <c r="AX19" s="140"/>
      <c r="AY19" s="140"/>
      <c r="AZ19" s="140"/>
      <c r="BA19" s="140"/>
    </row>
    <row r="20" spans="1:53" s="93" customFormat="1">
      <c r="U20" s="676"/>
      <c r="W20" s="673"/>
      <c r="X20" s="673"/>
      <c r="Y20" s="673"/>
      <c r="Z20" s="674"/>
      <c r="AA20" s="673"/>
      <c r="AB20" s="673"/>
      <c r="AC20" s="673"/>
      <c r="AD20" s="673"/>
      <c r="AE20" s="673"/>
      <c r="AF20" s="673"/>
      <c r="AG20" s="673"/>
      <c r="AH20" s="673"/>
      <c r="AI20" s="140"/>
      <c r="AJ20" s="140"/>
      <c r="AK20" s="140"/>
      <c r="AL20" s="140"/>
      <c r="AM20" s="208"/>
      <c r="AN20" s="140"/>
      <c r="AO20" s="140"/>
      <c r="AP20" s="140"/>
      <c r="AQ20" s="140"/>
      <c r="AR20" s="140"/>
      <c r="AS20" s="140"/>
      <c r="AT20" s="140"/>
      <c r="AU20" s="140"/>
      <c r="AV20" s="140"/>
      <c r="AW20" s="140"/>
      <c r="AX20" s="140"/>
      <c r="AY20" s="140"/>
      <c r="AZ20" s="140"/>
      <c r="BA20" s="140"/>
    </row>
    <row r="21" spans="1:53" s="93" customFormat="1">
      <c r="U21" s="676"/>
      <c r="W21" s="673"/>
      <c r="X21" s="673"/>
      <c r="Y21" s="673"/>
      <c r="Z21" s="674"/>
      <c r="AA21" s="673"/>
      <c r="AB21" s="673"/>
      <c r="AC21" s="673"/>
      <c r="AD21" s="673"/>
      <c r="AE21" s="673"/>
      <c r="AF21" s="673"/>
      <c r="AG21" s="673"/>
      <c r="AH21" s="673"/>
      <c r="AI21" s="140"/>
      <c r="AJ21" s="140"/>
      <c r="AK21" s="140"/>
      <c r="AL21" s="140"/>
      <c r="AM21" s="208"/>
      <c r="AN21" s="140"/>
      <c r="AO21" s="140"/>
      <c r="AP21" s="140"/>
      <c r="AQ21" s="140"/>
      <c r="AR21" s="140"/>
      <c r="AS21" s="140"/>
      <c r="AT21" s="140"/>
      <c r="AU21" s="140"/>
      <c r="AV21" s="140"/>
      <c r="AW21" s="140"/>
      <c r="AX21" s="140"/>
      <c r="AY21" s="140"/>
      <c r="AZ21" s="140"/>
      <c r="BA21" s="140"/>
    </row>
    <row r="22" spans="1:53" s="93" customFormat="1" ht="11.25" customHeight="1">
      <c r="U22" s="676"/>
      <c r="W22" s="673"/>
      <c r="X22" s="673"/>
      <c r="Y22" s="673"/>
      <c r="Z22" s="674"/>
      <c r="AA22" s="673"/>
      <c r="AB22" s="673"/>
      <c r="AC22" s="673"/>
      <c r="AD22" s="673"/>
      <c r="AE22" s="673"/>
      <c r="AF22" s="673"/>
      <c r="AG22" s="673"/>
      <c r="AH22" s="673"/>
      <c r="AI22" s="140"/>
      <c r="AJ22" s="140"/>
      <c r="AK22" s="140"/>
      <c r="AL22" s="140"/>
      <c r="AM22" s="208"/>
      <c r="AN22" s="140"/>
      <c r="AO22" s="140"/>
      <c r="AP22" s="140"/>
      <c r="AQ22" s="140"/>
      <c r="AR22" s="140"/>
      <c r="AS22" s="140"/>
      <c r="AT22" s="140"/>
      <c r="AU22" s="140"/>
      <c r="AV22" s="140"/>
      <c r="AW22" s="140"/>
      <c r="AX22" s="140"/>
      <c r="AY22" s="140"/>
      <c r="AZ22" s="140"/>
      <c r="BA22" s="140"/>
    </row>
    <row r="23" spans="1:53" s="93" customFormat="1">
      <c r="U23" s="676"/>
      <c r="W23" s="673"/>
      <c r="X23" s="673"/>
      <c r="Y23" s="673"/>
      <c r="Z23" s="674"/>
      <c r="AA23" s="673"/>
      <c r="AB23" s="673"/>
      <c r="AC23" s="673"/>
      <c r="AD23" s="673"/>
      <c r="AE23" s="673"/>
      <c r="AF23" s="673"/>
      <c r="AG23" s="673"/>
      <c r="AH23" s="673"/>
      <c r="AI23" s="140"/>
      <c r="AJ23" s="140"/>
      <c r="AK23" s="140"/>
      <c r="AL23" s="140"/>
      <c r="AM23" s="208"/>
      <c r="AN23" s="140"/>
      <c r="AO23" s="140"/>
      <c r="AP23" s="140"/>
      <c r="AQ23" s="140"/>
      <c r="AR23" s="140"/>
      <c r="AS23" s="140"/>
      <c r="AT23" s="140"/>
      <c r="AU23" s="140"/>
      <c r="AV23" s="140"/>
      <c r="AW23" s="140"/>
      <c r="AX23" s="140"/>
      <c r="AY23" s="140"/>
      <c r="AZ23" s="140"/>
      <c r="BA23" s="140"/>
    </row>
    <row r="24" spans="1:53" s="93" customFormat="1">
      <c r="U24" s="676"/>
      <c r="W24" s="673"/>
      <c r="X24" s="673"/>
      <c r="Y24" s="673"/>
      <c r="Z24" s="674"/>
      <c r="AA24" s="673"/>
      <c r="AB24" s="673"/>
      <c r="AC24" s="673"/>
      <c r="AD24" s="673"/>
      <c r="AE24" s="673"/>
      <c r="AF24" s="673"/>
      <c r="AG24" s="673"/>
      <c r="AH24" s="673"/>
      <c r="AI24" s="140"/>
      <c r="AJ24" s="140"/>
      <c r="AK24" s="140"/>
      <c r="AL24" s="140"/>
      <c r="AM24" s="208"/>
      <c r="AN24" s="140"/>
      <c r="AO24" s="140"/>
      <c r="AP24" s="140"/>
      <c r="AQ24" s="140"/>
      <c r="AR24" s="140"/>
      <c r="AS24" s="140"/>
      <c r="AT24" s="140"/>
      <c r="AU24" s="140"/>
      <c r="AV24" s="140"/>
      <c r="AW24" s="140"/>
      <c r="AX24" s="140"/>
      <c r="AY24" s="140"/>
      <c r="AZ24" s="140"/>
      <c r="BA24" s="140"/>
    </row>
    <row r="25" spans="1:53" s="93" customFormat="1">
      <c r="U25" s="676"/>
      <c r="W25" s="673"/>
      <c r="X25" s="673"/>
      <c r="Y25" s="673"/>
      <c r="Z25" s="674"/>
      <c r="AA25" s="673"/>
      <c r="AB25" s="673"/>
      <c r="AC25" s="673"/>
      <c r="AD25" s="673"/>
      <c r="AE25" s="673"/>
      <c r="AF25" s="673"/>
      <c r="AG25" s="673"/>
      <c r="AH25" s="673"/>
      <c r="AI25" s="140"/>
      <c r="AJ25" s="140"/>
      <c r="AK25" s="140"/>
      <c r="AL25" s="140"/>
      <c r="AM25" s="208"/>
      <c r="AN25" s="140"/>
      <c r="AO25" s="140"/>
      <c r="AP25" s="140"/>
      <c r="AQ25" s="140"/>
      <c r="AR25" s="140"/>
      <c r="AS25" s="140"/>
      <c r="AT25" s="140"/>
      <c r="AU25" s="140"/>
      <c r="AV25" s="140"/>
      <c r="AW25" s="140"/>
      <c r="AX25" s="140"/>
      <c r="AY25" s="140"/>
      <c r="AZ25" s="140"/>
      <c r="BA25" s="140"/>
    </row>
    <row r="26" spans="1:53" s="93" customFormat="1">
      <c r="U26" s="676"/>
      <c r="W26" s="673"/>
      <c r="X26" s="673"/>
      <c r="Y26" s="673"/>
      <c r="Z26" s="674"/>
      <c r="AA26" s="673"/>
      <c r="AB26" s="673"/>
      <c r="AC26" s="673"/>
      <c r="AD26" s="673"/>
      <c r="AE26" s="673"/>
      <c r="AF26" s="673"/>
      <c r="AG26" s="673"/>
      <c r="AH26" s="673"/>
      <c r="AI26" s="140"/>
      <c r="AJ26" s="140"/>
      <c r="AK26" s="140"/>
      <c r="AL26" s="140"/>
      <c r="AM26" s="208"/>
      <c r="AN26" s="140"/>
      <c r="AO26" s="140"/>
      <c r="AP26" s="140"/>
      <c r="AQ26" s="140"/>
      <c r="AR26" s="140"/>
      <c r="AS26" s="140"/>
      <c r="AT26" s="140"/>
      <c r="AU26" s="140"/>
      <c r="AV26" s="140"/>
      <c r="AW26" s="140"/>
      <c r="AX26" s="140"/>
      <c r="AY26" s="140"/>
      <c r="AZ26" s="140"/>
      <c r="BA26" s="140"/>
    </row>
    <row r="27" spans="1:53" s="93" customFormat="1">
      <c r="U27" s="676" t="s">
        <v>53</v>
      </c>
      <c r="V27" s="93" t="s">
        <v>216</v>
      </c>
      <c r="W27" s="673"/>
      <c r="X27" s="673"/>
      <c r="Y27" s="673"/>
      <c r="Z27" s="674"/>
      <c r="AA27" s="673"/>
      <c r="AB27" s="673"/>
      <c r="AC27" s="673"/>
      <c r="AD27" s="673"/>
      <c r="AE27" s="673"/>
      <c r="AF27" s="673"/>
      <c r="AG27" s="673"/>
      <c r="AH27" s="673"/>
      <c r="AI27" s="140"/>
      <c r="AJ27" s="140"/>
      <c r="AK27" s="140"/>
      <c r="AL27" s="140"/>
      <c r="AM27" s="208"/>
      <c r="AN27" s="140"/>
      <c r="AO27" s="140"/>
      <c r="AP27" s="140"/>
      <c r="AQ27" s="140"/>
      <c r="AR27" s="140"/>
      <c r="AS27" s="140"/>
      <c r="AT27" s="140"/>
      <c r="AU27" s="140"/>
      <c r="AV27" s="140"/>
      <c r="AW27" s="140"/>
      <c r="AX27" s="140"/>
      <c r="AY27" s="140"/>
      <c r="AZ27" s="140"/>
      <c r="BA27" s="140"/>
    </row>
    <row r="28" spans="1:53" s="93" customFormat="1">
      <c r="T28" s="93" t="s">
        <v>631</v>
      </c>
      <c r="U28" s="676">
        <f ca="1">'تعداد پرسنل'!H10</f>
        <v>0</v>
      </c>
      <c r="V28" s="676">
        <f>'تعداد پرسنل'!N10</f>
        <v>0</v>
      </c>
      <c r="W28" s="673"/>
      <c r="X28" s="673"/>
      <c r="Y28" s="673"/>
      <c r="Z28" s="674"/>
      <c r="AA28" s="673"/>
      <c r="AB28" s="673"/>
      <c r="AC28" s="673"/>
      <c r="AD28" s="673"/>
      <c r="AE28" s="673"/>
      <c r="AF28" s="673"/>
      <c r="AG28" s="673"/>
      <c r="AH28" s="673"/>
      <c r="AI28" s="140"/>
      <c r="AJ28" s="140"/>
      <c r="AK28" s="140"/>
      <c r="AL28" s="140"/>
      <c r="AM28" s="208"/>
      <c r="AN28" s="140"/>
      <c r="AO28" s="140"/>
      <c r="AP28" s="140"/>
      <c r="AQ28" s="140"/>
      <c r="AR28" s="140"/>
      <c r="AS28" s="140"/>
      <c r="AT28" s="140"/>
      <c r="AU28" s="140"/>
      <c r="AV28" s="140"/>
      <c r="AW28" s="140"/>
      <c r="AX28" s="140"/>
      <c r="AY28" s="140"/>
      <c r="AZ28" s="140"/>
      <c r="BA28" s="140"/>
    </row>
    <row r="29" spans="1:53" s="93" customFormat="1">
      <c r="P29" s="93" t="s">
        <v>206</v>
      </c>
      <c r="T29" s="93" t="s">
        <v>632</v>
      </c>
      <c r="U29" s="676">
        <f ca="1">'تعداد پرسنل'!I10</f>
        <v>197</v>
      </c>
      <c r="V29" s="676">
        <f>'تعداد پرسنل'!O10</f>
        <v>193</v>
      </c>
      <c r="W29" s="673"/>
      <c r="X29" s="673"/>
      <c r="Y29" s="673"/>
      <c r="Z29" s="674"/>
      <c r="AA29" s="673"/>
      <c r="AB29" s="673"/>
      <c r="AC29" s="673"/>
      <c r="AD29" s="673"/>
      <c r="AE29" s="673"/>
      <c r="AF29" s="673"/>
      <c r="AG29" s="673"/>
      <c r="AH29" s="673"/>
      <c r="AI29" s="140"/>
      <c r="AJ29" s="140"/>
      <c r="AK29" s="140"/>
      <c r="AL29" s="140"/>
      <c r="AM29" s="208"/>
      <c r="AN29" s="140"/>
      <c r="AO29" s="140"/>
      <c r="AP29" s="140"/>
      <c r="AQ29" s="140"/>
      <c r="AR29" s="140"/>
      <c r="AS29" s="140"/>
      <c r="AT29" s="140"/>
      <c r="AU29" s="140"/>
      <c r="AV29" s="140"/>
      <c r="AW29" s="140"/>
      <c r="AX29" s="140"/>
      <c r="AY29" s="140"/>
      <c r="AZ29" s="140"/>
      <c r="BA29" s="140"/>
    </row>
    <row r="30" spans="1:53" s="93" customFormat="1">
      <c r="T30" s="93" t="s">
        <v>633</v>
      </c>
      <c r="U30" s="676">
        <f ca="1">'تعداد پرسنل'!J10</f>
        <v>110</v>
      </c>
      <c r="V30" s="676">
        <f>'تعداد پرسنل'!P10</f>
        <v>49</v>
      </c>
      <c r="W30" s="673"/>
      <c r="X30" s="673"/>
      <c r="Y30" s="673"/>
      <c r="Z30" s="674"/>
      <c r="AA30" s="673"/>
      <c r="AB30" s="673"/>
      <c r="AC30" s="673"/>
      <c r="AD30" s="673"/>
      <c r="AE30" s="673"/>
      <c r="AF30" s="673"/>
      <c r="AG30" s="673"/>
      <c r="AH30" s="673"/>
      <c r="AI30" s="140"/>
      <c r="AJ30" s="140"/>
      <c r="AK30" s="140"/>
      <c r="AL30" s="140"/>
      <c r="AM30" s="208"/>
      <c r="AN30" s="140"/>
      <c r="AO30" s="140"/>
      <c r="AP30" s="140"/>
      <c r="AQ30" s="140"/>
      <c r="AR30" s="140"/>
      <c r="AS30" s="140"/>
      <c r="AT30" s="140"/>
      <c r="AU30" s="140"/>
      <c r="AV30" s="140"/>
      <c r="AW30" s="140"/>
      <c r="AX30" s="140"/>
      <c r="AY30" s="140"/>
      <c r="AZ30" s="140"/>
      <c r="BA30" s="140"/>
    </row>
    <row r="31" spans="1:53" s="93" customFormat="1">
      <c r="U31" s="676">
        <f ca="1">SUM(U28:U30)</f>
        <v>307</v>
      </c>
      <c r="V31" s="676">
        <f>SUM(V28:V30)</f>
        <v>242</v>
      </c>
      <c r="W31" s="673"/>
      <c r="X31" s="673"/>
      <c r="Y31" s="673"/>
      <c r="Z31" s="674"/>
      <c r="AA31" s="673"/>
      <c r="AB31" s="673"/>
      <c r="AC31" s="673"/>
      <c r="AD31" s="673"/>
      <c r="AE31" s="673"/>
      <c r="AF31" s="673"/>
      <c r="AG31" s="673"/>
      <c r="AH31" s="673"/>
      <c r="AI31" s="140"/>
      <c r="AJ31" s="140"/>
      <c r="AK31" s="140"/>
      <c r="AL31" s="140"/>
      <c r="AM31" s="208"/>
      <c r="AN31" s="140"/>
      <c r="AO31" s="140"/>
      <c r="AP31" s="140"/>
      <c r="AQ31" s="140"/>
      <c r="AR31" s="140"/>
      <c r="AS31" s="140"/>
      <c r="AT31" s="140"/>
      <c r="AU31" s="140"/>
      <c r="AV31" s="140"/>
      <c r="AW31" s="140"/>
      <c r="AX31" s="140"/>
      <c r="AY31" s="140"/>
      <c r="AZ31" s="140"/>
      <c r="BA31" s="140"/>
    </row>
    <row r="32" spans="1:53" s="93" customFormat="1">
      <c r="U32" s="676"/>
      <c r="W32" s="673"/>
      <c r="X32" s="673"/>
      <c r="Y32" s="673"/>
      <c r="Z32" s="674"/>
      <c r="AA32" s="673"/>
      <c r="AB32" s="673"/>
      <c r="AC32" s="673"/>
      <c r="AD32" s="673"/>
      <c r="AE32" s="673"/>
      <c r="AF32" s="673"/>
      <c r="AG32" s="673"/>
      <c r="AH32" s="673"/>
      <c r="AI32" s="140"/>
      <c r="AJ32" s="140"/>
      <c r="AK32" s="140"/>
      <c r="AL32" s="140"/>
      <c r="AM32" s="208"/>
      <c r="AN32" s="140"/>
      <c r="AO32" s="140"/>
      <c r="AP32" s="140"/>
      <c r="AQ32" s="140"/>
      <c r="AR32" s="140"/>
      <c r="AS32" s="140"/>
      <c r="AT32" s="140"/>
      <c r="AU32" s="140"/>
      <c r="AV32" s="140"/>
      <c r="AW32" s="140"/>
      <c r="AX32" s="140"/>
      <c r="AY32" s="140"/>
      <c r="AZ32" s="140"/>
      <c r="BA32" s="140"/>
    </row>
    <row r="33" spans="17:53" s="93" customFormat="1">
      <c r="U33" s="676"/>
      <c r="W33" s="673"/>
      <c r="X33" s="673"/>
      <c r="Y33" s="673"/>
      <c r="Z33" s="674"/>
      <c r="AA33" s="673"/>
      <c r="AB33" s="673"/>
      <c r="AC33" s="673"/>
      <c r="AD33" s="673"/>
      <c r="AE33" s="673"/>
      <c r="AF33" s="673"/>
      <c r="AG33" s="673"/>
      <c r="AH33" s="673"/>
      <c r="AI33" s="140"/>
      <c r="AJ33" s="140"/>
      <c r="AK33" s="140"/>
      <c r="AL33" s="140"/>
      <c r="AM33" s="208"/>
      <c r="AN33" s="140"/>
      <c r="AO33" s="140"/>
      <c r="AP33" s="140"/>
      <c r="AQ33" s="140"/>
      <c r="AR33" s="140"/>
      <c r="AS33" s="140"/>
      <c r="AT33" s="140"/>
      <c r="AU33" s="140"/>
      <c r="AV33" s="140"/>
      <c r="AW33" s="140"/>
      <c r="AX33" s="140"/>
      <c r="AY33" s="140"/>
      <c r="AZ33" s="140"/>
      <c r="BA33" s="140"/>
    </row>
    <row r="34" spans="17:53" s="93" customFormat="1">
      <c r="W34" s="673"/>
      <c r="X34" s="673"/>
      <c r="Y34" s="673"/>
      <c r="Z34" s="674"/>
      <c r="AA34" s="673"/>
      <c r="AB34" s="673"/>
      <c r="AC34" s="673"/>
      <c r="AD34" s="673"/>
      <c r="AE34" s="673"/>
      <c r="AF34" s="673"/>
      <c r="AG34" s="673"/>
      <c r="AH34" s="673"/>
      <c r="AI34" s="140"/>
      <c r="AJ34" s="140"/>
      <c r="AK34" s="140"/>
      <c r="AL34" s="140"/>
      <c r="AM34" s="208"/>
      <c r="AN34" s="140"/>
      <c r="AO34" s="140"/>
      <c r="AP34" s="140"/>
      <c r="AQ34" s="140"/>
      <c r="AR34" s="140"/>
      <c r="AS34" s="140"/>
      <c r="AT34" s="140"/>
      <c r="AU34" s="140"/>
      <c r="AV34" s="140"/>
      <c r="AW34" s="140"/>
      <c r="AX34" s="140"/>
      <c r="AY34" s="140"/>
      <c r="AZ34" s="140"/>
      <c r="BA34" s="140"/>
    </row>
    <row r="35" spans="17:53" s="93" customFormat="1">
      <c r="X35" s="93" t="str">
        <f>First!A20</f>
        <v>محل های درآمدی شرکت</v>
      </c>
      <c r="AI35" s="140"/>
      <c r="AJ35" s="140"/>
      <c r="AK35" s="140"/>
      <c r="AL35" s="140"/>
      <c r="AM35" s="208"/>
      <c r="AN35" s="140"/>
      <c r="AO35" s="140"/>
      <c r="AP35" s="140"/>
      <c r="AQ35" s="140"/>
      <c r="AR35" s="140"/>
      <c r="AS35" s="140"/>
      <c r="AT35" s="140"/>
      <c r="AU35" s="140"/>
      <c r="AV35" s="140"/>
      <c r="AW35" s="140"/>
      <c r="AX35" s="140"/>
      <c r="AY35" s="140"/>
      <c r="AZ35" s="140"/>
      <c r="BA35" s="140"/>
    </row>
    <row r="36" spans="17:53" s="93" customFormat="1">
      <c r="X36" s="93" t="str">
        <f>First!A21</f>
        <v>ارائه خدمات</v>
      </c>
      <c r="AB36" s="93" t="s">
        <v>252</v>
      </c>
      <c r="AC36" s="93">
        <f>IFERROR(MATCH(AB36,$X$36:$X$44,0),0)</f>
        <v>1</v>
      </c>
      <c r="AD36" s="93">
        <f>IF(AC36&gt;0,1,0)</f>
        <v>1</v>
      </c>
      <c r="AE36" s="93">
        <f>COUNTIF(AC36:AC39,"&gt;0")</f>
        <v>1</v>
      </c>
      <c r="AF36" s="93">
        <f>MATCH(1,AC36:AC39,0)</f>
        <v>1</v>
      </c>
      <c r="AI36" s="140"/>
      <c r="AJ36" s="140"/>
      <c r="AK36" s="140"/>
      <c r="AL36" s="140"/>
      <c r="AM36" s="208"/>
      <c r="AN36" s="140"/>
      <c r="AO36" s="140"/>
      <c r="AP36" s="140"/>
      <c r="AQ36" s="140"/>
      <c r="AR36" s="140"/>
      <c r="AS36" s="140"/>
      <c r="AT36" s="140"/>
      <c r="AU36" s="140"/>
      <c r="AV36" s="140"/>
      <c r="AW36" s="140"/>
      <c r="AX36" s="140"/>
      <c r="AY36" s="140"/>
      <c r="AZ36" s="140"/>
      <c r="BA36" s="140"/>
    </row>
    <row r="37" spans="17:53" s="93" customFormat="1">
      <c r="X37" s="93" t="str">
        <f>First!A22</f>
        <v>انبار</v>
      </c>
      <c r="AB37" s="93" t="s">
        <v>231</v>
      </c>
      <c r="AC37" s="93">
        <f t="shared" ref="AC37:AC43" si="0">IFERROR(MATCH(AB37,$X$36:$X$44,0),0)</f>
        <v>0</v>
      </c>
      <c r="AD37" s="93">
        <f>IF(AC37&gt;0,1,0)</f>
        <v>0</v>
      </c>
      <c r="AI37" s="140"/>
      <c r="AJ37" s="140"/>
      <c r="AK37" s="140"/>
      <c r="AL37" s="140"/>
      <c r="AM37" s="208"/>
      <c r="AN37" s="140"/>
      <c r="AO37" s="140"/>
      <c r="AP37" s="140"/>
      <c r="AQ37" s="140"/>
      <c r="AR37" s="140"/>
      <c r="AS37" s="140"/>
      <c r="AT37" s="140"/>
      <c r="AU37" s="140"/>
      <c r="AV37" s="140"/>
      <c r="AW37" s="140"/>
      <c r="AX37" s="140"/>
      <c r="AY37" s="140"/>
      <c r="AZ37" s="140"/>
      <c r="BA37" s="140"/>
    </row>
    <row r="38" spans="17:53" s="93" customFormat="1">
      <c r="T38" s="677"/>
      <c r="U38" s="677"/>
      <c r="V38" s="677"/>
      <c r="X38" s="93" t="str">
        <f>First!A23</f>
        <v>عمومی خاص</v>
      </c>
      <c r="AB38" s="93" t="s">
        <v>233</v>
      </c>
      <c r="AC38" s="93">
        <f t="shared" si="0"/>
        <v>0</v>
      </c>
      <c r="AD38" s="93">
        <f>IF(AC38&gt;0,1,0)</f>
        <v>0</v>
      </c>
      <c r="AI38" s="140"/>
      <c r="AJ38" s="140"/>
      <c r="AK38" s="140"/>
      <c r="AL38" s="140"/>
      <c r="AM38" s="208"/>
      <c r="AN38" s="140"/>
      <c r="AO38" s="140"/>
      <c r="AP38" s="140"/>
      <c r="AQ38" s="140"/>
      <c r="AR38" s="140"/>
      <c r="AS38" s="140"/>
      <c r="AT38" s="140"/>
      <c r="AU38" s="140"/>
      <c r="AV38" s="140"/>
      <c r="AW38" s="140"/>
      <c r="AX38" s="140"/>
      <c r="AY38" s="140"/>
      <c r="AZ38" s="140"/>
      <c r="BA38" s="140"/>
    </row>
    <row r="39" spans="17:53" s="93" customFormat="1">
      <c r="X39" s="93" t="str">
        <f>First!A24</f>
        <v>تلفیق</v>
      </c>
      <c r="AB39" s="93" t="s">
        <v>256</v>
      </c>
      <c r="AC39" s="93">
        <f t="shared" si="0"/>
        <v>0</v>
      </c>
      <c r="AD39" s="93">
        <f>IF(AC39&gt;0,1,0)</f>
        <v>0</v>
      </c>
      <c r="AI39" s="140"/>
      <c r="AJ39" s="140"/>
      <c r="AK39" s="140"/>
      <c r="AL39" s="140"/>
      <c r="AM39" s="208"/>
      <c r="AN39" s="140"/>
      <c r="AO39" s="140"/>
      <c r="AP39" s="140"/>
      <c r="AQ39" s="140"/>
      <c r="AR39" s="140"/>
      <c r="AS39" s="140"/>
      <c r="AT39" s="140"/>
      <c r="AU39" s="140"/>
      <c r="AV39" s="140"/>
      <c r="AW39" s="140"/>
      <c r="AX39" s="140"/>
      <c r="AY39" s="140"/>
      <c r="AZ39" s="140"/>
      <c r="BA39" s="140"/>
    </row>
    <row r="40" spans="17:53" s="93" customFormat="1">
      <c r="X40" s="93">
        <f>First!A26</f>
        <v>0</v>
      </c>
      <c r="AB40" s="93" t="s">
        <v>372</v>
      </c>
      <c r="AC40" s="93">
        <f t="shared" si="0"/>
        <v>3</v>
      </c>
      <c r="AI40" s="140"/>
      <c r="AJ40" s="140"/>
      <c r="AK40" s="140"/>
      <c r="AL40" s="140"/>
      <c r="AM40" s="208"/>
      <c r="AN40" s="140"/>
      <c r="AO40" s="140"/>
      <c r="AP40" s="140"/>
      <c r="AQ40" s="140"/>
      <c r="AR40" s="140"/>
      <c r="AS40" s="140"/>
      <c r="AT40" s="140"/>
      <c r="AU40" s="140"/>
      <c r="AV40" s="140"/>
      <c r="AW40" s="140"/>
      <c r="AX40" s="140"/>
      <c r="AY40" s="140"/>
      <c r="AZ40" s="140"/>
      <c r="BA40" s="140"/>
    </row>
    <row r="41" spans="17:53" s="93" customFormat="1">
      <c r="R41" s="93" t="s">
        <v>626</v>
      </c>
      <c r="S41" s="93" t="s">
        <v>216</v>
      </c>
      <c r="T41" s="93" t="s">
        <v>53</v>
      </c>
      <c r="X41" s="93">
        <f>First!A27</f>
        <v>0</v>
      </c>
      <c r="AC41" s="93">
        <f t="shared" si="0"/>
        <v>5</v>
      </c>
      <c r="AI41" s="140"/>
      <c r="AJ41" s="140"/>
      <c r="AK41" s="140"/>
      <c r="AL41" s="140"/>
      <c r="AM41" s="208"/>
      <c r="AN41" s="140"/>
      <c r="AO41" s="140"/>
      <c r="AP41" s="140"/>
      <c r="AQ41" s="140"/>
      <c r="AR41" s="140"/>
      <c r="AS41" s="140"/>
      <c r="AT41" s="140"/>
      <c r="AU41" s="140"/>
      <c r="AV41" s="140"/>
      <c r="AW41" s="140"/>
      <c r="AX41" s="140"/>
      <c r="AY41" s="140"/>
      <c r="AZ41" s="140"/>
      <c r="BA41" s="140"/>
    </row>
    <row r="42" spans="17:53" s="93" customFormat="1">
      <c r="Q42" s="93">
        <f ca="1">IF(AND(OR(S42=0,S42=""),OR(T42=0,T42="")),0,1)</f>
        <v>0</v>
      </c>
      <c r="R42" s="93">
        <f ca="1">'فروش داخلی تولیدی'!B7</f>
        <v>0</v>
      </c>
      <c r="S42" s="671">
        <f>'فروش داخلی تولیدی'!L7</f>
        <v>0</v>
      </c>
      <c r="T42" s="671">
        <f ca="1">'فروش داخلی تولیدی'!I7</f>
        <v>0</v>
      </c>
      <c r="X42" s="93">
        <f>First!A28</f>
        <v>0</v>
      </c>
      <c r="AC42" s="93">
        <f t="shared" si="0"/>
        <v>5</v>
      </c>
      <c r="AI42" s="140"/>
      <c r="AJ42" s="140"/>
      <c r="AK42" s="140"/>
      <c r="AL42" s="140"/>
      <c r="AM42" s="208"/>
      <c r="AN42" s="140"/>
      <c r="AO42" s="140"/>
      <c r="AP42" s="140"/>
      <c r="AQ42" s="140"/>
      <c r="AR42" s="140"/>
      <c r="AS42" s="140"/>
      <c r="AT42" s="140"/>
      <c r="AU42" s="140"/>
      <c r="AV42" s="140"/>
      <c r="AW42" s="140"/>
      <c r="AX42" s="140"/>
      <c r="AY42" s="140"/>
      <c r="AZ42" s="140"/>
      <c r="BA42" s="140"/>
    </row>
    <row r="43" spans="17:53" s="93" customFormat="1">
      <c r="Q43" s="93">
        <f t="shared" ref="Q43:Q106" ca="1" si="1">IF(AND(OR(S43=0,S43=""),OR(T43=0,T43="")),0,1)</f>
        <v>0</v>
      </c>
      <c r="R43" s="93">
        <f ca="1">'فروش داخلی تولیدی'!B8</f>
        <v>0</v>
      </c>
      <c r="S43" s="671">
        <f>'فروش داخلی تولیدی'!L8</f>
        <v>0</v>
      </c>
      <c r="T43" s="671">
        <f ca="1">'فروش داخلی تولیدی'!I8</f>
        <v>0</v>
      </c>
      <c r="X43" s="93">
        <f>First!A29</f>
        <v>0</v>
      </c>
      <c r="AC43" s="93">
        <f t="shared" si="0"/>
        <v>5</v>
      </c>
      <c r="AI43" s="140"/>
      <c r="AJ43" s="140"/>
      <c r="AK43" s="140"/>
      <c r="AL43" s="140"/>
      <c r="AM43" s="208"/>
      <c r="AN43" s="140"/>
      <c r="AO43" s="140"/>
      <c r="AP43" s="140"/>
      <c r="AQ43" s="140"/>
      <c r="AR43" s="140"/>
      <c r="AS43" s="140"/>
      <c r="AT43" s="140"/>
      <c r="AU43" s="140"/>
      <c r="AV43" s="140"/>
      <c r="AW43" s="140"/>
      <c r="AX43" s="140"/>
      <c r="AY43" s="140"/>
      <c r="AZ43" s="140"/>
      <c r="BA43" s="140"/>
    </row>
    <row r="44" spans="17:53" s="93" customFormat="1">
      <c r="Q44" s="93">
        <f t="shared" ca="1" si="1"/>
        <v>0</v>
      </c>
      <c r="R44" s="93">
        <f ca="1">'فروش داخلی تولیدی'!B9</f>
        <v>0</v>
      </c>
      <c r="S44" s="671">
        <f>'فروش داخلی تولیدی'!L9</f>
        <v>0</v>
      </c>
      <c r="T44" s="671">
        <f ca="1">'فروش داخلی تولیدی'!I9</f>
        <v>0</v>
      </c>
      <c r="X44" s="93">
        <f>First!A30</f>
        <v>0</v>
      </c>
      <c r="AI44" s="140"/>
      <c r="AJ44" s="140"/>
      <c r="AK44" s="140"/>
      <c r="AL44" s="140"/>
      <c r="AM44" s="208"/>
      <c r="AN44" s="140"/>
      <c r="AO44" s="140"/>
      <c r="AP44" s="140"/>
      <c r="AQ44" s="140"/>
      <c r="AR44" s="140"/>
      <c r="AS44" s="140"/>
      <c r="AT44" s="140"/>
      <c r="AU44" s="140"/>
      <c r="AV44" s="140"/>
      <c r="AW44" s="140"/>
      <c r="AX44" s="140"/>
      <c r="AY44" s="140"/>
      <c r="AZ44" s="140"/>
      <c r="BA44" s="140"/>
    </row>
    <row r="45" spans="17:53" s="93" customFormat="1">
      <c r="Q45" s="93">
        <f t="shared" ca="1" si="1"/>
        <v>0</v>
      </c>
      <c r="R45" s="93">
        <f ca="1">'فروش داخلی تولیدی'!B10</f>
        <v>0</v>
      </c>
      <c r="S45" s="671">
        <f>'فروش داخلی تولیدی'!L10</f>
        <v>0</v>
      </c>
      <c r="T45" s="671">
        <f ca="1">'فروش داخلی تولیدی'!I10</f>
        <v>0</v>
      </c>
      <c r="X45" s="93" t="str">
        <f>First!A31</f>
        <v>عمومی</v>
      </c>
      <c r="AI45" s="140"/>
      <c r="AJ45" s="140"/>
      <c r="AK45" s="140"/>
      <c r="AL45" s="140"/>
      <c r="AM45" s="208"/>
      <c r="AN45" s="140"/>
      <c r="AO45" s="140"/>
      <c r="AP45" s="140"/>
      <c r="AQ45" s="140"/>
      <c r="AR45" s="140"/>
      <c r="AS45" s="140"/>
      <c r="AT45" s="140"/>
      <c r="AU45" s="140"/>
      <c r="AV45" s="140"/>
      <c r="AW45" s="140"/>
      <c r="AX45" s="140"/>
      <c r="AY45" s="140"/>
      <c r="AZ45" s="140"/>
      <c r="BA45" s="140"/>
    </row>
    <row r="46" spans="17:53" s="93" customFormat="1">
      <c r="Q46" s="93">
        <f t="shared" ca="1" si="1"/>
        <v>0</v>
      </c>
      <c r="R46" s="93">
        <f ca="1">'فروش داخلی تولیدی'!B11</f>
        <v>0</v>
      </c>
      <c r="S46" s="671">
        <f>'فروش داخلی تولیدی'!L11</f>
        <v>0</v>
      </c>
      <c r="T46" s="671">
        <f ca="1">'فروش داخلی تولیدی'!I11</f>
        <v>0</v>
      </c>
      <c r="X46" s="93">
        <f>First!A32</f>
        <v>0</v>
      </c>
      <c r="AI46" s="140"/>
      <c r="AJ46" s="140"/>
      <c r="AK46" s="140"/>
      <c r="AL46" s="140"/>
      <c r="AM46" s="208"/>
      <c r="AN46" s="140"/>
      <c r="AO46" s="140"/>
      <c r="AP46" s="140"/>
      <c r="AQ46" s="140"/>
      <c r="AR46" s="140"/>
      <c r="AS46" s="140"/>
      <c r="AT46" s="140"/>
      <c r="AU46" s="140"/>
      <c r="AV46" s="140"/>
      <c r="AW46" s="140"/>
      <c r="AX46" s="140"/>
      <c r="AY46" s="140"/>
      <c r="AZ46" s="140"/>
      <c r="BA46" s="140"/>
    </row>
    <row r="47" spans="17:53" s="93" customFormat="1">
      <c r="Q47" s="93">
        <f t="shared" ca="1" si="1"/>
        <v>0</v>
      </c>
      <c r="R47" s="93">
        <f ca="1">'فروش داخلی تولیدی'!B12</f>
        <v>0</v>
      </c>
      <c r="S47" s="671">
        <f>'فروش داخلی تولیدی'!L12</f>
        <v>0</v>
      </c>
      <c r="T47" s="671">
        <f ca="1">'فروش داخلی تولیدی'!I12</f>
        <v>0</v>
      </c>
      <c r="AI47" s="140"/>
      <c r="AJ47" s="140"/>
      <c r="AK47" s="140"/>
      <c r="AL47" s="140"/>
      <c r="AM47" s="208"/>
      <c r="AN47" s="140"/>
      <c r="AO47" s="140"/>
      <c r="AP47" s="140"/>
      <c r="AQ47" s="140"/>
      <c r="AR47" s="140"/>
      <c r="AS47" s="140"/>
      <c r="AT47" s="140"/>
      <c r="AU47" s="140"/>
      <c r="AV47" s="140"/>
      <c r="AW47" s="140"/>
      <c r="AX47" s="140"/>
      <c r="AY47" s="140"/>
      <c r="AZ47" s="140"/>
      <c r="BA47" s="140"/>
    </row>
    <row r="48" spans="17:53" s="93" customFormat="1">
      <c r="Q48" s="93">
        <f t="shared" ca="1" si="1"/>
        <v>0</v>
      </c>
      <c r="R48" s="93">
        <f ca="1">'فروش داخلی تولیدی'!B13</f>
        <v>0</v>
      </c>
      <c r="S48" s="671">
        <f>'فروش داخلی تولیدی'!L13</f>
        <v>0</v>
      </c>
      <c r="T48" s="671">
        <f ca="1">'فروش داخلی تولیدی'!I13</f>
        <v>0</v>
      </c>
      <c r="AI48" s="140"/>
      <c r="AJ48" s="140"/>
      <c r="AK48" s="140"/>
      <c r="AL48" s="140"/>
      <c r="AM48" s="208"/>
      <c r="AN48" s="140"/>
      <c r="AO48" s="140"/>
      <c r="AP48" s="140"/>
      <c r="AQ48" s="140"/>
      <c r="AR48" s="140"/>
      <c r="AS48" s="140"/>
      <c r="AT48" s="140"/>
      <c r="AU48" s="140"/>
      <c r="AV48" s="140"/>
      <c r="AW48" s="140"/>
      <c r="AX48" s="140"/>
      <c r="AY48" s="140"/>
      <c r="AZ48" s="140"/>
      <c r="BA48" s="140"/>
    </row>
    <row r="49" spans="16:53" s="93" customFormat="1">
      <c r="Q49" s="93">
        <f t="shared" ca="1" si="1"/>
        <v>0</v>
      </c>
      <c r="R49" s="93">
        <f ca="1">'فروش داخلی تولیدی'!B14</f>
        <v>0</v>
      </c>
      <c r="S49" s="671">
        <f>'فروش داخلی تولیدی'!L14</f>
        <v>0</v>
      </c>
      <c r="T49" s="671">
        <f ca="1">'فروش داخلی تولیدی'!I14</f>
        <v>0</v>
      </c>
      <c r="V49" s="676"/>
      <c r="AI49" s="140"/>
      <c r="AJ49" s="140"/>
      <c r="AK49" s="140"/>
      <c r="AL49" s="140"/>
      <c r="AM49" s="208"/>
      <c r="AN49" s="140"/>
      <c r="AO49" s="140"/>
      <c r="AP49" s="140"/>
      <c r="AQ49" s="140"/>
      <c r="AR49" s="140"/>
      <c r="AS49" s="140"/>
      <c r="AT49" s="140"/>
      <c r="AU49" s="140"/>
      <c r="AV49" s="140"/>
      <c r="AW49" s="140"/>
      <c r="AX49" s="140"/>
      <c r="AY49" s="140"/>
      <c r="AZ49" s="140"/>
      <c r="BA49" s="140"/>
    </row>
    <row r="50" spans="16:53" s="93" customFormat="1">
      <c r="Q50" s="93">
        <f t="shared" ca="1" si="1"/>
        <v>0</v>
      </c>
      <c r="R50" s="93">
        <f ca="1">'فروش داخلی تولیدی'!B15</f>
        <v>0</v>
      </c>
      <c r="S50" s="671">
        <f>'فروش داخلی تولیدی'!L15</f>
        <v>0</v>
      </c>
      <c r="T50" s="671">
        <f ca="1">'فروش داخلی تولیدی'!I15</f>
        <v>0</v>
      </c>
      <c r="U50" s="677"/>
      <c r="V50" s="677"/>
      <c r="W50" s="677"/>
      <c r="X50" s="677"/>
      <c r="Y50" s="677"/>
      <c r="Z50" s="677"/>
      <c r="AI50" s="140"/>
      <c r="AJ50" s="140"/>
      <c r="AK50" s="140"/>
      <c r="AL50" s="140"/>
      <c r="AM50" s="208"/>
      <c r="AN50" s="140"/>
      <c r="AO50" s="140"/>
      <c r="AP50" s="140"/>
      <c r="AQ50" s="140"/>
      <c r="AR50" s="140"/>
      <c r="AS50" s="140"/>
      <c r="AT50" s="140"/>
      <c r="AU50" s="140"/>
      <c r="AV50" s="140"/>
      <c r="AW50" s="140"/>
      <c r="AX50" s="140"/>
      <c r="AY50" s="140"/>
      <c r="AZ50" s="140"/>
      <c r="BA50" s="140"/>
    </row>
    <row r="51" spans="16:53" s="93" customFormat="1">
      <c r="Q51" s="93">
        <f t="shared" ca="1" si="1"/>
        <v>0</v>
      </c>
      <c r="R51" s="93">
        <f ca="1">'فروش داخلی تولیدی'!B16</f>
        <v>0</v>
      </c>
      <c r="S51" s="671">
        <f>'فروش داخلی تولیدی'!L16</f>
        <v>0</v>
      </c>
      <c r="T51" s="671">
        <f ca="1">'فروش داخلی تولیدی'!I16</f>
        <v>0</v>
      </c>
      <c r="U51" s="677"/>
      <c r="V51" s="677"/>
      <c r="W51" s="677"/>
      <c r="X51" s="677"/>
      <c r="Y51" s="677"/>
      <c r="Z51" s="677"/>
      <c r="AI51" s="140"/>
      <c r="AJ51" s="140"/>
      <c r="AK51" s="140"/>
      <c r="AL51" s="140"/>
      <c r="AM51" s="208"/>
      <c r="AN51" s="140"/>
      <c r="AO51" s="140"/>
      <c r="AP51" s="140"/>
      <c r="AQ51" s="140"/>
      <c r="AR51" s="140"/>
      <c r="AS51" s="140"/>
      <c r="AT51" s="140"/>
      <c r="AU51" s="140"/>
      <c r="AV51" s="140"/>
      <c r="AW51" s="140"/>
      <c r="AX51" s="140"/>
      <c r="AY51" s="140"/>
      <c r="AZ51" s="140"/>
      <c r="BA51" s="140"/>
    </row>
    <row r="52" spans="16:53" s="93" customFormat="1">
      <c r="Q52" s="93">
        <f t="shared" ca="1" si="1"/>
        <v>0</v>
      </c>
      <c r="R52" s="93">
        <f ca="1">'فروش داخلی تولیدی'!B17</f>
        <v>0</v>
      </c>
      <c r="S52" s="671">
        <f>'فروش داخلی تولیدی'!L17</f>
        <v>0</v>
      </c>
      <c r="T52" s="671">
        <f ca="1">'فروش داخلی تولیدی'!I17</f>
        <v>0</v>
      </c>
      <c r="U52" s="677"/>
      <c r="V52" s="677"/>
      <c r="W52" s="677"/>
      <c r="X52" s="677"/>
      <c r="Y52" s="677"/>
      <c r="Z52" s="677"/>
      <c r="AI52" s="140"/>
      <c r="AJ52" s="140"/>
      <c r="AK52" s="140"/>
      <c r="AL52" s="140"/>
      <c r="AM52" s="208"/>
      <c r="AN52" s="140"/>
      <c r="AO52" s="140"/>
      <c r="AP52" s="140"/>
      <c r="AQ52" s="140"/>
      <c r="AR52" s="140"/>
      <c r="AS52" s="140"/>
      <c r="AT52" s="140"/>
      <c r="AU52" s="140"/>
      <c r="AV52" s="140"/>
      <c r="AW52" s="140"/>
      <c r="AX52" s="140"/>
      <c r="AY52" s="140"/>
      <c r="AZ52" s="140"/>
      <c r="BA52" s="140"/>
    </row>
    <row r="53" spans="16:53" s="93" customFormat="1">
      <c r="Q53" s="93">
        <f t="shared" ca="1" si="1"/>
        <v>0</v>
      </c>
      <c r="R53" s="93">
        <f ca="1">'فروش داخلی تولیدی'!B18</f>
        <v>0</v>
      </c>
      <c r="S53" s="671">
        <f>'فروش داخلی تولیدی'!L18</f>
        <v>0</v>
      </c>
      <c r="T53" s="671">
        <f ca="1">'فروش داخلی تولیدی'!I18</f>
        <v>0</v>
      </c>
      <c r="AI53" s="140"/>
      <c r="AJ53" s="140"/>
      <c r="AK53" s="140"/>
      <c r="AL53" s="140"/>
      <c r="AM53" s="208"/>
      <c r="AN53" s="140"/>
      <c r="AO53" s="140"/>
      <c r="AP53" s="140"/>
      <c r="AQ53" s="140"/>
      <c r="AR53" s="140"/>
      <c r="AS53" s="140"/>
      <c r="AT53" s="140"/>
      <c r="AU53" s="140"/>
      <c r="AV53" s="140"/>
      <c r="AW53" s="140"/>
      <c r="AX53" s="140"/>
      <c r="AY53" s="140"/>
      <c r="AZ53" s="140"/>
      <c r="BA53" s="140"/>
    </row>
    <row r="54" spans="16:53" s="93" customFormat="1">
      <c r="Q54" s="93">
        <f t="shared" ca="1" si="1"/>
        <v>0</v>
      </c>
      <c r="R54" s="93">
        <f ca="1">'فروش داخلی تولیدی'!B19</f>
        <v>0</v>
      </c>
      <c r="S54" s="671">
        <f>'فروش داخلی تولیدی'!L19</f>
        <v>0</v>
      </c>
      <c r="T54" s="671">
        <f ca="1">'فروش داخلی تولیدی'!I19</f>
        <v>0</v>
      </c>
      <c r="AI54" s="140"/>
      <c r="AJ54" s="140"/>
      <c r="AK54" s="140"/>
      <c r="AL54" s="140"/>
      <c r="AM54" s="208"/>
      <c r="AN54" s="140"/>
      <c r="AO54" s="140"/>
      <c r="AP54" s="140"/>
      <c r="AQ54" s="140"/>
      <c r="AR54" s="140"/>
      <c r="AS54" s="140"/>
      <c r="AT54" s="140"/>
      <c r="AU54" s="140"/>
      <c r="AV54" s="140"/>
      <c r="AW54" s="140"/>
      <c r="AX54" s="140"/>
      <c r="AY54" s="140"/>
      <c r="AZ54" s="140"/>
      <c r="BA54" s="140"/>
    </row>
    <row r="55" spans="16:53" s="93" customFormat="1">
      <c r="Q55" s="93">
        <f t="shared" ca="1" si="1"/>
        <v>0</v>
      </c>
      <c r="R55" s="93">
        <f ca="1">'فروش داخلی تولیدی'!B20</f>
        <v>0</v>
      </c>
      <c r="S55" s="671">
        <f>'فروش داخلی تولیدی'!L20</f>
        <v>0</v>
      </c>
      <c r="T55" s="671">
        <f ca="1">'فروش داخلی تولیدی'!I20</f>
        <v>0</v>
      </c>
      <c r="AI55" s="140"/>
      <c r="AJ55" s="140"/>
      <c r="AK55" s="140"/>
      <c r="AL55" s="140"/>
      <c r="AM55" s="208"/>
      <c r="AN55" s="140"/>
      <c r="AO55" s="140"/>
      <c r="AP55" s="140"/>
      <c r="AQ55" s="140"/>
      <c r="AR55" s="140"/>
      <c r="AS55" s="140"/>
      <c r="AT55" s="140"/>
      <c r="AU55" s="140"/>
      <c r="AV55" s="140"/>
      <c r="AW55" s="140"/>
      <c r="AX55" s="140"/>
      <c r="AY55" s="140"/>
      <c r="AZ55" s="140"/>
      <c r="BA55" s="140"/>
    </row>
    <row r="56" spans="16:53" s="93" customFormat="1">
      <c r="Q56" s="93">
        <f t="shared" ca="1" si="1"/>
        <v>0</v>
      </c>
      <c r="R56" s="93">
        <f ca="1">'فروش داخلی تولیدی'!B21</f>
        <v>0</v>
      </c>
      <c r="S56" s="671">
        <f>'فروش داخلی تولیدی'!L21</f>
        <v>0</v>
      </c>
      <c r="T56" s="671">
        <f ca="1">'فروش داخلی تولیدی'!I21</f>
        <v>0</v>
      </c>
      <c r="AI56" s="140"/>
      <c r="AJ56" s="140"/>
      <c r="AK56" s="140"/>
      <c r="AL56" s="140"/>
      <c r="AM56" s="208"/>
      <c r="AN56" s="140"/>
      <c r="AO56" s="140"/>
      <c r="AP56" s="140"/>
      <c r="AQ56" s="140"/>
      <c r="AR56" s="140"/>
      <c r="AS56" s="140"/>
      <c r="AT56" s="140"/>
      <c r="AU56" s="140"/>
      <c r="AV56" s="140"/>
      <c r="AW56" s="140"/>
      <c r="AX56" s="140"/>
      <c r="AY56" s="140"/>
      <c r="AZ56" s="140"/>
      <c r="BA56" s="140"/>
    </row>
    <row r="57" spans="16:53" s="93" customFormat="1">
      <c r="Q57" s="93">
        <f t="shared" ca="1" si="1"/>
        <v>0</v>
      </c>
      <c r="R57" s="93">
        <f ca="1">'فروش داخلی تولیدی'!B22</f>
        <v>0</v>
      </c>
      <c r="S57" s="671">
        <f>'فروش داخلی تولیدی'!L22</f>
        <v>0</v>
      </c>
      <c r="T57" s="671">
        <f ca="1">'فروش داخلی تولیدی'!I22</f>
        <v>0</v>
      </c>
      <c r="AI57" s="140"/>
      <c r="AJ57" s="140"/>
      <c r="AK57" s="140"/>
      <c r="AL57" s="140"/>
      <c r="AM57" s="208"/>
      <c r="AN57" s="140"/>
      <c r="AO57" s="140"/>
      <c r="AP57" s="140"/>
      <c r="AQ57" s="140"/>
      <c r="AR57" s="140"/>
      <c r="AS57" s="140"/>
      <c r="AT57" s="140"/>
      <c r="AU57" s="140"/>
      <c r="AV57" s="140"/>
      <c r="AW57" s="140"/>
      <c r="AX57" s="140"/>
      <c r="AY57" s="140"/>
      <c r="AZ57" s="140"/>
      <c r="BA57" s="140"/>
    </row>
    <row r="58" spans="16:53" s="93" customFormat="1">
      <c r="Q58" s="93">
        <f t="shared" ca="1" si="1"/>
        <v>0</v>
      </c>
      <c r="R58" s="93">
        <f ca="1">'فروش داخلی تولیدی'!B23</f>
        <v>0</v>
      </c>
      <c r="S58" s="671">
        <f>'فروش داخلی تولیدی'!L23</f>
        <v>0</v>
      </c>
      <c r="T58" s="671">
        <f ca="1">'فروش داخلی تولیدی'!I23</f>
        <v>0</v>
      </c>
      <c r="AI58" s="140"/>
      <c r="AJ58" s="140"/>
      <c r="AK58" s="140"/>
      <c r="AL58" s="140"/>
      <c r="AM58" s="208"/>
      <c r="AN58" s="140"/>
      <c r="AO58" s="140"/>
      <c r="AP58" s="140"/>
      <c r="AQ58" s="140"/>
      <c r="AR58" s="140"/>
      <c r="AS58" s="140"/>
      <c r="AT58" s="140"/>
      <c r="AU58" s="140"/>
      <c r="AV58" s="140"/>
      <c r="AW58" s="140"/>
      <c r="AX58" s="140"/>
      <c r="AY58" s="140"/>
      <c r="AZ58" s="140"/>
      <c r="BA58" s="140"/>
    </row>
    <row r="59" spans="16:53" s="93" customFormat="1">
      <c r="Q59" s="93">
        <f t="shared" ca="1" si="1"/>
        <v>0</v>
      </c>
      <c r="R59" s="93">
        <f ca="1">'فروش داخلی تولیدی'!B24</f>
        <v>0</v>
      </c>
      <c r="S59" s="671">
        <f>'فروش داخلی تولیدی'!L24</f>
        <v>0</v>
      </c>
      <c r="T59" s="671">
        <f ca="1">'فروش داخلی تولیدی'!I24</f>
        <v>0</v>
      </c>
      <c r="AI59" s="140"/>
      <c r="AJ59" s="140"/>
      <c r="AK59" s="140"/>
      <c r="AL59" s="140"/>
      <c r="AM59" s="208"/>
      <c r="AN59" s="140"/>
      <c r="AO59" s="140"/>
      <c r="AP59" s="140"/>
      <c r="AQ59" s="140"/>
      <c r="AR59" s="140"/>
      <c r="AS59" s="140"/>
      <c r="AT59" s="140"/>
      <c r="AU59" s="140"/>
      <c r="AV59" s="140"/>
      <c r="AW59" s="140"/>
      <c r="AX59" s="140"/>
      <c r="AY59" s="140"/>
      <c r="AZ59" s="140"/>
      <c r="BA59" s="140"/>
    </row>
    <row r="60" spans="16:53" s="93" customFormat="1">
      <c r="Q60" s="93">
        <f t="shared" ca="1" si="1"/>
        <v>0</v>
      </c>
      <c r="R60" s="93">
        <f ca="1">'فروش داخلی تولیدی'!B25</f>
        <v>0</v>
      </c>
      <c r="S60" s="671">
        <f>'فروش داخلی تولیدی'!L25</f>
        <v>0</v>
      </c>
      <c r="T60" s="671">
        <f ca="1">'فروش داخلی تولیدی'!I25</f>
        <v>0</v>
      </c>
      <c r="AI60" s="140"/>
      <c r="AJ60" s="140"/>
      <c r="AK60" s="140"/>
      <c r="AL60" s="140"/>
      <c r="AM60" s="208"/>
      <c r="AN60" s="140"/>
      <c r="AO60" s="140"/>
      <c r="AP60" s="140"/>
      <c r="AQ60" s="140"/>
      <c r="AR60" s="140"/>
      <c r="AS60" s="140"/>
      <c r="AT60" s="140"/>
      <c r="AU60" s="140"/>
      <c r="AV60" s="140"/>
      <c r="AW60" s="140"/>
      <c r="AX60" s="140"/>
      <c r="AY60" s="140"/>
      <c r="AZ60" s="140"/>
      <c r="BA60" s="140"/>
    </row>
    <row r="61" spans="16:53" s="93" customFormat="1">
      <c r="Q61" s="93">
        <f t="shared" ca="1" si="1"/>
        <v>0</v>
      </c>
      <c r="R61" s="93">
        <f ca="1">'فروش داخلی تولیدی'!B26</f>
        <v>0</v>
      </c>
      <c r="S61" s="671">
        <f>'فروش داخلی تولیدی'!L26</f>
        <v>0</v>
      </c>
      <c r="T61" s="671">
        <f ca="1">'فروش داخلی تولیدی'!I26</f>
        <v>0</v>
      </c>
      <c r="AI61" s="140"/>
      <c r="AJ61" s="140"/>
      <c r="AK61" s="140"/>
      <c r="AL61" s="140"/>
      <c r="AM61" s="208"/>
      <c r="AN61" s="140"/>
      <c r="AO61" s="140"/>
      <c r="AP61" s="140"/>
      <c r="AQ61" s="140"/>
      <c r="AR61" s="140"/>
      <c r="AS61" s="140"/>
      <c r="AT61" s="140"/>
      <c r="AU61" s="140"/>
      <c r="AV61" s="140"/>
      <c r="AW61" s="140"/>
      <c r="AX61" s="140"/>
      <c r="AY61" s="140"/>
      <c r="AZ61" s="140"/>
      <c r="BA61" s="140"/>
    </row>
    <row r="62" spans="16:53" s="93" customFormat="1">
      <c r="P62" s="93" t="s">
        <v>206</v>
      </c>
      <c r="Q62" s="93">
        <f t="shared" ca="1" si="1"/>
        <v>0</v>
      </c>
      <c r="R62" s="93">
        <f ca="1">'فروش داخلی تجاری'!B7</f>
        <v>0</v>
      </c>
      <c r="S62" s="671">
        <f>'فروش داخلی تجاری'!L7</f>
        <v>0</v>
      </c>
      <c r="T62" s="671">
        <f ca="1">'فروش داخلی تجاری'!I7</f>
        <v>0</v>
      </c>
      <c r="AI62" s="140"/>
      <c r="AJ62" s="140"/>
      <c r="AK62" s="140"/>
      <c r="AL62" s="140"/>
      <c r="AM62" s="208"/>
      <c r="AN62" s="140"/>
      <c r="AO62" s="140"/>
      <c r="AP62" s="140"/>
      <c r="AQ62" s="140"/>
      <c r="AR62" s="140"/>
      <c r="AS62" s="140"/>
      <c r="AT62" s="140"/>
      <c r="AU62" s="140"/>
      <c r="AV62" s="140"/>
      <c r="AW62" s="140"/>
      <c r="AX62" s="140"/>
      <c r="AY62" s="140"/>
      <c r="AZ62" s="140"/>
      <c r="BA62" s="140"/>
    </row>
    <row r="63" spans="16:53" s="93" customFormat="1">
      <c r="Q63" s="93">
        <f t="shared" ca="1" si="1"/>
        <v>0</v>
      </c>
      <c r="R63" s="93">
        <f ca="1">'فروش داخلی تجاری'!B8</f>
        <v>0</v>
      </c>
      <c r="S63" s="671">
        <f>'فروش داخلی تجاری'!L8</f>
        <v>0</v>
      </c>
      <c r="T63" s="671">
        <f ca="1">'فروش داخلی تجاری'!I8</f>
        <v>0</v>
      </c>
      <c r="AI63" s="140"/>
      <c r="AJ63" s="140"/>
      <c r="AK63" s="140"/>
      <c r="AL63" s="140"/>
      <c r="AM63" s="208"/>
      <c r="AN63" s="140"/>
      <c r="AO63" s="140"/>
      <c r="AP63" s="140"/>
      <c r="AQ63" s="140"/>
      <c r="AR63" s="140"/>
      <c r="AS63" s="140"/>
      <c r="AT63" s="140"/>
      <c r="AU63" s="140"/>
      <c r="AV63" s="140"/>
      <c r="AW63" s="140"/>
      <c r="AX63" s="140"/>
      <c r="AY63" s="140"/>
      <c r="AZ63" s="140"/>
      <c r="BA63" s="140"/>
    </row>
    <row r="64" spans="16:53" s="93" customFormat="1">
      <c r="Q64" s="93">
        <f t="shared" ca="1" si="1"/>
        <v>0</v>
      </c>
      <c r="R64" s="93">
        <f ca="1">'فروش داخلی تجاری'!B9</f>
        <v>0</v>
      </c>
      <c r="S64" s="671">
        <f>'فروش داخلی تجاری'!L9</f>
        <v>0</v>
      </c>
      <c r="T64" s="671">
        <f ca="1">'فروش داخلی تجاری'!I9</f>
        <v>0</v>
      </c>
      <c r="AI64" s="140"/>
      <c r="AJ64" s="140"/>
      <c r="AK64" s="140"/>
      <c r="AL64" s="140"/>
      <c r="AM64" s="208"/>
      <c r="AN64" s="140"/>
      <c r="AO64" s="140"/>
      <c r="AP64" s="140"/>
      <c r="AQ64" s="140"/>
      <c r="AR64" s="140"/>
      <c r="AS64" s="140"/>
      <c r="AT64" s="140"/>
      <c r="AU64" s="140"/>
      <c r="AV64" s="140"/>
      <c r="AW64" s="140"/>
      <c r="AX64" s="140"/>
      <c r="AY64" s="140"/>
      <c r="AZ64" s="140"/>
      <c r="BA64" s="140"/>
    </row>
    <row r="65" spans="16:53" s="93" customFormat="1">
      <c r="Q65" s="93">
        <f t="shared" ca="1" si="1"/>
        <v>0</v>
      </c>
      <c r="R65" s="93">
        <f ca="1">'فروش داخلی تجاری'!B10</f>
        <v>0</v>
      </c>
      <c r="S65" s="671">
        <f>'فروش داخلی تجاری'!L10</f>
        <v>0</v>
      </c>
      <c r="T65" s="671">
        <f ca="1">'فروش داخلی تجاری'!I10</f>
        <v>0</v>
      </c>
      <c r="AI65" s="140"/>
      <c r="AJ65" s="140"/>
      <c r="AK65" s="140"/>
      <c r="AL65" s="140"/>
      <c r="AM65" s="208"/>
      <c r="AN65" s="140"/>
      <c r="AO65" s="140"/>
      <c r="AP65" s="140"/>
      <c r="AQ65" s="140"/>
      <c r="AR65" s="140"/>
      <c r="AS65" s="140"/>
      <c r="AT65" s="140"/>
      <c r="AU65" s="140"/>
      <c r="AV65" s="140"/>
      <c r="AW65" s="140"/>
      <c r="AX65" s="140"/>
      <c r="AY65" s="140"/>
      <c r="AZ65" s="140"/>
      <c r="BA65" s="140"/>
    </row>
    <row r="66" spans="16:53" s="93" customFormat="1">
      <c r="Q66" s="93">
        <f t="shared" ca="1" si="1"/>
        <v>0</v>
      </c>
      <c r="R66" s="93">
        <f ca="1">'فروش داخلی تجاری'!B11</f>
        <v>0</v>
      </c>
      <c r="S66" s="671">
        <f>'فروش داخلی تجاری'!L11</f>
        <v>0</v>
      </c>
      <c r="T66" s="671">
        <f ca="1">'فروش داخلی تجاری'!I11</f>
        <v>0</v>
      </c>
      <c r="AI66" s="140"/>
      <c r="AJ66" s="140"/>
      <c r="AK66" s="140"/>
      <c r="AL66" s="140"/>
      <c r="AM66" s="208"/>
      <c r="AN66" s="140"/>
      <c r="AO66" s="140"/>
      <c r="AP66" s="140"/>
      <c r="AQ66" s="140"/>
      <c r="AR66" s="140"/>
      <c r="AS66" s="140"/>
      <c r="AT66" s="140"/>
      <c r="AU66" s="140"/>
      <c r="AV66" s="140"/>
      <c r="AW66" s="140"/>
      <c r="AX66" s="140"/>
      <c r="AY66" s="140"/>
      <c r="AZ66" s="140"/>
      <c r="BA66" s="140"/>
    </row>
    <row r="67" spans="16:53" s="93" customFormat="1">
      <c r="Q67" s="93">
        <f t="shared" ca="1" si="1"/>
        <v>0</v>
      </c>
      <c r="R67" s="93">
        <f ca="1">'فروش داخلی تجاری'!B12</f>
        <v>0</v>
      </c>
      <c r="S67" s="671">
        <f>'فروش داخلی تجاری'!L12</f>
        <v>0</v>
      </c>
      <c r="T67" s="671">
        <f ca="1">'فروش داخلی تجاری'!I12</f>
        <v>0</v>
      </c>
      <c r="AI67" s="140"/>
      <c r="AJ67" s="140"/>
      <c r="AK67" s="140"/>
      <c r="AL67" s="140"/>
      <c r="AM67" s="208"/>
      <c r="AN67" s="140"/>
      <c r="AO67" s="140"/>
      <c r="AP67" s="140"/>
      <c r="AQ67" s="140"/>
      <c r="AR67" s="140"/>
      <c r="AS67" s="140"/>
      <c r="AT67" s="140"/>
      <c r="AU67" s="140"/>
      <c r="AV67" s="140"/>
      <c r="AW67" s="140"/>
      <c r="AX67" s="140"/>
      <c r="AY67" s="140"/>
      <c r="AZ67" s="140"/>
      <c r="BA67" s="140"/>
    </row>
    <row r="68" spans="16:53" s="93" customFormat="1">
      <c r="Q68" s="93">
        <f t="shared" ca="1" si="1"/>
        <v>0</v>
      </c>
      <c r="R68" s="93">
        <f ca="1">'فروش داخلی تجاری'!B13</f>
        <v>0</v>
      </c>
      <c r="S68" s="671">
        <f>'فروش داخلی تجاری'!L13</f>
        <v>0</v>
      </c>
      <c r="T68" s="671">
        <f ca="1">'فروش داخلی تجاری'!I13</f>
        <v>0</v>
      </c>
      <c r="AI68" s="140"/>
      <c r="AJ68" s="140"/>
      <c r="AK68" s="140"/>
      <c r="AL68" s="140"/>
      <c r="AM68" s="208"/>
      <c r="AN68" s="140"/>
      <c r="AO68" s="140"/>
      <c r="AP68" s="140"/>
      <c r="AQ68" s="140"/>
      <c r="AR68" s="140"/>
      <c r="AS68" s="140"/>
      <c r="AT68" s="140"/>
      <c r="AU68" s="140"/>
      <c r="AV68" s="140"/>
      <c r="AW68" s="140"/>
      <c r="AX68" s="140"/>
      <c r="AY68" s="140"/>
      <c r="AZ68" s="140"/>
      <c r="BA68" s="140"/>
    </row>
    <row r="69" spans="16:53" s="93" customFormat="1">
      <c r="Q69" s="93">
        <f t="shared" ca="1" si="1"/>
        <v>0</v>
      </c>
      <c r="R69" s="93">
        <f ca="1">'فروش داخلی تجاری'!B14</f>
        <v>0</v>
      </c>
      <c r="S69" s="671">
        <f>'فروش داخلی تجاری'!L14</f>
        <v>0</v>
      </c>
      <c r="T69" s="671">
        <f ca="1">'فروش داخلی تجاری'!I14</f>
        <v>0</v>
      </c>
      <c r="AI69" s="140"/>
      <c r="AJ69" s="140"/>
      <c r="AK69" s="140"/>
      <c r="AL69" s="140"/>
      <c r="AM69" s="208"/>
      <c r="AN69" s="140"/>
      <c r="AO69" s="140"/>
      <c r="AP69" s="140"/>
      <c r="AQ69" s="140"/>
      <c r="AR69" s="140"/>
      <c r="AS69" s="140"/>
      <c r="AT69" s="140"/>
      <c r="AU69" s="140"/>
      <c r="AV69" s="140"/>
      <c r="AW69" s="140"/>
      <c r="AX69" s="140"/>
      <c r="AY69" s="140"/>
      <c r="AZ69" s="140"/>
      <c r="BA69" s="140"/>
    </row>
    <row r="70" spans="16:53" s="93" customFormat="1">
      <c r="Q70" s="93">
        <f t="shared" ca="1" si="1"/>
        <v>0</v>
      </c>
      <c r="R70" s="93">
        <f ca="1">'فروش داخلی تجاری'!B15</f>
        <v>0</v>
      </c>
      <c r="S70" s="671">
        <f>'فروش داخلی تجاری'!L15</f>
        <v>0</v>
      </c>
      <c r="T70" s="671">
        <f ca="1">'فروش داخلی تجاری'!I15</f>
        <v>0</v>
      </c>
      <c r="AI70" s="140"/>
      <c r="AJ70" s="140"/>
      <c r="AK70" s="140"/>
      <c r="AL70" s="140"/>
      <c r="AM70" s="208"/>
      <c r="AN70" s="140"/>
      <c r="AO70" s="140"/>
      <c r="AP70" s="140"/>
      <c r="AQ70" s="140"/>
      <c r="AR70" s="140"/>
      <c r="AS70" s="140"/>
      <c r="AT70" s="140"/>
      <c r="AU70" s="140"/>
      <c r="AV70" s="140"/>
      <c r="AW70" s="140"/>
      <c r="AX70" s="140"/>
      <c r="AY70" s="140"/>
      <c r="AZ70" s="140"/>
      <c r="BA70" s="140"/>
    </row>
    <row r="71" spans="16:53" s="93" customFormat="1">
      <c r="Q71" s="93">
        <f t="shared" ca="1" si="1"/>
        <v>0</v>
      </c>
      <c r="R71" s="93">
        <f ca="1">'فروش داخلی تجاری'!B16</f>
        <v>0</v>
      </c>
      <c r="S71" s="671">
        <f>'فروش داخلی تجاری'!L16</f>
        <v>0</v>
      </c>
      <c r="T71" s="671">
        <f ca="1">'فروش داخلی تجاری'!I16</f>
        <v>0</v>
      </c>
      <c r="AI71" s="140"/>
      <c r="AJ71" s="140"/>
      <c r="AK71" s="140"/>
      <c r="AL71" s="140"/>
      <c r="AM71" s="208"/>
      <c r="AN71" s="140"/>
      <c r="AO71" s="140"/>
      <c r="AP71" s="140"/>
      <c r="AQ71" s="140"/>
      <c r="AR71" s="140"/>
      <c r="AS71" s="140"/>
      <c r="AT71" s="140"/>
      <c r="AU71" s="140"/>
      <c r="AV71" s="140"/>
      <c r="AW71" s="140"/>
      <c r="AX71" s="140"/>
      <c r="AY71" s="140"/>
      <c r="AZ71" s="140"/>
      <c r="BA71" s="140"/>
    </row>
    <row r="72" spans="16:53" s="93" customFormat="1">
      <c r="Q72" s="93">
        <f t="shared" ca="1" si="1"/>
        <v>0</v>
      </c>
      <c r="R72" s="93">
        <f ca="1">'فروش داخلی تجاری'!B17</f>
        <v>0</v>
      </c>
      <c r="S72" s="671">
        <f>'فروش داخلی تجاری'!L17</f>
        <v>0</v>
      </c>
      <c r="T72" s="671">
        <f ca="1">'فروش داخلی تجاری'!I17</f>
        <v>0</v>
      </c>
      <c r="AI72" s="140"/>
      <c r="AJ72" s="140"/>
      <c r="AK72" s="140"/>
      <c r="AL72" s="140"/>
      <c r="AM72" s="208"/>
      <c r="AN72" s="140"/>
      <c r="AO72" s="140"/>
      <c r="AP72" s="140"/>
      <c r="AQ72" s="140"/>
      <c r="AR72" s="140"/>
      <c r="AS72" s="140"/>
      <c r="AT72" s="140"/>
      <c r="AU72" s="140"/>
      <c r="AV72" s="140"/>
      <c r="AW72" s="140"/>
      <c r="AX72" s="140"/>
      <c r="AY72" s="140"/>
      <c r="AZ72" s="140"/>
      <c r="BA72" s="140"/>
    </row>
    <row r="73" spans="16:53" s="93" customFormat="1">
      <c r="Q73" s="93">
        <f t="shared" ca="1" si="1"/>
        <v>0</v>
      </c>
      <c r="R73" s="93">
        <f ca="1">'فروش داخلی تجاری'!B18</f>
        <v>0</v>
      </c>
      <c r="S73" s="671">
        <f>'فروش داخلی تجاری'!L18</f>
        <v>0</v>
      </c>
      <c r="T73" s="671">
        <f ca="1">'فروش داخلی تجاری'!I18</f>
        <v>0</v>
      </c>
      <c r="AI73" s="140"/>
      <c r="AJ73" s="140"/>
      <c r="AK73" s="140"/>
      <c r="AL73" s="140"/>
      <c r="AM73" s="208"/>
      <c r="AN73" s="140"/>
      <c r="AO73" s="140"/>
      <c r="AP73" s="140"/>
      <c r="AQ73" s="140"/>
      <c r="AR73" s="140"/>
      <c r="AS73" s="140"/>
      <c r="AT73" s="140"/>
      <c r="AU73" s="140"/>
      <c r="AV73" s="140"/>
      <c r="AW73" s="140"/>
      <c r="AX73" s="140"/>
      <c r="AY73" s="140"/>
      <c r="AZ73" s="140"/>
      <c r="BA73" s="140"/>
    </row>
    <row r="74" spans="16:53" s="93" customFormat="1">
      <c r="Q74" s="93">
        <f t="shared" ca="1" si="1"/>
        <v>0</v>
      </c>
      <c r="R74" s="93">
        <f ca="1">'فروش داخلی تجاری'!B19</f>
        <v>0</v>
      </c>
      <c r="S74" s="671">
        <f>'فروش داخلی تجاری'!L19</f>
        <v>0</v>
      </c>
      <c r="T74" s="671">
        <f ca="1">'فروش داخلی تجاری'!I19</f>
        <v>0</v>
      </c>
      <c r="AI74" s="140"/>
      <c r="AJ74" s="140"/>
      <c r="AK74" s="140"/>
      <c r="AL74" s="140"/>
      <c r="AM74" s="208"/>
      <c r="AN74" s="140"/>
      <c r="AO74" s="140"/>
      <c r="AP74" s="140"/>
      <c r="AQ74" s="140"/>
      <c r="AR74" s="140"/>
      <c r="AS74" s="140"/>
      <c r="AT74" s="140"/>
      <c r="AU74" s="140"/>
      <c r="AV74" s="140"/>
      <c r="AW74" s="140"/>
      <c r="AX74" s="140"/>
      <c r="AY74" s="140"/>
      <c r="AZ74" s="140"/>
      <c r="BA74" s="140"/>
    </row>
    <row r="75" spans="16:53" s="93" customFormat="1">
      <c r="Q75" s="93">
        <f t="shared" ca="1" si="1"/>
        <v>0</v>
      </c>
      <c r="R75" s="93">
        <f ca="1">'فروش داخلی تجاری'!B20</f>
        <v>0</v>
      </c>
      <c r="S75" s="671">
        <f>'فروش داخلی تجاری'!L20</f>
        <v>0</v>
      </c>
      <c r="T75" s="671">
        <f ca="1">'فروش داخلی تجاری'!I20</f>
        <v>0</v>
      </c>
      <c r="AI75" s="140"/>
      <c r="AJ75" s="140"/>
      <c r="AK75" s="140"/>
      <c r="AL75" s="140"/>
      <c r="AM75" s="208"/>
      <c r="AN75" s="140"/>
      <c r="AO75" s="140"/>
      <c r="AP75" s="140"/>
      <c r="AQ75" s="140"/>
      <c r="AR75" s="140"/>
      <c r="AS75" s="140"/>
      <c r="AT75" s="140"/>
      <c r="AU75" s="140"/>
      <c r="AV75" s="140"/>
      <c r="AW75" s="140"/>
      <c r="AX75" s="140"/>
      <c r="AY75" s="140"/>
      <c r="AZ75" s="140"/>
      <c r="BA75" s="140"/>
    </row>
    <row r="76" spans="16:53" s="93" customFormat="1">
      <c r="Q76" s="93">
        <f t="shared" ca="1" si="1"/>
        <v>0</v>
      </c>
      <c r="R76" s="93">
        <f ca="1">'فروش داخلی تجاری'!B29</f>
        <v>0</v>
      </c>
      <c r="S76" s="671">
        <f>'فروش داخلی تجاری'!L29</f>
        <v>0</v>
      </c>
      <c r="T76" s="671">
        <f ca="1">'فروش داخلی تجاری'!I29</f>
        <v>0</v>
      </c>
      <c r="AI76" s="140"/>
      <c r="AJ76" s="140"/>
      <c r="AK76" s="140"/>
      <c r="AL76" s="140"/>
      <c r="AM76" s="208"/>
      <c r="AN76" s="140"/>
      <c r="AO76" s="140"/>
      <c r="AP76" s="140"/>
      <c r="AQ76" s="140"/>
      <c r="AR76" s="140"/>
      <c r="AS76" s="140"/>
      <c r="AT76" s="140"/>
      <c r="AU76" s="140"/>
      <c r="AV76" s="140"/>
      <c r="AW76" s="140"/>
      <c r="AX76" s="140"/>
      <c r="AY76" s="140"/>
      <c r="AZ76" s="140"/>
      <c r="BA76" s="140"/>
    </row>
    <row r="77" spans="16:53" s="93" customFormat="1">
      <c r="P77" s="93" t="s">
        <v>206</v>
      </c>
      <c r="Q77" s="93">
        <f t="shared" si="1"/>
        <v>1</v>
      </c>
      <c r="R77" s="93" t="str">
        <f ca="1">'درآمد خدمات'!B7</f>
        <v>انبارداری واردات</v>
      </c>
      <c r="S77" s="671">
        <f>'درآمد خدمات'!L7</f>
        <v>528593</v>
      </c>
      <c r="T77" s="671">
        <f>'درآمد خدمات'!I7</f>
        <v>615444</v>
      </c>
      <c r="AI77" s="140"/>
      <c r="AJ77" s="140"/>
      <c r="AK77" s="140"/>
      <c r="AL77" s="140"/>
      <c r="AM77" s="208"/>
      <c r="AN77" s="140"/>
      <c r="AO77" s="140"/>
      <c r="AP77" s="140"/>
      <c r="AQ77" s="140"/>
      <c r="AR77" s="140"/>
      <c r="AS77" s="140"/>
      <c r="AT77" s="140"/>
      <c r="AU77" s="140"/>
      <c r="AV77" s="140"/>
      <c r="AW77" s="140"/>
      <c r="AX77" s="140"/>
      <c r="AY77" s="140"/>
      <c r="AZ77" s="140"/>
      <c r="BA77" s="140"/>
    </row>
    <row r="78" spans="16:53" s="93" customFormat="1">
      <c r="Q78" s="93">
        <f t="shared" si="1"/>
        <v>1</v>
      </c>
      <c r="R78" s="93" t="str">
        <f ca="1">'درآمد خدمات'!B8</f>
        <v>باربری واردات</v>
      </c>
      <c r="S78" s="671">
        <f>'درآمد خدمات'!L8</f>
        <v>808273</v>
      </c>
      <c r="T78" s="671">
        <f>'درآمد خدمات'!I8</f>
        <v>690927.00000000012</v>
      </c>
      <c r="AI78" s="140"/>
      <c r="AJ78" s="140"/>
      <c r="AK78" s="140"/>
      <c r="AL78" s="140"/>
      <c r="AM78" s="208"/>
      <c r="AN78" s="140"/>
      <c r="AO78" s="140"/>
      <c r="AP78" s="140"/>
      <c r="AQ78" s="140"/>
      <c r="AR78" s="140"/>
      <c r="AS78" s="140"/>
      <c r="AT78" s="140"/>
      <c r="AU78" s="140"/>
      <c r="AV78" s="140"/>
      <c r="AW78" s="140"/>
      <c r="AX78" s="140"/>
      <c r="AY78" s="140"/>
      <c r="AZ78" s="140"/>
      <c r="BA78" s="140"/>
    </row>
    <row r="79" spans="16:53" s="93" customFormat="1">
      <c r="Q79" s="93">
        <f t="shared" si="1"/>
        <v>1</v>
      </c>
      <c r="R79" s="93" t="str">
        <f ca="1">'درآمد خدمات'!B9</f>
        <v>حمل یکسره واردات</v>
      </c>
      <c r="S79" s="671">
        <f>'درآمد خدمات'!L9</f>
        <v>479</v>
      </c>
      <c r="T79" s="671">
        <f>'درآمد خدمات'!I9</f>
        <v>67</v>
      </c>
      <c r="AI79" s="140"/>
      <c r="AJ79" s="140"/>
      <c r="AK79" s="140"/>
      <c r="AL79" s="140"/>
      <c r="AM79" s="208"/>
      <c r="AN79" s="140"/>
      <c r="AO79" s="140"/>
      <c r="AP79" s="140"/>
      <c r="AQ79" s="140"/>
      <c r="AR79" s="140"/>
      <c r="AS79" s="140"/>
      <c r="AT79" s="140"/>
      <c r="AU79" s="140"/>
      <c r="AV79" s="140"/>
      <c r="AW79" s="140"/>
      <c r="AX79" s="140"/>
      <c r="AY79" s="140"/>
      <c r="AZ79" s="140"/>
      <c r="BA79" s="140"/>
    </row>
    <row r="80" spans="16:53" s="93" customFormat="1">
      <c r="Q80" s="93">
        <f t="shared" si="1"/>
        <v>1</v>
      </c>
      <c r="R80" s="93" t="str">
        <f ca="1">'درآمد خدمات'!B10</f>
        <v>ترانشیپ واردات</v>
      </c>
      <c r="S80" s="671">
        <f>'درآمد خدمات'!L10</f>
        <v>164419</v>
      </c>
      <c r="T80" s="671">
        <f>'درآمد خدمات'!I10</f>
        <v>146941</v>
      </c>
      <c r="AI80" s="140"/>
      <c r="AJ80" s="140"/>
      <c r="AK80" s="140"/>
      <c r="AL80" s="140"/>
      <c r="AM80" s="208"/>
      <c r="AN80" s="140"/>
      <c r="AO80" s="140"/>
      <c r="AP80" s="140"/>
      <c r="AQ80" s="140"/>
      <c r="AR80" s="140"/>
      <c r="AS80" s="140"/>
      <c r="AT80" s="140"/>
      <c r="AU80" s="140"/>
      <c r="AV80" s="140"/>
      <c r="AW80" s="140"/>
      <c r="AX80" s="140"/>
      <c r="AY80" s="140"/>
      <c r="AZ80" s="140"/>
      <c r="BA80" s="140"/>
    </row>
    <row r="81" spans="17:53" s="93" customFormat="1">
      <c r="Q81" s="93">
        <f t="shared" si="1"/>
        <v>1</v>
      </c>
      <c r="R81" s="93" t="str">
        <f ca="1">'درآمد خدمات'!B11</f>
        <v>خدمات باربری واردات</v>
      </c>
      <c r="S81" s="671">
        <f>'درآمد خدمات'!L11</f>
        <v>118106</v>
      </c>
      <c r="T81" s="671">
        <f>'درآمد خدمات'!I11</f>
        <v>132255</v>
      </c>
      <c r="AI81" s="140"/>
      <c r="AJ81" s="140"/>
      <c r="AK81" s="140"/>
      <c r="AL81" s="140"/>
      <c r="AM81" s="208"/>
      <c r="AN81" s="140"/>
      <c r="AO81" s="140"/>
      <c r="AP81" s="140"/>
      <c r="AQ81" s="140"/>
      <c r="AR81" s="140"/>
      <c r="AS81" s="140"/>
      <c r="AT81" s="140"/>
      <c r="AU81" s="140"/>
      <c r="AV81" s="140"/>
      <c r="AW81" s="140"/>
      <c r="AX81" s="140"/>
      <c r="AY81" s="140"/>
      <c r="AZ81" s="140"/>
      <c r="BA81" s="140"/>
    </row>
    <row r="82" spans="17:53" s="93" customFormat="1">
      <c r="Q82" s="93">
        <f t="shared" si="1"/>
        <v>1</v>
      </c>
      <c r="R82" s="93" t="str">
        <f ca="1">'درآمد خدمات'!B12</f>
        <v>انبارداری صادرات</v>
      </c>
      <c r="S82" s="671">
        <f>'درآمد خدمات'!L12</f>
        <v>50631</v>
      </c>
      <c r="T82" s="671">
        <f>'درآمد خدمات'!I12</f>
        <v>46391</v>
      </c>
      <c r="AI82" s="140"/>
      <c r="AJ82" s="140"/>
      <c r="AK82" s="140"/>
      <c r="AL82" s="140"/>
      <c r="AM82" s="208"/>
      <c r="AN82" s="140"/>
      <c r="AO82" s="140"/>
      <c r="AP82" s="140"/>
      <c r="AQ82" s="140"/>
      <c r="AR82" s="140"/>
      <c r="AS82" s="140"/>
      <c r="AT82" s="140"/>
      <c r="AU82" s="140"/>
      <c r="AV82" s="140"/>
      <c r="AW82" s="140"/>
      <c r="AX82" s="140"/>
      <c r="AY82" s="140"/>
      <c r="AZ82" s="140"/>
      <c r="BA82" s="140"/>
    </row>
    <row r="83" spans="17:53" s="93" customFormat="1">
      <c r="Q83" s="93">
        <f t="shared" si="1"/>
        <v>1</v>
      </c>
      <c r="R83" s="93" t="str">
        <f ca="1">'درآمد خدمات'!B13</f>
        <v>باربری صادرات</v>
      </c>
      <c r="S83" s="671">
        <f>'درآمد خدمات'!L13</f>
        <v>44261</v>
      </c>
      <c r="T83" s="671">
        <f>'درآمد خدمات'!I13</f>
        <v>56912</v>
      </c>
      <c r="AI83" s="140"/>
      <c r="AJ83" s="140"/>
      <c r="AK83" s="140"/>
      <c r="AL83" s="140"/>
      <c r="AM83" s="208"/>
      <c r="AN83" s="140"/>
      <c r="AO83" s="140"/>
      <c r="AP83" s="140"/>
      <c r="AQ83" s="140"/>
      <c r="AR83" s="140"/>
      <c r="AS83" s="140"/>
      <c r="AT83" s="140"/>
      <c r="AU83" s="140"/>
      <c r="AV83" s="140"/>
      <c r="AW83" s="140"/>
      <c r="AX83" s="140"/>
      <c r="AY83" s="140"/>
      <c r="AZ83" s="140"/>
      <c r="BA83" s="140"/>
    </row>
    <row r="84" spans="17:53" s="93" customFormat="1">
      <c r="Q84" s="93">
        <f t="shared" si="1"/>
        <v>0</v>
      </c>
      <c r="R84" s="93" t="str">
        <f ca="1">'درآمد خدمات'!B14</f>
        <v>حمل یکسره صادرات</v>
      </c>
      <c r="S84" s="671">
        <f>'درآمد خدمات'!L14</f>
        <v>0</v>
      </c>
      <c r="T84" s="671">
        <f>'درآمد خدمات'!I14</f>
        <v>0</v>
      </c>
      <c r="AI84" s="140"/>
      <c r="AJ84" s="140"/>
      <c r="AK84" s="140"/>
      <c r="AL84" s="140"/>
      <c r="AM84" s="208"/>
      <c r="AN84" s="140"/>
      <c r="AO84" s="140"/>
      <c r="AP84" s="140"/>
      <c r="AQ84" s="140"/>
      <c r="AR84" s="140"/>
      <c r="AS84" s="140"/>
      <c r="AT84" s="140"/>
      <c r="AU84" s="140"/>
      <c r="AV84" s="140"/>
      <c r="AW84" s="140"/>
      <c r="AX84" s="140"/>
      <c r="AY84" s="140"/>
      <c r="AZ84" s="140"/>
      <c r="BA84" s="140"/>
    </row>
    <row r="85" spans="17:53" s="93" customFormat="1">
      <c r="Q85" s="93">
        <f t="shared" si="1"/>
        <v>1</v>
      </c>
      <c r="R85" s="93" t="str">
        <f ca="1">'درآمد خدمات'!B15</f>
        <v>ترانشیپ صادرات</v>
      </c>
      <c r="S85" s="671">
        <f>'درآمد خدمات'!L15</f>
        <v>949122</v>
      </c>
      <c r="T85" s="671">
        <f>'درآمد خدمات'!I15</f>
        <v>8953</v>
      </c>
      <c r="AI85" s="140"/>
      <c r="AJ85" s="140"/>
      <c r="AK85" s="140"/>
      <c r="AL85" s="140"/>
      <c r="AM85" s="208"/>
      <c r="AN85" s="140"/>
      <c r="AO85" s="140"/>
      <c r="AP85" s="140"/>
      <c r="AQ85" s="140"/>
      <c r="AR85" s="140"/>
      <c r="AS85" s="140"/>
      <c r="AT85" s="140"/>
      <c r="AU85" s="140"/>
      <c r="AV85" s="140"/>
      <c r="AW85" s="140"/>
      <c r="AX85" s="140"/>
      <c r="AY85" s="140"/>
      <c r="AZ85" s="140"/>
      <c r="BA85" s="140"/>
    </row>
    <row r="86" spans="17:53" s="93" customFormat="1">
      <c r="Q86" s="93">
        <f t="shared" si="1"/>
        <v>1</v>
      </c>
      <c r="R86" s="93" t="str">
        <f ca="1">'درآمد خدمات'!B16</f>
        <v>خدمات باربری صادرات</v>
      </c>
      <c r="S86" s="671">
        <f>'درآمد خدمات'!L16</f>
        <v>34526</v>
      </c>
      <c r="T86" s="671">
        <f>'درآمد خدمات'!I16</f>
        <v>55246</v>
      </c>
      <c r="AI86" s="140"/>
      <c r="AJ86" s="140"/>
      <c r="AK86" s="140"/>
      <c r="AL86" s="140"/>
      <c r="AM86" s="208"/>
      <c r="AN86" s="140"/>
      <c r="AO86" s="140"/>
      <c r="AP86" s="140"/>
      <c r="AQ86" s="140"/>
      <c r="AR86" s="140"/>
      <c r="AS86" s="140"/>
      <c r="AT86" s="140"/>
      <c r="AU86" s="140"/>
      <c r="AV86" s="140"/>
      <c r="AW86" s="140"/>
      <c r="AX86" s="140"/>
      <c r="AY86" s="140"/>
      <c r="AZ86" s="140"/>
      <c r="BA86" s="140"/>
    </row>
    <row r="87" spans="17:53" s="93" customFormat="1">
      <c r="Q87" s="93">
        <f t="shared" si="1"/>
        <v>0</v>
      </c>
      <c r="R87" s="93" t="str">
        <f ca="1">'درآمد خدمات'!B17</f>
        <v>حمل‌ونقل داخلی</v>
      </c>
      <c r="S87" s="671">
        <f>'درآمد خدمات'!L17</f>
        <v>0</v>
      </c>
      <c r="T87" s="671">
        <f>'درآمد خدمات'!I17</f>
        <v>0</v>
      </c>
      <c r="AI87" s="140"/>
      <c r="AJ87" s="140"/>
      <c r="AK87" s="140"/>
      <c r="AL87" s="140"/>
      <c r="AM87" s="208"/>
      <c r="AN87" s="140"/>
      <c r="AO87" s="140"/>
      <c r="AP87" s="140"/>
      <c r="AQ87" s="140"/>
      <c r="AR87" s="140"/>
      <c r="AS87" s="140"/>
      <c r="AT87" s="140"/>
      <c r="AU87" s="140"/>
      <c r="AV87" s="140"/>
      <c r="AW87" s="140"/>
      <c r="AX87" s="140"/>
      <c r="AY87" s="140"/>
      <c r="AZ87" s="140"/>
      <c r="BA87" s="140"/>
    </row>
    <row r="88" spans="17:53" s="93" customFormat="1">
      <c r="Q88" s="93">
        <f t="shared" si="1"/>
        <v>0</v>
      </c>
      <c r="R88" s="93" t="str">
        <f ca="1">'درآمد خدمات'!B18</f>
        <v>حمل‌ونقل داخلی</v>
      </c>
      <c r="S88" s="671">
        <f>'درآمد خدمات'!L18</f>
        <v>0</v>
      </c>
      <c r="T88" s="671">
        <f>'درآمد خدمات'!I18</f>
        <v>0</v>
      </c>
      <c r="AI88" s="140"/>
      <c r="AJ88" s="140"/>
      <c r="AK88" s="140"/>
      <c r="AL88" s="140"/>
      <c r="AM88" s="208"/>
      <c r="AN88" s="140"/>
      <c r="AO88" s="140"/>
      <c r="AP88" s="140"/>
      <c r="AQ88" s="140"/>
      <c r="AR88" s="140"/>
      <c r="AS88" s="140"/>
      <c r="AT88" s="140"/>
      <c r="AU88" s="140"/>
      <c r="AV88" s="140"/>
      <c r="AW88" s="140"/>
      <c r="AX88" s="140"/>
      <c r="AY88" s="140"/>
      <c r="AZ88" s="140"/>
      <c r="BA88" s="140"/>
    </row>
    <row r="89" spans="17:53" s="93" customFormat="1">
      <c r="Q89" s="93">
        <f t="shared" ca="1" si="1"/>
        <v>0</v>
      </c>
      <c r="R89" s="93">
        <f ca="1">'درآمد خدمات'!B19</f>
        <v>0</v>
      </c>
      <c r="S89" s="671">
        <f>'درآمد خدمات'!L19</f>
        <v>0</v>
      </c>
      <c r="T89" s="671">
        <f ca="1">'درآمد خدمات'!I19</f>
        <v>0</v>
      </c>
      <c r="AI89" s="140"/>
      <c r="AJ89" s="140"/>
      <c r="AK89" s="140"/>
      <c r="AL89" s="140"/>
      <c r="AM89" s="208"/>
      <c r="AN89" s="140"/>
      <c r="AO89" s="140"/>
      <c r="AP89" s="140"/>
      <c r="AQ89" s="140"/>
      <c r="AR89" s="140"/>
      <c r="AS89" s="140"/>
      <c r="AT89" s="140"/>
      <c r="AU89" s="140"/>
      <c r="AV89" s="140"/>
      <c r="AW89" s="140"/>
      <c r="AX89" s="140"/>
      <c r="AY89" s="140"/>
      <c r="AZ89" s="140"/>
      <c r="BA89" s="140"/>
    </row>
    <row r="90" spans="17:53" s="93" customFormat="1">
      <c r="Q90" s="93">
        <f t="shared" ca="1" si="1"/>
        <v>0</v>
      </c>
      <c r="R90" s="93">
        <f ca="1">'درآمد خدمات'!B20</f>
        <v>0</v>
      </c>
      <c r="S90" s="671">
        <f>'درآمد خدمات'!L20</f>
        <v>0</v>
      </c>
      <c r="T90" s="671">
        <f ca="1">'درآمد خدمات'!I20</f>
        <v>0</v>
      </c>
      <c r="AI90" s="140"/>
      <c r="AJ90" s="140"/>
      <c r="AK90" s="140"/>
      <c r="AL90" s="140"/>
      <c r="AM90" s="208"/>
      <c r="AN90" s="140"/>
      <c r="AO90" s="140"/>
      <c r="AP90" s="140"/>
      <c r="AQ90" s="140"/>
      <c r="AR90" s="140"/>
      <c r="AS90" s="140"/>
      <c r="AT90" s="140"/>
      <c r="AU90" s="140"/>
      <c r="AV90" s="140"/>
      <c r="AW90" s="140"/>
      <c r="AX90" s="140"/>
      <c r="AY90" s="140"/>
      <c r="AZ90" s="140"/>
      <c r="BA90" s="140"/>
    </row>
    <row r="91" spans="17:53" s="93" customFormat="1">
      <c r="Q91" s="93">
        <f t="shared" ca="1" si="1"/>
        <v>0</v>
      </c>
      <c r="R91" s="93">
        <f ca="1">'درآمد خدمات'!B21</f>
        <v>0</v>
      </c>
      <c r="S91" s="671">
        <f>'درآمد خدمات'!L21</f>
        <v>0</v>
      </c>
      <c r="T91" s="671">
        <f ca="1">'درآمد خدمات'!I21</f>
        <v>0</v>
      </c>
      <c r="AI91" s="140"/>
      <c r="AJ91" s="140"/>
      <c r="AK91" s="140"/>
      <c r="AL91" s="140"/>
      <c r="AM91" s="208"/>
      <c r="AN91" s="140"/>
      <c r="AO91" s="140"/>
      <c r="AP91" s="140"/>
      <c r="AQ91" s="140"/>
      <c r="AR91" s="140"/>
      <c r="AS91" s="140"/>
      <c r="AT91" s="140"/>
      <c r="AU91" s="140"/>
      <c r="AV91" s="140"/>
      <c r="AW91" s="140"/>
      <c r="AX91" s="140"/>
      <c r="AY91" s="140"/>
      <c r="AZ91" s="140"/>
      <c r="BA91" s="140"/>
    </row>
    <row r="92" spans="17:53">
      <c r="Q92" s="93">
        <f t="shared" ca="1" si="1"/>
        <v>0</v>
      </c>
      <c r="R92" s="93">
        <f ca="1">'درآمد خدمات'!B22</f>
        <v>0</v>
      </c>
      <c r="S92" s="671">
        <f>'درآمد خدمات'!L22</f>
        <v>0</v>
      </c>
      <c r="T92" s="671">
        <f ca="1">'درآمد خدمات'!I22</f>
        <v>0</v>
      </c>
    </row>
    <row r="93" spans="17:53">
      <c r="Q93" s="93">
        <f t="shared" ca="1" si="1"/>
        <v>0</v>
      </c>
      <c r="R93" s="93">
        <f ca="1">'درآمد خدمات'!B23</f>
        <v>0</v>
      </c>
      <c r="S93" s="671">
        <f>'درآمد خدمات'!L23</f>
        <v>0</v>
      </c>
      <c r="T93" s="671">
        <f ca="1">'درآمد خدمات'!I23</f>
        <v>0</v>
      </c>
    </row>
    <row r="94" spans="17:53">
      <c r="Q94" s="93">
        <f t="shared" ca="1" si="1"/>
        <v>0</v>
      </c>
      <c r="R94" s="93">
        <f ca="1">'درآمد خدمات'!B24</f>
        <v>0</v>
      </c>
      <c r="S94" s="671">
        <f>'درآمد خدمات'!L24</f>
        <v>0</v>
      </c>
      <c r="T94" s="671">
        <f ca="1">'درآمد خدمات'!I24</f>
        <v>0</v>
      </c>
    </row>
    <row r="95" spans="17:53">
      <c r="Q95" s="93">
        <f t="shared" ca="1" si="1"/>
        <v>0</v>
      </c>
      <c r="R95" s="93">
        <f ca="1">'درآمد خدمات'!B25</f>
        <v>0</v>
      </c>
      <c r="S95" s="671">
        <f>'درآمد خدمات'!L25</f>
        <v>0</v>
      </c>
      <c r="T95" s="671">
        <f ca="1">'درآمد خدمات'!I25</f>
        <v>0</v>
      </c>
    </row>
    <row r="96" spans="17:53">
      <c r="Q96" s="93">
        <f t="shared" ca="1" si="1"/>
        <v>0</v>
      </c>
      <c r="R96" s="93">
        <f ca="1">'درآمد خدمات'!B26</f>
        <v>0</v>
      </c>
      <c r="S96" s="671">
        <f>'درآمد خدمات'!L26</f>
        <v>0</v>
      </c>
      <c r="T96" s="671">
        <f ca="1">'درآمد خدمات'!I26</f>
        <v>0</v>
      </c>
    </row>
    <row r="97" spans="1:53" s="93" customFormat="1">
      <c r="A97" s="41"/>
      <c r="B97" s="41"/>
      <c r="C97" s="41"/>
      <c r="D97" s="41"/>
      <c r="E97" s="41"/>
      <c r="F97" s="41"/>
      <c r="G97" s="41"/>
      <c r="H97" s="41"/>
      <c r="I97" s="41"/>
      <c r="J97" s="41"/>
      <c r="K97" s="41"/>
      <c r="L97" s="41"/>
      <c r="M97" s="41"/>
      <c r="N97" s="41"/>
      <c r="Q97" s="93">
        <f t="shared" ca="1" si="1"/>
        <v>0</v>
      </c>
      <c r="R97" s="93" t="str">
        <f ca="1">"صادرات " &amp; 'درآمد صادرات'!B7</f>
        <v>صادرات 0</v>
      </c>
      <c r="S97" s="671">
        <f>'درآمد صادرات'!Q7</f>
        <v>0</v>
      </c>
      <c r="T97" s="671">
        <f ca="1">'درآمد صادرات'!N7</f>
        <v>0</v>
      </c>
      <c r="AI97" s="140"/>
      <c r="AJ97" s="140"/>
      <c r="AK97" s="140"/>
      <c r="AL97" s="140"/>
      <c r="AM97" s="208"/>
      <c r="AN97" s="208"/>
      <c r="AO97" s="208"/>
      <c r="AP97" s="208"/>
      <c r="AQ97" s="140"/>
      <c r="AR97" s="140"/>
      <c r="AS97" s="140"/>
      <c r="AT97" s="140"/>
      <c r="AU97" s="140"/>
      <c r="AV97" s="140"/>
      <c r="AW97" s="140"/>
      <c r="AX97" s="140"/>
      <c r="AY97" s="140"/>
      <c r="AZ97" s="140"/>
      <c r="BA97" s="140"/>
    </row>
    <row r="98" spans="1:53" s="93" customFormat="1">
      <c r="A98" s="41"/>
      <c r="B98" s="41"/>
      <c r="C98" s="41"/>
      <c r="D98" s="41"/>
      <c r="E98" s="41"/>
      <c r="F98" s="41"/>
      <c r="G98" s="41"/>
      <c r="H98" s="41"/>
      <c r="I98" s="41"/>
      <c r="J98" s="41"/>
      <c r="K98" s="41"/>
      <c r="L98" s="41"/>
      <c r="M98" s="41"/>
      <c r="N98" s="41"/>
      <c r="Q98" s="93">
        <f t="shared" ca="1" si="1"/>
        <v>0</v>
      </c>
      <c r="R98" s="93" t="str">
        <f ca="1">"صادرات " &amp; 'درآمد صادرات'!B8</f>
        <v>صادرات 0</v>
      </c>
      <c r="S98" s="671">
        <f>'درآمد صادرات'!Q8</f>
        <v>0</v>
      </c>
      <c r="T98" s="671">
        <f ca="1">'درآمد صادرات'!N8</f>
        <v>0</v>
      </c>
      <c r="AI98" s="140"/>
      <c r="AJ98" s="140"/>
      <c r="AK98" s="140"/>
      <c r="AL98" s="140"/>
      <c r="AM98" s="208"/>
      <c r="AN98" s="208"/>
      <c r="AO98" s="208"/>
      <c r="AP98" s="208"/>
      <c r="AQ98" s="140"/>
      <c r="AR98" s="140"/>
      <c r="AS98" s="140"/>
      <c r="AT98" s="140"/>
      <c r="AU98" s="140"/>
      <c r="AV98" s="140"/>
      <c r="AW98" s="140"/>
      <c r="AX98" s="140"/>
      <c r="AY98" s="140"/>
      <c r="AZ98" s="140"/>
      <c r="BA98" s="140"/>
    </row>
    <row r="99" spans="1:53" s="93" customFormat="1">
      <c r="A99" s="41"/>
      <c r="B99" s="41"/>
      <c r="C99" s="41"/>
      <c r="D99" s="41"/>
      <c r="E99" s="41"/>
      <c r="F99" s="41"/>
      <c r="G99" s="41"/>
      <c r="H99" s="41"/>
      <c r="I99" s="41"/>
      <c r="J99" s="41"/>
      <c r="K99" s="41"/>
      <c r="L99" s="41"/>
      <c r="M99" s="41"/>
      <c r="N99" s="41"/>
      <c r="Q99" s="93">
        <f t="shared" ca="1" si="1"/>
        <v>0</v>
      </c>
      <c r="R99" s="93" t="str">
        <f ca="1">"صادرات " &amp; 'درآمد صادرات'!B9</f>
        <v>صادرات 0</v>
      </c>
      <c r="S99" s="671">
        <f>'درآمد صادرات'!Q9</f>
        <v>0</v>
      </c>
      <c r="T99" s="671">
        <f ca="1">'درآمد صادرات'!N9</f>
        <v>0</v>
      </c>
      <c r="AI99" s="140"/>
      <c r="AJ99" s="140"/>
      <c r="AK99" s="140"/>
      <c r="AL99" s="140"/>
      <c r="AM99" s="208"/>
      <c r="AN99" s="208"/>
      <c r="AO99" s="208"/>
      <c r="AP99" s="208"/>
      <c r="AQ99" s="140"/>
      <c r="AR99" s="140"/>
      <c r="AS99" s="140"/>
      <c r="AT99" s="140"/>
      <c r="AU99" s="140"/>
      <c r="AV99" s="140"/>
      <c r="AW99" s="140"/>
      <c r="AX99" s="140"/>
      <c r="AY99" s="140"/>
      <c r="AZ99" s="140"/>
      <c r="BA99" s="140"/>
    </row>
    <row r="100" spans="1:53" s="93" customFormat="1">
      <c r="A100" s="41"/>
      <c r="B100" s="41"/>
      <c r="C100" s="41"/>
      <c r="D100" s="41"/>
      <c r="E100" s="41"/>
      <c r="F100" s="41"/>
      <c r="G100" s="41"/>
      <c r="H100" s="41"/>
      <c r="I100" s="41"/>
      <c r="J100" s="41"/>
      <c r="K100" s="41"/>
      <c r="L100" s="41"/>
      <c r="M100" s="41"/>
      <c r="N100" s="41"/>
      <c r="Q100" s="93">
        <f t="shared" ca="1" si="1"/>
        <v>0</v>
      </c>
      <c r="R100" s="93" t="str">
        <f ca="1">"صادرات " &amp; 'درآمد صادرات'!B10</f>
        <v>صادرات 0</v>
      </c>
      <c r="S100" s="671">
        <f>'درآمد صادرات'!Q10</f>
        <v>0</v>
      </c>
      <c r="T100" s="671">
        <f ca="1">'درآمد صادرات'!N10</f>
        <v>0</v>
      </c>
      <c r="AI100" s="140"/>
      <c r="AJ100" s="140"/>
      <c r="AK100" s="140"/>
      <c r="AL100" s="140"/>
      <c r="AM100" s="208"/>
      <c r="AN100" s="208"/>
      <c r="AO100" s="208"/>
      <c r="AP100" s="208"/>
      <c r="AQ100" s="140"/>
      <c r="AR100" s="140"/>
      <c r="AS100" s="140"/>
      <c r="AT100" s="140"/>
      <c r="AU100" s="140"/>
      <c r="AV100" s="140"/>
      <c r="AW100" s="140"/>
      <c r="AX100" s="140"/>
      <c r="AY100" s="140"/>
      <c r="AZ100" s="140"/>
      <c r="BA100" s="140"/>
    </row>
    <row r="101" spans="1:53" s="93" customFormat="1">
      <c r="A101" s="41"/>
      <c r="B101" s="41"/>
      <c r="C101" s="41"/>
      <c r="D101" s="41"/>
      <c r="E101" s="41"/>
      <c r="F101" s="41"/>
      <c r="G101" s="41"/>
      <c r="H101" s="41"/>
      <c r="I101" s="41"/>
      <c r="J101" s="41"/>
      <c r="K101" s="41"/>
      <c r="L101" s="41"/>
      <c r="M101" s="41"/>
      <c r="N101" s="41"/>
      <c r="Q101" s="93">
        <f t="shared" ca="1" si="1"/>
        <v>0</v>
      </c>
      <c r="R101" s="93" t="str">
        <f ca="1">"صادرات " &amp; 'درآمد صادرات'!B11</f>
        <v>صادرات 0</v>
      </c>
      <c r="S101" s="671">
        <f>'درآمد صادرات'!Q11</f>
        <v>0</v>
      </c>
      <c r="T101" s="671">
        <f ca="1">'درآمد صادرات'!N11</f>
        <v>0</v>
      </c>
      <c r="AI101" s="140"/>
      <c r="AJ101" s="140"/>
      <c r="AK101" s="140"/>
      <c r="AL101" s="140"/>
      <c r="AM101" s="208"/>
      <c r="AN101" s="208"/>
      <c r="AO101" s="208"/>
      <c r="AP101" s="208"/>
      <c r="AQ101" s="140"/>
      <c r="AR101" s="140"/>
      <c r="AS101" s="140"/>
      <c r="AT101" s="140"/>
      <c r="AU101" s="140"/>
      <c r="AV101" s="140"/>
      <c r="AW101" s="140"/>
      <c r="AX101" s="140"/>
      <c r="AY101" s="140"/>
      <c r="AZ101" s="140"/>
      <c r="BA101" s="140"/>
    </row>
    <row r="102" spans="1:53" s="93" customFormat="1">
      <c r="A102" s="41"/>
      <c r="B102" s="41"/>
      <c r="C102" s="41"/>
      <c r="D102" s="41"/>
      <c r="E102" s="41"/>
      <c r="F102" s="41"/>
      <c r="G102" s="41"/>
      <c r="H102" s="41"/>
      <c r="I102" s="41"/>
      <c r="J102" s="41"/>
      <c r="K102" s="41"/>
      <c r="L102" s="41"/>
      <c r="M102" s="41"/>
      <c r="N102" s="41"/>
      <c r="Q102" s="93">
        <f t="shared" ca="1" si="1"/>
        <v>0</v>
      </c>
      <c r="R102" s="93" t="str">
        <f ca="1">"صادرات " &amp; 'درآمد صادرات'!B12</f>
        <v>صادرات 0</v>
      </c>
      <c r="S102" s="671">
        <f>'درآمد صادرات'!Q12</f>
        <v>0</v>
      </c>
      <c r="T102" s="671">
        <f ca="1">'درآمد صادرات'!N12</f>
        <v>0</v>
      </c>
      <c r="AI102" s="140"/>
      <c r="AJ102" s="140"/>
      <c r="AK102" s="140"/>
      <c r="AL102" s="140"/>
      <c r="AM102" s="208"/>
      <c r="AN102" s="208"/>
      <c r="AO102" s="208"/>
      <c r="AP102" s="208"/>
      <c r="AQ102" s="140"/>
      <c r="AR102" s="140"/>
      <c r="AS102" s="140"/>
      <c r="AT102" s="140"/>
      <c r="AU102" s="140"/>
      <c r="AV102" s="140"/>
      <c r="AW102" s="140"/>
      <c r="AX102" s="140"/>
      <c r="AY102" s="140"/>
      <c r="AZ102" s="140"/>
      <c r="BA102" s="140"/>
    </row>
    <row r="103" spans="1:53" s="93" customFormat="1">
      <c r="A103" s="41"/>
      <c r="B103" s="41"/>
      <c r="C103" s="41"/>
      <c r="D103" s="41"/>
      <c r="E103" s="41"/>
      <c r="F103" s="41"/>
      <c r="G103" s="41"/>
      <c r="H103" s="41"/>
      <c r="I103" s="41"/>
      <c r="J103" s="41"/>
      <c r="K103" s="41"/>
      <c r="L103" s="41"/>
      <c r="M103" s="41"/>
      <c r="N103" s="41"/>
      <c r="Q103" s="93">
        <f t="shared" ca="1" si="1"/>
        <v>0</v>
      </c>
      <c r="R103" s="93" t="str">
        <f ca="1">"صادرات " &amp; 'درآمد صادرات'!B13</f>
        <v>صادرات 0</v>
      </c>
      <c r="S103" s="671">
        <f>'درآمد صادرات'!Q13</f>
        <v>0</v>
      </c>
      <c r="T103" s="671">
        <f ca="1">'درآمد صادرات'!N13</f>
        <v>0</v>
      </c>
      <c r="AI103" s="140"/>
      <c r="AJ103" s="140"/>
      <c r="AK103" s="140"/>
      <c r="AL103" s="140"/>
      <c r="AM103" s="208"/>
      <c r="AN103" s="208"/>
      <c r="AO103" s="208"/>
      <c r="AP103" s="208"/>
      <c r="AQ103" s="140"/>
      <c r="AR103" s="140"/>
      <c r="AS103" s="140"/>
      <c r="AT103" s="140"/>
      <c r="AU103" s="140"/>
      <c r="AV103" s="140"/>
      <c r="AW103" s="140"/>
      <c r="AX103" s="140"/>
      <c r="AY103" s="140"/>
      <c r="AZ103" s="140"/>
      <c r="BA103" s="140"/>
    </row>
    <row r="104" spans="1:53" s="93" customFormat="1">
      <c r="A104" s="41"/>
      <c r="B104" s="41"/>
      <c r="C104" s="41"/>
      <c r="D104" s="41"/>
      <c r="E104" s="41"/>
      <c r="F104" s="41"/>
      <c r="G104" s="41"/>
      <c r="H104" s="41"/>
      <c r="I104" s="41"/>
      <c r="J104" s="41"/>
      <c r="K104" s="41"/>
      <c r="L104" s="41"/>
      <c r="M104" s="41"/>
      <c r="N104" s="41"/>
      <c r="Q104" s="93">
        <f t="shared" ca="1" si="1"/>
        <v>0</v>
      </c>
      <c r="R104" s="93" t="str">
        <f ca="1">"صادرات " &amp; 'درآمد صادرات'!B14</f>
        <v>صادرات 0</v>
      </c>
      <c r="S104" s="671">
        <f>'درآمد صادرات'!Q14</f>
        <v>0</v>
      </c>
      <c r="T104" s="671">
        <f ca="1">'درآمد صادرات'!N14</f>
        <v>0</v>
      </c>
      <c r="AI104" s="140"/>
      <c r="AJ104" s="140"/>
      <c r="AK104" s="140"/>
      <c r="AL104" s="140"/>
      <c r="AM104" s="208"/>
      <c r="AN104" s="208"/>
      <c r="AO104" s="208"/>
      <c r="AP104" s="208"/>
      <c r="AQ104" s="140"/>
      <c r="AR104" s="140"/>
      <c r="AS104" s="140"/>
      <c r="AT104" s="140"/>
      <c r="AU104" s="140"/>
      <c r="AV104" s="140"/>
      <c r="AW104" s="140"/>
      <c r="AX104" s="140"/>
      <c r="AY104" s="140"/>
      <c r="AZ104" s="140"/>
      <c r="BA104" s="140"/>
    </row>
    <row r="105" spans="1:53" s="93" customFormat="1">
      <c r="A105" s="41"/>
      <c r="B105" s="41"/>
      <c r="C105" s="41"/>
      <c r="D105" s="41"/>
      <c r="E105" s="41"/>
      <c r="F105" s="41"/>
      <c r="G105" s="41"/>
      <c r="H105" s="41"/>
      <c r="I105" s="41"/>
      <c r="J105" s="41"/>
      <c r="K105" s="41"/>
      <c r="L105" s="41"/>
      <c r="M105" s="41"/>
      <c r="N105" s="41"/>
      <c r="Q105" s="93">
        <f t="shared" ca="1" si="1"/>
        <v>0</v>
      </c>
      <c r="R105" s="93" t="str">
        <f ca="1">"صادرات " &amp; 'درآمد صادرات'!B15</f>
        <v>صادرات 0</v>
      </c>
      <c r="S105" s="671">
        <f>'درآمد صادرات'!Q15</f>
        <v>0</v>
      </c>
      <c r="T105" s="671">
        <f ca="1">'درآمد صادرات'!N15</f>
        <v>0</v>
      </c>
      <c r="AI105" s="140"/>
      <c r="AJ105" s="140"/>
      <c r="AK105" s="140"/>
      <c r="AL105" s="140"/>
      <c r="AM105" s="208"/>
      <c r="AN105" s="208"/>
      <c r="AO105" s="208"/>
      <c r="AP105" s="208"/>
      <c r="AQ105" s="140"/>
      <c r="AR105" s="140"/>
      <c r="AS105" s="140"/>
      <c r="AT105" s="140"/>
      <c r="AU105" s="140"/>
      <c r="AV105" s="140"/>
      <c r="AW105" s="140"/>
      <c r="AX105" s="140"/>
      <c r="AY105" s="140"/>
      <c r="AZ105" s="140"/>
      <c r="BA105" s="140"/>
    </row>
    <row r="106" spans="1:53" s="93" customFormat="1">
      <c r="A106" s="41"/>
      <c r="B106" s="41"/>
      <c r="C106" s="41"/>
      <c r="D106" s="41"/>
      <c r="E106" s="41"/>
      <c r="F106" s="41"/>
      <c r="G106" s="41"/>
      <c r="H106" s="41"/>
      <c r="I106" s="41"/>
      <c r="J106" s="41"/>
      <c r="K106" s="41"/>
      <c r="L106" s="41"/>
      <c r="M106" s="41"/>
      <c r="N106" s="41"/>
      <c r="Q106" s="93">
        <f t="shared" ca="1" si="1"/>
        <v>0</v>
      </c>
      <c r="R106" s="93" t="str">
        <f ca="1">"صادرات " &amp; 'درآمد صادرات'!B16</f>
        <v>صادرات 0</v>
      </c>
      <c r="S106" s="671">
        <f>'درآمد صادرات'!Q16</f>
        <v>0</v>
      </c>
      <c r="T106" s="671">
        <f ca="1">'درآمد صادرات'!N16</f>
        <v>0</v>
      </c>
      <c r="AI106" s="140"/>
      <c r="AJ106" s="140"/>
      <c r="AK106" s="140"/>
      <c r="AL106" s="140"/>
      <c r="AM106" s="208"/>
      <c r="AN106" s="208"/>
      <c r="AO106" s="208"/>
      <c r="AP106" s="208"/>
      <c r="AQ106" s="140"/>
      <c r="AR106" s="140"/>
      <c r="AS106" s="140"/>
      <c r="AT106" s="140"/>
      <c r="AU106" s="140"/>
      <c r="AV106" s="140"/>
      <c r="AW106" s="140"/>
      <c r="AX106" s="140"/>
      <c r="AY106" s="140"/>
      <c r="AZ106" s="140"/>
      <c r="BA106" s="140"/>
    </row>
    <row r="107" spans="1:53" s="93" customFormat="1">
      <c r="A107" s="41"/>
      <c r="B107" s="41"/>
      <c r="C107" s="41"/>
      <c r="D107" s="41"/>
      <c r="E107" s="41"/>
      <c r="F107" s="41"/>
      <c r="G107" s="41"/>
      <c r="H107" s="41"/>
      <c r="I107" s="41"/>
      <c r="J107" s="41"/>
      <c r="K107" s="41"/>
      <c r="L107" s="41"/>
      <c r="M107" s="41"/>
      <c r="N107" s="41"/>
      <c r="Q107" s="93">
        <f t="shared" ref="Q107:Q112" ca="1" si="2">IF(AND(OR(S107=0,S107=""),OR(T107=0,T107="")),0,1)</f>
        <v>0</v>
      </c>
      <c r="R107" s="93" t="str">
        <f ca="1">"صادرات " &amp; 'درآمد صادرات'!B17</f>
        <v>صادرات 0</v>
      </c>
      <c r="S107" s="671">
        <f>'درآمد صادرات'!Q17</f>
        <v>0</v>
      </c>
      <c r="T107" s="671">
        <f ca="1">'درآمد صادرات'!N17</f>
        <v>0</v>
      </c>
      <c r="AI107" s="140"/>
      <c r="AJ107" s="140"/>
      <c r="AK107" s="140"/>
      <c r="AL107" s="140"/>
      <c r="AM107" s="208"/>
      <c r="AN107" s="208"/>
      <c r="AO107" s="208"/>
      <c r="AP107" s="208"/>
      <c r="AQ107" s="140"/>
      <c r="AR107" s="140"/>
      <c r="AS107" s="140"/>
      <c r="AT107" s="140"/>
      <c r="AU107" s="140"/>
      <c r="AV107" s="140"/>
      <c r="AW107" s="140"/>
      <c r="AX107" s="140"/>
      <c r="AY107" s="140"/>
      <c r="AZ107" s="140"/>
      <c r="BA107" s="140"/>
    </row>
    <row r="108" spans="1:53" s="93" customFormat="1">
      <c r="A108" s="41"/>
      <c r="B108" s="41"/>
      <c r="C108" s="41"/>
      <c r="D108" s="41"/>
      <c r="E108" s="41"/>
      <c r="F108" s="41"/>
      <c r="G108" s="41"/>
      <c r="H108" s="41"/>
      <c r="I108" s="41"/>
      <c r="J108" s="41"/>
      <c r="K108" s="41"/>
      <c r="L108" s="41"/>
      <c r="M108" s="41"/>
      <c r="N108" s="41"/>
      <c r="Q108" s="93">
        <f t="shared" ca="1" si="2"/>
        <v>0</v>
      </c>
      <c r="R108" s="93" t="str">
        <f ca="1">"صادرات " &amp; 'درآمد صادرات'!B18</f>
        <v>صادرات 0</v>
      </c>
      <c r="S108" s="671">
        <f>'درآمد صادرات'!Q18</f>
        <v>0</v>
      </c>
      <c r="T108" s="671">
        <f ca="1">'درآمد صادرات'!N18</f>
        <v>0</v>
      </c>
      <c r="AI108" s="140"/>
      <c r="AJ108" s="140"/>
      <c r="AK108" s="140"/>
      <c r="AL108" s="140"/>
      <c r="AM108" s="208"/>
      <c r="AN108" s="208"/>
      <c r="AO108" s="208"/>
      <c r="AP108" s="208"/>
      <c r="AQ108" s="140"/>
      <c r="AR108" s="140"/>
      <c r="AS108" s="140"/>
      <c r="AT108" s="140"/>
      <c r="AU108" s="140"/>
      <c r="AV108" s="140"/>
      <c r="AW108" s="140"/>
      <c r="AX108" s="140"/>
      <c r="AY108" s="140"/>
      <c r="AZ108" s="140"/>
      <c r="BA108" s="140"/>
    </row>
    <row r="109" spans="1:53" s="93" customFormat="1">
      <c r="A109" s="41"/>
      <c r="B109" s="41"/>
      <c r="C109" s="41"/>
      <c r="D109" s="41"/>
      <c r="E109" s="41"/>
      <c r="F109" s="41"/>
      <c r="G109" s="41"/>
      <c r="H109" s="41"/>
      <c r="I109" s="41"/>
      <c r="J109" s="41"/>
      <c r="K109" s="41"/>
      <c r="L109" s="41"/>
      <c r="M109" s="41"/>
      <c r="N109" s="41"/>
      <c r="Q109" s="93">
        <f t="shared" si="2"/>
        <v>0</v>
      </c>
      <c r="R109" s="93" t="s">
        <v>196</v>
      </c>
      <c r="S109" s="671">
        <f>'گردش سهام'!AE49</f>
        <v>0</v>
      </c>
      <c r="T109" s="671"/>
      <c r="AI109" s="140"/>
      <c r="AJ109" s="140"/>
      <c r="AK109" s="140"/>
      <c r="AL109" s="140"/>
      <c r="AM109" s="208"/>
      <c r="AN109" s="208"/>
      <c r="AO109" s="208"/>
      <c r="AP109" s="208"/>
      <c r="AQ109" s="140"/>
      <c r="AR109" s="140"/>
      <c r="AS109" s="140"/>
      <c r="AT109" s="140"/>
      <c r="AU109" s="140"/>
      <c r="AV109" s="140"/>
      <c r="AW109" s="140"/>
      <c r="AX109" s="140"/>
      <c r="AY109" s="140"/>
      <c r="AZ109" s="140"/>
      <c r="BA109" s="140"/>
    </row>
    <row r="110" spans="1:53" s="93" customFormat="1">
      <c r="A110" s="41"/>
      <c r="B110" s="41"/>
      <c r="C110" s="41"/>
      <c r="D110" s="41"/>
      <c r="E110" s="41"/>
      <c r="F110" s="41"/>
      <c r="G110" s="41"/>
      <c r="H110" s="41"/>
      <c r="I110" s="41"/>
      <c r="J110" s="41"/>
      <c r="K110" s="41"/>
      <c r="L110" s="41"/>
      <c r="M110" s="41"/>
      <c r="N110" s="41"/>
      <c r="Q110" s="93">
        <f t="shared" si="2"/>
        <v>0</v>
      </c>
      <c r="R110" s="93" t="s">
        <v>167</v>
      </c>
      <c r="S110" s="671">
        <f>'سود سهام '!Z47</f>
        <v>0</v>
      </c>
      <c r="T110" s="671"/>
      <c r="AI110" s="140"/>
      <c r="AJ110" s="140"/>
      <c r="AK110" s="140"/>
      <c r="AL110" s="140"/>
      <c r="AM110" s="208"/>
      <c r="AN110" s="208"/>
      <c r="AO110" s="208"/>
      <c r="AP110" s="208"/>
      <c r="AQ110" s="140"/>
      <c r="AR110" s="140"/>
      <c r="AS110" s="140"/>
      <c r="AT110" s="140"/>
      <c r="AU110" s="140"/>
      <c r="AV110" s="140"/>
      <c r="AW110" s="140"/>
      <c r="AX110" s="140"/>
      <c r="AY110" s="140"/>
      <c r="AZ110" s="140"/>
      <c r="BA110" s="140"/>
    </row>
    <row r="111" spans="1:53" s="93" customFormat="1">
      <c r="A111" s="41"/>
      <c r="B111" s="41"/>
      <c r="C111" s="41"/>
      <c r="D111" s="41"/>
      <c r="E111" s="41"/>
      <c r="F111" s="41"/>
      <c r="G111" s="41"/>
      <c r="H111" s="41"/>
      <c r="I111" s="41"/>
      <c r="J111" s="41"/>
      <c r="K111" s="41"/>
      <c r="L111" s="41"/>
      <c r="M111" s="41"/>
      <c r="N111" s="41"/>
      <c r="Q111" s="93">
        <f t="shared" si="2"/>
        <v>1</v>
      </c>
      <c r="R111" s="93" t="s">
        <v>331</v>
      </c>
      <c r="S111" s="671">
        <f>'سایر عملیاتی'!D22</f>
        <v>1042459</v>
      </c>
      <c r="T111" s="671">
        <f>'سایر عملیاتی'!C22</f>
        <v>922003</v>
      </c>
      <c r="AI111" s="140"/>
      <c r="AJ111" s="140"/>
      <c r="AK111" s="140"/>
      <c r="AL111" s="140"/>
      <c r="AM111" s="208"/>
      <c r="AN111" s="208"/>
      <c r="AO111" s="208"/>
      <c r="AP111" s="208"/>
      <c r="AQ111" s="140"/>
      <c r="AR111" s="140"/>
      <c r="AS111" s="140"/>
      <c r="AT111" s="140"/>
      <c r="AU111" s="140"/>
      <c r="AV111" s="140"/>
      <c r="AW111" s="140"/>
      <c r="AX111" s="140"/>
      <c r="AY111" s="140"/>
      <c r="AZ111" s="140"/>
      <c r="BA111" s="140"/>
    </row>
    <row r="112" spans="1:53" s="93" customFormat="1">
      <c r="A112" s="41"/>
      <c r="B112" s="41"/>
      <c r="C112" s="41"/>
      <c r="D112" s="41"/>
      <c r="E112" s="41"/>
      <c r="F112" s="41"/>
      <c r="G112" s="41"/>
      <c r="H112" s="41"/>
      <c r="I112" s="41"/>
      <c r="J112" s="41"/>
      <c r="K112" s="41"/>
      <c r="L112" s="41"/>
      <c r="M112" s="41"/>
      <c r="N112" s="41"/>
      <c r="Q112" s="93">
        <f t="shared" si="2"/>
        <v>1</v>
      </c>
      <c r="R112" s="93" t="s">
        <v>332</v>
      </c>
      <c r="S112" s="671">
        <f>'سایر غیرعملیاتی'!D22</f>
        <v>100</v>
      </c>
      <c r="T112" s="671">
        <f>'سایر غیرعملیاتی'!C22</f>
        <v>5</v>
      </c>
      <c r="AI112" s="140"/>
      <c r="AJ112" s="140"/>
      <c r="AK112" s="140"/>
      <c r="AL112" s="140"/>
      <c r="AM112" s="208"/>
      <c r="AN112" s="208"/>
      <c r="AO112" s="208"/>
      <c r="AP112" s="208"/>
      <c r="AQ112" s="140"/>
      <c r="AR112" s="140"/>
      <c r="AS112" s="140"/>
      <c r="AT112" s="140"/>
      <c r="AU112" s="140"/>
      <c r="AV112" s="140"/>
      <c r="AW112" s="140"/>
      <c r="AX112" s="140"/>
      <c r="AY112" s="140"/>
      <c r="AZ112" s="140"/>
      <c r="BA112" s="140"/>
    </row>
  </sheetData>
  <autoFilter ref="Q41:Q112" xr:uid="{00000000-0009-0000-0000-000004000000}"/>
  <mergeCells count="3">
    <mergeCell ref="A1:N1"/>
    <mergeCell ref="A2:N2"/>
    <mergeCell ref="W4:AI4"/>
  </mergeCells>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AR70"/>
  <sheetViews>
    <sheetView rightToLeft="1" workbookViewId="0"/>
  </sheetViews>
  <sheetFormatPr defaultColWidth="9" defaultRowHeight="15"/>
  <cols>
    <col min="1" max="1" width="18.42578125" style="5" customWidth="1"/>
    <col min="2" max="2" width="36.42578125" style="5" customWidth="1"/>
    <col min="3" max="3" width="22" style="5" customWidth="1"/>
    <col min="4" max="4" width="25.85546875" style="5" customWidth="1"/>
    <col min="5" max="5" width="22.42578125" style="5" customWidth="1"/>
    <col min="6" max="6" width="29.42578125" style="5" customWidth="1"/>
    <col min="7" max="17" width="14" style="79" customWidth="1"/>
    <col min="18" max="44" width="9" style="79"/>
    <col min="45" max="16384" width="9" style="5"/>
  </cols>
  <sheetData>
    <row r="1" spans="1:14" ht="15.75" customHeight="1">
      <c r="A1"/>
      <c r="B1"/>
      <c r="C1"/>
      <c r="D1"/>
      <c r="E1"/>
      <c r="F1"/>
    </row>
    <row r="2" spans="1:14" ht="24">
      <c r="A2" s="2685" t="str">
        <f>روکش!D4</f>
        <v>انبارهای عمومی و خدمات گمرکی ایران</v>
      </c>
      <c r="B2" s="2685"/>
      <c r="C2" s="2685"/>
      <c r="D2" s="2685"/>
      <c r="E2" s="2685"/>
      <c r="F2" s="2685"/>
    </row>
    <row r="3" spans="1:14" ht="20.25" customHeight="1">
      <c r="A3" s="396"/>
      <c r="B3" s="396"/>
      <c r="C3" s="396"/>
      <c r="D3" s="396"/>
      <c r="E3" s="397"/>
      <c r="F3"/>
    </row>
    <row r="4" spans="1:14" ht="25.5">
      <c r="A4" s="94" t="s">
        <v>282</v>
      </c>
      <c r="B4"/>
      <c r="C4"/>
      <c r="D4"/>
      <c r="E4"/>
      <c r="F4" s="730"/>
    </row>
    <row r="5" spans="1:14" ht="4.5" customHeight="1">
      <c r="A5" s="94"/>
      <c r="B5"/>
      <c r="C5"/>
      <c r="D5"/>
      <c r="E5"/>
      <c r="F5" s="730"/>
    </row>
    <row r="6" spans="1:14" ht="25.5">
      <c r="A6" s="94" t="s">
        <v>115</v>
      </c>
      <c r="B6"/>
      <c r="C6"/>
      <c r="D6"/>
      <c r="E6"/>
      <c r="F6" s="730"/>
    </row>
    <row r="7" spans="1:14" ht="150" customHeight="1">
      <c r="A7" s="2689">
        <f ca="1">INDIRECT("BudgetDB!HT"&amp;($M$9))</f>
        <v>1462535</v>
      </c>
      <c r="B7" s="2689"/>
      <c r="C7" s="2689"/>
      <c r="D7" s="2689"/>
      <c r="E7" s="2689"/>
      <c r="F7" s="2689"/>
    </row>
    <row r="8" spans="1:14" ht="25.5">
      <c r="A8" s="17" t="s">
        <v>129</v>
      </c>
      <c r="L8" s="214" t="s">
        <v>787</v>
      </c>
      <c r="M8" s="214" t="s">
        <v>788</v>
      </c>
      <c r="N8" s="214"/>
    </row>
    <row r="9" spans="1:14" ht="49.5" customHeight="1">
      <c r="A9" s="2688" t="s">
        <v>130</v>
      </c>
      <c r="B9" s="2688"/>
      <c r="C9" s="2688"/>
      <c r="D9" s="2688"/>
      <c r="E9" s="2688"/>
      <c r="F9" s="2688"/>
      <c r="L9" s="214">
        <f>COUNTIF(BudgetDB!$A1:$A80436,"*"&amp;A2&amp;"*")</f>
        <v>247</v>
      </c>
      <c r="M9" s="214">
        <f>MATCH("*"&amp;$A$2&amp;"*",BudgetDB!$A1:$A40318,0)</f>
        <v>2</v>
      </c>
      <c r="N9" s="214"/>
    </row>
    <row r="10" spans="1:14" ht="30" customHeight="1">
      <c r="A10" s="731" t="s">
        <v>5</v>
      </c>
      <c r="B10" s="732" t="s">
        <v>116</v>
      </c>
      <c r="C10" s="732" t="s">
        <v>117</v>
      </c>
      <c r="D10" s="732" t="s">
        <v>118</v>
      </c>
      <c r="E10" s="2690" t="s">
        <v>119</v>
      </c>
      <c r="F10" s="2691"/>
      <c r="L10" s="214"/>
      <c r="M10" s="214"/>
      <c r="N10" s="214"/>
    </row>
    <row r="11" spans="1:14" ht="21" customHeight="1">
      <c r="A11" s="733">
        <v>1</v>
      </c>
      <c r="B11" s="394" t="str">
        <f ca="1">IF(ROW()-ROW($B$11)&lt;$L$9,INDIRECT("BudgetDB!f"&amp;($M$9+ROW()-11)),"")</f>
        <v>شرکت سرمایه‌گذاری آتیه صبا</v>
      </c>
      <c r="C11" s="734">
        <f t="shared" ref="C11:C20" ca="1" si="0">IFERROR(D11*100/$D$21,"-")</f>
        <v>99.999949999999998</v>
      </c>
      <c r="D11" s="701">
        <f ca="1">IF(ROW()-ROW($B$11)&lt;$L$9,INDIRECT("BudgetDB!G"&amp;($M$9+ROW()-11)),"")</f>
        <v>399999800</v>
      </c>
      <c r="E11" s="2681">
        <f ca="1">IFERROR(INDIRECT("BudgetDB!HW"&amp;($M$9))*D11,"")</f>
        <v>13027593486200</v>
      </c>
      <c r="F11" s="2682"/>
    </row>
    <row r="12" spans="1:14" ht="21" customHeight="1">
      <c r="A12" s="733">
        <v>2</v>
      </c>
      <c r="B12" s="394" t="str">
        <f t="shared" ref="B12:B20" ca="1" si="1">IF(ROW()-ROW($B$11)&lt;$L$9,INDIRECT("BudgetDB!f"&amp;($M$9+ROW()-11)),"")</f>
        <v>شرکت سرمایه‌گذاری صندوق بازنشستگی کشوری</v>
      </c>
      <c r="C12" s="734">
        <f t="shared" ca="1" si="0"/>
        <v>1.2500000000000001E-5</v>
      </c>
      <c r="D12" s="701">
        <f t="shared" ref="D12:D20" ca="1" si="2">IF(ROW()-ROW($B$11)&lt;$L$9,INDIRECT("BudgetDB!G"&amp;($M$9+ROW()-11)),"")</f>
        <v>50</v>
      </c>
      <c r="E12" s="2681">
        <f t="shared" ref="E12:E20" ca="1" si="3">IFERROR(INDIRECT("BudgetDB!HW"&amp;($M$9))*D12,"")</f>
        <v>1628450</v>
      </c>
      <c r="F12" s="2682"/>
    </row>
    <row r="13" spans="1:14" ht="21" customHeight="1">
      <c r="A13" s="733">
        <v>3</v>
      </c>
      <c r="B13" s="394" t="str">
        <f t="shared" ca="1" si="1"/>
        <v>شرکت بازرگانی صندوق بازنشستگی کشوری</v>
      </c>
      <c r="C13" s="734">
        <f t="shared" ca="1" si="0"/>
        <v>1.2500000000000001E-5</v>
      </c>
      <c r="D13" s="701">
        <f t="shared" ca="1" si="2"/>
        <v>50</v>
      </c>
      <c r="E13" s="2681">
        <f t="shared" ca="1" si="3"/>
        <v>1628450</v>
      </c>
      <c r="F13" s="2682"/>
    </row>
    <row r="14" spans="1:14" ht="21" customHeight="1">
      <c r="A14" s="733">
        <v>4</v>
      </c>
      <c r="B14" s="394" t="str">
        <f t="shared" ca="1" si="1"/>
        <v>شرکت عمران و ساختمان صندوق بازنشستگی کشوری صبا عمران</v>
      </c>
      <c r="C14" s="734">
        <f t="shared" ca="1" si="0"/>
        <v>1.2500000000000001E-5</v>
      </c>
      <c r="D14" s="701">
        <f t="shared" ca="1" si="2"/>
        <v>50</v>
      </c>
      <c r="E14" s="2681">
        <f t="shared" ca="1" si="3"/>
        <v>1628450</v>
      </c>
      <c r="F14" s="2682"/>
    </row>
    <row r="15" spans="1:14" ht="21" customHeight="1">
      <c r="A15" s="733">
        <v>5</v>
      </c>
      <c r="B15" s="394" t="str">
        <f t="shared" ca="1" si="1"/>
        <v>شرکت کاوشگران بازار سرمایه</v>
      </c>
      <c r="C15" s="734">
        <f t="shared" ca="1" si="0"/>
        <v>1.2500000000000001E-5</v>
      </c>
      <c r="D15" s="701">
        <f t="shared" ca="1" si="2"/>
        <v>50</v>
      </c>
      <c r="E15" s="2681">
        <f t="shared" ca="1" si="3"/>
        <v>1628450</v>
      </c>
      <c r="F15" s="2682"/>
    </row>
    <row r="16" spans="1:14" ht="21" customHeight="1">
      <c r="A16" s="733">
        <v>6</v>
      </c>
      <c r="B16" s="394">
        <f t="shared" ca="1" si="1"/>
        <v>0</v>
      </c>
      <c r="C16" s="734">
        <f t="shared" ca="1" si="0"/>
        <v>0</v>
      </c>
      <c r="D16" s="701">
        <f t="shared" ca="1" si="2"/>
        <v>0</v>
      </c>
      <c r="E16" s="2681">
        <f t="shared" ca="1" si="3"/>
        <v>0</v>
      </c>
      <c r="F16" s="2682"/>
    </row>
    <row r="17" spans="1:6" ht="21" customHeight="1">
      <c r="A17" s="733">
        <v>7</v>
      </c>
      <c r="B17" s="394">
        <f t="shared" ca="1" si="1"/>
        <v>0</v>
      </c>
      <c r="C17" s="734">
        <f t="shared" ca="1" si="0"/>
        <v>0</v>
      </c>
      <c r="D17" s="701">
        <f t="shared" ca="1" si="2"/>
        <v>0</v>
      </c>
      <c r="E17" s="2681">
        <f t="shared" ca="1" si="3"/>
        <v>0</v>
      </c>
      <c r="F17" s="2682"/>
    </row>
    <row r="18" spans="1:6" ht="21" customHeight="1">
      <c r="A18" s="733">
        <v>8</v>
      </c>
      <c r="B18" s="394">
        <f t="shared" ca="1" si="1"/>
        <v>0</v>
      </c>
      <c r="C18" s="734">
        <f t="shared" ca="1" si="0"/>
        <v>0</v>
      </c>
      <c r="D18" s="701">
        <f t="shared" ca="1" si="2"/>
        <v>0</v>
      </c>
      <c r="E18" s="2681">
        <f t="shared" ca="1" si="3"/>
        <v>0</v>
      </c>
      <c r="F18" s="2682"/>
    </row>
    <row r="19" spans="1:6" ht="21" customHeight="1">
      <c r="A19" s="733">
        <v>9</v>
      </c>
      <c r="B19" s="394">
        <f t="shared" ca="1" si="1"/>
        <v>0</v>
      </c>
      <c r="C19" s="734">
        <f t="shared" ca="1" si="0"/>
        <v>0</v>
      </c>
      <c r="D19" s="701">
        <f t="shared" ca="1" si="2"/>
        <v>0</v>
      </c>
      <c r="E19" s="2681">
        <f t="shared" ca="1" si="3"/>
        <v>0</v>
      </c>
      <c r="F19" s="2682"/>
    </row>
    <row r="20" spans="1:6" ht="21" customHeight="1">
      <c r="A20" s="733">
        <v>10</v>
      </c>
      <c r="B20" s="394">
        <f t="shared" ca="1" si="1"/>
        <v>0</v>
      </c>
      <c r="C20" s="734">
        <f t="shared" ca="1" si="0"/>
        <v>0</v>
      </c>
      <c r="D20" s="701">
        <f t="shared" ca="1" si="2"/>
        <v>0</v>
      </c>
      <c r="E20" s="2681">
        <f t="shared" ca="1" si="3"/>
        <v>0</v>
      </c>
      <c r="F20" s="2682"/>
    </row>
    <row r="21" spans="1:6" ht="24">
      <c r="A21" s="2694" t="s">
        <v>1</v>
      </c>
      <c r="B21" s="2695"/>
      <c r="C21" s="734">
        <f ca="1">SUM(C11:C20)</f>
        <v>99.999999999999986</v>
      </c>
      <c r="D21" s="737">
        <f ca="1">SUM(D11:D20)</f>
        <v>400000000</v>
      </c>
      <c r="E21" s="2686">
        <f ca="1">SUM(E11:F20)</f>
        <v>13027600000000</v>
      </c>
      <c r="F21" s="2687"/>
    </row>
    <row r="22" spans="1:6" ht="9.75" customHeight="1">
      <c r="A22" s="19"/>
    </row>
    <row r="23" spans="1:6" ht="24">
      <c r="A23" s="66" t="s">
        <v>120</v>
      </c>
    </row>
    <row r="24" spans="1:6" ht="30" customHeight="1">
      <c r="A24" s="735" t="s">
        <v>5</v>
      </c>
      <c r="B24" s="736" t="s">
        <v>135</v>
      </c>
      <c r="C24" s="736" t="s">
        <v>134</v>
      </c>
      <c r="D24" s="736" t="s">
        <v>131</v>
      </c>
      <c r="E24" s="736" t="s">
        <v>132</v>
      </c>
      <c r="F24" s="736" t="s">
        <v>133</v>
      </c>
    </row>
    <row r="25" spans="1:6" ht="21" customHeight="1">
      <c r="A25" s="738">
        <v>1</v>
      </c>
      <c r="B25" s="394">
        <f ca="1">IF(ROW()-25&lt;$L$9,INDIRECT("BudgetDB!HX"&amp;($M$9+ROW()-25)),"")</f>
        <v>67073</v>
      </c>
      <c r="C25" s="395" t="str">
        <f ca="1">IF(ROW()-25&lt;$L$9,INDIRECT("BudgetDB!HY"&amp;($M$9+ROW()-25)),"")</f>
        <v>سود حاصل از اوراق گواهی سپرده‌های بانکی</v>
      </c>
      <c r="D25" s="701">
        <f ca="1">IF(ROW()-25&lt;$L$9,INDIRECT("BudgetDB!HZ"&amp;($M$9+ROW()-25)),"")</f>
        <v>249353</v>
      </c>
      <c r="E25" s="394">
        <f ca="1">IF(ROW()-25&lt;$L$9,INDIRECT("BudgetDB!IA"&amp;($M$9+ROW()-25)),"")</f>
        <v>498706</v>
      </c>
      <c r="F25" s="394">
        <f ca="1">IF(ROW()-25&lt;$L$9,INDIRECT("BudgetDB!IB"&amp;($M$9+ROW()-25)),"")</f>
        <v>0</v>
      </c>
    </row>
    <row r="26" spans="1:6" ht="21" customHeight="1">
      <c r="A26" s="738">
        <v>2</v>
      </c>
      <c r="B26" s="394">
        <f t="shared" ref="B26:B34" ca="1" si="4">IF(ROW()-25&lt;$L$9,INDIRECT("BudgetDB!HX"&amp;($M$9+ROW()-25)),"")</f>
        <v>86940</v>
      </c>
      <c r="C26" s="395" t="str">
        <f t="shared" ref="C26:C34" ca="1" si="5">IF(ROW()-25&lt;$L$9,INDIRECT("BudgetDB!HY"&amp;($M$9+ROW()-25)),"")</f>
        <v>اجاره دریافتی - دفاتر اداری و مخازن و کیوسک</v>
      </c>
      <c r="D26" s="701">
        <f t="shared" ref="D26:D34" ca="1" si="6">IF(ROW()-25&lt;$L$9,INDIRECT("BudgetDB!HZ"&amp;($M$9+ROW()-25)),"")</f>
        <v>77719</v>
      </c>
      <c r="E26" s="394">
        <f t="shared" ref="E26:E34" ca="1" si="7">IF(ROW()-25&lt;$L$9,INDIRECT("BudgetDB!IA"&amp;($M$9+ROW()-25)),"")</f>
        <v>155438</v>
      </c>
      <c r="F26" s="394">
        <f t="shared" ref="F26:F34" ca="1" si="8">IF(ROW()-25&lt;$L$9,INDIRECT("BudgetDB!IB"&amp;($M$9+ROW()-25)),"")</f>
        <v>0</v>
      </c>
    </row>
    <row r="27" spans="1:6" ht="21" customHeight="1">
      <c r="A27" s="738">
        <v>3</v>
      </c>
      <c r="B27" s="394">
        <f t="shared" ca="1" si="4"/>
        <v>0</v>
      </c>
      <c r="C27" s="395" t="str">
        <f t="shared" ca="1" si="5"/>
        <v>سایر</v>
      </c>
      <c r="D27" s="701">
        <f t="shared" ca="1" si="6"/>
        <v>3000</v>
      </c>
      <c r="E27" s="394">
        <f t="shared" ca="1" si="7"/>
        <v>6000</v>
      </c>
      <c r="F27" s="394">
        <f t="shared" ca="1" si="8"/>
        <v>0</v>
      </c>
    </row>
    <row r="28" spans="1:6" ht="21" customHeight="1">
      <c r="A28" s="738">
        <v>4</v>
      </c>
      <c r="B28" s="394">
        <f t="shared" ca="1" si="4"/>
        <v>0</v>
      </c>
      <c r="C28" s="395">
        <f t="shared" ca="1" si="5"/>
        <v>0</v>
      </c>
      <c r="D28" s="701">
        <f t="shared" ca="1" si="6"/>
        <v>0</v>
      </c>
      <c r="E28" s="394">
        <f t="shared" ca="1" si="7"/>
        <v>0</v>
      </c>
      <c r="F28" s="394">
        <f t="shared" ca="1" si="8"/>
        <v>0</v>
      </c>
    </row>
    <row r="29" spans="1:6" ht="21" customHeight="1">
      <c r="A29" s="738">
        <v>5</v>
      </c>
      <c r="B29" s="394">
        <f t="shared" ca="1" si="4"/>
        <v>0</v>
      </c>
      <c r="C29" s="395">
        <f t="shared" ca="1" si="5"/>
        <v>0</v>
      </c>
      <c r="D29" s="701">
        <f t="shared" ca="1" si="6"/>
        <v>0</v>
      </c>
      <c r="E29" s="394">
        <f t="shared" ca="1" si="7"/>
        <v>0</v>
      </c>
      <c r="F29" s="394">
        <f t="shared" ca="1" si="8"/>
        <v>0</v>
      </c>
    </row>
    <row r="30" spans="1:6" ht="21" customHeight="1">
      <c r="A30" s="738">
        <v>6</v>
      </c>
      <c r="B30" s="394">
        <f t="shared" ca="1" si="4"/>
        <v>0</v>
      </c>
      <c r="C30" s="395">
        <f t="shared" ca="1" si="5"/>
        <v>0</v>
      </c>
      <c r="D30" s="701">
        <f t="shared" ca="1" si="6"/>
        <v>0</v>
      </c>
      <c r="E30" s="394">
        <f t="shared" ca="1" si="7"/>
        <v>0</v>
      </c>
      <c r="F30" s="394">
        <f t="shared" ca="1" si="8"/>
        <v>0</v>
      </c>
    </row>
    <row r="31" spans="1:6" ht="21" customHeight="1">
      <c r="A31" s="738">
        <v>7</v>
      </c>
      <c r="B31" s="394">
        <f t="shared" ca="1" si="4"/>
        <v>0</v>
      </c>
      <c r="C31" s="395">
        <f t="shared" ca="1" si="5"/>
        <v>0</v>
      </c>
      <c r="D31" s="701">
        <f t="shared" ca="1" si="6"/>
        <v>0</v>
      </c>
      <c r="E31" s="394">
        <f t="shared" ca="1" si="7"/>
        <v>0</v>
      </c>
      <c r="F31" s="394">
        <f t="shared" ca="1" si="8"/>
        <v>0</v>
      </c>
    </row>
    <row r="32" spans="1:6" ht="21" customHeight="1">
      <c r="A32" s="738">
        <v>8</v>
      </c>
      <c r="B32" s="394">
        <f t="shared" ca="1" si="4"/>
        <v>0</v>
      </c>
      <c r="C32" s="395">
        <f t="shared" ca="1" si="5"/>
        <v>0</v>
      </c>
      <c r="D32" s="701">
        <f t="shared" ca="1" si="6"/>
        <v>0</v>
      </c>
      <c r="E32" s="394">
        <f t="shared" ca="1" si="7"/>
        <v>0</v>
      </c>
      <c r="F32" s="394">
        <f t="shared" ca="1" si="8"/>
        <v>0</v>
      </c>
    </row>
    <row r="33" spans="1:6" ht="21" customHeight="1">
      <c r="A33" s="738">
        <v>9</v>
      </c>
      <c r="B33" s="394">
        <f t="shared" ca="1" si="4"/>
        <v>0</v>
      </c>
      <c r="C33" s="395">
        <f t="shared" ca="1" si="5"/>
        <v>0</v>
      </c>
      <c r="D33" s="701">
        <f t="shared" ca="1" si="6"/>
        <v>0</v>
      </c>
      <c r="E33" s="394">
        <f t="shared" ca="1" si="7"/>
        <v>0</v>
      </c>
      <c r="F33" s="394">
        <f t="shared" ca="1" si="8"/>
        <v>0</v>
      </c>
    </row>
    <row r="34" spans="1:6" ht="21" customHeight="1">
      <c r="A34" s="739">
        <v>10</v>
      </c>
      <c r="B34" s="394">
        <f t="shared" ca="1" si="4"/>
        <v>0</v>
      </c>
      <c r="C34" s="395">
        <f t="shared" ca="1" si="5"/>
        <v>0</v>
      </c>
      <c r="D34" s="701">
        <f t="shared" ca="1" si="6"/>
        <v>0</v>
      </c>
      <c r="E34" s="394">
        <f t="shared" ca="1" si="7"/>
        <v>0</v>
      </c>
      <c r="F34" s="394">
        <f t="shared" ca="1" si="8"/>
        <v>0</v>
      </c>
    </row>
    <row r="35" spans="1:6" ht="11.25" customHeight="1">
      <c r="A35" s="20"/>
      <c r="B35" s="4"/>
      <c r="C35" s="49"/>
      <c r="D35" s="50"/>
      <c r="E35" s="4"/>
    </row>
    <row r="36" spans="1:6" ht="25.5">
      <c r="A36" s="94" t="s">
        <v>121</v>
      </c>
      <c r="B36"/>
      <c r="C36"/>
      <c r="D36"/>
    </row>
    <row r="37" spans="1:6" ht="30" customHeight="1">
      <c r="A37" s="2692" t="s">
        <v>122</v>
      </c>
      <c r="B37" s="2690"/>
      <c r="C37" s="2690" t="s">
        <v>123</v>
      </c>
      <c r="D37" s="2691"/>
      <c r="E37" s="2693"/>
      <c r="F37" s="2693"/>
    </row>
    <row r="38" spans="1:6" ht="21" customHeight="1">
      <c r="A38" s="2676">
        <f t="shared" ref="A38:A63" ca="1" si="9">IF(ROW()-38&lt;$L$9,INDIRECT("BudgetDB!HU"&amp;($M$9+ROW()-38)),"")</f>
        <v>3031225</v>
      </c>
      <c r="B38" s="2677">
        <f t="shared" ref="B38:D66" ca="1" si="10">IF(ROW()-25&lt;$L$9,INDIRECT("BudgetDB!HX"&amp;($M$9+ROW()-25)),"")</f>
        <v>0</v>
      </c>
      <c r="C38" s="2678" t="str">
        <f t="shared" ref="C38:C66" ca="1" si="11">IF(ROW()-38&lt;$L$9,INDIRECT("BudgetDB!HV"&amp;($M$9+ROW()-38)),"")</f>
        <v>بهای تمام شده ساخت املاک سهلان</v>
      </c>
      <c r="D38" s="2679">
        <f t="shared" ca="1" si="10"/>
        <v>0</v>
      </c>
      <c r="E38" s="2680"/>
      <c r="F38" s="2680"/>
    </row>
    <row r="39" spans="1:6" ht="21" customHeight="1">
      <c r="A39" s="2676">
        <f t="shared" ca="1" si="9"/>
        <v>1079518</v>
      </c>
      <c r="B39" s="2677">
        <f t="shared" ca="1" si="10"/>
        <v>0</v>
      </c>
      <c r="C39" s="2678" t="str">
        <f t="shared" ca="1" si="11"/>
        <v>حقوق و دستمزد کارکنان پارکینگ</v>
      </c>
      <c r="D39" s="2679">
        <f t="shared" ca="1" si="10"/>
        <v>0</v>
      </c>
      <c r="E39" s="2680"/>
      <c r="F39" s="2680"/>
    </row>
    <row r="40" spans="1:6" ht="21" customHeight="1">
      <c r="A40" s="2676">
        <f t="shared" ca="1" si="9"/>
        <v>1193240</v>
      </c>
      <c r="B40" s="2677">
        <f t="shared" ca="1" si="10"/>
        <v>0</v>
      </c>
      <c r="C40" s="2678">
        <f t="shared" ca="1" si="11"/>
        <v>0</v>
      </c>
      <c r="D40" s="2679">
        <f t="shared" ca="1" si="10"/>
        <v>0</v>
      </c>
      <c r="E40" s="2680"/>
      <c r="F40" s="2680"/>
    </row>
    <row r="41" spans="1:6" ht="21" customHeight="1">
      <c r="A41" s="2676">
        <f t="shared" ca="1" si="9"/>
        <v>394208</v>
      </c>
      <c r="B41" s="2677">
        <f t="shared" ca="1" si="10"/>
        <v>0</v>
      </c>
      <c r="C41" s="2678">
        <f t="shared" ca="1" si="11"/>
        <v>0</v>
      </c>
      <c r="D41" s="2679">
        <f t="shared" ca="1" si="10"/>
        <v>0</v>
      </c>
      <c r="E41" s="2680"/>
      <c r="F41" s="2680"/>
    </row>
    <row r="42" spans="1:6" ht="21" customHeight="1">
      <c r="A42" s="2676">
        <f t="shared" ca="1" si="9"/>
        <v>0</v>
      </c>
      <c r="B42" s="2677">
        <f t="shared" ca="1" si="10"/>
        <v>0</v>
      </c>
      <c r="C42" s="2678">
        <f t="shared" ca="1" si="11"/>
        <v>0</v>
      </c>
      <c r="D42" s="2679">
        <f t="shared" ca="1" si="10"/>
        <v>0</v>
      </c>
      <c r="E42" s="2680"/>
      <c r="F42" s="2680"/>
    </row>
    <row r="43" spans="1:6" ht="21" customHeight="1">
      <c r="A43" s="2676">
        <f t="shared" ca="1" si="9"/>
        <v>282540</v>
      </c>
      <c r="B43" s="2677">
        <f t="shared" ca="1" si="10"/>
        <v>0</v>
      </c>
      <c r="C43" s="2678">
        <f t="shared" ca="1" si="11"/>
        <v>0</v>
      </c>
      <c r="D43" s="2679">
        <f t="shared" ca="1" si="10"/>
        <v>0</v>
      </c>
      <c r="E43" s="2680"/>
      <c r="F43" s="2680"/>
    </row>
    <row r="44" spans="1:6" ht="21" customHeight="1">
      <c r="A44" s="2676">
        <f t="shared" ca="1" si="9"/>
        <v>399115</v>
      </c>
      <c r="B44" s="2677">
        <f t="shared" ca="1" si="10"/>
        <v>0</v>
      </c>
      <c r="C44" s="2678">
        <f t="shared" ca="1" si="11"/>
        <v>0</v>
      </c>
      <c r="D44" s="2679">
        <f t="shared" ca="1" si="10"/>
        <v>0</v>
      </c>
      <c r="E44" s="2680"/>
      <c r="F44" s="2680"/>
    </row>
    <row r="45" spans="1:6" ht="21" customHeight="1">
      <c r="A45" s="2676">
        <f t="shared" ca="1" si="9"/>
        <v>101124</v>
      </c>
      <c r="B45" s="2677">
        <f t="shared" ca="1" si="10"/>
        <v>0</v>
      </c>
      <c r="C45" s="2678">
        <f t="shared" ca="1" si="11"/>
        <v>0</v>
      </c>
      <c r="D45" s="2679">
        <f t="shared" ca="1" si="10"/>
        <v>0</v>
      </c>
      <c r="E45" s="2680"/>
      <c r="F45" s="2680"/>
    </row>
    <row r="46" spans="1:6" ht="21" customHeight="1">
      <c r="A46" s="2676">
        <f t="shared" ca="1" si="9"/>
        <v>117353</v>
      </c>
      <c r="B46" s="2677">
        <f t="shared" ca="1" si="10"/>
        <v>0</v>
      </c>
      <c r="C46" s="2678">
        <f t="shared" ca="1" si="11"/>
        <v>0</v>
      </c>
      <c r="D46" s="2679">
        <f t="shared" ca="1" si="10"/>
        <v>0</v>
      </c>
      <c r="E46" s="2680"/>
      <c r="F46" s="2680"/>
    </row>
    <row r="47" spans="1:6" ht="21" customHeight="1">
      <c r="A47" s="2676">
        <f t="shared" ca="1" si="9"/>
        <v>108450</v>
      </c>
      <c r="B47" s="2677">
        <f t="shared" ca="1" si="10"/>
        <v>0</v>
      </c>
      <c r="C47" s="2678">
        <f t="shared" ca="1" si="11"/>
        <v>0</v>
      </c>
      <c r="D47" s="2679">
        <f t="shared" ca="1" si="10"/>
        <v>0</v>
      </c>
      <c r="E47" s="2680"/>
      <c r="F47" s="2680"/>
    </row>
    <row r="48" spans="1:6" ht="21" customHeight="1">
      <c r="A48" s="2676">
        <f t="shared" ca="1" si="9"/>
        <v>361010</v>
      </c>
      <c r="B48" s="2677">
        <f t="shared" ca="1" si="10"/>
        <v>0</v>
      </c>
      <c r="C48" s="2678">
        <f t="shared" ca="1" si="11"/>
        <v>0</v>
      </c>
      <c r="D48" s="2679">
        <f t="shared" ca="1" si="10"/>
        <v>0</v>
      </c>
      <c r="E48" s="2680"/>
      <c r="F48" s="2680"/>
    </row>
    <row r="49" spans="1:6" ht="21" customHeight="1">
      <c r="A49" s="2676">
        <f t="shared" ca="1" si="9"/>
        <v>0</v>
      </c>
      <c r="B49" s="2677">
        <f t="shared" ca="1" si="10"/>
        <v>0</v>
      </c>
      <c r="C49" s="2678">
        <f t="shared" ca="1" si="11"/>
        <v>0</v>
      </c>
      <c r="D49" s="2679">
        <f t="shared" ca="1" si="10"/>
        <v>0</v>
      </c>
      <c r="E49" s="2680"/>
      <c r="F49" s="2680"/>
    </row>
    <row r="50" spans="1:6" ht="21" customHeight="1">
      <c r="A50" s="2676">
        <f t="shared" ca="1" si="9"/>
        <v>0</v>
      </c>
      <c r="B50" s="2677">
        <f t="shared" ca="1" si="10"/>
        <v>0</v>
      </c>
      <c r="C50" s="2678">
        <f t="shared" ca="1" si="11"/>
        <v>0</v>
      </c>
      <c r="D50" s="2679">
        <f t="shared" ca="1" si="10"/>
        <v>0</v>
      </c>
      <c r="E50" s="2680"/>
      <c r="F50" s="2680"/>
    </row>
    <row r="51" spans="1:6" ht="21" customHeight="1">
      <c r="A51" s="2676">
        <f t="shared" ca="1" si="9"/>
        <v>0</v>
      </c>
      <c r="B51" s="2677">
        <f t="shared" ca="1" si="10"/>
        <v>0</v>
      </c>
      <c r="C51" s="2678">
        <f t="shared" ca="1" si="11"/>
        <v>0</v>
      </c>
      <c r="D51" s="2679">
        <f t="shared" ca="1" si="10"/>
        <v>0</v>
      </c>
      <c r="E51" s="2680"/>
      <c r="F51" s="2680"/>
    </row>
    <row r="52" spans="1:6" ht="21" customHeight="1">
      <c r="A52" s="2676">
        <f t="shared" ca="1" si="9"/>
        <v>0</v>
      </c>
      <c r="B52" s="2677">
        <f t="shared" ca="1" si="10"/>
        <v>0</v>
      </c>
      <c r="C52" s="2678">
        <f t="shared" ca="1" si="11"/>
        <v>0</v>
      </c>
      <c r="D52" s="2679">
        <f t="shared" ca="1" si="10"/>
        <v>0</v>
      </c>
      <c r="E52" s="2680"/>
      <c r="F52" s="2680"/>
    </row>
    <row r="53" spans="1:6" ht="21" customHeight="1">
      <c r="A53" s="2676">
        <f t="shared" ca="1" si="9"/>
        <v>0</v>
      </c>
      <c r="B53" s="2677">
        <f t="shared" ca="1" si="10"/>
        <v>0</v>
      </c>
      <c r="C53" s="2678">
        <f t="shared" ca="1" si="11"/>
        <v>0</v>
      </c>
      <c r="D53" s="2679">
        <f t="shared" ca="1" si="10"/>
        <v>0</v>
      </c>
      <c r="E53" s="2680"/>
      <c r="F53" s="2680"/>
    </row>
    <row r="54" spans="1:6" ht="21" customHeight="1">
      <c r="A54" s="2676">
        <f t="shared" ca="1" si="9"/>
        <v>0</v>
      </c>
      <c r="B54" s="2677">
        <f t="shared" ca="1" si="10"/>
        <v>0</v>
      </c>
      <c r="C54" s="2678">
        <f t="shared" ca="1" si="11"/>
        <v>0</v>
      </c>
      <c r="D54" s="2679">
        <f t="shared" ca="1" si="10"/>
        <v>0</v>
      </c>
      <c r="E54" s="2680"/>
      <c r="F54" s="2680"/>
    </row>
    <row r="55" spans="1:6" ht="21" customHeight="1">
      <c r="A55" s="2676">
        <f t="shared" ca="1" si="9"/>
        <v>0</v>
      </c>
      <c r="B55" s="2677">
        <f t="shared" ca="1" si="10"/>
        <v>0</v>
      </c>
      <c r="C55" s="2678">
        <f t="shared" ca="1" si="11"/>
        <v>0</v>
      </c>
      <c r="D55" s="2679">
        <f t="shared" ca="1" si="10"/>
        <v>0</v>
      </c>
      <c r="E55" s="2680"/>
      <c r="F55" s="2680"/>
    </row>
    <row r="56" spans="1:6" ht="21" customHeight="1">
      <c r="A56" s="2676">
        <f t="shared" ca="1" si="9"/>
        <v>0</v>
      </c>
      <c r="B56" s="2677">
        <f t="shared" ca="1" si="10"/>
        <v>0</v>
      </c>
      <c r="C56" s="2678">
        <f t="shared" ca="1" si="11"/>
        <v>0</v>
      </c>
      <c r="D56" s="2679">
        <f t="shared" ca="1" si="10"/>
        <v>0</v>
      </c>
      <c r="E56" s="2680"/>
      <c r="F56" s="2680"/>
    </row>
    <row r="57" spans="1:6" ht="21" customHeight="1">
      <c r="A57" s="2676">
        <f t="shared" ca="1" si="9"/>
        <v>0</v>
      </c>
      <c r="B57" s="2677">
        <f t="shared" ca="1" si="10"/>
        <v>0</v>
      </c>
      <c r="C57" s="2678">
        <f t="shared" ca="1" si="11"/>
        <v>0</v>
      </c>
      <c r="D57" s="2679">
        <f t="shared" ca="1" si="10"/>
        <v>0</v>
      </c>
      <c r="E57" s="2680"/>
      <c r="F57" s="2680"/>
    </row>
    <row r="58" spans="1:6" ht="21" customHeight="1">
      <c r="A58" s="2676">
        <f t="shared" ca="1" si="9"/>
        <v>0</v>
      </c>
      <c r="B58" s="2677">
        <f t="shared" ca="1" si="10"/>
        <v>0</v>
      </c>
      <c r="C58" s="2678">
        <f t="shared" ca="1" si="11"/>
        <v>0</v>
      </c>
      <c r="D58" s="2679">
        <f t="shared" ca="1" si="10"/>
        <v>0</v>
      </c>
      <c r="E58" s="2680"/>
      <c r="F58" s="2680"/>
    </row>
    <row r="59" spans="1:6" ht="21" customHeight="1">
      <c r="A59" s="2676">
        <f t="shared" ca="1" si="9"/>
        <v>0</v>
      </c>
      <c r="B59" s="2677">
        <f t="shared" ca="1" si="10"/>
        <v>0</v>
      </c>
      <c r="C59" s="2678">
        <f t="shared" ca="1" si="11"/>
        <v>0</v>
      </c>
      <c r="D59" s="2679">
        <f t="shared" ca="1" si="10"/>
        <v>0</v>
      </c>
      <c r="E59" s="2680"/>
      <c r="F59" s="2680"/>
    </row>
    <row r="60" spans="1:6" ht="21" customHeight="1">
      <c r="A60" s="2676">
        <f t="shared" ca="1" si="9"/>
        <v>0</v>
      </c>
      <c r="B60" s="2677">
        <f t="shared" ca="1" si="10"/>
        <v>0</v>
      </c>
      <c r="C60" s="2678">
        <f t="shared" ca="1" si="11"/>
        <v>0</v>
      </c>
      <c r="D60" s="2679">
        <f t="shared" ca="1" si="10"/>
        <v>0</v>
      </c>
      <c r="E60" s="2680"/>
      <c r="F60" s="2680"/>
    </row>
    <row r="61" spans="1:6" ht="21" customHeight="1">
      <c r="A61" s="2676">
        <f t="shared" ca="1" si="9"/>
        <v>0</v>
      </c>
      <c r="B61" s="2677">
        <f t="shared" ca="1" si="10"/>
        <v>0</v>
      </c>
      <c r="C61" s="2678">
        <f t="shared" ca="1" si="11"/>
        <v>0</v>
      </c>
      <c r="D61" s="2679">
        <f t="shared" ca="1" si="10"/>
        <v>0</v>
      </c>
      <c r="E61" s="2680"/>
      <c r="F61" s="2680"/>
    </row>
    <row r="62" spans="1:6" ht="21" customHeight="1">
      <c r="A62" s="2676">
        <f t="shared" ca="1" si="9"/>
        <v>0</v>
      </c>
      <c r="B62" s="2677">
        <f t="shared" ca="1" si="10"/>
        <v>0</v>
      </c>
      <c r="C62" s="2678">
        <f t="shared" ca="1" si="11"/>
        <v>0</v>
      </c>
      <c r="D62" s="2679">
        <f t="shared" ca="1" si="10"/>
        <v>0</v>
      </c>
      <c r="E62" s="2680"/>
      <c r="F62" s="2680"/>
    </row>
    <row r="63" spans="1:6" ht="21" customHeight="1">
      <c r="A63" s="2676">
        <f t="shared" ca="1" si="9"/>
        <v>0</v>
      </c>
      <c r="B63" s="2677">
        <f t="shared" ca="1" si="10"/>
        <v>0</v>
      </c>
      <c r="C63" s="2678">
        <f t="shared" ca="1" si="11"/>
        <v>0</v>
      </c>
      <c r="D63" s="2679">
        <f t="shared" ca="1" si="10"/>
        <v>0</v>
      </c>
      <c r="E63" s="2680"/>
      <c r="F63" s="2680"/>
    </row>
    <row r="64" spans="1:6" ht="21" customHeight="1">
      <c r="A64" s="2676">
        <f ca="1">IF(ROW()-37&lt;$L$9,INDIRECT("BudgetDB!HU"&amp;($M$9+ROW()-38)),"")</f>
        <v>0</v>
      </c>
      <c r="B64" s="2677">
        <f ca="1">IF(ROW()-25&lt;$L$9,INDIRECT("BudgetDB!HX"&amp;($M$9+ROW()-25)),"")</f>
        <v>0</v>
      </c>
      <c r="C64" s="2678">
        <f t="shared" ca="1" si="11"/>
        <v>0</v>
      </c>
      <c r="D64" s="2679">
        <f t="shared" ca="1" si="10"/>
        <v>0</v>
      </c>
      <c r="E64" s="2680"/>
      <c r="F64" s="2680"/>
    </row>
    <row r="65" spans="1:6" ht="21" customHeight="1">
      <c r="A65" s="2676">
        <f ca="1">IF(ROW()-37&lt;$L$9,INDIRECT("BudgetDB!HU"&amp;($M$9+ROW()-38)),"")</f>
        <v>0</v>
      </c>
      <c r="B65" s="2677">
        <f ca="1">IF(ROW()-25&lt;$L$9,INDIRECT("BudgetDB!HX"&amp;($M$9+ROW()-25)),"")</f>
        <v>0</v>
      </c>
      <c r="C65" s="2678">
        <f t="shared" ca="1" si="11"/>
        <v>0</v>
      </c>
      <c r="D65" s="2679">
        <f t="shared" ca="1" si="10"/>
        <v>0</v>
      </c>
      <c r="E65" s="2680"/>
      <c r="F65" s="2680"/>
    </row>
    <row r="66" spans="1:6" ht="21" customHeight="1">
      <c r="A66" s="2676">
        <f ca="1">IF(ROW()-37&lt;$L$9,INDIRECT("BudgetDB!HU"&amp;($M$9+ROW()-38)),"")</f>
        <v>0</v>
      </c>
      <c r="B66" s="2677">
        <f ca="1">IF(ROW()-25&lt;$L$9,INDIRECT("BudgetDB!HX"&amp;($M$9+ROW()-25)),"")</f>
        <v>0</v>
      </c>
      <c r="C66" s="2678">
        <f t="shared" ca="1" si="11"/>
        <v>0</v>
      </c>
      <c r="D66" s="2679">
        <f t="shared" ca="1" si="10"/>
        <v>0</v>
      </c>
      <c r="E66" s="2680"/>
      <c r="F66" s="2680"/>
    </row>
    <row r="67" spans="1:6" ht="21" customHeight="1">
      <c r="A67" s="2696"/>
      <c r="B67" s="2697"/>
      <c r="C67" s="2698"/>
      <c r="D67" s="2698"/>
      <c r="E67" s="2680"/>
      <c r="F67" s="2680"/>
    </row>
    <row r="68" spans="1:6" ht="24.95" customHeight="1">
      <c r="A68" s="2683"/>
      <c r="B68" s="2683"/>
      <c r="C68" s="2683"/>
      <c r="D68" s="2683"/>
      <c r="E68" s="2684"/>
      <c r="F68" s="2684"/>
    </row>
    <row r="69" spans="1:6" ht="25.5">
      <c r="A69" s="21"/>
    </row>
    <row r="70" spans="1:6" ht="25.5">
      <c r="A70" s="21"/>
    </row>
  </sheetData>
  <mergeCells count="111">
    <mergeCell ref="A67:B67"/>
    <mergeCell ref="C67:D67"/>
    <mergeCell ref="E67:F67"/>
    <mergeCell ref="A65:B65"/>
    <mergeCell ref="C65:D65"/>
    <mergeCell ref="E65:F65"/>
    <mergeCell ref="A66:B66"/>
    <mergeCell ref="C66:D66"/>
    <mergeCell ref="E66:F66"/>
    <mergeCell ref="E61:F61"/>
    <mergeCell ref="A62:B62"/>
    <mergeCell ref="C62:D62"/>
    <mergeCell ref="E62:F62"/>
    <mergeCell ref="A63:B63"/>
    <mergeCell ref="C63:D63"/>
    <mergeCell ref="E63:F63"/>
    <mergeCell ref="A64:B64"/>
    <mergeCell ref="C64:D64"/>
    <mergeCell ref="E64:F64"/>
    <mergeCell ref="A2:F2"/>
    <mergeCell ref="E21:F21"/>
    <mergeCell ref="A9:F9"/>
    <mergeCell ref="A7:F7"/>
    <mergeCell ref="E10:F10"/>
    <mergeCell ref="E57:F57"/>
    <mergeCell ref="A58:B58"/>
    <mergeCell ref="C58:D58"/>
    <mergeCell ref="E58:F58"/>
    <mergeCell ref="A37:B37"/>
    <mergeCell ref="C37:D37"/>
    <mergeCell ref="E37:F37"/>
    <mergeCell ref="E11:F11"/>
    <mergeCell ref="E12:F12"/>
    <mergeCell ref="E13:F13"/>
    <mergeCell ref="E14:F14"/>
    <mergeCell ref="E15:F15"/>
    <mergeCell ref="A21:B21"/>
    <mergeCell ref="A41:B41"/>
    <mergeCell ref="C41:D41"/>
    <mergeCell ref="E41:F41"/>
    <mergeCell ref="A42:B42"/>
    <mergeCell ref="C42:D42"/>
    <mergeCell ref="E42:F42"/>
    <mergeCell ref="A68:D68"/>
    <mergeCell ref="E68:F68"/>
    <mergeCell ref="E38:F38"/>
    <mergeCell ref="A38:B38"/>
    <mergeCell ref="C38:D38"/>
    <mergeCell ref="A54:B54"/>
    <mergeCell ref="C54:D54"/>
    <mergeCell ref="E54:F54"/>
    <mergeCell ref="A55:B55"/>
    <mergeCell ref="C55:D55"/>
    <mergeCell ref="E55:F55"/>
    <mergeCell ref="A56:B56"/>
    <mergeCell ref="C56:D56"/>
    <mergeCell ref="E56:F56"/>
    <mergeCell ref="A57:B57"/>
    <mergeCell ref="C57:D57"/>
    <mergeCell ref="A59:B59"/>
    <mergeCell ref="C59:D59"/>
    <mergeCell ref="E59:F59"/>
    <mergeCell ref="A60:B60"/>
    <mergeCell ref="C60:D60"/>
    <mergeCell ref="E60:F60"/>
    <mergeCell ref="A61:B61"/>
    <mergeCell ref="C61:D61"/>
    <mergeCell ref="A39:B39"/>
    <mergeCell ref="C39:D39"/>
    <mergeCell ref="E39:F39"/>
    <mergeCell ref="A40:B40"/>
    <mergeCell ref="C40:D40"/>
    <mergeCell ref="E40:F40"/>
    <mergeCell ref="C48:D48"/>
    <mergeCell ref="E48:F48"/>
    <mergeCell ref="A45:B45"/>
    <mergeCell ref="C45:D45"/>
    <mergeCell ref="E45:F45"/>
    <mergeCell ref="A46:B46"/>
    <mergeCell ref="C46:D46"/>
    <mergeCell ref="E46:F46"/>
    <mergeCell ref="A43:B43"/>
    <mergeCell ref="C43:D43"/>
    <mergeCell ref="E43:F43"/>
    <mergeCell ref="A44:B44"/>
    <mergeCell ref="C44:D44"/>
    <mergeCell ref="E44:F44"/>
    <mergeCell ref="A53:B53"/>
    <mergeCell ref="C53:D53"/>
    <mergeCell ref="E53:F53"/>
    <mergeCell ref="E16:F16"/>
    <mergeCell ref="E17:F17"/>
    <mergeCell ref="E18:F18"/>
    <mergeCell ref="E19:F19"/>
    <mergeCell ref="E20:F20"/>
    <mergeCell ref="A51:B51"/>
    <mergeCell ref="C51:D51"/>
    <mergeCell ref="E51:F51"/>
    <mergeCell ref="A52:B52"/>
    <mergeCell ref="C52:D52"/>
    <mergeCell ref="E52:F52"/>
    <mergeCell ref="A49:B49"/>
    <mergeCell ref="C49:D49"/>
    <mergeCell ref="E49:F49"/>
    <mergeCell ref="A50:B50"/>
    <mergeCell ref="C50:D50"/>
    <mergeCell ref="E50:F50"/>
    <mergeCell ref="A47:B47"/>
    <mergeCell ref="C47:D47"/>
    <mergeCell ref="E47:F47"/>
    <mergeCell ref="A48:B48"/>
  </mergeCells>
  <dataValidations count="1">
    <dataValidation allowBlank="1" showInputMessage="1" showErrorMessage="1" promptTitle="موضوع فعالیت" sqref="A7:F7" xr:uid="{00000000-0002-0000-0500-000000000000}"/>
  </dataValidations>
  <printOptions horizontalCentered="1"/>
  <pageMargins left="0.59055118110236227" right="0.59055118110236227" top="0.19685039370078741" bottom="0.78740157480314965" header="0.19685039370078741" footer="0.19685039370078741"/>
  <pageSetup paperSize="9" scale="5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rgb="FFE60000"/>
    <pageSetUpPr fitToPage="1"/>
  </sheetPr>
  <dimension ref="A1:N53"/>
  <sheetViews>
    <sheetView rightToLeft="1" view="pageBreakPreview" zoomScale="60" zoomScaleNormal="100" workbookViewId="0">
      <selection activeCell="N50" sqref="N50"/>
    </sheetView>
  </sheetViews>
  <sheetFormatPr defaultColWidth="9" defaultRowHeight="15"/>
  <cols>
    <col min="1" max="13" width="9" style="5"/>
    <col min="14" max="14" width="80.85546875" style="5" customWidth="1"/>
    <col min="15" max="16384" width="9" style="5"/>
  </cols>
  <sheetData>
    <row r="1" spans="1:14" ht="24" customHeight="1">
      <c r="A1" s="2685" t="str">
        <f>روکش!D4</f>
        <v>انبارهای عمومی و خدمات گمرکی ایران</v>
      </c>
      <c r="B1" s="2685"/>
      <c r="C1" s="2685"/>
      <c r="D1" s="2685"/>
      <c r="E1" s="2685"/>
      <c r="F1" s="2685"/>
      <c r="G1" s="2685"/>
      <c r="H1" s="2685"/>
      <c r="I1" s="2685"/>
    </row>
    <row r="2" spans="1:14" ht="28.5" customHeight="1">
      <c r="A2" s="1204" t="str">
        <f>"کلیات عملکردی دوره " &amp; روکش!F9 &amp; " سال " &amp; روکش!D9</f>
        <v>کلیات عملکردی دوره شش ماهه سال 1405</v>
      </c>
      <c r="B2" s="1204"/>
      <c r="C2" s="1204"/>
      <c r="D2" s="1204"/>
      <c r="E2" s="1204"/>
      <c r="F2" s="1204"/>
      <c r="G2" s="1204"/>
      <c r="H2" s="1204"/>
      <c r="I2" s="1204"/>
    </row>
    <row r="3" spans="1:14" ht="14.25" customHeight="1">
      <c r="A3" s="2699"/>
      <c r="B3" s="2699"/>
      <c r="C3" s="2699"/>
      <c r="D3" s="2699"/>
      <c r="E3" s="2699"/>
      <c r="F3" s="2699"/>
      <c r="G3" s="2699"/>
      <c r="H3" s="2699"/>
      <c r="I3" s="2699"/>
      <c r="K3" s="1272"/>
      <c r="L3" s="1272"/>
      <c r="M3" s="1272"/>
      <c r="N3" s="1272"/>
    </row>
    <row r="4" spans="1:14" ht="14.25" customHeight="1">
      <c r="A4" s="2699"/>
      <c r="B4" s="2699"/>
      <c r="C4" s="2699"/>
      <c r="D4" s="2699"/>
      <c r="E4" s="2699"/>
      <c r="F4" s="2699"/>
      <c r="G4" s="2699"/>
      <c r="H4" s="2699"/>
      <c r="I4" s="2699"/>
    </row>
    <row r="5" spans="1:14" ht="14.25" customHeight="1">
      <c r="A5" s="2699"/>
      <c r="B5" s="2699"/>
      <c r="C5" s="2699"/>
      <c r="D5" s="2699"/>
      <c r="E5" s="2699"/>
      <c r="F5" s="2699"/>
      <c r="G5" s="2699"/>
      <c r="H5" s="2699"/>
      <c r="I5" s="2699"/>
    </row>
    <row r="6" spans="1:14" ht="14.25" customHeight="1">
      <c r="A6" s="2699"/>
      <c r="B6" s="2699"/>
      <c r="C6" s="2699"/>
      <c r="D6" s="2699"/>
      <c r="E6" s="2699"/>
      <c r="F6" s="2699"/>
      <c r="G6" s="2699"/>
      <c r="H6" s="2699"/>
      <c r="I6" s="2699"/>
    </row>
    <row r="7" spans="1:14" ht="14.25" customHeight="1">
      <c r="A7" s="2699"/>
      <c r="B7" s="2699"/>
      <c r="C7" s="2699"/>
      <c r="D7" s="2699"/>
      <c r="E7" s="2699"/>
      <c r="F7" s="2699"/>
      <c r="G7" s="2699"/>
      <c r="H7" s="2699"/>
      <c r="I7" s="2699"/>
    </row>
    <row r="8" spans="1:14" ht="14.25" customHeight="1">
      <c r="A8" s="2699"/>
      <c r="B8" s="2699"/>
      <c r="C8" s="2699"/>
      <c r="D8" s="2699"/>
      <c r="E8" s="2699"/>
      <c r="F8" s="2699"/>
      <c r="G8" s="2699"/>
      <c r="H8" s="2699"/>
      <c r="I8" s="2699"/>
    </row>
    <row r="9" spans="1:14" ht="14.25" customHeight="1">
      <c r="A9" s="2699"/>
      <c r="B9" s="2699"/>
      <c r="C9" s="2699"/>
      <c r="D9" s="2699"/>
      <c r="E9" s="2699"/>
      <c r="F9" s="2699"/>
      <c r="G9" s="2699"/>
      <c r="H9" s="2699"/>
      <c r="I9" s="2699"/>
    </row>
    <row r="10" spans="1:14" ht="14.25" customHeight="1">
      <c r="A10" s="2699"/>
      <c r="B10" s="2699"/>
      <c r="C10" s="2699"/>
      <c r="D10" s="2699"/>
      <c r="E10" s="2699"/>
      <c r="F10" s="2699"/>
      <c r="G10" s="2699"/>
      <c r="H10" s="2699"/>
      <c r="I10" s="2699"/>
    </row>
    <row r="11" spans="1:14" ht="14.25" customHeight="1">
      <c r="A11" s="2699"/>
      <c r="B11" s="2699"/>
      <c r="C11" s="2699"/>
      <c r="D11" s="2699"/>
      <c r="E11" s="2699"/>
      <c r="F11" s="2699"/>
      <c r="G11" s="2699"/>
      <c r="H11" s="2699"/>
      <c r="I11" s="2699"/>
    </row>
    <row r="12" spans="1:14" ht="14.25" customHeight="1">
      <c r="A12" s="2699"/>
      <c r="B12" s="2699"/>
      <c r="C12" s="2699"/>
      <c r="D12" s="2699"/>
      <c r="E12" s="2699"/>
      <c r="F12" s="2699"/>
      <c r="G12" s="2699"/>
      <c r="H12" s="2699"/>
      <c r="I12" s="2699"/>
    </row>
    <row r="13" spans="1:14" ht="14.25" customHeight="1">
      <c r="A13" s="2699"/>
      <c r="B13" s="2699"/>
      <c r="C13" s="2699"/>
      <c r="D13" s="2699"/>
      <c r="E13" s="2699"/>
      <c r="F13" s="2699"/>
      <c r="G13" s="2699"/>
      <c r="H13" s="2699"/>
      <c r="I13" s="2699"/>
    </row>
    <row r="14" spans="1:14" ht="14.25" customHeight="1">
      <c r="A14" s="2699"/>
      <c r="B14" s="2699"/>
      <c r="C14" s="2699"/>
      <c r="D14" s="2699"/>
      <c r="E14" s="2699"/>
      <c r="F14" s="2699"/>
      <c r="G14" s="2699"/>
      <c r="H14" s="2699"/>
      <c r="I14" s="2699"/>
    </row>
    <row r="15" spans="1:14" ht="14.25" customHeight="1">
      <c r="A15" s="2699"/>
      <c r="B15" s="2699"/>
      <c r="C15" s="2699"/>
      <c r="D15" s="2699"/>
      <c r="E15" s="2699"/>
      <c r="F15" s="2699"/>
      <c r="G15" s="2699"/>
      <c r="H15" s="2699"/>
      <c r="I15" s="2699"/>
    </row>
    <row r="16" spans="1:14" ht="14.25" customHeight="1">
      <c r="A16" s="2699"/>
      <c r="B16" s="2699"/>
      <c r="C16" s="2699"/>
      <c r="D16" s="2699"/>
      <c r="E16" s="2699"/>
      <c r="F16" s="2699"/>
      <c r="G16" s="2699"/>
      <c r="H16" s="2699"/>
      <c r="I16" s="2699"/>
    </row>
    <row r="17" spans="1:9" ht="14.25" customHeight="1">
      <c r="A17" s="2699"/>
      <c r="B17" s="2699"/>
      <c r="C17" s="2699"/>
      <c r="D17" s="2699"/>
      <c r="E17" s="2699"/>
      <c r="F17" s="2699"/>
      <c r="G17" s="2699"/>
      <c r="H17" s="2699"/>
      <c r="I17" s="2699"/>
    </row>
    <row r="18" spans="1:9" ht="14.25" customHeight="1">
      <c r="A18" s="2699"/>
      <c r="B18" s="2699"/>
      <c r="C18" s="2699"/>
      <c r="D18" s="2699"/>
      <c r="E18" s="2699"/>
      <c r="F18" s="2699"/>
      <c r="G18" s="2699"/>
      <c r="H18" s="2699"/>
      <c r="I18" s="2699"/>
    </row>
    <row r="19" spans="1:9" ht="14.25" customHeight="1">
      <c r="A19" s="2699"/>
      <c r="B19" s="2699"/>
      <c r="C19" s="2699"/>
      <c r="D19" s="2699"/>
      <c r="E19" s="2699"/>
      <c r="F19" s="2699"/>
      <c r="G19" s="2699"/>
      <c r="H19" s="2699"/>
      <c r="I19" s="2699"/>
    </row>
    <row r="20" spans="1:9" ht="14.25" customHeight="1">
      <c r="A20" s="2699"/>
      <c r="B20" s="2699"/>
      <c r="C20" s="2699"/>
      <c r="D20" s="2699"/>
      <c r="E20" s="2699"/>
      <c r="F20" s="2699"/>
      <c r="G20" s="2699"/>
      <c r="H20" s="2699"/>
      <c r="I20" s="2699"/>
    </row>
    <row r="21" spans="1:9" ht="14.25" customHeight="1">
      <c r="A21" s="2699"/>
      <c r="B21" s="2699"/>
      <c r="C21" s="2699"/>
      <c r="D21" s="2699"/>
      <c r="E21" s="2699"/>
      <c r="F21" s="2699"/>
      <c r="G21" s="2699"/>
      <c r="H21" s="2699"/>
      <c r="I21" s="2699"/>
    </row>
    <row r="22" spans="1:9" ht="14.25" customHeight="1">
      <c r="A22" s="2699"/>
      <c r="B22" s="2699"/>
      <c r="C22" s="2699"/>
      <c r="D22" s="2699"/>
      <c r="E22" s="2699"/>
      <c r="F22" s="2699"/>
      <c r="G22" s="2699"/>
      <c r="H22" s="2699"/>
      <c r="I22" s="2699"/>
    </row>
    <row r="23" spans="1:9" ht="14.25" customHeight="1">
      <c r="A23" s="2699"/>
      <c r="B23" s="2699"/>
      <c r="C23" s="2699"/>
      <c r="D23" s="2699"/>
      <c r="E23" s="2699"/>
      <c r="F23" s="2699"/>
      <c r="G23" s="2699"/>
      <c r="H23" s="2699"/>
      <c r="I23" s="2699"/>
    </row>
    <row r="24" spans="1:9" ht="14.25" customHeight="1">
      <c r="A24" s="2699"/>
      <c r="B24" s="2699"/>
      <c r="C24" s="2699"/>
      <c r="D24" s="2699"/>
      <c r="E24" s="2699"/>
      <c r="F24" s="2699"/>
      <c r="G24" s="2699"/>
      <c r="H24" s="2699"/>
      <c r="I24" s="2699"/>
    </row>
    <row r="25" spans="1:9" ht="14.25" customHeight="1">
      <c r="A25" s="2699"/>
      <c r="B25" s="2699"/>
      <c r="C25" s="2699"/>
      <c r="D25" s="2699"/>
      <c r="E25" s="2699"/>
      <c r="F25" s="2699"/>
      <c r="G25" s="2699"/>
      <c r="H25" s="2699"/>
      <c r="I25" s="2699"/>
    </row>
    <row r="26" spans="1:9" ht="14.25" customHeight="1">
      <c r="A26" s="2699"/>
      <c r="B26" s="2699"/>
      <c r="C26" s="2699"/>
      <c r="D26" s="2699"/>
      <c r="E26" s="2699"/>
      <c r="F26" s="2699"/>
      <c r="G26" s="2699"/>
      <c r="H26" s="2699"/>
      <c r="I26" s="2699"/>
    </row>
    <row r="27" spans="1:9" ht="14.25" customHeight="1">
      <c r="A27" s="2699"/>
      <c r="B27" s="2699"/>
      <c r="C27" s="2699"/>
      <c r="D27" s="2699"/>
      <c r="E27" s="2699"/>
      <c r="F27" s="2699"/>
      <c r="G27" s="2699"/>
      <c r="H27" s="2699"/>
      <c r="I27" s="2699"/>
    </row>
    <row r="28" spans="1:9" ht="14.25" customHeight="1">
      <c r="A28" s="2699"/>
      <c r="B28" s="2699"/>
      <c r="C28" s="2699"/>
      <c r="D28" s="2699"/>
      <c r="E28" s="2699"/>
      <c r="F28" s="2699"/>
      <c r="G28" s="2699"/>
      <c r="H28" s="2699"/>
      <c r="I28" s="2699"/>
    </row>
    <row r="29" spans="1:9" ht="14.25" customHeight="1">
      <c r="A29" s="2699"/>
      <c r="B29" s="2699"/>
      <c r="C29" s="2699"/>
      <c r="D29" s="2699"/>
      <c r="E29" s="2699"/>
      <c r="F29" s="2699"/>
      <c r="G29" s="2699"/>
      <c r="H29" s="2699"/>
      <c r="I29" s="2699"/>
    </row>
    <row r="30" spans="1:9" ht="14.25" customHeight="1">
      <c r="A30" s="2699"/>
      <c r="B30" s="2699"/>
      <c r="C30" s="2699"/>
      <c r="D30" s="2699"/>
      <c r="E30" s="2699"/>
      <c r="F30" s="2699"/>
      <c r="G30" s="2699"/>
      <c r="H30" s="2699"/>
      <c r="I30" s="2699"/>
    </row>
    <row r="31" spans="1:9" ht="14.25" customHeight="1">
      <c r="A31" s="2699"/>
      <c r="B31" s="2699"/>
      <c r="C31" s="2699"/>
      <c r="D31" s="2699"/>
      <c r="E31" s="2699"/>
      <c r="F31" s="2699"/>
      <c r="G31" s="2699"/>
      <c r="H31" s="2699"/>
      <c r="I31" s="2699"/>
    </row>
    <row r="32" spans="1:9" ht="14.25" customHeight="1">
      <c r="A32" s="2699"/>
      <c r="B32" s="2699"/>
      <c r="C32" s="2699"/>
      <c r="D32" s="2699"/>
      <c r="E32" s="2699"/>
      <c r="F32" s="2699"/>
      <c r="G32" s="2699"/>
      <c r="H32" s="2699"/>
      <c r="I32" s="2699"/>
    </row>
    <row r="33" spans="1:9" ht="14.25" customHeight="1">
      <c r="A33" s="2699"/>
      <c r="B33" s="2699"/>
      <c r="C33" s="2699"/>
      <c r="D33" s="2699"/>
      <c r="E33" s="2699"/>
      <c r="F33" s="2699"/>
      <c r="G33" s="2699"/>
      <c r="H33" s="2699"/>
      <c r="I33" s="2699"/>
    </row>
    <row r="34" spans="1:9" ht="14.25" customHeight="1">
      <c r="A34" s="2699"/>
      <c r="B34" s="2699"/>
      <c r="C34" s="2699"/>
      <c r="D34" s="2699"/>
      <c r="E34" s="2699"/>
      <c r="F34" s="2699"/>
      <c r="G34" s="2699"/>
      <c r="H34" s="2699"/>
      <c r="I34" s="2699"/>
    </row>
    <row r="35" spans="1:9" ht="14.25" customHeight="1">
      <c r="A35" s="2699"/>
      <c r="B35" s="2699"/>
      <c r="C35" s="2699"/>
      <c r="D35" s="2699"/>
      <c r="E35" s="2699"/>
      <c r="F35" s="2699"/>
      <c r="G35" s="2699"/>
      <c r="H35" s="2699"/>
      <c r="I35" s="2699"/>
    </row>
    <row r="36" spans="1:9" ht="14.25" customHeight="1">
      <c r="A36" s="2699"/>
      <c r="B36" s="2699"/>
      <c r="C36" s="2699"/>
      <c r="D36" s="2699"/>
      <c r="E36" s="2699"/>
      <c r="F36" s="2699"/>
      <c r="G36" s="2699"/>
      <c r="H36" s="2699"/>
      <c r="I36" s="2699"/>
    </row>
    <row r="37" spans="1:9" ht="14.25" customHeight="1">
      <c r="A37" s="2699"/>
      <c r="B37" s="2699"/>
      <c r="C37" s="2699"/>
      <c r="D37" s="2699"/>
      <c r="E37" s="2699"/>
      <c r="F37" s="2699"/>
      <c r="G37" s="2699"/>
      <c r="H37" s="2699"/>
      <c r="I37" s="2699"/>
    </row>
    <row r="38" spans="1:9" ht="14.25" customHeight="1">
      <c r="A38" s="2699"/>
      <c r="B38" s="2699"/>
      <c r="C38" s="2699"/>
      <c r="D38" s="2699"/>
      <c r="E38" s="2699"/>
      <c r="F38" s="2699"/>
      <c r="G38" s="2699"/>
      <c r="H38" s="2699"/>
      <c r="I38" s="2699"/>
    </row>
    <row r="39" spans="1:9" ht="14.25" customHeight="1">
      <c r="A39" s="2699"/>
      <c r="B39" s="2699"/>
      <c r="C39" s="2699"/>
      <c r="D39" s="2699"/>
      <c r="E39" s="2699"/>
      <c r="F39" s="2699"/>
      <c r="G39" s="2699"/>
      <c r="H39" s="2699"/>
      <c r="I39" s="2699"/>
    </row>
    <row r="40" spans="1:9" ht="14.25" customHeight="1">
      <c r="A40" s="2699"/>
      <c r="B40" s="2699"/>
      <c r="C40" s="2699"/>
      <c r="D40" s="2699"/>
      <c r="E40" s="2699"/>
      <c r="F40" s="2699"/>
      <c r="G40" s="2699"/>
      <c r="H40" s="2699"/>
      <c r="I40" s="2699"/>
    </row>
    <row r="41" spans="1:9" ht="14.25" customHeight="1">
      <c r="A41" s="2699"/>
      <c r="B41" s="2699"/>
      <c r="C41" s="2699"/>
      <c r="D41" s="2699"/>
      <c r="E41" s="2699"/>
      <c r="F41" s="2699"/>
      <c r="G41" s="2699"/>
      <c r="H41" s="2699"/>
      <c r="I41" s="2699"/>
    </row>
    <row r="42" spans="1:9" ht="14.25" customHeight="1">
      <c r="A42" s="2699"/>
      <c r="B42" s="2699"/>
      <c r="C42" s="2699"/>
      <c r="D42" s="2699"/>
      <c r="E42" s="2699"/>
      <c r="F42" s="2699"/>
      <c r="G42" s="2699"/>
      <c r="H42" s="2699"/>
      <c r="I42" s="2699"/>
    </row>
    <row r="43" spans="1:9" ht="14.25" customHeight="1">
      <c r="A43" s="2699"/>
      <c r="B43" s="2699"/>
      <c r="C43" s="2699"/>
      <c r="D43" s="2699"/>
      <c r="E43" s="2699"/>
      <c r="F43" s="2699"/>
      <c r="G43" s="2699"/>
      <c r="H43" s="2699"/>
      <c r="I43" s="2699"/>
    </row>
    <row r="44" spans="1:9" ht="14.25" customHeight="1">
      <c r="A44" s="2699"/>
      <c r="B44" s="2699"/>
      <c r="C44" s="2699"/>
      <c r="D44" s="2699"/>
      <c r="E44" s="2699"/>
      <c r="F44" s="2699"/>
      <c r="G44" s="2699"/>
      <c r="H44" s="2699"/>
      <c r="I44" s="2699"/>
    </row>
    <row r="45" spans="1:9" ht="14.25" customHeight="1">
      <c r="A45" s="2699"/>
      <c r="B45" s="2699"/>
      <c r="C45" s="2699"/>
      <c r="D45" s="2699"/>
      <c r="E45" s="2699"/>
      <c r="F45" s="2699"/>
      <c r="G45" s="2699"/>
      <c r="H45" s="2699"/>
      <c r="I45" s="2699"/>
    </row>
    <row r="46" spans="1:9" ht="14.25" customHeight="1">
      <c r="A46" s="2699"/>
      <c r="B46" s="2699"/>
      <c r="C46" s="2699"/>
      <c r="D46" s="2699"/>
      <c r="E46" s="2699"/>
      <c r="F46" s="2699"/>
      <c r="G46" s="2699"/>
      <c r="H46" s="2699"/>
      <c r="I46" s="2699"/>
    </row>
    <row r="47" spans="1:9" ht="14.25" customHeight="1">
      <c r="A47" s="2699"/>
      <c r="B47" s="2699"/>
      <c r="C47" s="2699"/>
      <c r="D47" s="2699"/>
      <c r="E47" s="2699"/>
      <c r="F47" s="2699"/>
      <c r="G47" s="2699"/>
      <c r="H47" s="2699"/>
      <c r="I47" s="2699"/>
    </row>
    <row r="48" spans="1:9" ht="14.25" customHeight="1">
      <c r="A48" s="2699"/>
      <c r="B48" s="2699"/>
      <c r="C48" s="2699"/>
      <c r="D48" s="2699"/>
      <c r="E48" s="2699"/>
      <c r="F48" s="2699"/>
      <c r="G48" s="2699"/>
      <c r="H48" s="2699"/>
      <c r="I48" s="2699"/>
    </row>
    <row r="49" spans="1:9" ht="14.25" customHeight="1">
      <c r="A49" s="2699"/>
      <c r="B49" s="2699"/>
      <c r="C49" s="2699"/>
      <c r="D49" s="2699"/>
      <c r="E49" s="2699"/>
      <c r="F49" s="2699"/>
      <c r="G49" s="2699"/>
      <c r="H49" s="2699"/>
      <c r="I49" s="2699"/>
    </row>
    <row r="50" spans="1:9" ht="14.25" customHeight="1">
      <c r="A50" s="2699"/>
      <c r="B50" s="2699"/>
      <c r="C50" s="2699"/>
      <c r="D50" s="2699"/>
      <c r="E50" s="2699"/>
      <c r="F50" s="2699"/>
      <c r="G50" s="2699"/>
      <c r="H50" s="2699"/>
      <c r="I50" s="2699"/>
    </row>
    <row r="51" spans="1:9" ht="14.25" customHeight="1">
      <c r="A51" s="2699"/>
      <c r="B51" s="2699"/>
      <c r="C51" s="2699"/>
      <c r="D51" s="2699"/>
      <c r="E51" s="2699"/>
      <c r="F51" s="2699"/>
      <c r="G51" s="2699"/>
      <c r="H51" s="2699"/>
      <c r="I51" s="2699"/>
    </row>
    <row r="52" spans="1:9" ht="14.25" customHeight="1">
      <c r="A52" s="2699"/>
      <c r="B52" s="2699"/>
      <c r="C52" s="2699"/>
      <c r="D52" s="2699"/>
      <c r="E52" s="2699"/>
      <c r="F52" s="2699"/>
      <c r="G52" s="2699"/>
      <c r="H52" s="2699"/>
      <c r="I52" s="2699"/>
    </row>
    <row r="53" spans="1:9" ht="14.25" customHeight="1">
      <c r="A53" s="694"/>
      <c r="B53" s="694"/>
      <c r="C53" s="694"/>
      <c r="D53" s="694"/>
      <c r="E53" s="694"/>
      <c r="F53" s="694"/>
      <c r="G53" s="694"/>
      <c r="H53" s="694"/>
      <c r="I53" s="694"/>
    </row>
  </sheetData>
  <mergeCells count="2">
    <mergeCell ref="A1:I1"/>
    <mergeCell ref="A3:I52"/>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60000"/>
    <pageSetUpPr fitToPage="1"/>
  </sheetPr>
  <dimension ref="A1:K33"/>
  <sheetViews>
    <sheetView rightToLeft="1" view="pageBreakPreview" topLeftCell="A14" zoomScaleNormal="100" zoomScaleSheetLayoutView="100" workbookViewId="0">
      <selection activeCell="C4" sqref="C4"/>
    </sheetView>
  </sheetViews>
  <sheetFormatPr defaultColWidth="9" defaultRowHeight="15"/>
  <cols>
    <col min="1" max="1" width="8.5703125" style="5" customWidth="1"/>
    <col min="2" max="2" width="8.42578125" style="5" customWidth="1"/>
    <col min="3" max="3" width="113.140625" style="5" customWidth="1"/>
    <col min="4" max="4" width="60.7109375" style="5" customWidth="1"/>
    <col min="5" max="5" width="20.7109375" style="5" customWidth="1"/>
    <col min="6" max="8" width="14" style="5" customWidth="1"/>
    <col min="9" max="11" width="14" style="5" hidden="1" customWidth="1"/>
    <col min="12" max="16" width="14" style="5" customWidth="1"/>
    <col min="17" max="16384" width="9" style="5"/>
  </cols>
  <sheetData>
    <row r="1" spans="1:11" ht="24">
      <c r="A1" s="2685" t="str">
        <f>روکش!D4</f>
        <v>انبارهای عمومی و خدمات گمرکی ایران</v>
      </c>
      <c r="B1" s="2685"/>
      <c r="C1" s="2685"/>
      <c r="D1" s="2685"/>
      <c r="E1" s="2685"/>
    </row>
    <row r="2" spans="1:11" ht="29.25" thickBot="1">
      <c r="A2" s="1276" t="str">
        <f>"اقدامات صورت گرفته درخصوص تکالیف کارگروه برنامه و بودجه در دوره " &amp; روکش!F9 &amp; " سال " &amp; روکش!D9</f>
        <v>اقدامات صورت گرفته درخصوص تکالیف کارگروه برنامه و بودجه در دوره شش ماهه سال 1405</v>
      </c>
      <c r="B2" s="1276"/>
      <c r="C2" s="1276"/>
      <c r="D2" s="1276"/>
      <c r="E2" s="1276"/>
      <c r="J2" s="1275" t="s">
        <v>790</v>
      </c>
      <c r="K2" s="41" t="s">
        <v>797</v>
      </c>
    </row>
    <row r="3" spans="1:11" ht="22.5">
      <c r="A3" s="1277" t="s">
        <v>5</v>
      </c>
      <c r="B3" s="1278" t="s">
        <v>124</v>
      </c>
      <c r="C3" s="1278" t="s">
        <v>125</v>
      </c>
      <c r="D3" s="1278" t="s">
        <v>126</v>
      </c>
      <c r="E3" s="1279" t="s">
        <v>127</v>
      </c>
      <c r="F3" s="139"/>
      <c r="J3" s="1275" cm="1">
        <f t="array" aca="1" ref="J3" ca="1">INDIRECT("BudgetDB!H"&amp;('الف-ب-ج'!$M$9))</f>
        <v>17</v>
      </c>
      <c r="K3" s="41">
        <f ca="1">COUNTIFS(B4:B33,"&gt;0",D4:D33,"")</f>
        <v>17</v>
      </c>
    </row>
    <row r="4" spans="1:11" ht="21">
      <c r="A4" s="1273">
        <v>1</v>
      </c>
      <c r="B4" s="1317">
        <f ca="1">IF(ROW(B1)&lt;=$J$3,ROW(B1),"")</f>
        <v>1</v>
      </c>
      <c r="C4" s="1318" t="str" cm="1">
        <f t="array" aca="1" ref="C4" ca="1">IF(ROW()-ROW($A$4)&lt;'الف-ب-ج'!$L$9,INDIRECT("BudgetDB!I"&amp;('الف-ب-ج'!$M$9+ROW()-ROW($A$4))),"")</f>
        <v>مقرر شد طرح جامع اصلاح ساختار بنگاه‌داری شرکت تدوین و حداکثر تا پایان تیرماه 1405 به هلدینگ آتیه صبا ارسال شود.</v>
      </c>
      <c r="D4" s="1090"/>
      <c r="E4" s="1267"/>
    </row>
    <row r="5" spans="1:11" ht="47.25">
      <c r="A5" s="1273">
        <v>2</v>
      </c>
      <c r="B5" s="1317">
        <f t="shared" ref="B5:B33" ca="1" si="0">IF(ROW(B2)&lt;=$J$3,ROW(B2),"")</f>
        <v>2</v>
      </c>
      <c r="C5" s="1318" t="str" cm="1">
        <f t="array" aca="1" ref="C5" ca="1">IF(ROW()-ROW($A$4)&lt;'الف-ب-ج'!$L$9,INDIRECT("BudgetDB!I"&amp;('الف-ب-ج'!$M$9+ROW()-ROW($A$4))),"")</f>
        <v>با عنایت به اهمیت تدوین چشم‌انداز بلندمدت و تعیین مسیر مشخص برای دستیابی به اهداف کلان شرکت، شرکت مکلف است نسبت به تدوین و نهایی‌سازی «سند استراتژیک » اقدام نماید. همچنین، شرکت باید سازوکار مناسبی برای پایش مستمر اجرای استراتژی و ارزیابی انحرافات احتمالی از برنامه تدوین‌شده، در سند استراتژیک لحاظ نماید.</v>
      </c>
      <c r="D5" s="1090"/>
      <c r="E5" s="1267"/>
    </row>
    <row r="6" spans="1:11" ht="31.5">
      <c r="A6" s="1273">
        <v>3</v>
      </c>
      <c r="B6" s="1317">
        <f t="shared" ca="1" si="0"/>
        <v>3</v>
      </c>
      <c r="C6" s="1318" t="str" cm="1">
        <f t="array" aca="1" ref="C6" ca="1">IF(ROW()-ROW($A$4)&lt;'الف-ب-ج'!$L$9,INDIRECT("BudgetDB!I"&amp;('الف-ب-ج'!$M$9+ROW()-ROW($A$4))),"")</f>
        <v>مقرر شد در خصوص اقدام برنامه‌ای تمدید قرارداد با گمرک ج.ا.ا و منطقه آزاد شهر فرودگاهی امام خمینی(ره)، ابتدا طرح توجیهی اقتصادی(FS) آن تهیه و جهت بررسی در مدیریت سرمایه‌گذاری و در صورت لزوم طرح در کمیته سرمایه‌گذاری، به هلدینگ آتیه صبا ارسال شود.</v>
      </c>
      <c r="D6" s="1090"/>
      <c r="E6" s="1267"/>
    </row>
    <row r="7" spans="1:11" ht="31.5">
      <c r="A7" s="1273">
        <v>4</v>
      </c>
      <c r="B7" s="1317">
        <f t="shared" ca="1" si="0"/>
        <v>4</v>
      </c>
      <c r="C7" s="1318" t="str" cm="1">
        <f t="array" aca="1" ref="C7" ca="1">IF(ROW()-ROW($A$4)&lt;'الف-ب-ج'!$L$9,INDIRECT("BudgetDB!I"&amp;('الف-ب-ج'!$M$9+ROW()-ROW($A$4))),"")</f>
        <v xml:space="preserve">مقرر شد هیات مدیره شرکت نسبت به اتخاذ انواع روش‌ها و استراتژی‌های کاربردی به منظور افزایش حاشیه سود خالص شرکت اقدام و گزارش اقدامات صورت گرفته را در بازه‌های زمانی سه ماهه به هلدینگ آتیه صبا ارسال نماید.  </v>
      </c>
      <c r="D7" s="1090"/>
      <c r="E7" s="1267"/>
    </row>
    <row r="8" spans="1:11" ht="31.5">
      <c r="A8" s="1273">
        <v>5</v>
      </c>
      <c r="B8" s="1317">
        <f t="shared" ca="1" si="0"/>
        <v>5</v>
      </c>
      <c r="C8" s="1318" t="str" cm="1">
        <f t="array" aca="1" ref="C8" ca="1">IF(ROW()-ROW($A$4)&lt;'الف-ب-ج'!$L$9,INDIRECT("BudgetDB!I"&amp;('الف-ب-ج'!$M$9+ROW()-ROW($A$4))),"")</f>
        <v>باتوجه به قابل پذیرش نبودن دلایل شرکت برای افزایش 180 نفر در برنامه و بودجه سال 1405 ، مقرر شد شرکت برنامه و طرح توجیهی افزایش نیرو را تهیه و حداکثر تا پایان خردادماه 1405 به هلدینگ آتیه صبا به منظور بررسی و تایید ارسال نماید.</v>
      </c>
      <c r="D8" s="1090"/>
      <c r="E8" s="1267"/>
    </row>
    <row r="9" spans="1:11" ht="31.5">
      <c r="A9" s="1273">
        <v>6</v>
      </c>
      <c r="B9" s="1317">
        <f t="shared" ca="1" si="0"/>
        <v>6</v>
      </c>
      <c r="C9" s="1318" t="str" cm="1">
        <f t="array" aca="1" ref="C9" ca="1">IF(ROW()-ROW($A$4)&lt;'الف-ب-ج'!$L$9,INDIRECT("BudgetDB!I"&amp;('الف-ب-ج'!$M$9+ROW()-ROW($A$4))),"")</f>
        <v xml:space="preserve">مقرر شد گزارشی از دلایل و ضرورت افزایش تعداد پرسنل در سال 1404 (عملکرد) به همراه مجوزهای اخذ شده به تفکیک تعداد، جانمایی صورت گرفته پرسنل در شعب و شرکت و عناوین شغلی، تهیه و حداکثر تا پایان خردادماه 1405 به هلدینگ آتیه صبا ارسال شود. </v>
      </c>
      <c r="D9" s="1090"/>
      <c r="E9" s="1267"/>
    </row>
    <row r="10" spans="1:11" ht="47.25">
      <c r="A10" s="1273">
        <v>7</v>
      </c>
      <c r="B10" s="1317">
        <f t="shared" ca="1" si="0"/>
        <v>7</v>
      </c>
      <c r="C10" s="1318" t="str" cm="1">
        <f t="array" aca="1" ref="C10" ca="1">IF(ROW()-ROW($A$4)&lt;'الف-ب-ج'!$L$9,INDIRECT("BudgetDB!I"&amp;('الف-ب-ج'!$M$9+ROW()-ROW($A$4))),"")</f>
        <v>مقرر شد اطلاعات دقیق ریز شعب شرکت، به تفکیک فعال، غیرفعال، تازه تأسیس و یا در شرف تأسیس (شعب جدید) به همراه پراکندگی جغرافیایی، قرارداد با گمرک، سال تأسیس، نیروی انسانی شاغل در هر شعبه میزان سود و زیان سال 1404، حجم فعالیت و ... در قالب گزارشی تهیه و حداکثر تا پایان تیرماه 1405 به هلدینگ آتیه صبا ارسال شود.</v>
      </c>
      <c r="D10" s="1090"/>
      <c r="E10" s="1267"/>
    </row>
    <row r="11" spans="1:11" ht="31.5">
      <c r="A11" s="1273">
        <v>8</v>
      </c>
      <c r="B11" s="1317">
        <f t="shared" ca="1" si="0"/>
        <v>8</v>
      </c>
      <c r="C11" s="1318" t="str" cm="1">
        <f t="array" aca="1" ref="C11" ca="1">IF(ROW()-ROW($A$4)&lt;'الف-ب-ج'!$L$9,INDIRECT("BudgetDB!I"&amp;('الف-ب-ج'!$M$9+ROW()-ROW($A$4))),"")</f>
        <v>مقرر شد گزارشی در خصوص ادغام و یا انحلال شرکت‌هایی که فعالیت عملیاتی ندارند و شرکت‌های حوزه لجستیکی تهیه و حداکثر تا پایان تیرماه 1405 به هلدینگ آتیه صبا ارسال شود.</v>
      </c>
      <c r="D11" s="1090"/>
      <c r="E11" s="1267"/>
    </row>
    <row r="12" spans="1:11" ht="31.5">
      <c r="A12" s="1273">
        <v>9</v>
      </c>
      <c r="B12" s="1317">
        <f t="shared" ca="1" si="0"/>
        <v>9</v>
      </c>
      <c r="C12" s="1318" t="str" cm="1">
        <f t="array" aca="1" ref="C12" ca="1">IF(ROW()-ROW($A$4)&lt;'الف-ب-ج'!$L$9,INDIRECT("BudgetDB!I"&amp;('الف-ب-ج'!$M$9+ROW()-ROW($A$4))),"")</f>
        <v>با عنایت به سهم بالای واردات کالا از مبادی دریایی در کشور و کاهش ظرفیت گمرک، موضوع توسعه فعالیت شرکت در بندر شهید رجایی و ... و همچنین انتقال و تمرکز واردات و صادرات از طریق مسیرهای دریایی در کنار مسیرهای زمینی و هوایی، بررسی و گزارش اقدامات حداکثر تا پایان تیرماه 1405 به هلدینگ آتیه صبا ارائه شود.</v>
      </c>
      <c r="D12" s="1090"/>
      <c r="E12" s="1267"/>
    </row>
    <row r="13" spans="1:11" ht="31.5">
      <c r="A13" s="1273">
        <v>10</v>
      </c>
      <c r="B13" s="1317">
        <f t="shared" ca="1" si="0"/>
        <v>10</v>
      </c>
      <c r="C13" s="1318" t="str" cm="1">
        <f t="array" aca="1" ref="C13" ca="1">IF(ROW()-ROW($A$4)&lt;'الف-ب-ج'!$L$9,INDIRECT("BudgetDB!I"&amp;('الف-ب-ج'!$M$9+ROW()-ROW($A$4))),"")</f>
        <v>باتوجه به تعداد بالای نیروی انسانی، گزارش جامع در خصوص طرح بهبود شرایط در سال 1405(افزایش ظرفیت‌ها، توسعه فعالیت، متناسب‌سازی نیروی انسانی با حجم فعالیت  و ..) به همراه شفاف‌سازی دقیق وضعیت نیروی انسانی به تفکیک شرکت‌ها و شعب حداکثر تا پایان تیرماه 1405 به هلدینگ آتیه صبا ارسال شود.</v>
      </c>
      <c r="D13" s="1090"/>
      <c r="E13" s="1267"/>
    </row>
    <row r="14" spans="1:11" ht="31.5">
      <c r="A14" s="1273">
        <v>11</v>
      </c>
      <c r="B14" s="1317">
        <f t="shared" ca="1" si="0"/>
        <v>11</v>
      </c>
      <c r="C14" s="1318" t="str" cm="1">
        <f t="array" aca="1" ref="C14" ca="1">IF(ROW()-ROW($A$4)&lt;'الف-ب-ج'!$L$9,INDIRECT("BudgetDB!I"&amp;('الف-ب-ج'!$M$9+ROW()-ROW($A$4))),"")</f>
        <v>مقرر شد با عنایت به تعداد بالای پرونده‌های حقوقی و موارد بسیار با اهمیت در این زمینه، موضوع افزایش کارشناس حقوقی و پیگیری مجدانه پرونده‌های مزبور مورد بررسی قرار گرفته و گزارش آن حداکثر تا پایان تیرماه 1405 به هلدینگ آتیه صبا ارائه شود.</v>
      </c>
      <c r="D14" s="1090"/>
      <c r="E14" s="1267"/>
    </row>
    <row r="15" spans="1:11" ht="21">
      <c r="A15" s="1273">
        <v>12</v>
      </c>
      <c r="B15" s="1317">
        <f t="shared" ca="1" si="0"/>
        <v>12</v>
      </c>
      <c r="C15" s="1318" t="str" cm="1">
        <f t="array" aca="1" ref="C15" ca="1">IF(ROW()-ROW($A$4)&lt;'الف-ب-ج'!$L$9,INDIRECT("BudgetDB!I"&amp;('الف-ب-ج'!$M$9+ROW()-ROW($A$4))),"")</f>
        <v>باتوجه به رقم بالای بدهی مالیاتی شرکت و همچنین مطالبات از سازمان اموال تملیکی، موضوع مجدانه پیگیری و گزارش ماهانه پیشرفت آن به هلدینگ اتیه صبا ارائه شود.</v>
      </c>
      <c r="D15" s="1090"/>
      <c r="E15" s="1267"/>
    </row>
    <row r="16" spans="1:11" ht="21">
      <c r="A16" s="1273">
        <v>13</v>
      </c>
      <c r="B16" s="1317">
        <f t="shared" ca="1" si="0"/>
        <v>13</v>
      </c>
      <c r="C16" s="1318" t="str" cm="1">
        <f t="array" aca="1" ref="C16" ca="1">IF(ROW()-ROW($A$4)&lt;'الف-ب-ج'!$L$9,INDIRECT("BudgetDB!I"&amp;('الف-ب-ج'!$M$9+ROW()-ROW($A$4))),"")</f>
        <v>مقرر شد در خصوص هر یک از برنامه‌های پیش‌بینی شده جهت اجرا در سال 1405، مجوزهای مربوطه از ارکان هلدینگ آتیه صبا و صندوق بازنشستگی کشوری اخذ شود.</v>
      </c>
      <c r="D16" s="1090"/>
      <c r="E16" s="1267"/>
    </row>
    <row r="17" spans="1:5" ht="31.5">
      <c r="A17" s="1273">
        <v>14</v>
      </c>
      <c r="B17" s="1317">
        <f t="shared" ca="1" si="0"/>
        <v>14</v>
      </c>
      <c r="C17" s="1318" t="str" cm="1">
        <f t="array" aca="1" ref="C17" ca="1">IF(ROW()-ROW($A$4)&lt;'الف-ب-ج'!$L$9,INDIRECT("BudgetDB!I"&amp;('الف-ب-ج'!$M$9+ROW()-ROW($A$4))),"")</f>
        <v xml:space="preserve">شرکت مکلف است گزارش­های میان دوره­ای و سالیانه برنامه و بودجه را مطابق دستورالعمل اجرایی افشای اطلاعات شرکت‌های تابعه هلدینگ آتیه صبا (ابلاغی مورخ 1401/02/05)، ظرف مهلت مقرر تهیه و افشاء نماید. </v>
      </c>
      <c r="D17" s="1090"/>
      <c r="E17" s="1267"/>
    </row>
    <row r="18" spans="1:5" ht="31.5">
      <c r="A18" s="1273">
        <v>15</v>
      </c>
      <c r="B18" s="1317">
        <f t="shared" ca="1" si="0"/>
        <v>15</v>
      </c>
      <c r="C18" s="1318" t="str" cm="1">
        <f t="array" aca="1" ref="C18" ca="1">IF(ROW()-ROW($A$4)&lt;'الف-ب-ج'!$L$9,INDIRECT("BudgetDB!I"&amp;('الف-ب-ج'!$M$9+ROW()-ROW($A$4))),"")</f>
        <v>مقرر شد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v>
      </c>
      <c r="D18" s="1090"/>
      <c r="E18" s="1267"/>
    </row>
    <row r="19" spans="1:5" ht="63">
      <c r="A19" s="1273">
        <v>16</v>
      </c>
      <c r="B19" s="1317">
        <f t="shared" ca="1" si="0"/>
        <v>16</v>
      </c>
      <c r="C19" s="1318" t="str" cm="1">
        <f t="array" aca="1" ref="C19" ca="1">IF(ROW()-ROW($A$4)&lt;'الف-ب-ج'!$L$9,INDIRECT("BudgetDB!I"&amp;('الف-ب-ج'!$M$9+ROW()-ROW($A$4))),"")</f>
        <v>استخدام و تغییر وضعیت نیروی انسانی در شرکت، خارج از سقف تعداد و بار مالی مصوب در بودجه سالیانه، ممنوع می‌باشد و هرگونه افزایش، کاهش، جابجایی، انتصاب یا به‌کارگیری نیروی انسانی در چارچوب بودجه مصوب، منوط به رعایت سقف تعداد و هزینه ریالی درج ‌شده در بودجه و اخذ مجوز لازم از هلدینگ آتیه صبا خواهد بود. همچنین در خصوص مشاغل حساس (مدیران میانی و بالاتر)، اخذ استعلام از حراست هلدینگ پیش از هرگونه اقدام الزامی بوده و مسئولیت عدم رعایت مفاد این بند بر عهده هیئت ‌مدیره شرکت است.</v>
      </c>
      <c r="D19" s="1090"/>
      <c r="E19" s="1267"/>
    </row>
    <row r="20" spans="1:5" ht="63">
      <c r="A20" s="1273">
        <v>17</v>
      </c>
      <c r="B20" s="1317">
        <f t="shared" ca="1" si="0"/>
        <v>17</v>
      </c>
      <c r="C20" s="1318" t="str" cm="1">
        <f t="array" aca="1" ref="C20" ca="1">IF(ROW()-ROW($A$4)&lt;'الف-ب-ج'!$L$9,INDIRECT("BudgetDB!I"&amp;('الف-ب-ج'!$M$9+ROW()-ROW($A$4))),"")</f>
        <v>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به‌منزله دریافت مجوز جهت انجام آن نخواهد بود و همچنین ارقام مندرج در جدول پیش‌بینی دریافت‏ها و پرداخت‏های نقدی صرفاً به عنوان چارچوب هزینه کرد منابع درج گردیده و حاکی از تأیید آن موضوعات برای شرکت و یا سایر اشخاص حقیقی و حقوقی نمی‏باشد.</v>
      </c>
      <c r="D20" s="1090"/>
      <c r="E20" s="1267"/>
    </row>
    <row r="21" spans="1:5" ht="21" hidden="1">
      <c r="A21" s="1273">
        <v>18</v>
      </c>
      <c r="B21" s="1317" t="str">
        <f t="shared" ca="1" si="0"/>
        <v/>
      </c>
      <c r="C21" s="1318" cm="1">
        <f t="array" aca="1" ref="C21" ca="1">IF(ROW()-ROW($A$4)&lt;'الف-ب-ج'!$L$9,INDIRECT("BudgetDB!I"&amp;('الف-ب-ج'!$M$9+ROW()-ROW($A$4))),"")</f>
        <v>0</v>
      </c>
      <c r="D21" s="1090"/>
      <c r="E21" s="1267"/>
    </row>
    <row r="22" spans="1:5" ht="21" hidden="1">
      <c r="A22" s="1273">
        <v>19</v>
      </c>
      <c r="B22" s="1317" t="str">
        <f t="shared" ca="1" si="0"/>
        <v/>
      </c>
      <c r="C22" s="1318" cm="1">
        <f t="array" aca="1" ref="C22" ca="1">IF(ROW()-ROW($A$4)&lt;'الف-ب-ج'!$L$9,INDIRECT("BudgetDB!I"&amp;('الف-ب-ج'!$M$9+ROW()-ROW($A$4))),"")</f>
        <v>0</v>
      </c>
      <c r="D22" s="1090"/>
      <c r="E22" s="1267"/>
    </row>
    <row r="23" spans="1:5" ht="21" hidden="1">
      <c r="A23" s="1273">
        <v>20</v>
      </c>
      <c r="B23" s="1317" t="str">
        <f t="shared" ca="1" si="0"/>
        <v/>
      </c>
      <c r="C23" s="1318" cm="1">
        <f t="array" aca="1" ref="C23" ca="1">IF(ROW()-ROW($A$4)&lt;'الف-ب-ج'!$L$9,INDIRECT("BudgetDB!I"&amp;('الف-ب-ج'!$M$9+ROW()-ROW($A$4))),"")</f>
        <v>0</v>
      </c>
      <c r="D23" s="1090"/>
      <c r="E23" s="1267"/>
    </row>
    <row r="24" spans="1:5" ht="21" hidden="1">
      <c r="A24" s="1273">
        <v>21</v>
      </c>
      <c r="B24" s="1317" t="str">
        <f t="shared" ca="1" si="0"/>
        <v/>
      </c>
      <c r="C24" s="1318" cm="1">
        <f t="array" aca="1" ref="C24" ca="1">IF(ROW()-ROW($A$4)&lt;'الف-ب-ج'!$L$9,INDIRECT("BudgetDB!I"&amp;('الف-ب-ج'!$M$9+ROW()-ROW($A$4))),"")</f>
        <v>0</v>
      </c>
      <c r="D24" s="1090"/>
      <c r="E24" s="1267"/>
    </row>
    <row r="25" spans="1:5" ht="21" hidden="1">
      <c r="A25" s="1273">
        <v>22</v>
      </c>
      <c r="B25" s="1317" t="str">
        <f t="shared" ca="1" si="0"/>
        <v/>
      </c>
      <c r="C25" s="1318" cm="1">
        <f t="array" aca="1" ref="C25" ca="1">IF(ROW()-ROW($A$4)&lt;'الف-ب-ج'!$L$9,INDIRECT("BudgetDB!I"&amp;('الف-ب-ج'!$M$9+ROW()-ROW($A$4))),"")</f>
        <v>0</v>
      </c>
      <c r="D25" s="1090"/>
      <c r="E25" s="1267"/>
    </row>
    <row r="26" spans="1:5" ht="21" hidden="1">
      <c r="A26" s="1273">
        <v>23</v>
      </c>
      <c r="B26" s="1317" t="str">
        <f t="shared" ca="1" si="0"/>
        <v/>
      </c>
      <c r="C26" s="1318" cm="1">
        <f t="array" aca="1" ref="C26" ca="1">IF(ROW()-ROW($A$4)&lt;'الف-ب-ج'!$L$9,INDIRECT("BudgetDB!I"&amp;('الف-ب-ج'!$M$9+ROW()-ROW($A$4))),"")</f>
        <v>0</v>
      </c>
      <c r="D26" s="1090"/>
      <c r="E26" s="1267"/>
    </row>
    <row r="27" spans="1:5" ht="21" hidden="1">
      <c r="A27" s="1273">
        <v>24</v>
      </c>
      <c r="B27" s="1317" t="str">
        <f t="shared" ca="1" si="0"/>
        <v/>
      </c>
      <c r="C27" s="1318" cm="1">
        <f t="array" aca="1" ref="C27" ca="1">IF(ROW()-ROW($A$4)&lt;'الف-ب-ج'!$L$9,INDIRECT("BudgetDB!I"&amp;('الف-ب-ج'!$M$9+ROW()-ROW($A$4))),"")</f>
        <v>0</v>
      </c>
      <c r="D27" s="1090"/>
      <c r="E27" s="1267"/>
    </row>
    <row r="28" spans="1:5" ht="21" hidden="1">
      <c r="A28" s="1273">
        <v>25</v>
      </c>
      <c r="B28" s="1317" t="str">
        <f t="shared" ca="1" si="0"/>
        <v/>
      </c>
      <c r="C28" s="1318" cm="1">
        <f t="array" aca="1" ref="C28" ca="1">IF(ROW()-ROW($A$4)&lt;'الف-ب-ج'!$L$9,INDIRECT("BudgetDB!I"&amp;('الف-ب-ج'!$M$9+ROW()-ROW($A$4))),"")</f>
        <v>0</v>
      </c>
      <c r="D28" s="1090"/>
      <c r="E28" s="1267"/>
    </row>
    <row r="29" spans="1:5" ht="21" hidden="1">
      <c r="A29" s="1273">
        <v>26</v>
      </c>
      <c r="B29" s="1317" t="str">
        <f t="shared" ca="1" si="0"/>
        <v/>
      </c>
      <c r="C29" s="1318" cm="1">
        <f t="array" aca="1" ref="C29" ca="1">IF(ROW()-ROW($A$4)&lt;'الف-ب-ج'!$L$9,INDIRECT("BudgetDB!I"&amp;('الف-ب-ج'!$M$9+ROW()-ROW($A$4))),"")</f>
        <v>0</v>
      </c>
      <c r="D29" s="1090"/>
      <c r="E29" s="1267"/>
    </row>
    <row r="30" spans="1:5" ht="21" hidden="1">
      <c r="A30" s="1273">
        <v>27</v>
      </c>
      <c r="B30" s="1317" t="str">
        <f t="shared" ca="1" si="0"/>
        <v/>
      </c>
      <c r="C30" s="1318" cm="1">
        <f t="array" aca="1" ref="C30" ca="1">IF(ROW()-ROW($A$4)&lt;'الف-ب-ج'!$L$9,INDIRECT("BudgetDB!I"&amp;('الف-ب-ج'!$M$9+ROW()-ROW($A$4))),"")</f>
        <v>0</v>
      </c>
      <c r="D30" s="1090"/>
      <c r="E30" s="1267"/>
    </row>
    <row r="31" spans="1:5" ht="21" hidden="1">
      <c r="A31" s="1273">
        <v>28</v>
      </c>
      <c r="B31" s="1317" t="str">
        <f t="shared" ca="1" si="0"/>
        <v/>
      </c>
      <c r="C31" s="1318" cm="1">
        <f t="array" aca="1" ref="C31" ca="1">IF(ROW()-ROW($A$4)&lt;'الف-ب-ج'!$L$9,INDIRECT("BudgetDB!I"&amp;('الف-ب-ج'!$M$9+ROW()-ROW($A$4))),"")</f>
        <v>0</v>
      </c>
      <c r="D31" s="1090"/>
      <c r="E31" s="1267"/>
    </row>
    <row r="32" spans="1:5" ht="21" hidden="1">
      <c r="A32" s="1273">
        <v>29</v>
      </c>
      <c r="B32" s="1317" t="str">
        <f t="shared" ca="1" si="0"/>
        <v/>
      </c>
      <c r="C32" s="1318" cm="1">
        <f t="array" aca="1" ref="C32" ca="1">IF(ROW()-ROW($A$4)&lt;'الف-ب-ج'!$L$9,INDIRECT("BudgetDB!I"&amp;('الف-ب-ج'!$M$9+ROW()-ROW($A$4))),"")</f>
        <v>0</v>
      </c>
      <c r="D32" s="1090"/>
      <c r="E32" s="1267"/>
    </row>
    <row r="33" spans="1:5" ht="21" hidden="1">
      <c r="A33" s="1273">
        <v>30</v>
      </c>
      <c r="B33" s="1317" t="str">
        <f t="shared" ca="1" si="0"/>
        <v/>
      </c>
      <c r="C33" s="1318" cm="1">
        <f t="array" aca="1" ref="C33" ca="1">IF(ROW()-ROW($A$4)&lt;'الف-ب-ج'!$L$9,INDIRECT("BudgetDB!I"&amp;('الف-ب-ج'!$M$9+ROW()-ROW($A$4))),"")</f>
        <v>0</v>
      </c>
      <c r="D33" s="1090"/>
      <c r="E33" s="1267"/>
    </row>
  </sheetData>
  <mergeCells count="1">
    <mergeCell ref="A1:E1"/>
  </mergeCells>
  <conditionalFormatting sqref="D4:D33">
    <cfRule type="expression" dxfId="667" priority="1">
      <formula>AND($C4&lt;&gt;0,$D4="")</formula>
    </cfRule>
  </conditionalFormatting>
  <printOptions horizontalCentered="1"/>
  <pageMargins left="0.19685039370078741" right="0.19685039370078741" top="0.59055118110236227" bottom="0.78740157480314965" header="0.19685039370078741" footer="0.19685039370078741"/>
  <pageSetup paperSize="9" scale="6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E60000"/>
    <pageSetUpPr fitToPage="1"/>
  </sheetPr>
  <dimension ref="A1:J41"/>
  <sheetViews>
    <sheetView rightToLeft="1" view="pageBreakPreview" topLeftCell="C1" zoomScale="130" zoomScaleNormal="100" zoomScaleSheetLayoutView="130" workbookViewId="0">
      <selection activeCell="C4" sqref="C4"/>
    </sheetView>
  </sheetViews>
  <sheetFormatPr defaultColWidth="9" defaultRowHeight="15"/>
  <cols>
    <col min="1" max="1" width="8.5703125" style="5" customWidth="1"/>
    <col min="2" max="2" width="8.42578125" style="5" customWidth="1"/>
    <col min="3" max="4" width="60.7109375" style="5" customWidth="1"/>
    <col min="5" max="5" width="20.7109375" style="5" customWidth="1"/>
    <col min="6" max="6" width="14" style="5" customWidth="1"/>
    <col min="7" max="8" width="14" style="5" hidden="1" customWidth="1"/>
    <col min="9" max="16" width="14" style="5" customWidth="1"/>
    <col min="17" max="16384" width="9" style="5"/>
  </cols>
  <sheetData>
    <row r="1" spans="1:10" ht="24">
      <c r="A1" s="2685" t="str">
        <f>روکش!D4</f>
        <v>انبارهای عمومی و خدمات گمرکی ایران</v>
      </c>
      <c r="B1" s="2685"/>
      <c r="C1" s="2685"/>
      <c r="D1" s="2685"/>
      <c r="E1" s="2685"/>
    </row>
    <row r="2" spans="1:10" ht="28.5" customHeight="1" thickBot="1">
      <c r="A2" s="1276" t="str">
        <f>"اقدامات صورت گرفته درخصوص تکالیف مجمع سالیانه (سال مالی قبل) در دوره " &amp; روکش!F9 &amp; " سال " &amp; روکش!D9</f>
        <v>اقدامات صورت گرفته درخصوص تکالیف مجمع سالیانه (سال مالی قبل) در دوره شش ماهه سال 1405</v>
      </c>
      <c r="B2" s="1276"/>
      <c r="C2" s="1276"/>
      <c r="D2" s="1276"/>
      <c r="E2" s="1276"/>
      <c r="G2" s="1275" t="s">
        <v>786</v>
      </c>
      <c r="H2" s="1275" t="s">
        <v>785</v>
      </c>
      <c r="J2" s="213"/>
    </row>
    <row r="3" spans="1:10" ht="22.5">
      <c r="A3" s="1277" t="s">
        <v>5</v>
      </c>
      <c r="B3" s="1278" t="s">
        <v>124</v>
      </c>
      <c r="C3" s="1278" t="s">
        <v>125</v>
      </c>
      <c r="D3" s="1278" t="s">
        <v>126</v>
      </c>
      <c r="E3" s="1279" t="s">
        <v>127</v>
      </c>
      <c r="F3" s="139"/>
      <c r="G3" s="1275">
        <f>ROW(A4)</f>
        <v>4</v>
      </c>
      <c r="H3" s="1275">
        <f>COUNTA(A4:A100)+G3-1</f>
        <v>41</v>
      </c>
      <c r="J3" s="213"/>
    </row>
    <row r="4" spans="1:10" ht="21">
      <c r="A4" s="1273">
        <v>1</v>
      </c>
      <c r="B4" s="1266"/>
      <c r="C4" s="1090"/>
      <c r="D4" s="1090"/>
      <c r="E4" s="1267"/>
      <c r="G4" s="213"/>
      <c r="H4" s="213"/>
    </row>
    <row r="5" spans="1:10" ht="21">
      <c r="A5" s="1273">
        <v>2</v>
      </c>
      <c r="B5" s="1266"/>
      <c r="C5" s="1090"/>
      <c r="D5" s="1090"/>
      <c r="E5" s="1267"/>
    </row>
    <row r="6" spans="1:10" ht="21">
      <c r="A6" s="1273">
        <v>3</v>
      </c>
      <c r="B6" s="1266"/>
      <c r="C6" s="1090"/>
      <c r="D6" s="1090"/>
      <c r="E6" s="1267"/>
    </row>
    <row r="7" spans="1:10" ht="21">
      <c r="A7" s="1273">
        <v>4</v>
      </c>
      <c r="B7" s="1266"/>
      <c r="C7" s="1090"/>
      <c r="D7" s="1090"/>
      <c r="E7" s="1267"/>
    </row>
    <row r="8" spans="1:10" ht="21">
      <c r="A8" s="1273">
        <v>5</v>
      </c>
      <c r="B8" s="1266"/>
      <c r="C8" s="1090"/>
      <c r="D8" s="1090"/>
      <c r="E8" s="1267"/>
    </row>
    <row r="9" spans="1:10" ht="21">
      <c r="A9" s="1273">
        <v>6</v>
      </c>
      <c r="B9" s="1266"/>
      <c r="C9" s="1090"/>
      <c r="D9" s="1090"/>
      <c r="E9" s="1267"/>
    </row>
    <row r="10" spans="1:10" ht="21">
      <c r="A10" s="1273">
        <v>7</v>
      </c>
      <c r="B10" s="1266"/>
      <c r="C10" s="1090"/>
      <c r="D10" s="1090"/>
      <c r="E10" s="1267"/>
    </row>
    <row r="11" spans="1:10" ht="21">
      <c r="A11" s="1273">
        <v>8</v>
      </c>
      <c r="B11" s="1266"/>
      <c r="C11" s="1090"/>
      <c r="D11" s="1090"/>
      <c r="E11" s="1267"/>
    </row>
    <row r="12" spans="1:10" ht="21">
      <c r="A12" s="1273">
        <v>9</v>
      </c>
      <c r="B12" s="1266"/>
      <c r="C12" s="1090"/>
      <c r="D12" s="1090"/>
      <c r="E12" s="1267"/>
    </row>
    <row r="13" spans="1:10" ht="21">
      <c r="A13" s="1273">
        <v>10</v>
      </c>
      <c r="B13" s="1266"/>
      <c r="C13" s="1090"/>
      <c r="D13" s="1090"/>
      <c r="E13" s="1267"/>
    </row>
    <row r="14" spans="1:10" ht="21">
      <c r="A14" s="1273">
        <v>11</v>
      </c>
      <c r="B14" s="1266"/>
      <c r="C14" s="1090"/>
      <c r="D14" s="1090"/>
      <c r="E14" s="1267"/>
    </row>
    <row r="15" spans="1:10" ht="21">
      <c r="A15" s="1273">
        <v>12</v>
      </c>
      <c r="B15" s="1266"/>
      <c r="C15" s="1090"/>
      <c r="D15" s="1090"/>
      <c r="E15" s="1267"/>
    </row>
    <row r="16" spans="1:10" ht="21">
      <c r="A16" s="1273">
        <v>13</v>
      </c>
      <c r="B16" s="1266"/>
      <c r="C16" s="1090"/>
      <c r="D16" s="1090"/>
      <c r="E16" s="1267"/>
    </row>
    <row r="17" spans="1:5" ht="21">
      <c r="A17" s="1273">
        <v>14</v>
      </c>
      <c r="B17" s="1266"/>
      <c r="C17" s="1090"/>
      <c r="D17" s="1090"/>
      <c r="E17" s="1267"/>
    </row>
    <row r="18" spans="1:5" ht="21">
      <c r="A18" s="1273">
        <v>15</v>
      </c>
      <c r="B18" s="1266"/>
      <c r="C18" s="1090"/>
      <c r="D18" s="1090"/>
      <c r="E18" s="1267"/>
    </row>
    <row r="19" spans="1:5" ht="21">
      <c r="A19" s="1273">
        <v>16</v>
      </c>
      <c r="B19" s="1266"/>
      <c r="C19" s="1090"/>
      <c r="D19" s="1090"/>
      <c r="E19" s="1267"/>
    </row>
    <row r="20" spans="1:5" ht="21">
      <c r="A20" s="1273">
        <v>17</v>
      </c>
      <c r="B20" s="1266"/>
      <c r="C20" s="1090"/>
      <c r="D20" s="1090"/>
      <c r="E20" s="1267"/>
    </row>
    <row r="21" spans="1:5" ht="21">
      <c r="A21" s="1273">
        <v>18</v>
      </c>
      <c r="B21" s="1266"/>
      <c r="C21" s="1090"/>
      <c r="D21" s="1090"/>
      <c r="E21" s="1267"/>
    </row>
    <row r="22" spans="1:5" ht="21">
      <c r="A22" s="1273">
        <v>19</v>
      </c>
      <c r="B22" s="1266"/>
      <c r="C22" s="1090"/>
      <c r="D22" s="1090"/>
      <c r="E22" s="1267"/>
    </row>
    <row r="23" spans="1:5" ht="21">
      <c r="A23" s="1273">
        <v>20</v>
      </c>
      <c r="B23" s="1266"/>
      <c r="C23" s="1090"/>
      <c r="D23" s="1090"/>
      <c r="E23" s="1267"/>
    </row>
    <row r="24" spans="1:5" ht="21">
      <c r="A24" s="1273">
        <v>21</v>
      </c>
      <c r="B24" s="1266"/>
      <c r="C24" s="1090"/>
      <c r="D24" s="1090"/>
      <c r="E24" s="1267"/>
    </row>
    <row r="25" spans="1:5" ht="21">
      <c r="A25" s="1273">
        <v>22</v>
      </c>
      <c r="B25" s="1266"/>
      <c r="C25" s="1090"/>
      <c r="D25" s="1090"/>
      <c r="E25" s="1267"/>
    </row>
    <row r="26" spans="1:5" ht="21">
      <c r="A26" s="1273">
        <v>23</v>
      </c>
      <c r="B26" s="1266"/>
      <c r="C26" s="1090"/>
      <c r="D26" s="1090"/>
      <c r="E26" s="1267"/>
    </row>
    <row r="27" spans="1:5" ht="21">
      <c r="A27" s="1273">
        <v>24</v>
      </c>
      <c r="B27" s="1266"/>
      <c r="C27" s="1090"/>
      <c r="D27" s="1090"/>
      <c r="E27" s="1267"/>
    </row>
    <row r="28" spans="1:5" ht="21">
      <c r="A28" s="1273">
        <v>25</v>
      </c>
      <c r="B28" s="1266"/>
      <c r="C28" s="1090"/>
      <c r="D28" s="1090"/>
      <c r="E28" s="1267"/>
    </row>
    <row r="29" spans="1:5" ht="21">
      <c r="A29" s="1273">
        <v>26</v>
      </c>
      <c r="B29" s="1266"/>
      <c r="C29" s="1090"/>
      <c r="D29" s="1090"/>
      <c r="E29" s="1267"/>
    </row>
    <row r="30" spans="1:5" ht="21">
      <c r="A30" s="1273">
        <v>27</v>
      </c>
      <c r="B30" s="1266"/>
      <c r="C30" s="1090"/>
      <c r="D30" s="1090"/>
      <c r="E30" s="1267"/>
    </row>
    <row r="31" spans="1:5" ht="21">
      <c r="A31" s="1273">
        <v>28</v>
      </c>
      <c r="B31" s="1266"/>
      <c r="C31" s="1090"/>
      <c r="D31" s="1090"/>
      <c r="E31" s="1267"/>
    </row>
    <row r="32" spans="1:5" ht="21">
      <c r="A32" s="1273">
        <v>29</v>
      </c>
      <c r="B32" s="1266"/>
      <c r="C32" s="1090"/>
      <c r="D32" s="1090"/>
      <c r="E32" s="1267"/>
    </row>
    <row r="33" spans="1:5" ht="21">
      <c r="A33" s="1273">
        <v>30</v>
      </c>
      <c r="B33" s="1266"/>
      <c r="C33" s="1090"/>
      <c r="D33" s="1090"/>
      <c r="E33" s="1267"/>
    </row>
    <row r="34" spans="1:5" ht="21">
      <c r="A34" s="1273">
        <v>31</v>
      </c>
      <c r="B34" s="1266"/>
      <c r="C34" s="1090"/>
      <c r="D34" s="1090"/>
      <c r="E34" s="1267"/>
    </row>
    <row r="35" spans="1:5" ht="21">
      <c r="A35" s="1273">
        <v>32</v>
      </c>
      <c r="B35" s="1266"/>
      <c r="C35" s="1090"/>
      <c r="D35" s="1090"/>
      <c r="E35" s="1267"/>
    </row>
    <row r="36" spans="1:5" ht="21">
      <c r="A36" s="1273">
        <v>33</v>
      </c>
      <c r="B36" s="1266"/>
      <c r="C36" s="1090"/>
      <c r="D36" s="1090"/>
      <c r="E36" s="1267"/>
    </row>
    <row r="37" spans="1:5" ht="21">
      <c r="A37" s="1273">
        <v>34</v>
      </c>
      <c r="B37" s="1266"/>
      <c r="C37" s="1090"/>
      <c r="D37" s="1090"/>
      <c r="E37" s="1267"/>
    </row>
    <row r="38" spans="1:5" ht="21">
      <c r="A38" s="1273">
        <v>35</v>
      </c>
      <c r="B38" s="1266"/>
      <c r="C38" s="1090"/>
      <c r="D38" s="1090"/>
      <c r="E38" s="1267"/>
    </row>
    <row r="39" spans="1:5" ht="21">
      <c r="A39" s="1273">
        <v>36</v>
      </c>
      <c r="B39" s="1266"/>
      <c r="C39" s="1090"/>
      <c r="D39" s="1090"/>
      <c r="E39" s="1267"/>
    </row>
    <row r="40" spans="1:5" ht="21">
      <c r="A40" s="1273">
        <v>37</v>
      </c>
      <c r="B40" s="1266"/>
      <c r="C40" s="1090"/>
      <c r="D40" s="1090"/>
      <c r="E40" s="1267"/>
    </row>
    <row r="41" spans="1:5" ht="21.75" thickBot="1">
      <c r="A41" s="1274">
        <v>38</v>
      </c>
      <c r="B41" s="1270"/>
      <c r="C41" s="1268"/>
      <c r="D41" s="1268"/>
      <c r="E41" s="1269"/>
    </row>
  </sheetData>
  <mergeCells count="1">
    <mergeCell ref="A1:E1"/>
  </mergeCells>
  <conditionalFormatting sqref="D1:D1048576">
    <cfRule type="expression" dxfId="666" priority="1">
      <formula>AND($C1&lt;&gt;"",$D1="")</formula>
    </cfRule>
  </conditionalFormatting>
  <printOptions horizontalCentered="1"/>
  <pageMargins left="0.19685039370078741" right="0.19685039370078741" top="0.59055118110236227" bottom="0.78740157480314965" header="0.19685039370078741" footer="0.19685039370078741"/>
  <pageSetup paperSize="9" scale="90"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E60000"/>
    <pageSetUpPr fitToPage="1"/>
  </sheetPr>
  <dimension ref="A1:W13"/>
  <sheetViews>
    <sheetView rightToLeft="1" view="pageBreakPreview" zoomScale="115" zoomScaleNormal="100" zoomScaleSheetLayoutView="115" workbookViewId="0">
      <selection activeCell="N6" sqref="N6"/>
    </sheetView>
  </sheetViews>
  <sheetFormatPr defaultColWidth="9" defaultRowHeight="15"/>
  <cols>
    <col min="1" max="1" width="3.85546875" style="5" customWidth="1"/>
    <col min="2" max="2" width="50.5703125" style="5" customWidth="1"/>
    <col min="3" max="3" width="7.140625" style="5" bestFit="1" customWidth="1"/>
    <col min="4" max="4" width="10.5703125" style="5" bestFit="1" customWidth="1"/>
    <col min="5" max="5" width="4.140625" style="5" customWidth="1"/>
    <col min="6" max="6" width="9.42578125" style="5" bestFit="1" customWidth="1"/>
    <col min="7" max="7" width="9.5703125" style="5" customWidth="1"/>
    <col min="8" max="9" width="5.5703125" style="5" customWidth="1"/>
    <col min="10" max="10" width="6.5703125" style="5" customWidth="1"/>
    <col min="11" max="12" width="8.5703125" style="5" customWidth="1"/>
    <col min="13" max="13" width="6.5703125" style="5" customWidth="1"/>
    <col min="14" max="14" width="45.7109375" style="5" customWidth="1"/>
    <col min="15" max="16" width="9" style="5"/>
    <col min="17" max="17" width="9" style="5" hidden="1" customWidth="1"/>
    <col min="18" max="20" width="9" style="212" hidden="1" customWidth="1"/>
    <col min="21" max="21" width="9" style="209" hidden="1" customWidth="1"/>
    <col min="22" max="22" width="9" style="79" hidden="1" customWidth="1"/>
    <col min="23" max="23" width="9" style="79"/>
    <col min="24" max="16384" width="9" style="5"/>
  </cols>
  <sheetData>
    <row r="1" spans="1:20" ht="24">
      <c r="A1" s="2685" t="str">
        <f>'اقدامات تکالیف بودجه'!A1:E1</f>
        <v>انبارهای عمومی و خدمات گمرکی ایران</v>
      </c>
      <c r="B1" s="2685"/>
      <c r="C1" s="2685"/>
      <c r="D1" s="2685"/>
      <c r="E1" s="2685"/>
      <c r="F1" s="2685"/>
      <c r="G1" s="2685"/>
      <c r="H1" s="2685"/>
      <c r="I1" s="2685"/>
      <c r="J1" s="2685"/>
      <c r="K1" s="2685"/>
      <c r="L1" s="2685"/>
      <c r="M1" s="2685"/>
      <c r="N1" s="2685"/>
    </row>
    <row r="2" spans="1:20" ht="29.25" thickBot="1">
      <c r="A2" s="1282" t="str">
        <f>"درصد اجرای برنامه‌های پیش‌بینی شده ابتدای سال در دوره " &amp; روکش!F9 &amp; " سال " &amp; روکش!D9</f>
        <v>درصد اجرای برنامه‌های پیش‌بینی شده ابتدای سال در دوره شش ماهه سال 1405</v>
      </c>
      <c r="B2" s="1282"/>
      <c r="C2" s="1282"/>
      <c r="D2" s="1282"/>
      <c r="E2" s="1282"/>
      <c r="F2" s="1282"/>
      <c r="G2" s="1282"/>
      <c r="H2" s="1282"/>
      <c r="I2" s="1282"/>
      <c r="J2" s="1282"/>
      <c r="K2" s="1282"/>
      <c r="L2" s="1282"/>
      <c r="M2" s="1282"/>
      <c r="N2" s="1282"/>
    </row>
    <row r="3" spans="1:20" ht="42">
      <c r="A3" s="2700" t="s">
        <v>5</v>
      </c>
      <c r="B3" s="2702" t="s">
        <v>136</v>
      </c>
      <c r="C3" s="2704" t="s">
        <v>638</v>
      </c>
      <c r="D3" s="2705"/>
      <c r="E3" s="2706" t="s">
        <v>283</v>
      </c>
      <c r="F3" s="2704" t="s">
        <v>180</v>
      </c>
      <c r="G3" s="2705"/>
      <c r="H3" s="1283" t="s">
        <v>640</v>
      </c>
      <c r="I3" s="1283"/>
      <c r="J3" s="1283"/>
      <c r="K3" s="1283" t="s">
        <v>1417</v>
      </c>
      <c r="L3" s="1284"/>
      <c r="M3" s="1284"/>
      <c r="N3" s="2708" t="s">
        <v>128</v>
      </c>
    </row>
    <row r="4" spans="1:20" ht="45.75">
      <c r="A4" s="2701"/>
      <c r="B4" s="2703"/>
      <c r="C4" s="1285" t="s">
        <v>137</v>
      </c>
      <c r="D4" s="1285" t="s">
        <v>138</v>
      </c>
      <c r="E4" s="2707"/>
      <c r="F4" s="1285" t="s">
        <v>139</v>
      </c>
      <c r="G4" s="1285" t="s">
        <v>140</v>
      </c>
      <c r="H4" s="1286" t="s">
        <v>53</v>
      </c>
      <c r="I4" s="1286" t="s">
        <v>216</v>
      </c>
      <c r="J4" s="1286" t="s">
        <v>641</v>
      </c>
      <c r="K4" s="1286" t="s">
        <v>53</v>
      </c>
      <c r="L4" s="1286" t="s">
        <v>216</v>
      </c>
      <c r="M4" s="1286" t="s">
        <v>641</v>
      </c>
      <c r="N4" s="2709"/>
      <c r="O4" s="139"/>
      <c r="R4" s="1081" t="s">
        <v>798</v>
      </c>
      <c r="S4" s="1081" t="s">
        <v>799</v>
      </c>
      <c r="T4" s="1081" t="s">
        <v>800</v>
      </c>
    </row>
    <row r="5" spans="1:20" ht="31.5">
      <c r="A5" s="2313"/>
      <c r="B5" s="2642" t="s">
        <v>3241</v>
      </c>
      <c r="C5" s="2643"/>
      <c r="D5" s="2643"/>
      <c r="E5" s="2643"/>
      <c r="F5" s="2644" t="s">
        <v>2140</v>
      </c>
      <c r="G5" s="2644" t="s">
        <v>2115</v>
      </c>
      <c r="H5" s="2314">
        <v>100</v>
      </c>
      <c r="I5" s="2640">
        <v>10</v>
      </c>
      <c r="J5" s="2645">
        <f>IFERROR(I5*100/H5,"-")</f>
        <v>10</v>
      </c>
      <c r="K5" s="2314">
        <v>100</v>
      </c>
      <c r="L5" s="2314"/>
      <c r="M5" s="2645">
        <f>IFERROR(L5*100/K5,"-")</f>
        <v>0</v>
      </c>
      <c r="N5" s="2646" t="s">
        <v>3242</v>
      </c>
      <c r="R5" s="1081">
        <f>COUNTIFS(H5:H9,"&gt;0",I5:I9,"")</f>
        <v>1</v>
      </c>
      <c r="S5" s="1081">
        <f>COUNTIFS(K5:K9,"&gt;0",L5:L9,"")</f>
        <v>5</v>
      </c>
      <c r="T5" s="1081">
        <f>COUNTIFS(H5:H9,"&gt;0",N5:N9,"")</f>
        <v>0</v>
      </c>
    </row>
    <row r="6" spans="1:20" ht="78.75">
      <c r="A6" s="2313"/>
      <c r="B6" s="2642" t="s">
        <v>3243</v>
      </c>
      <c r="C6" s="2647"/>
      <c r="D6" s="2648"/>
      <c r="E6" s="2649"/>
      <c r="F6" s="2644" t="s">
        <v>2140</v>
      </c>
      <c r="G6" s="2644" t="s">
        <v>2115</v>
      </c>
      <c r="H6" s="2640">
        <v>100</v>
      </c>
      <c r="I6" s="2640">
        <v>5</v>
      </c>
      <c r="J6" s="2645">
        <f t="shared" ref="J6:J9" si="0">IFERROR(I6*100/H6,"-")</f>
        <v>5</v>
      </c>
      <c r="K6" s="2314">
        <v>100</v>
      </c>
      <c r="L6" s="2314"/>
      <c r="M6" s="2645">
        <f t="shared" ref="M6:M9" si="1">IFERROR(L6*100/K6,"-")</f>
        <v>0</v>
      </c>
      <c r="N6" s="2650" t="s">
        <v>3244</v>
      </c>
    </row>
    <row r="7" spans="1:20" ht="31.5">
      <c r="A7" s="2313"/>
      <c r="B7" s="2642" t="s">
        <v>3245</v>
      </c>
      <c r="C7" s="2647"/>
      <c r="D7" s="2648"/>
      <c r="E7" s="2649"/>
      <c r="F7" s="2644" t="s">
        <v>2140</v>
      </c>
      <c r="G7" s="2644" t="s">
        <v>2115</v>
      </c>
      <c r="H7" s="2640">
        <v>100</v>
      </c>
      <c r="I7" s="2640"/>
      <c r="J7" s="2645">
        <f t="shared" si="0"/>
        <v>0</v>
      </c>
      <c r="K7" s="2314">
        <v>100</v>
      </c>
      <c r="L7" s="2314"/>
      <c r="M7" s="2645">
        <f t="shared" si="1"/>
        <v>0</v>
      </c>
      <c r="N7" s="2646" t="s">
        <v>3246</v>
      </c>
    </row>
    <row r="8" spans="1:20" ht="47.25">
      <c r="A8" s="2313"/>
      <c r="B8" s="2642" t="s">
        <v>3247</v>
      </c>
      <c r="C8" s="2647"/>
      <c r="D8" s="2648"/>
      <c r="E8" s="2649"/>
      <c r="F8" s="2644" t="s">
        <v>2140</v>
      </c>
      <c r="G8" s="2644" t="s">
        <v>2115</v>
      </c>
      <c r="H8" s="2640">
        <v>100</v>
      </c>
      <c r="I8" s="2640">
        <v>0</v>
      </c>
      <c r="J8" s="2645">
        <f t="shared" si="0"/>
        <v>0</v>
      </c>
      <c r="K8" s="2314">
        <v>100</v>
      </c>
      <c r="L8" s="2314"/>
      <c r="M8" s="2645">
        <f t="shared" si="1"/>
        <v>0</v>
      </c>
      <c r="N8" s="2646" t="s">
        <v>3248</v>
      </c>
    </row>
    <row r="9" spans="1:20" ht="78.75">
      <c r="A9" s="2313"/>
      <c r="B9" s="2651" t="s">
        <v>3249</v>
      </c>
      <c r="C9" s="2647"/>
      <c r="D9" s="2648"/>
      <c r="E9" s="2649"/>
      <c r="F9" s="2652" t="s">
        <v>2140</v>
      </c>
      <c r="G9" s="2652" t="s">
        <v>2115</v>
      </c>
      <c r="H9" s="2640">
        <v>100</v>
      </c>
      <c r="I9" s="2640">
        <v>5</v>
      </c>
      <c r="J9" s="2645">
        <f t="shared" si="0"/>
        <v>5</v>
      </c>
      <c r="K9" s="2314">
        <v>100</v>
      </c>
      <c r="L9" s="2314"/>
      <c r="M9" s="2645">
        <f t="shared" si="1"/>
        <v>0</v>
      </c>
      <c r="N9" s="2653" t="s">
        <v>3250</v>
      </c>
    </row>
    <row r="10" spans="1:20" ht="30">
      <c r="A10" s="23"/>
      <c r="B10" s="6"/>
      <c r="C10" s="6"/>
      <c r="D10" s="6"/>
      <c r="E10" s="6"/>
      <c r="F10" s="7"/>
      <c r="G10" s="7"/>
      <c r="H10" s="7"/>
      <c r="I10" s="7"/>
      <c r="J10" s="7"/>
      <c r="K10" s="7"/>
      <c r="L10" s="7"/>
      <c r="M10" s="7"/>
      <c r="N10" s="6"/>
    </row>
    <row r="11" spans="1:20" ht="30">
      <c r="A11" s="17"/>
      <c r="F11" s="22"/>
      <c r="G11" s="22"/>
      <c r="H11" s="22"/>
      <c r="I11" s="22"/>
      <c r="J11" s="22"/>
      <c r="K11" s="22"/>
      <c r="L11" s="22"/>
      <c r="M11" s="22"/>
    </row>
    <row r="12" spans="1:20" ht="30">
      <c r="A12" s="17"/>
      <c r="F12" s="22"/>
      <c r="G12" s="22"/>
      <c r="H12" s="22"/>
      <c r="I12" s="22"/>
      <c r="J12" s="22"/>
      <c r="K12" s="22"/>
      <c r="L12" s="22"/>
      <c r="M12" s="22"/>
    </row>
    <row r="13" spans="1:20" ht="25.5">
      <c r="A13" s="17"/>
    </row>
  </sheetData>
  <mergeCells count="7">
    <mergeCell ref="A1:N1"/>
    <mergeCell ref="A3:A4"/>
    <mergeCell ref="B3:B4"/>
    <mergeCell ref="C3:D3"/>
    <mergeCell ref="E3:E4"/>
    <mergeCell ref="F3:G3"/>
    <mergeCell ref="N3:N4"/>
  </mergeCells>
  <conditionalFormatting sqref="B9">
    <cfRule type="cellIs" dxfId="665" priority="1" operator="equal">
      <formula>0</formula>
    </cfRule>
  </conditionalFormatting>
  <printOptions horizontalCentered="1"/>
  <pageMargins left="0.19685039370078741" right="0.19685039370078741" top="0.59055118110236227" bottom="0.78740157480314965" header="0.19685039370078741" footer="0.19685039370078741"/>
  <pageSetup paperSize="9" scale="7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rgb="FFE60000"/>
    <pageSetUpPr fitToPage="1"/>
  </sheetPr>
  <dimension ref="A1:X39"/>
  <sheetViews>
    <sheetView rightToLeft="1" view="pageBreakPreview" zoomScaleNormal="100" zoomScaleSheetLayoutView="100" workbookViewId="0">
      <selection activeCell="F29" sqref="F29:L29"/>
    </sheetView>
  </sheetViews>
  <sheetFormatPr defaultColWidth="9" defaultRowHeight="15"/>
  <cols>
    <col min="1" max="1" width="3.85546875" style="5" customWidth="1"/>
    <col min="2" max="4" width="10.7109375" style="5" customWidth="1"/>
    <col min="5" max="5" width="20.7109375" style="5" customWidth="1"/>
    <col min="6" max="6" width="13" style="5" customWidth="1"/>
    <col min="7" max="7" width="11.140625" style="5" customWidth="1"/>
    <col min="8" max="8" width="8.28515625" style="5" customWidth="1"/>
    <col min="9" max="9" width="22.85546875" style="5" customWidth="1"/>
    <col min="10" max="10" width="13" style="5" customWidth="1"/>
    <col min="11" max="11" width="6.5703125" style="5" customWidth="1"/>
    <col min="12" max="12" width="35.5703125" style="5" customWidth="1"/>
    <col min="13" max="13" width="9" style="5"/>
    <col min="14" max="14" width="9" style="5" customWidth="1"/>
    <col min="15" max="15" width="9" style="209" customWidth="1"/>
    <col min="16" max="16" width="9" style="79" customWidth="1"/>
    <col min="17" max="17" width="9.42578125" style="79" hidden="1" customWidth="1"/>
    <col min="18" max="22" width="0" style="5" hidden="1" customWidth="1"/>
    <col min="23" max="16384" width="9" style="5"/>
  </cols>
  <sheetData>
    <row r="1" spans="1:24" ht="24">
      <c r="A1" s="2685" t="str">
        <f>روکش!D4</f>
        <v>انبارهای عمومی و خدمات گمرکی ایران</v>
      </c>
      <c r="B1" s="2685"/>
      <c r="C1" s="2685"/>
      <c r="D1" s="2685"/>
      <c r="E1" s="2685"/>
      <c r="F1" s="2685"/>
      <c r="G1" s="2685"/>
      <c r="H1" s="2685"/>
      <c r="I1" s="2685"/>
      <c r="J1" s="2685"/>
      <c r="K1" s="2685"/>
      <c r="L1" s="2685"/>
    </row>
    <row r="2" spans="1:24" ht="28.5">
      <c r="A2" s="1290" t="str">
        <f>"مصوبات هیات مدیره در دوره " &amp; روکش!F9 &amp; " سال " &amp; روکش!D9</f>
        <v>مصوبات هیات مدیره در دوره شش ماهه سال 1405</v>
      </c>
      <c r="B2" s="1290"/>
      <c r="C2" s="1290"/>
      <c r="D2" s="1290"/>
      <c r="E2" s="1290"/>
      <c r="F2" s="1290"/>
      <c r="G2" s="1290"/>
      <c r="H2" s="1290"/>
      <c r="I2" s="1290"/>
      <c r="J2" s="1290"/>
      <c r="K2" s="1290"/>
      <c r="L2" s="1290"/>
    </row>
    <row r="3" spans="1:24" ht="42">
      <c r="A3" s="1291" t="s">
        <v>5</v>
      </c>
      <c r="B3" s="1292" t="s">
        <v>1247</v>
      </c>
      <c r="C3" s="1292" t="s">
        <v>1248</v>
      </c>
      <c r="D3" s="1292" t="s">
        <v>1249</v>
      </c>
      <c r="E3" s="1292" t="s">
        <v>1250</v>
      </c>
      <c r="F3" s="2710" t="s">
        <v>1251</v>
      </c>
      <c r="G3" s="2710"/>
      <c r="H3" s="2710"/>
      <c r="I3" s="2710"/>
      <c r="J3" s="2710"/>
      <c r="K3" s="2710"/>
      <c r="L3" s="2711"/>
      <c r="Q3" s="208"/>
      <c r="R3" s="41"/>
      <c r="S3" s="41"/>
      <c r="T3" s="41"/>
      <c r="U3" s="1275" t="s">
        <v>786</v>
      </c>
      <c r="V3" s="1275" t="s">
        <v>785</v>
      </c>
      <c r="X3" s="213"/>
    </row>
    <row r="4" spans="1:24" s="209" customFormat="1" ht="21">
      <c r="A4" s="1287">
        <v>1</v>
      </c>
      <c r="B4" s="1091"/>
      <c r="C4" s="1092"/>
      <c r="D4" s="1093"/>
      <c r="E4" s="1093"/>
      <c r="F4" s="2712"/>
      <c r="G4" s="2712"/>
      <c r="H4" s="2712"/>
      <c r="I4" s="2712"/>
      <c r="J4" s="2712"/>
      <c r="K4" s="2712"/>
      <c r="L4" s="2713"/>
      <c r="M4" s="5"/>
      <c r="N4" s="5"/>
      <c r="P4" s="79"/>
      <c r="Q4" s="1288" t="s">
        <v>1252</v>
      </c>
      <c r="R4" s="1289"/>
      <c r="S4" s="1289"/>
      <c r="T4" s="1289"/>
      <c r="U4" s="1275">
        <f>ROW(A4)</f>
        <v>4</v>
      </c>
      <c r="V4" s="1275">
        <f>COUNTA(A4:A100)+U4-1</f>
        <v>35</v>
      </c>
      <c r="W4" s="5"/>
      <c r="X4" s="213"/>
    </row>
    <row r="5" spans="1:24" s="209" customFormat="1" ht="21">
      <c r="A5" s="1287">
        <v>2</v>
      </c>
      <c r="B5" s="1091"/>
      <c r="C5" s="1092"/>
      <c r="D5" s="1093"/>
      <c r="E5" s="1093"/>
      <c r="F5" s="2712"/>
      <c r="G5" s="2712"/>
      <c r="H5" s="2712"/>
      <c r="I5" s="2712"/>
      <c r="J5" s="2712"/>
      <c r="K5" s="2712"/>
      <c r="L5" s="2713"/>
      <c r="M5" s="5"/>
      <c r="N5" s="5"/>
      <c r="P5" s="79"/>
      <c r="Q5" s="1288" t="s">
        <v>254</v>
      </c>
      <c r="R5" s="1289"/>
      <c r="S5" s="1289"/>
      <c r="T5" s="1289"/>
      <c r="U5" s="1289"/>
      <c r="V5" s="1289"/>
    </row>
    <row r="6" spans="1:24" s="209" customFormat="1" ht="21">
      <c r="A6" s="1287">
        <v>3</v>
      </c>
      <c r="B6" s="1091"/>
      <c r="C6" s="1092"/>
      <c r="D6" s="1093"/>
      <c r="E6" s="1093"/>
      <c r="F6" s="2712"/>
      <c r="G6" s="2712"/>
      <c r="H6" s="2712"/>
      <c r="I6" s="2712"/>
      <c r="J6" s="2712"/>
      <c r="K6" s="2712"/>
      <c r="L6" s="2713"/>
      <c r="M6" s="5"/>
      <c r="N6" s="5"/>
      <c r="P6" s="79"/>
      <c r="Q6" s="1288" t="s">
        <v>1253</v>
      </c>
      <c r="R6" s="1289"/>
      <c r="S6" s="1289"/>
      <c r="T6" s="1289"/>
      <c r="U6" s="1289"/>
      <c r="V6" s="1289"/>
    </row>
    <row r="7" spans="1:24" s="209" customFormat="1" ht="21">
      <c r="A7" s="1287">
        <v>4</v>
      </c>
      <c r="B7" s="1091"/>
      <c r="C7" s="1092"/>
      <c r="D7" s="1093"/>
      <c r="E7" s="1093"/>
      <c r="F7" s="2712"/>
      <c r="G7" s="2712"/>
      <c r="H7" s="2712"/>
      <c r="I7" s="2712"/>
      <c r="J7" s="2712"/>
      <c r="K7" s="2712"/>
      <c r="L7" s="2713"/>
      <c r="M7" s="5"/>
      <c r="N7" s="5"/>
      <c r="P7" s="79"/>
      <c r="Q7" s="1288" t="s">
        <v>1254</v>
      </c>
      <c r="R7" s="1289"/>
      <c r="S7" s="1289"/>
      <c r="T7" s="1289"/>
      <c r="U7" s="1289"/>
      <c r="V7" s="1289"/>
    </row>
    <row r="8" spans="1:24" s="209" customFormat="1" ht="21">
      <c r="A8" s="1287">
        <v>5</v>
      </c>
      <c r="B8" s="1091"/>
      <c r="C8" s="1092"/>
      <c r="D8" s="1093"/>
      <c r="E8" s="1093"/>
      <c r="F8" s="2712"/>
      <c r="G8" s="2712"/>
      <c r="H8" s="2712"/>
      <c r="I8" s="2712"/>
      <c r="J8" s="2712"/>
      <c r="K8" s="2712"/>
      <c r="L8" s="2713"/>
      <c r="M8" s="5"/>
      <c r="N8" s="5"/>
      <c r="P8" s="79"/>
      <c r="Q8" s="1288" t="s">
        <v>1255</v>
      </c>
      <c r="R8" s="1289"/>
      <c r="S8" s="1289"/>
      <c r="T8" s="1289"/>
      <c r="U8" s="1289"/>
      <c r="V8" s="1289"/>
    </row>
    <row r="9" spans="1:24" s="209" customFormat="1" ht="21">
      <c r="A9" s="1287">
        <v>6</v>
      </c>
      <c r="B9" s="1091"/>
      <c r="C9" s="1092"/>
      <c r="D9" s="1093"/>
      <c r="E9" s="1093"/>
      <c r="F9" s="2712"/>
      <c r="G9" s="2712"/>
      <c r="H9" s="2712"/>
      <c r="I9" s="2712"/>
      <c r="J9" s="2712"/>
      <c r="K9" s="2712"/>
      <c r="L9" s="2713"/>
      <c r="M9" s="5"/>
      <c r="N9" s="5"/>
      <c r="P9" s="79"/>
      <c r="Q9" s="1288" t="s">
        <v>1256</v>
      </c>
      <c r="R9" s="1289"/>
      <c r="S9" s="1289"/>
      <c r="T9" s="1289"/>
      <c r="U9" s="1289"/>
      <c r="V9" s="1289"/>
    </row>
    <row r="10" spans="1:24" s="209" customFormat="1" ht="21">
      <c r="A10" s="1287">
        <v>7</v>
      </c>
      <c r="B10" s="1091"/>
      <c r="C10" s="1092"/>
      <c r="D10" s="1093"/>
      <c r="E10" s="1093"/>
      <c r="F10" s="2712"/>
      <c r="G10" s="2712"/>
      <c r="H10" s="2712"/>
      <c r="I10" s="2712"/>
      <c r="J10" s="2712"/>
      <c r="K10" s="2712"/>
      <c r="L10" s="2713"/>
      <c r="M10" s="5"/>
      <c r="N10" s="5"/>
      <c r="P10" s="79"/>
      <c r="Q10" s="1288" t="s">
        <v>333</v>
      </c>
      <c r="R10" s="1289"/>
      <c r="S10" s="1289"/>
      <c r="T10" s="1289"/>
      <c r="U10" s="1289"/>
      <c r="V10" s="1289"/>
    </row>
    <row r="11" spans="1:24" s="209" customFormat="1" ht="21">
      <c r="A11" s="1287">
        <v>8</v>
      </c>
      <c r="B11" s="1091"/>
      <c r="C11" s="1092"/>
      <c r="D11" s="1093"/>
      <c r="E11" s="1093"/>
      <c r="F11" s="2712"/>
      <c r="G11" s="2712"/>
      <c r="H11" s="2712"/>
      <c r="I11" s="2712"/>
      <c r="J11" s="2712"/>
      <c r="K11" s="2712"/>
      <c r="L11" s="2713"/>
      <c r="M11" s="5"/>
      <c r="N11" s="5"/>
      <c r="P11" s="79"/>
      <c r="Q11" s="208"/>
      <c r="R11" s="1289"/>
      <c r="S11" s="1289"/>
      <c r="T11" s="1289"/>
      <c r="U11" s="1289"/>
      <c r="V11" s="1289"/>
    </row>
    <row r="12" spans="1:24" s="209" customFormat="1" ht="21">
      <c r="A12" s="1287">
        <v>9</v>
      </c>
      <c r="B12" s="1091"/>
      <c r="C12" s="1092"/>
      <c r="D12" s="1093"/>
      <c r="E12" s="1093"/>
      <c r="F12" s="2712"/>
      <c r="G12" s="2712"/>
      <c r="H12" s="2712"/>
      <c r="I12" s="2712"/>
      <c r="J12" s="2712"/>
      <c r="K12" s="2712"/>
      <c r="L12" s="2713"/>
      <c r="M12" s="5"/>
      <c r="N12" s="5"/>
      <c r="P12" s="79"/>
      <c r="Q12" s="208"/>
      <c r="R12" s="1289"/>
      <c r="S12" s="1289"/>
      <c r="T12" s="1289"/>
      <c r="U12" s="1289"/>
      <c r="V12" s="1289"/>
    </row>
    <row r="13" spans="1:24" s="209" customFormat="1" ht="21">
      <c r="A13" s="1287">
        <v>10</v>
      </c>
      <c r="B13" s="1091"/>
      <c r="C13" s="1092"/>
      <c r="D13" s="1093"/>
      <c r="E13" s="1093"/>
      <c r="F13" s="2712"/>
      <c r="G13" s="2712"/>
      <c r="H13" s="2712"/>
      <c r="I13" s="2712"/>
      <c r="J13" s="2712"/>
      <c r="K13" s="2712"/>
      <c r="L13" s="2713"/>
      <c r="M13" s="5"/>
      <c r="N13" s="5"/>
      <c r="P13" s="79"/>
      <c r="Q13" s="208"/>
      <c r="R13" s="1289"/>
      <c r="S13" s="1289"/>
      <c r="T13" s="1289"/>
      <c r="U13" s="1289"/>
      <c r="V13" s="1289"/>
    </row>
    <row r="14" spans="1:24" s="209" customFormat="1" ht="21">
      <c r="A14" s="1287">
        <v>11</v>
      </c>
      <c r="B14" s="1091"/>
      <c r="C14" s="1092"/>
      <c r="D14" s="1093"/>
      <c r="E14" s="1093"/>
      <c r="F14" s="2712"/>
      <c r="G14" s="2712"/>
      <c r="H14" s="2712"/>
      <c r="I14" s="2712"/>
      <c r="J14" s="2712"/>
      <c r="K14" s="2712"/>
      <c r="L14" s="2713"/>
      <c r="M14" s="5"/>
      <c r="N14" s="5"/>
      <c r="P14" s="79"/>
      <c r="Q14" s="208"/>
      <c r="R14" s="1289"/>
      <c r="S14" s="1289"/>
      <c r="T14" s="1289"/>
      <c r="U14" s="1289"/>
      <c r="V14" s="1289"/>
    </row>
    <row r="15" spans="1:24" ht="21">
      <c r="A15" s="1287">
        <v>12</v>
      </c>
      <c r="B15" s="1091"/>
      <c r="C15" s="1092"/>
      <c r="D15" s="1093"/>
      <c r="E15" s="1093"/>
      <c r="F15" s="2712"/>
      <c r="G15" s="2712"/>
      <c r="H15" s="2712"/>
      <c r="I15" s="2712"/>
      <c r="J15" s="2712"/>
      <c r="K15" s="2712"/>
      <c r="L15" s="2713"/>
      <c r="Q15" s="208"/>
      <c r="R15" s="41"/>
      <c r="S15" s="41"/>
      <c r="T15" s="41"/>
      <c r="U15" s="41"/>
      <c r="V15" s="41"/>
    </row>
    <row r="16" spans="1:24" ht="21">
      <c r="A16" s="1287">
        <v>13</v>
      </c>
      <c r="B16" s="1091"/>
      <c r="C16" s="1092"/>
      <c r="D16" s="1093"/>
      <c r="E16" s="1094"/>
      <c r="F16" s="2712"/>
      <c r="G16" s="2712"/>
      <c r="H16" s="2712"/>
      <c r="I16" s="2712"/>
      <c r="J16" s="2712"/>
      <c r="K16" s="2712"/>
      <c r="L16" s="2713"/>
      <c r="Q16" s="208"/>
      <c r="R16" s="41"/>
      <c r="S16" s="41"/>
      <c r="T16" s="41"/>
      <c r="U16" s="41"/>
      <c r="V16" s="41"/>
    </row>
    <row r="17" spans="1:22" ht="21">
      <c r="A17" s="1287">
        <v>14</v>
      </c>
      <c r="B17" s="1091"/>
      <c r="C17" s="1092"/>
      <c r="D17" s="1093"/>
      <c r="E17" s="1093"/>
      <c r="F17" s="2712"/>
      <c r="G17" s="2712"/>
      <c r="H17" s="2712"/>
      <c r="I17" s="2712"/>
      <c r="J17" s="2712"/>
      <c r="K17" s="2712"/>
      <c r="L17" s="2713"/>
      <c r="Q17" s="208"/>
      <c r="R17" s="41"/>
      <c r="S17" s="41"/>
      <c r="T17" s="41"/>
      <c r="U17" s="41"/>
      <c r="V17" s="41"/>
    </row>
    <row r="18" spans="1:22" ht="21">
      <c r="A18" s="1287">
        <v>15</v>
      </c>
      <c r="B18" s="1091"/>
      <c r="C18" s="1092"/>
      <c r="D18" s="1093"/>
      <c r="E18" s="1093"/>
      <c r="F18" s="2712"/>
      <c r="G18" s="2712"/>
      <c r="H18" s="2712"/>
      <c r="I18" s="2712"/>
      <c r="J18" s="2712"/>
      <c r="K18" s="2712"/>
      <c r="L18" s="2713"/>
      <c r="Q18" s="208"/>
      <c r="R18" s="41"/>
      <c r="S18" s="41"/>
      <c r="T18" s="41"/>
      <c r="U18" s="41"/>
      <c r="V18" s="41"/>
    </row>
    <row r="19" spans="1:22" ht="21">
      <c r="A19" s="1287">
        <v>16</v>
      </c>
      <c r="B19" s="1091"/>
      <c r="C19" s="1092"/>
      <c r="D19" s="1093"/>
      <c r="E19" s="1093"/>
      <c r="F19" s="2712"/>
      <c r="G19" s="2712"/>
      <c r="H19" s="2712"/>
      <c r="I19" s="2712"/>
      <c r="J19" s="2712"/>
      <c r="K19" s="2712"/>
      <c r="L19" s="2713"/>
      <c r="Q19" s="208"/>
      <c r="R19" s="41"/>
      <c r="S19" s="41"/>
      <c r="T19" s="41"/>
      <c r="U19" s="41"/>
      <c r="V19" s="41"/>
    </row>
    <row r="20" spans="1:22" s="209" customFormat="1" ht="21">
      <c r="A20" s="1287">
        <v>17</v>
      </c>
      <c r="B20" s="1091"/>
      <c r="C20" s="1092"/>
      <c r="D20" s="1093"/>
      <c r="E20" s="1093"/>
      <c r="F20" s="2712"/>
      <c r="G20" s="2712"/>
      <c r="H20" s="2712"/>
      <c r="I20" s="2712"/>
      <c r="J20" s="2712"/>
      <c r="K20" s="2712"/>
      <c r="L20" s="2713"/>
      <c r="M20" s="5"/>
      <c r="N20" s="5"/>
      <c r="P20" s="79"/>
      <c r="Q20" s="1288" t="s">
        <v>1252</v>
      </c>
      <c r="R20" s="1289"/>
      <c r="S20" s="1289"/>
      <c r="T20" s="1289"/>
      <c r="U20" s="1289"/>
      <c r="V20" s="1289"/>
    </row>
    <row r="21" spans="1:22" s="209" customFormat="1" ht="21">
      <c r="A21" s="1287">
        <v>18</v>
      </c>
      <c r="B21" s="1091"/>
      <c r="C21" s="1092"/>
      <c r="D21" s="1093"/>
      <c r="E21" s="1093"/>
      <c r="F21" s="2712"/>
      <c r="G21" s="2712"/>
      <c r="H21" s="2712"/>
      <c r="I21" s="2712"/>
      <c r="J21" s="2712"/>
      <c r="K21" s="2712"/>
      <c r="L21" s="2713"/>
      <c r="M21" s="5"/>
      <c r="N21" s="5"/>
      <c r="P21" s="79"/>
      <c r="Q21" s="1288" t="s">
        <v>254</v>
      </c>
      <c r="R21" s="1289"/>
      <c r="S21" s="1289"/>
      <c r="T21" s="1289"/>
      <c r="U21" s="1289"/>
      <c r="V21" s="1289"/>
    </row>
    <row r="22" spans="1:22" s="209" customFormat="1" ht="21">
      <c r="A22" s="1287">
        <v>19</v>
      </c>
      <c r="B22" s="1091"/>
      <c r="C22" s="1092"/>
      <c r="D22" s="1093"/>
      <c r="E22" s="1093"/>
      <c r="F22" s="2712"/>
      <c r="G22" s="2712"/>
      <c r="H22" s="2712"/>
      <c r="I22" s="2712"/>
      <c r="J22" s="2712"/>
      <c r="K22" s="2712"/>
      <c r="L22" s="2713"/>
      <c r="M22" s="5"/>
      <c r="N22" s="5"/>
      <c r="P22" s="79"/>
      <c r="Q22" s="1288" t="s">
        <v>1253</v>
      </c>
      <c r="R22" s="1289"/>
      <c r="S22" s="1289"/>
      <c r="T22" s="1289"/>
      <c r="U22" s="1289"/>
      <c r="V22" s="1289"/>
    </row>
    <row r="23" spans="1:22" s="209" customFormat="1" ht="21">
      <c r="A23" s="1287">
        <v>20</v>
      </c>
      <c r="B23" s="1091"/>
      <c r="C23" s="1092"/>
      <c r="D23" s="1093"/>
      <c r="E23" s="1093"/>
      <c r="F23" s="2712"/>
      <c r="G23" s="2712"/>
      <c r="H23" s="2712"/>
      <c r="I23" s="2712"/>
      <c r="J23" s="2712"/>
      <c r="K23" s="2712"/>
      <c r="L23" s="2713"/>
      <c r="M23" s="5"/>
      <c r="N23" s="5"/>
      <c r="P23" s="79"/>
      <c r="Q23" s="1288" t="s">
        <v>1254</v>
      </c>
      <c r="R23" s="1289"/>
      <c r="S23" s="1289"/>
      <c r="T23" s="1289"/>
      <c r="U23" s="1289"/>
      <c r="V23" s="1289"/>
    </row>
    <row r="24" spans="1:22" s="209" customFormat="1" ht="21">
      <c r="A24" s="1287">
        <v>21</v>
      </c>
      <c r="B24" s="1091"/>
      <c r="C24" s="1092"/>
      <c r="D24" s="1093"/>
      <c r="E24" s="1093"/>
      <c r="F24" s="2712"/>
      <c r="G24" s="2712"/>
      <c r="H24" s="2712"/>
      <c r="I24" s="2712"/>
      <c r="J24" s="2712"/>
      <c r="K24" s="2712"/>
      <c r="L24" s="2713"/>
      <c r="M24" s="5"/>
      <c r="N24" s="5"/>
      <c r="P24" s="79"/>
      <c r="Q24" s="1288" t="s">
        <v>1255</v>
      </c>
      <c r="R24" s="1289"/>
      <c r="S24" s="1289"/>
      <c r="T24" s="1289"/>
      <c r="U24" s="1289"/>
      <c r="V24" s="1289"/>
    </row>
    <row r="25" spans="1:22" s="209" customFormat="1" ht="21">
      <c r="A25" s="1287">
        <v>22</v>
      </c>
      <c r="B25" s="1091"/>
      <c r="C25" s="1092"/>
      <c r="D25" s="1093"/>
      <c r="E25" s="1093"/>
      <c r="F25" s="2712"/>
      <c r="G25" s="2712"/>
      <c r="H25" s="2712"/>
      <c r="I25" s="2712"/>
      <c r="J25" s="2712"/>
      <c r="K25" s="2712"/>
      <c r="L25" s="2713"/>
      <c r="M25" s="5"/>
      <c r="N25" s="5"/>
      <c r="P25" s="79"/>
      <c r="Q25" s="1288" t="s">
        <v>1256</v>
      </c>
      <c r="R25" s="1289"/>
      <c r="S25" s="1289"/>
      <c r="T25" s="1289"/>
      <c r="U25" s="1289"/>
      <c r="V25" s="1289"/>
    </row>
    <row r="26" spans="1:22" s="209" customFormat="1" ht="21">
      <c r="A26" s="1287">
        <v>23</v>
      </c>
      <c r="B26" s="1091"/>
      <c r="C26" s="1092"/>
      <c r="D26" s="1093"/>
      <c r="E26" s="1093"/>
      <c r="F26" s="2712"/>
      <c r="G26" s="2712"/>
      <c r="H26" s="2712"/>
      <c r="I26" s="2712"/>
      <c r="J26" s="2712"/>
      <c r="K26" s="2712"/>
      <c r="L26" s="2713"/>
      <c r="M26" s="5"/>
      <c r="N26" s="5"/>
      <c r="P26" s="79"/>
      <c r="Q26" s="1288" t="s">
        <v>333</v>
      </c>
      <c r="R26" s="1289"/>
      <c r="S26" s="1289"/>
      <c r="T26" s="1289"/>
      <c r="U26" s="1289"/>
      <c r="V26" s="1289"/>
    </row>
    <row r="27" spans="1:22" s="209" customFormat="1" ht="21">
      <c r="A27" s="1287">
        <v>24</v>
      </c>
      <c r="B27" s="1091"/>
      <c r="C27" s="1092"/>
      <c r="D27" s="1093"/>
      <c r="E27" s="1093"/>
      <c r="F27" s="2712"/>
      <c r="G27" s="2712"/>
      <c r="H27" s="2712"/>
      <c r="I27" s="2712"/>
      <c r="J27" s="2712"/>
      <c r="K27" s="2712"/>
      <c r="L27" s="2713"/>
      <c r="M27" s="5"/>
      <c r="N27" s="5"/>
      <c r="P27" s="79"/>
      <c r="Q27" s="79"/>
    </row>
    <row r="28" spans="1:22" s="209" customFormat="1" ht="21">
      <c r="A28" s="1287">
        <v>25</v>
      </c>
      <c r="B28" s="1091"/>
      <c r="C28" s="1092"/>
      <c r="D28" s="1093"/>
      <c r="E28" s="1093"/>
      <c r="F28" s="2712"/>
      <c r="G28" s="2712"/>
      <c r="H28" s="2712"/>
      <c r="I28" s="2712"/>
      <c r="J28" s="2712"/>
      <c r="K28" s="2712"/>
      <c r="L28" s="2713"/>
      <c r="M28" s="5"/>
      <c r="N28" s="5"/>
      <c r="P28" s="79"/>
      <c r="Q28" s="79"/>
    </row>
    <row r="29" spans="1:22" s="209" customFormat="1" ht="21">
      <c r="A29" s="1287">
        <v>26</v>
      </c>
      <c r="B29" s="1091"/>
      <c r="C29" s="1092"/>
      <c r="D29" s="1093"/>
      <c r="E29" s="1093"/>
      <c r="F29" s="2712"/>
      <c r="G29" s="2712"/>
      <c r="H29" s="2712"/>
      <c r="I29" s="2712"/>
      <c r="J29" s="2712"/>
      <c r="K29" s="2712"/>
      <c r="L29" s="2713"/>
      <c r="M29" s="5"/>
      <c r="N29" s="5"/>
      <c r="P29" s="79"/>
      <c r="Q29" s="79"/>
    </row>
    <row r="30" spans="1:22" s="209" customFormat="1" ht="21">
      <c r="A30" s="1287">
        <v>27</v>
      </c>
      <c r="B30" s="1091"/>
      <c r="C30" s="1092"/>
      <c r="D30" s="1093"/>
      <c r="E30" s="1093"/>
      <c r="F30" s="2712"/>
      <c r="G30" s="2712"/>
      <c r="H30" s="2712"/>
      <c r="I30" s="2712"/>
      <c r="J30" s="2712"/>
      <c r="K30" s="2712"/>
      <c r="L30" s="2713"/>
      <c r="M30" s="5"/>
      <c r="N30" s="5"/>
      <c r="P30" s="79"/>
      <c r="Q30" s="79"/>
    </row>
    <row r="31" spans="1:22" ht="21">
      <c r="A31" s="1287">
        <v>28</v>
      </c>
      <c r="B31" s="1091"/>
      <c r="C31" s="1092"/>
      <c r="D31" s="1093"/>
      <c r="E31" s="1093"/>
      <c r="F31" s="2712"/>
      <c r="G31" s="2712"/>
      <c r="H31" s="2712"/>
      <c r="I31" s="2712"/>
      <c r="J31" s="2712"/>
      <c r="K31" s="2712"/>
      <c r="L31" s="2713"/>
    </row>
    <row r="32" spans="1:22" ht="21">
      <c r="A32" s="1287">
        <v>29</v>
      </c>
      <c r="B32" s="1091"/>
      <c r="C32" s="1092"/>
      <c r="D32" s="1093"/>
      <c r="E32" s="1094"/>
      <c r="F32" s="2712"/>
      <c r="G32" s="2712"/>
      <c r="H32" s="2712"/>
      <c r="I32" s="2712"/>
      <c r="J32" s="2712"/>
      <c r="K32" s="2712"/>
      <c r="L32" s="2713"/>
    </row>
    <row r="33" spans="1:12" ht="21">
      <c r="A33" s="1287">
        <v>30</v>
      </c>
      <c r="B33" s="1091"/>
      <c r="C33" s="1092"/>
      <c r="D33" s="1093"/>
      <c r="E33" s="1093"/>
      <c r="F33" s="2712"/>
      <c r="G33" s="2712"/>
      <c r="H33" s="2712"/>
      <c r="I33" s="2712"/>
      <c r="J33" s="2712"/>
      <c r="K33" s="2712"/>
      <c r="L33" s="2713"/>
    </row>
    <row r="34" spans="1:12" ht="21">
      <c r="A34" s="1287">
        <v>31</v>
      </c>
      <c r="B34" s="1091"/>
      <c r="C34" s="1092"/>
      <c r="D34" s="1093"/>
      <c r="E34" s="1093"/>
      <c r="F34" s="2712"/>
      <c r="G34" s="2712"/>
      <c r="H34" s="2712"/>
      <c r="I34" s="2712"/>
      <c r="J34" s="2712"/>
      <c r="K34" s="2712"/>
      <c r="L34" s="2713"/>
    </row>
    <row r="35" spans="1:12" ht="21">
      <c r="A35" s="1287">
        <v>32</v>
      </c>
      <c r="B35" s="1091"/>
      <c r="C35" s="1092"/>
      <c r="D35" s="1093"/>
      <c r="E35" s="1093"/>
      <c r="F35" s="2712"/>
      <c r="G35" s="2712"/>
      <c r="H35" s="2712"/>
      <c r="I35" s="2712"/>
      <c r="J35" s="2712"/>
      <c r="K35" s="2712"/>
      <c r="L35" s="2713"/>
    </row>
    <row r="36" spans="1:12" ht="30.75" thickBot="1">
      <c r="A36" s="23"/>
      <c r="B36" s="6"/>
      <c r="C36" s="6"/>
      <c r="D36" s="6"/>
      <c r="E36" s="7"/>
      <c r="F36" s="7"/>
      <c r="G36" s="7"/>
      <c r="H36" s="7"/>
      <c r="I36" s="7"/>
      <c r="J36" s="7"/>
      <c r="K36" s="7"/>
      <c r="L36" s="6"/>
    </row>
    <row r="37" spans="1:12" ht="26.25" thickTop="1">
      <c r="A37" s="17"/>
      <c r="B37" s="2716" t="s">
        <v>1257</v>
      </c>
      <c r="C37" s="2717"/>
      <c r="D37" s="1200"/>
      <c r="E37" s="1293" t="s">
        <v>1252</v>
      </c>
      <c r="F37" s="1294" t="s">
        <v>254</v>
      </c>
      <c r="G37" s="1294" t="s">
        <v>1253</v>
      </c>
      <c r="H37" s="1294" t="s">
        <v>1254</v>
      </c>
      <c r="I37" s="1293" t="s">
        <v>1255</v>
      </c>
      <c r="J37" s="1294" t="s">
        <v>1256</v>
      </c>
      <c r="K37" s="1295" t="s">
        <v>333</v>
      </c>
    </row>
    <row r="38" spans="1:12" ht="26.25" thickBot="1">
      <c r="A38" s="17"/>
      <c r="B38" s="2714" t="s">
        <v>1258</v>
      </c>
      <c r="C38" s="2715"/>
      <c r="D38" s="1296">
        <f>SUM(E38:K38)</f>
        <v>0</v>
      </c>
      <c r="E38" s="1296">
        <f>COUNTIF(E4:E35,E37)</f>
        <v>0</v>
      </c>
      <c r="F38" s="1296">
        <f t="shared" ref="F38:K38" si="0">COUNTIF($E$4:$E$35,F37)</f>
        <v>0</v>
      </c>
      <c r="G38" s="1296">
        <f t="shared" si="0"/>
        <v>0</v>
      </c>
      <c r="H38" s="1296">
        <f t="shared" si="0"/>
        <v>0</v>
      </c>
      <c r="I38" s="1296">
        <f t="shared" si="0"/>
        <v>0</v>
      </c>
      <c r="J38" s="1296">
        <f t="shared" si="0"/>
        <v>0</v>
      </c>
      <c r="K38" s="1297">
        <f t="shared" si="0"/>
        <v>0</v>
      </c>
    </row>
    <row r="39" spans="1:12" ht="26.25" thickTop="1">
      <c r="A39" s="17"/>
    </row>
  </sheetData>
  <mergeCells count="36">
    <mergeCell ref="B38:C38"/>
    <mergeCell ref="F31:L31"/>
    <mergeCell ref="F32:L32"/>
    <mergeCell ref="F33:L33"/>
    <mergeCell ref="F34:L34"/>
    <mergeCell ref="F35:L35"/>
    <mergeCell ref="B37:C37"/>
    <mergeCell ref="F30:L30"/>
    <mergeCell ref="F19:L19"/>
    <mergeCell ref="F20:L20"/>
    <mergeCell ref="F21:L21"/>
    <mergeCell ref="F22:L22"/>
    <mergeCell ref="F23:L23"/>
    <mergeCell ref="F24:L24"/>
    <mergeCell ref="F25:L25"/>
    <mergeCell ref="F26:L26"/>
    <mergeCell ref="F27:L27"/>
    <mergeCell ref="F28:L28"/>
    <mergeCell ref="F29:L29"/>
    <mergeCell ref="F18:L18"/>
    <mergeCell ref="F7:L7"/>
    <mergeCell ref="F8:L8"/>
    <mergeCell ref="F9:L9"/>
    <mergeCell ref="F10:L10"/>
    <mergeCell ref="F11:L11"/>
    <mergeCell ref="F12:L12"/>
    <mergeCell ref="F13:L13"/>
    <mergeCell ref="F14:L14"/>
    <mergeCell ref="F15:L15"/>
    <mergeCell ref="F16:L16"/>
    <mergeCell ref="F17:L17"/>
    <mergeCell ref="A1:L1"/>
    <mergeCell ref="F3:L3"/>
    <mergeCell ref="F4:L4"/>
    <mergeCell ref="F5:L5"/>
    <mergeCell ref="F6:L6"/>
  </mergeCells>
  <conditionalFormatting sqref="D37">
    <cfRule type="expression" dxfId="664" priority="1">
      <formula>AND($D$38&lt;&gt;0,$D$37="")</formula>
    </cfRule>
  </conditionalFormatting>
  <dataValidations count="1">
    <dataValidation type="list" allowBlank="1" showInputMessage="1" showErrorMessage="1" sqref="E4:E36 E39:E809" xr:uid="{00000000-0002-0000-0A00-000000000000}">
      <formula1>$Q$4:$Q$10</formula1>
    </dataValidation>
  </dataValidations>
  <pageMargins left="0.19685039370078741" right="0.59055118110236227" top="0.19685039370078741" bottom="0.59055118110236227" header="0.19685039370078741" footer="0.19685039370078741"/>
  <pageSetup paperSize="9" scale="83"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9">
    <tabColor rgb="FFE60000"/>
    <pageSetUpPr fitToPage="1"/>
  </sheetPr>
  <dimension ref="A1:P36"/>
  <sheetViews>
    <sheetView rightToLeft="1" view="pageBreakPreview" zoomScale="115" zoomScaleNormal="100" zoomScaleSheetLayoutView="115" workbookViewId="0">
      <selection activeCell="C5" sqref="C5"/>
    </sheetView>
  </sheetViews>
  <sheetFormatPr defaultColWidth="9" defaultRowHeight="15"/>
  <cols>
    <col min="1" max="1" width="3.85546875" style="5" customWidth="1"/>
    <col min="2" max="2" width="21.140625" style="5" customWidth="1"/>
    <col min="3" max="3" width="105.140625" style="5" customWidth="1"/>
    <col min="4" max="4" width="9" style="5"/>
    <col min="5" max="5" width="9" style="209" customWidth="1"/>
    <col min="6" max="7" width="9" style="208" hidden="1" customWidth="1"/>
    <col min="8" max="16" width="9" style="41" hidden="1" customWidth="1"/>
    <col min="17" max="17" width="0" style="5" hidden="1" customWidth="1"/>
    <col min="18" max="16384" width="9" style="5"/>
  </cols>
  <sheetData>
    <row r="1" spans="1:16" ht="24">
      <c r="A1" s="2685" t="str">
        <f>روکش!D4</f>
        <v>انبارهای عمومی و خدمات گمرکی ایران</v>
      </c>
      <c r="B1" s="2685"/>
      <c r="C1" s="2685"/>
    </row>
    <row r="2" spans="1:16" ht="57.75" thickBot="1">
      <c r="A2" s="1276" t="str">
        <f>"اهم اقدامات در راستای پرونده‌های حقوقی، ابلاغیات هیات مدیره آتیه صبا، ابلاغیات هیات مدیره صندوق بازنشستگی کشوری، مولدسازی دارایی‌ها و ... در دوره " &amp; روکش!F9 &amp; " سال " &amp; روکش!D9</f>
        <v>اهم اقدامات در راستای پرونده‌های حقوقی، ابلاغیات هیات مدیره آتیه صبا، ابلاغیات هیات مدیره صندوق بازنشستگی کشوری، مولدسازی دارایی‌ها و ... در دوره شش ماهه سال 1405</v>
      </c>
      <c r="B2" s="1298"/>
      <c r="C2" s="1298"/>
    </row>
    <row r="3" spans="1:16" ht="29.25">
      <c r="A3" s="2031" t="s">
        <v>5</v>
      </c>
      <c r="B3" s="1687" t="s">
        <v>1259</v>
      </c>
      <c r="C3" s="2032" t="s">
        <v>1260</v>
      </c>
      <c r="O3" s="1275" t="s">
        <v>786</v>
      </c>
      <c r="P3" s="1275" t="s">
        <v>785</v>
      </c>
    </row>
    <row r="4" spans="1:16" s="209" customFormat="1" ht="21">
      <c r="A4" s="1280">
        <v>1</v>
      </c>
      <c r="B4" s="1091" t="s">
        <v>333</v>
      </c>
      <c r="C4" s="2033" t="s">
        <v>3240</v>
      </c>
      <c r="D4" s="5"/>
      <c r="F4" s="208"/>
      <c r="G4" s="1288" t="s">
        <v>1261</v>
      </c>
      <c r="H4" s="1289"/>
      <c r="I4" s="1289"/>
      <c r="J4" s="1289"/>
      <c r="K4" s="1289"/>
      <c r="L4" s="1289"/>
      <c r="M4" s="1289"/>
      <c r="N4" s="1289"/>
      <c r="O4" s="1275">
        <f>ROW(A4)</f>
        <v>4</v>
      </c>
      <c r="P4" s="1275">
        <f>COUNTA(A4:A100)+O4-1</f>
        <v>35</v>
      </c>
    </row>
    <row r="5" spans="1:16" s="209" customFormat="1" ht="21">
      <c r="A5" s="1280">
        <v>2</v>
      </c>
      <c r="B5" s="1091"/>
      <c r="C5" s="2033"/>
      <c r="D5" s="5"/>
      <c r="F5" s="208"/>
      <c r="G5" s="1288" t="s">
        <v>1262</v>
      </c>
      <c r="H5" s="1289"/>
      <c r="I5" s="1289"/>
      <c r="J5" s="1289"/>
      <c r="K5" s="1289"/>
      <c r="L5" s="1289"/>
      <c r="M5" s="1289"/>
      <c r="N5" s="1289"/>
      <c r="O5" s="1289"/>
      <c r="P5" s="1289"/>
    </row>
    <row r="6" spans="1:16" s="209" customFormat="1" ht="21">
      <c r="A6" s="1280">
        <v>3</v>
      </c>
      <c r="B6" s="1091"/>
      <c r="C6" s="2033"/>
      <c r="D6" s="5"/>
      <c r="F6" s="208"/>
      <c r="G6" s="1288" t="s">
        <v>1263</v>
      </c>
      <c r="H6" s="1289"/>
      <c r="I6" s="1289"/>
      <c r="J6" s="1289"/>
      <c r="K6" s="1289"/>
      <c r="L6" s="1289"/>
      <c r="M6" s="1289"/>
      <c r="N6" s="1289"/>
      <c r="O6" s="1289"/>
      <c r="P6" s="1289"/>
    </row>
    <row r="7" spans="1:16" s="209" customFormat="1" ht="21">
      <c r="A7" s="1280">
        <v>4</v>
      </c>
      <c r="B7" s="1091"/>
      <c r="C7" s="2033"/>
      <c r="D7" s="5"/>
      <c r="F7" s="208"/>
      <c r="G7" s="1288" t="s">
        <v>333</v>
      </c>
      <c r="H7" s="1289"/>
      <c r="I7" s="1289"/>
      <c r="J7" s="1289"/>
      <c r="K7" s="1289"/>
      <c r="L7" s="1289"/>
      <c r="M7" s="1289"/>
      <c r="N7" s="1289"/>
      <c r="O7" s="1289"/>
      <c r="P7" s="1289"/>
    </row>
    <row r="8" spans="1:16" s="209" customFormat="1" ht="21">
      <c r="A8" s="1280">
        <v>5</v>
      </c>
      <c r="B8" s="1091"/>
      <c r="C8" s="2033"/>
      <c r="D8" s="5"/>
      <c r="F8" s="208"/>
      <c r="G8" s="1288"/>
      <c r="H8" s="1289"/>
      <c r="I8" s="1289"/>
      <c r="J8" s="1289"/>
      <c r="K8" s="1289"/>
      <c r="L8" s="1289"/>
      <c r="M8" s="1289"/>
      <c r="N8" s="1289"/>
      <c r="O8" s="1289"/>
      <c r="P8" s="1289"/>
    </row>
    <row r="9" spans="1:16" s="209" customFormat="1" ht="21">
      <c r="A9" s="1280">
        <v>6</v>
      </c>
      <c r="B9" s="1091"/>
      <c r="C9" s="2033"/>
      <c r="D9" s="5"/>
      <c r="F9" s="208"/>
      <c r="G9" s="1289"/>
      <c r="H9" s="1289"/>
      <c r="I9" s="1289"/>
      <c r="J9" s="1289"/>
      <c r="K9" s="1289"/>
      <c r="L9" s="1289"/>
      <c r="M9" s="1289"/>
      <c r="N9" s="1289"/>
      <c r="O9" s="1289"/>
      <c r="P9" s="1289"/>
    </row>
    <row r="10" spans="1:16" s="209" customFormat="1" ht="21">
      <c r="A10" s="1280">
        <v>7</v>
      </c>
      <c r="B10" s="1091"/>
      <c r="C10" s="2033"/>
      <c r="D10" s="5"/>
      <c r="F10" s="208"/>
      <c r="G10" s="208"/>
      <c r="H10" s="1289"/>
      <c r="I10" s="1289"/>
      <c r="J10" s="1289"/>
      <c r="K10" s="1289"/>
      <c r="L10" s="1289"/>
      <c r="M10" s="1289"/>
      <c r="N10" s="1289"/>
      <c r="O10" s="1289"/>
      <c r="P10" s="1289"/>
    </row>
    <row r="11" spans="1:16" s="209" customFormat="1" ht="21">
      <c r="A11" s="1280">
        <v>8</v>
      </c>
      <c r="B11" s="1091"/>
      <c r="C11" s="2033"/>
      <c r="D11" s="5"/>
      <c r="F11" s="208"/>
      <c r="G11" s="208"/>
      <c r="H11" s="1289"/>
      <c r="I11" s="1289"/>
      <c r="J11" s="1289"/>
      <c r="K11" s="1289"/>
      <c r="L11" s="1289"/>
      <c r="M11" s="1289"/>
      <c r="N11" s="1289"/>
      <c r="O11" s="1289"/>
      <c r="P11" s="1289"/>
    </row>
    <row r="12" spans="1:16" s="209" customFormat="1" ht="21">
      <c r="A12" s="1280">
        <v>9</v>
      </c>
      <c r="B12" s="1091"/>
      <c r="C12" s="2033"/>
      <c r="D12" s="5"/>
      <c r="F12" s="208"/>
      <c r="G12" s="208"/>
      <c r="H12" s="1289"/>
      <c r="I12" s="1289"/>
      <c r="J12" s="1289"/>
      <c r="K12" s="1289"/>
      <c r="L12" s="1289"/>
      <c r="M12" s="1289"/>
      <c r="N12" s="1289"/>
      <c r="O12" s="1289"/>
      <c r="P12" s="1289"/>
    </row>
    <row r="13" spans="1:16" s="209" customFormat="1" ht="21">
      <c r="A13" s="1280">
        <v>10</v>
      </c>
      <c r="B13" s="1091"/>
      <c r="C13" s="2033"/>
      <c r="D13" s="5"/>
      <c r="F13" s="208"/>
      <c r="G13" s="208"/>
      <c r="H13" s="1289"/>
      <c r="I13" s="1289"/>
      <c r="J13" s="1289"/>
      <c r="K13" s="1289"/>
      <c r="L13" s="1289"/>
      <c r="M13" s="1289"/>
      <c r="N13" s="1289"/>
      <c r="O13" s="1289"/>
      <c r="P13" s="1289"/>
    </row>
    <row r="14" spans="1:16" s="209" customFormat="1" ht="21">
      <c r="A14" s="1280">
        <v>11</v>
      </c>
      <c r="B14" s="1091"/>
      <c r="C14" s="2033"/>
      <c r="D14" s="5"/>
      <c r="F14" s="208"/>
      <c r="G14" s="208"/>
      <c r="H14" s="41"/>
      <c r="I14" s="41"/>
      <c r="J14" s="1289"/>
      <c r="K14" s="1289"/>
      <c r="L14" s="1289"/>
      <c r="M14" s="1289"/>
      <c r="N14" s="1289"/>
      <c r="O14" s="1289"/>
      <c r="P14" s="1289"/>
    </row>
    <row r="15" spans="1:16" ht="21">
      <c r="A15" s="1280">
        <v>12</v>
      </c>
      <c r="B15" s="1091"/>
      <c r="C15" s="2033"/>
    </row>
    <row r="16" spans="1:16" ht="21">
      <c r="A16" s="1280">
        <v>13</v>
      </c>
      <c r="B16" s="1091"/>
      <c r="C16" s="2033"/>
    </row>
    <row r="17" spans="1:16" ht="21">
      <c r="A17" s="1280">
        <v>14</v>
      </c>
      <c r="B17" s="1091"/>
      <c r="C17" s="2033"/>
    </row>
    <row r="18" spans="1:16" ht="21">
      <c r="A18" s="1280">
        <v>15</v>
      </c>
      <c r="B18" s="1091"/>
      <c r="C18" s="2033"/>
    </row>
    <row r="19" spans="1:16" ht="21">
      <c r="A19" s="1280">
        <v>16</v>
      </c>
      <c r="B19" s="1091"/>
      <c r="C19" s="2033"/>
      <c r="G19" s="1288" t="s">
        <v>1252</v>
      </c>
      <c r="H19" s="1289"/>
      <c r="I19" s="1289"/>
    </row>
    <row r="20" spans="1:16" s="209" customFormat="1" ht="21">
      <c r="A20" s="1280">
        <v>17</v>
      </c>
      <c r="B20" s="1091"/>
      <c r="C20" s="2033"/>
      <c r="D20" s="5"/>
      <c r="F20" s="208"/>
      <c r="G20" s="1288" t="s">
        <v>254</v>
      </c>
      <c r="H20" s="1289"/>
      <c r="I20" s="1289"/>
      <c r="J20" s="1289"/>
      <c r="K20" s="1289"/>
      <c r="L20" s="1289"/>
      <c r="M20" s="1289"/>
      <c r="N20" s="1289"/>
      <c r="O20" s="1289"/>
      <c r="P20" s="1289"/>
    </row>
    <row r="21" spans="1:16" s="209" customFormat="1" ht="21">
      <c r="A21" s="1280">
        <v>18</v>
      </c>
      <c r="B21" s="1091"/>
      <c r="C21" s="2033"/>
      <c r="D21" s="5"/>
      <c r="F21" s="208"/>
      <c r="G21" s="1288" t="s">
        <v>1253</v>
      </c>
      <c r="H21" s="1289"/>
      <c r="I21" s="1289"/>
      <c r="J21" s="1289"/>
      <c r="K21" s="1289"/>
      <c r="L21" s="1289"/>
      <c r="M21" s="1289"/>
      <c r="N21" s="1289"/>
      <c r="O21" s="1289"/>
      <c r="P21" s="1289"/>
    </row>
    <row r="22" spans="1:16" s="209" customFormat="1" ht="21">
      <c r="A22" s="1280">
        <v>19</v>
      </c>
      <c r="B22" s="1091"/>
      <c r="C22" s="2033"/>
      <c r="D22" s="5"/>
      <c r="F22" s="208"/>
      <c r="G22" s="1288" t="s">
        <v>1254</v>
      </c>
      <c r="H22" s="1289"/>
      <c r="I22" s="1289"/>
      <c r="J22" s="1289"/>
      <c r="K22" s="1289"/>
      <c r="L22" s="1289"/>
      <c r="M22" s="1289"/>
      <c r="N22" s="1289"/>
      <c r="O22" s="1289"/>
      <c r="P22" s="1289"/>
    </row>
    <row r="23" spans="1:16" s="209" customFormat="1" ht="21">
      <c r="A23" s="1280">
        <v>20</v>
      </c>
      <c r="B23" s="1091"/>
      <c r="C23" s="2033"/>
      <c r="D23" s="5"/>
      <c r="F23" s="208"/>
      <c r="G23" s="1288" t="s">
        <v>1255</v>
      </c>
      <c r="H23" s="1289"/>
      <c r="I23" s="1289"/>
      <c r="J23" s="1289"/>
      <c r="K23" s="1289"/>
      <c r="L23" s="1289"/>
      <c r="M23" s="1289"/>
      <c r="N23" s="1289"/>
      <c r="O23" s="1289"/>
      <c r="P23" s="1289"/>
    </row>
    <row r="24" spans="1:16" s="209" customFormat="1" ht="21">
      <c r="A24" s="1280">
        <v>21</v>
      </c>
      <c r="B24" s="1091"/>
      <c r="C24" s="2033"/>
      <c r="D24" s="5"/>
      <c r="F24" s="208"/>
      <c r="G24" s="1288" t="s">
        <v>1256</v>
      </c>
      <c r="H24" s="1289"/>
      <c r="I24" s="1289"/>
      <c r="J24" s="1289"/>
      <c r="K24" s="1289"/>
      <c r="L24" s="1289"/>
      <c r="M24" s="1289"/>
      <c r="N24" s="1289"/>
      <c r="O24" s="1289"/>
      <c r="P24" s="1289"/>
    </row>
    <row r="25" spans="1:16" s="209" customFormat="1" ht="21">
      <c r="A25" s="1280">
        <v>22</v>
      </c>
      <c r="B25" s="1091"/>
      <c r="C25" s="2033"/>
      <c r="D25" s="5"/>
      <c r="F25" s="208"/>
      <c r="G25" s="1288" t="s">
        <v>333</v>
      </c>
      <c r="H25" s="1289"/>
      <c r="I25" s="1289"/>
      <c r="J25" s="1289"/>
      <c r="K25" s="1289"/>
      <c r="L25" s="1289"/>
      <c r="M25" s="1289"/>
      <c r="N25" s="1289"/>
      <c r="O25" s="1289"/>
      <c r="P25" s="1289"/>
    </row>
    <row r="26" spans="1:16" s="209" customFormat="1" ht="21">
      <c r="A26" s="1280">
        <v>23</v>
      </c>
      <c r="B26" s="1091"/>
      <c r="C26" s="2033"/>
      <c r="D26" s="5"/>
      <c r="F26" s="208"/>
      <c r="G26" s="208"/>
      <c r="H26" s="1289"/>
      <c r="I26" s="1289"/>
      <c r="J26" s="1289"/>
      <c r="K26" s="1289"/>
      <c r="L26" s="1289"/>
      <c r="M26" s="1289"/>
      <c r="N26" s="1289"/>
      <c r="O26" s="1289"/>
      <c r="P26" s="1289"/>
    </row>
    <row r="27" spans="1:16" s="209" customFormat="1" ht="21">
      <c r="A27" s="1280">
        <v>24</v>
      </c>
      <c r="B27" s="1091"/>
      <c r="C27" s="2033"/>
      <c r="D27" s="5"/>
      <c r="F27" s="208"/>
      <c r="G27" s="208"/>
      <c r="H27" s="1289"/>
      <c r="I27" s="1289"/>
      <c r="J27" s="1289"/>
      <c r="K27" s="1289"/>
      <c r="L27" s="1289"/>
      <c r="M27" s="1289"/>
      <c r="N27" s="1289"/>
      <c r="O27" s="1289"/>
      <c r="P27" s="1289"/>
    </row>
    <row r="28" spans="1:16" s="209" customFormat="1" ht="21">
      <c r="A28" s="1280">
        <v>25</v>
      </c>
      <c r="B28" s="1091"/>
      <c r="C28" s="2033"/>
      <c r="D28" s="5"/>
      <c r="F28" s="208"/>
      <c r="G28" s="208"/>
      <c r="H28" s="1289"/>
      <c r="I28" s="1289"/>
      <c r="J28" s="1289"/>
      <c r="K28" s="1289"/>
      <c r="L28" s="1289"/>
      <c r="M28" s="1289"/>
      <c r="N28" s="1289"/>
      <c r="O28" s="1289"/>
      <c r="P28" s="1289"/>
    </row>
    <row r="29" spans="1:16" s="209" customFormat="1" ht="21">
      <c r="A29" s="1280">
        <v>26</v>
      </c>
      <c r="B29" s="1091"/>
      <c r="C29" s="2033"/>
      <c r="D29" s="5"/>
      <c r="F29" s="208"/>
      <c r="G29" s="208"/>
      <c r="H29" s="1289"/>
      <c r="I29" s="1289"/>
      <c r="J29" s="1289"/>
      <c r="K29" s="1289"/>
      <c r="L29" s="1289"/>
      <c r="M29" s="1289"/>
      <c r="N29" s="1289"/>
      <c r="O29" s="1289"/>
      <c r="P29" s="1289"/>
    </row>
    <row r="30" spans="1:16" s="209" customFormat="1" ht="21">
      <c r="A30" s="1280">
        <v>27</v>
      </c>
      <c r="B30" s="1091"/>
      <c r="C30" s="2033"/>
      <c r="D30" s="5"/>
      <c r="F30" s="208"/>
      <c r="G30" s="208"/>
      <c r="H30" s="41"/>
      <c r="I30" s="41"/>
      <c r="J30" s="1289"/>
      <c r="K30" s="1289"/>
      <c r="L30" s="1289"/>
      <c r="M30" s="1289"/>
      <c r="N30" s="1289"/>
      <c r="O30" s="1289"/>
      <c r="P30" s="1289"/>
    </row>
    <row r="31" spans="1:16" ht="21">
      <c r="A31" s="1280">
        <v>28</v>
      </c>
      <c r="B31" s="1091"/>
      <c r="C31" s="2033"/>
    </row>
    <row r="32" spans="1:16" ht="21">
      <c r="A32" s="1280">
        <v>29</v>
      </c>
      <c r="B32" s="1091"/>
      <c r="C32" s="2033"/>
    </row>
    <row r="33" spans="1:3" ht="21">
      <c r="A33" s="1280">
        <v>30</v>
      </c>
      <c r="B33" s="1091"/>
      <c r="C33" s="2033"/>
    </row>
    <row r="34" spans="1:3" ht="21.75" thickBot="1">
      <c r="A34" s="1280">
        <v>31</v>
      </c>
      <c r="B34" s="1091"/>
      <c r="C34" s="2035"/>
    </row>
    <row r="35" spans="1:3" ht="30.75" thickBot="1">
      <c r="A35" s="1281">
        <v>32</v>
      </c>
      <c r="B35" s="2034"/>
      <c r="C35" s="7"/>
    </row>
    <row r="36" spans="1:3" ht="18.75">
      <c r="A36" s="23"/>
      <c r="B36" s="6"/>
    </row>
  </sheetData>
  <mergeCells count="1">
    <mergeCell ref="A1:C1"/>
  </mergeCells>
  <dataValidations count="1">
    <dataValidation type="list" allowBlank="1" showInputMessage="1" showErrorMessage="1" sqref="B4:B35" xr:uid="{00000000-0002-0000-0B00-000000000000}">
      <formula1>$G$4:$G$8</formula1>
    </dataValidation>
  </dataValidations>
  <pageMargins left="0.19685039370078741" right="0.59055118110236227" top="0.19685039370078741" bottom="0.59055118110236227" header="0.19685039370078741" footer="0.19685039370078741"/>
  <pageSetup paperSize="9"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pageSetUpPr fitToPage="1"/>
  </sheetPr>
  <dimension ref="A1:F9"/>
  <sheetViews>
    <sheetView rightToLeft="1" workbookViewId="0">
      <selection sqref="A1:F1"/>
    </sheetView>
  </sheetViews>
  <sheetFormatPr defaultColWidth="9" defaultRowHeight="15"/>
  <cols>
    <col min="1" max="1" width="29.7109375" style="5" customWidth="1"/>
    <col min="2" max="4" width="16.5703125" style="5" customWidth="1"/>
    <col min="5" max="6" width="12.5703125" style="5" customWidth="1"/>
    <col min="7" max="16384" width="9" style="5"/>
  </cols>
  <sheetData>
    <row r="1" spans="1:6" ht="24" customHeight="1">
      <c r="A1" s="2685" t="str">
        <f>روکش!D4</f>
        <v>انبارهای عمومی و خدمات گمرکی ایران</v>
      </c>
      <c r="B1" s="2685"/>
      <c r="C1" s="2685"/>
      <c r="D1" s="2685"/>
      <c r="E1" s="2685"/>
      <c r="F1" s="2685"/>
    </row>
    <row r="2" spans="1:6" ht="30" customHeight="1">
      <c r="A2" s="1201" t="str">
        <f xml:space="preserve"> "صورتخلاصه درآمد آزادراهی در دوره " &amp; روکش!F9 &amp; " سال " &amp; روکش!D9</f>
        <v>صورتخلاصه درآمد آزادراهی در دوره شش ماهه سال 1405</v>
      </c>
      <c r="B2" s="1201"/>
      <c r="C2" s="1201"/>
      <c r="D2" s="1202"/>
      <c r="E2" s="1202"/>
      <c r="F2" s="1202"/>
    </row>
    <row r="3" spans="1:6" ht="20.100000000000001" customHeight="1" thickBot="1">
      <c r="A3" s="2723"/>
      <c r="B3" s="2723"/>
      <c r="C3" s="2723"/>
      <c r="D3" s="398"/>
      <c r="E3" s="2724" t="s">
        <v>25</v>
      </c>
      <c r="F3" s="2724"/>
    </row>
    <row r="4" spans="1:6" ht="40.5" customHeight="1">
      <c r="A4" s="2718" t="s">
        <v>0</v>
      </c>
      <c r="B4" s="2720" t="s">
        <v>639</v>
      </c>
      <c r="C4" s="2718" t="s">
        <v>642</v>
      </c>
      <c r="D4" s="2722"/>
      <c r="E4" s="2720" t="s">
        <v>803</v>
      </c>
      <c r="F4" s="2720" t="s">
        <v>230</v>
      </c>
    </row>
    <row r="5" spans="1:6" ht="40.5" customHeight="1" thickBot="1">
      <c r="A5" s="2719"/>
      <c r="B5" s="2721"/>
      <c r="C5" s="399" t="s">
        <v>215</v>
      </c>
      <c r="D5" s="400" t="s">
        <v>216</v>
      </c>
      <c r="E5" s="2721"/>
      <c r="F5" s="2721" t="s">
        <v>18</v>
      </c>
    </row>
    <row r="6" spans="1:6" ht="53.45" customHeight="1">
      <c r="A6" s="401" t="s">
        <v>364</v>
      </c>
      <c r="B6" s="1103">
        <f>عوارض!F17</f>
        <v>0</v>
      </c>
      <c r="C6" s="1096">
        <f ca="1">عوارض!I17</f>
        <v>0</v>
      </c>
      <c r="D6" s="1104">
        <f>عوارض!L17</f>
        <v>0</v>
      </c>
      <c r="E6" s="402" t="str">
        <f>IFERROR((D6-B6)*100/B6,"-")</f>
        <v>-</v>
      </c>
      <c r="F6" s="1097" t="str">
        <f ca="1">IFERROR((D6*100/C6),"-")</f>
        <v>-</v>
      </c>
    </row>
    <row r="7" spans="1:6" ht="53.45" customHeight="1" thickBot="1">
      <c r="A7" s="403" t="s">
        <v>365</v>
      </c>
      <c r="B7" s="1095">
        <f>'درآمد خدمات آزادراهی'!F15</f>
        <v>0</v>
      </c>
      <c r="C7" s="1098">
        <f>'درآمد خدمات آزادراهی'!I15</f>
        <v>0</v>
      </c>
      <c r="D7" s="1105">
        <f>'درآمد خدمات آزادراهی'!L15</f>
        <v>0</v>
      </c>
      <c r="E7" s="404" t="str">
        <f>IFERROR((D7-B7)*100/B7,"-")</f>
        <v>-</v>
      </c>
      <c r="F7" s="1099" t="str">
        <f>IFERROR((D7*100/C7),"-")</f>
        <v>-</v>
      </c>
    </row>
    <row r="8" spans="1:6" ht="37.5" customHeight="1" thickBot="1">
      <c r="A8" s="405" t="s">
        <v>2</v>
      </c>
      <c r="B8" s="1106">
        <f>SUM(B6:B7)</f>
        <v>0</v>
      </c>
      <c r="C8" s="1100">
        <f ca="1">SUM(C6:C7)</f>
        <v>0</v>
      </c>
      <c r="D8" s="1107">
        <f>SUM(D6:D7)</f>
        <v>0</v>
      </c>
      <c r="E8" s="1101" t="str">
        <f>IFERROR((D8-B8)*100/B8,"-")</f>
        <v>-</v>
      </c>
      <c r="F8" s="1102" t="str">
        <f ca="1">IFERROR((D8*100/C8),"-")</f>
        <v>-</v>
      </c>
    </row>
    <row r="9" spans="1:6" ht="21.75" thickTop="1">
      <c r="A9" s="24"/>
      <c r="B9" s="24"/>
      <c r="C9" s="24"/>
      <c r="D9" s="24"/>
      <c r="E9" s="24"/>
      <c r="F9" s="24"/>
    </row>
  </sheetData>
  <mergeCells count="8">
    <mergeCell ref="A1:F1"/>
    <mergeCell ref="A4:A5"/>
    <mergeCell ref="B4:B5"/>
    <mergeCell ref="C4:D4"/>
    <mergeCell ref="E4:E5"/>
    <mergeCell ref="F4:F5"/>
    <mergeCell ref="A3:C3"/>
    <mergeCell ref="E3:F3"/>
  </mergeCells>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rgb="FF32CD32"/>
    <pageSetUpPr fitToPage="1"/>
  </sheetPr>
  <dimension ref="A1:I12"/>
  <sheetViews>
    <sheetView showGridLines="0" rightToLeft="1" view="pageBreakPreview" zoomScale="115" zoomScaleNormal="100" zoomScaleSheetLayoutView="115" workbookViewId="0">
      <selection activeCell="D8" sqref="D8"/>
    </sheetView>
  </sheetViews>
  <sheetFormatPr defaultColWidth="9" defaultRowHeight="15"/>
  <cols>
    <col min="1" max="1" width="35.5703125" customWidth="1"/>
    <col min="2" max="4" width="16.5703125" customWidth="1"/>
    <col min="5" max="5" width="13.85546875" customWidth="1"/>
    <col min="6" max="6" width="12.5703125" customWidth="1"/>
    <col min="7" max="7" width="3.7109375" customWidth="1"/>
    <col min="8" max="8" width="9" style="2097" customWidth="1"/>
    <col min="9" max="9" width="9" style="2097" hidden="1" customWidth="1"/>
    <col min="10" max="10" width="9" customWidth="1"/>
  </cols>
  <sheetData>
    <row r="1" spans="1:9" ht="24" customHeight="1">
      <c r="A1" s="2685" t="str">
        <f>روکش!D4</f>
        <v>انبارهای عمومی و خدمات گمرکی ایران</v>
      </c>
      <c r="B1" s="2685"/>
      <c r="C1" s="2685"/>
      <c r="D1" s="2685"/>
      <c r="E1" s="2685"/>
      <c r="F1" s="2685"/>
      <c r="G1" s="2685"/>
      <c r="H1" s="2095"/>
      <c r="I1" s="2095"/>
    </row>
    <row r="2" spans="1:9" ht="28.5" customHeight="1">
      <c r="A2" s="1203" t="str">
        <f>"صورتخلاصه  فروش/ درآمد در دوره " &amp; روکش!F9 &amp; " سال " &amp; روکش!D9</f>
        <v>صورتخلاصه  فروش/ درآمد در دوره شش ماهه سال 1405</v>
      </c>
      <c r="B2" s="1201"/>
      <c r="C2" s="1202"/>
      <c r="D2" s="1202"/>
      <c r="E2" s="1202"/>
      <c r="F2" s="1202"/>
      <c r="G2" s="1202"/>
      <c r="H2" s="2096"/>
    </row>
    <row r="3" spans="1:9" ht="20.100000000000001" customHeight="1" thickBot="1">
      <c r="A3" s="2723"/>
      <c r="B3" s="2723"/>
      <c r="C3" s="2723"/>
      <c r="D3" s="398"/>
      <c r="E3" s="2729" t="s">
        <v>25</v>
      </c>
      <c r="F3" s="2729"/>
      <c r="G3" s="2729"/>
      <c r="H3" s="2096"/>
    </row>
    <row r="4" spans="1:9" ht="33.75" customHeight="1">
      <c r="A4" s="2718" t="s">
        <v>0</v>
      </c>
      <c r="B4" s="2720" t="s">
        <v>639</v>
      </c>
      <c r="C4" s="2098" t="s">
        <v>642</v>
      </c>
      <c r="D4" s="2099"/>
      <c r="E4" s="2720" t="s">
        <v>803</v>
      </c>
      <c r="F4" s="2725" t="s">
        <v>230</v>
      </c>
      <c r="G4" s="2726"/>
      <c r="H4" s="2096"/>
    </row>
    <row r="5" spans="1:9" ht="33.75" customHeight="1" thickBot="1">
      <c r="A5" s="2719"/>
      <c r="B5" s="2721"/>
      <c r="C5" s="399" t="s">
        <v>215</v>
      </c>
      <c r="D5" s="400" t="s">
        <v>216</v>
      </c>
      <c r="E5" s="2721"/>
      <c r="F5" s="2727"/>
      <c r="G5" s="2728"/>
      <c r="H5" s="2096"/>
      <c r="I5" s="2100" t="s">
        <v>789</v>
      </c>
    </row>
    <row r="6" spans="1:9" ht="42" hidden="1" customHeight="1">
      <c r="A6" s="401" t="s">
        <v>176</v>
      </c>
      <c r="B6" s="1096">
        <f>'فروش داخلی تولیدی'!F27</f>
        <v>0</v>
      </c>
      <c r="C6" s="1096">
        <f ca="1">'فروش داخلی تولیدی'!I27</f>
        <v>0</v>
      </c>
      <c r="D6" s="2101">
        <f>'فروش داخلی تولیدی'!L27</f>
        <v>0</v>
      </c>
      <c r="E6" s="402" t="str">
        <f>IFERROR((D6-B6)*100/B6,"-")</f>
        <v>-</v>
      </c>
      <c r="F6" s="2119" t="str">
        <f t="shared" ref="F6:F11" ca="1" si="0">IFERROR((D6*100/C6),"-")</f>
        <v>-</v>
      </c>
      <c r="G6" s="415">
        <f ca="1">IFERROR(ABS(F6-100),500)</f>
        <v>500</v>
      </c>
      <c r="H6" s="2096"/>
      <c r="I6" s="2102">
        <f ca="1">D6+C6+B6</f>
        <v>0</v>
      </c>
    </row>
    <row r="7" spans="1:9" ht="42" hidden="1" customHeight="1">
      <c r="A7" s="2103" t="s">
        <v>177</v>
      </c>
      <c r="B7" s="2104">
        <f>'فروش داخلی تجاری'!F30</f>
        <v>0</v>
      </c>
      <c r="C7" s="2104">
        <f ca="1">'فروش داخلی تجاری'!I30</f>
        <v>0</v>
      </c>
      <c r="D7" s="2105">
        <f>'فروش داخلی تجاری'!L30</f>
        <v>0</v>
      </c>
      <c r="E7" s="406" t="str">
        <f t="shared" ref="E7:E10" si="1">IFERROR((D7-B7)*100/B7,"-")</f>
        <v>-</v>
      </c>
      <c r="F7" s="2120" t="str">
        <f t="shared" ca="1" si="0"/>
        <v>-</v>
      </c>
      <c r="G7" s="418">
        <f t="shared" ref="G7:G11" ca="1" si="2">IFERROR(ABS(F7-100),500)</f>
        <v>500</v>
      </c>
      <c r="H7" s="2096"/>
      <c r="I7" s="2102">
        <f ca="1">D7+C7+B7</f>
        <v>0</v>
      </c>
    </row>
    <row r="8" spans="1:9" ht="42" customHeight="1">
      <c r="A8" s="403" t="s">
        <v>178</v>
      </c>
      <c r="B8" s="1098">
        <f>'درآمد خدمات'!F27</f>
        <v>1091418</v>
      </c>
      <c r="C8" s="1098">
        <f ca="1">'درآمد خدمات'!I27</f>
        <v>1753136</v>
      </c>
      <c r="D8" s="2106">
        <f>'درآمد خدمات'!L27</f>
        <v>2698410</v>
      </c>
      <c r="E8" s="404">
        <f t="shared" si="1"/>
        <v>147.23891304706353</v>
      </c>
      <c r="F8" s="2160">
        <f t="shared" ca="1" si="0"/>
        <v>153.9190342335107</v>
      </c>
      <c r="G8" s="420">
        <f t="shared" ca="1" si="2"/>
        <v>53.9190342335107</v>
      </c>
      <c r="H8" s="2096"/>
      <c r="I8" s="2102">
        <f ca="1">D8+C8+B8</f>
        <v>5542964</v>
      </c>
    </row>
    <row r="9" spans="1:9" ht="42" customHeight="1">
      <c r="A9" s="403" t="s">
        <v>1513</v>
      </c>
      <c r="B9" s="2094"/>
      <c r="C9" s="1316" cm="1">
        <f t="array" aca="1" ref="C9" ca="1">IF(روکش!$F$9="سه ماهه",INDIRECT("BudgetDB!T"&amp;('الف-ب-ج'!$M$9+ROW()-ROW($A$9))),INDIRECT("BudgetDB!U"&amp;('الف-ب-ج'!$M$9+ROW()-ROW($A$9))))</f>
        <v>0</v>
      </c>
      <c r="D9" s="2106">
        <f>'گردش سهام'!AE49+'سود سهام '!Z47</f>
        <v>0</v>
      </c>
      <c r="E9" s="404" t="str">
        <f t="shared" si="1"/>
        <v>-</v>
      </c>
      <c r="F9" s="2160" t="str">
        <f t="shared" ca="1" si="0"/>
        <v>-</v>
      </c>
      <c r="G9" s="420">
        <f t="shared" ca="1" si="2"/>
        <v>500</v>
      </c>
      <c r="H9" s="2096"/>
      <c r="I9" s="2102">
        <f>D9+B9</f>
        <v>0</v>
      </c>
    </row>
    <row r="10" spans="1:9" ht="42" customHeight="1" thickBot="1">
      <c r="A10" s="403" t="s">
        <v>175</v>
      </c>
      <c r="B10" s="1098">
        <f>'درآمد صادرات'!K19</f>
        <v>0</v>
      </c>
      <c r="C10" s="1589">
        <f ca="1">'درآمد صادرات'!N19</f>
        <v>0</v>
      </c>
      <c r="D10" s="2106">
        <f>'درآمد صادرات'!Q19</f>
        <v>0</v>
      </c>
      <c r="E10" s="404" t="str">
        <f t="shared" si="1"/>
        <v>-</v>
      </c>
      <c r="F10" s="2160" t="str">
        <f t="shared" ca="1" si="0"/>
        <v>-</v>
      </c>
      <c r="G10" s="420">
        <f t="shared" ca="1" si="2"/>
        <v>500</v>
      </c>
      <c r="H10" s="2107"/>
      <c r="I10" s="2102">
        <f ca="1">D10+C10+B10</f>
        <v>0</v>
      </c>
    </row>
    <row r="11" spans="1:9" ht="37.5" customHeight="1" thickBot="1">
      <c r="A11" s="405" t="s">
        <v>2</v>
      </c>
      <c r="B11" s="1100">
        <f>SUM(B6:B10)</f>
        <v>1091418</v>
      </c>
      <c r="C11" s="1100">
        <f ca="1">SUM(C6:C10)</f>
        <v>1753136</v>
      </c>
      <c r="D11" s="2108">
        <f>SUM(D6:D10)</f>
        <v>2698410</v>
      </c>
      <c r="E11" s="1101">
        <f>IFERROR((D11-B11)*100/B11,"-")</f>
        <v>147.23891304706353</v>
      </c>
      <c r="F11" s="2161">
        <f t="shared" ca="1" si="0"/>
        <v>153.9190342335107</v>
      </c>
      <c r="G11" s="2162">
        <f t="shared" ca="1" si="2"/>
        <v>53.9190342335107</v>
      </c>
      <c r="H11" s="2096"/>
      <c r="I11" s="2102">
        <f ca="1">D11+C11+B11</f>
        <v>5542964</v>
      </c>
    </row>
    <row r="12" spans="1:9" ht="21.75" thickTop="1">
      <c r="A12" s="2109"/>
      <c r="B12" s="2109"/>
      <c r="C12" s="2109"/>
      <c r="D12" s="2109"/>
      <c r="E12" s="2109"/>
      <c r="F12" s="2109"/>
      <c r="G12" s="2109"/>
      <c r="H12" s="2096"/>
    </row>
  </sheetData>
  <sheetProtection algorithmName="SHA-512" hashValue="d/xFDQlOx7i+Bht5OvNmGEY/uzx+jw0zON6R/NjhzNjaHJHd4vdkpKgCF2adKoTRE442q/0fGM/Z1J5HwC5XtA==" saltValue="7rv5i9ZX3dIRRUJkzKxwPw==" spinCount="100000" sheet="1" objects="1" scenarios="1"/>
  <mergeCells count="7">
    <mergeCell ref="F4:G5"/>
    <mergeCell ref="A1:G1"/>
    <mergeCell ref="E3:G3"/>
    <mergeCell ref="A4:A5"/>
    <mergeCell ref="B4:B5"/>
    <mergeCell ref="E4:E5"/>
    <mergeCell ref="A3:C3"/>
  </mergeCells>
  <conditionalFormatting sqref="G6:G11">
    <cfRule type="iconSet" priority="1">
      <iconSet iconSet="3Symbols" showValue="0" reverse="1">
        <cfvo type="percent" val="0"/>
        <cfvo type="num" val="11"/>
        <cfvo type="num" val="40"/>
      </iconSet>
    </cfRule>
  </conditionalFormatting>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00000000-000E-0000-0D00-000001000000}">
            <x14:iconSet iconSet="3Symbols" custom="1">
              <x14:cfvo type="percent">
                <xm:f>0</xm:f>
              </x14:cfvo>
              <x14:cfvo type="num">
                <xm:f>0</xm:f>
              </x14:cfvo>
              <x14:cfvo type="num" gte="0">
                <xm:f>0</xm:f>
              </x14:cfvo>
              <x14:cfIcon iconSet="3Symbols" iconId="1"/>
              <x14:cfIcon iconSet="3Symbols" iconId="1"/>
              <x14:cfIcon iconSet="NoIcons" iconId="0"/>
            </x14:iconSet>
          </x14:cfRule>
          <xm:sqref>E6:E11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8">
    <tabColor rgb="FF00B0F0"/>
    <pageSetUpPr fitToPage="1"/>
  </sheetPr>
  <dimension ref="A1:AO28"/>
  <sheetViews>
    <sheetView rightToLeft="1" view="pageBreakPreview" zoomScale="60" zoomScaleNormal="80" workbookViewId="0">
      <selection activeCell="B13" sqref="B13"/>
    </sheetView>
  </sheetViews>
  <sheetFormatPr defaultColWidth="9" defaultRowHeight="15"/>
  <cols>
    <col min="1" max="1" width="8.5703125" style="5" customWidth="1"/>
    <col min="2" max="2" width="33" style="5" bestFit="1" customWidth="1"/>
    <col min="3" max="3" width="9" style="5"/>
    <col min="4" max="4" width="10.5703125" style="5" customWidth="1"/>
    <col min="5" max="5" width="12.85546875" style="5" bestFit="1" customWidth="1"/>
    <col min="6" max="6" width="12.5703125" style="5" customWidth="1"/>
    <col min="7" max="7" width="11.5703125" style="5" customWidth="1"/>
    <col min="8" max="8" width="15.28515625" style="5" bestFit="1" customWidth="1"/>
    <col min="9" max="9" width="12.5703125" style="5" customWidth="1"/>
    <col min="10" max="11" width="11.5703125" style="5" customWidth="1"/>
    <col min="12" max="12" width="12.5703125" style="5" customWidth="1"/>
    <col min="13" max="15" width="9.5703125" style="5" customWidth="1"/>
    <col min="16" max="16" width="9" style="5" customWidth="1"/>
    <col min="17" max="17" width="3.7109375" style="5" customWidth="1"/>
    <col min="18" max="18" width="8.5703125" style="5" customWidth="1"/>
    <col min="19" max="19" width="3.7109375" style="5" customWidth="1"/>
    <col min="20" max="20" width="9.5703125" style="5" customWidth="1"/>
    <col min="21" max="21" width="9" style="5" customWidth="1"/>
    <col min="22" max="22" width="9" style="79" customWidth="1"/>
    <col min="23" max="23" width="9" style="79"/>
    <col min="24" max="25" width="9" style="79" hidden="1" customWidth="1"/>
    <col min="26" max="28" width="9" style="79" customWidth="1"/>
    <col min="29" max="41" width="9" style="79"/>
    <col min="42" max="16384" width="9" style="5"/>
  </cols>
  <sheetData>
    <row r="1" spans="1:25"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row>
    <row r="2" spans="1:25" ht="28.35" customHeight="1">
      <c r="A2" s="1206" t="str">
        <f>"گزارش فروش داخلی محصول توليدي در دوره " &amp; روکش!F9 &amp; " سال " &amp; روکش!D9</f>
        <v>گزارش فروش داخلی محصول توليدي در دوره شش ماهه سال 1405</v>
      </c>
      <c r="B2" s="1205"/>
      <c r="C2" s="1205"/>
      <c r="D2" s="1205"/>
      <c r="E2" s="1205"/>
      <c r="F2" s="1205"/>
      <c r="G2" s="1205"/>
      <c r="H2" s="1205"/>
      <c r="I2" s="1205"/>
      <c r="J2" s="1205"/>
      <c r="K2" s="1205"/>
      <c r="L2" s="1205"/>
      <c r="M2" s="1205"/>
      <c r="N2" s="1205"/>
      <c r="O2" s="1202"/>
      <c r="P2" s="1202"/>
      <c r="Q2" s="1202"/>
      <c r="R2" s="1202"/>
      <c r="S2" s="1202"/>
      <c r="T2" s="1202"/>
      <c r="U2" s="740"/>
      <c r="V2" s="741"/>
    </row>
    <row r="3" spans="1:25" ht="20.100000000000001" customHeight="1" thickBot="1">
      <c r="A3" s="408"/>
      <c r="B3" s="408"/>
      <c r="C3" s="408"/>
      <c r="D3" s="409"/>
      <c r="E3" s="410"/>
      <c r="F3" s="410"/>
      <c r="G3" s="411"/>
      <c r="H3" s="411"/>
      <c r="I3" s="411"/>
      <c r="J3" s="411"/>
      <c r="K3"/>
      <c r="L3"/>
      <c r="M3" s="704"/>
      <c r="N3" s="704"/>
      <c r="O3" s="2739" t="s">
        <v>3</v>
      </c>
      <c r="P3" s="2739"/>
      <c r="Q3" s="2148"/>
      <c r="R3" s="2730" t="s">
        <v>4</v>
      </c>
      <c r="S3" s="2730"/>
      <c r="T3" s="2730"/>
      <c r="U3" s="742"/>
      <c r="V3" s="743"/>
    </row>
    <row r="4" spans="1:25" ht="28.5" customHeight="1" thickBot="1">
      <c r="A4" s="2733" t="s">
        <v>5</v>
      </c>
      <c r="B4" s="2740" t="s">
        <v>6</v>
      </c>
      <c r="C4" s="2743" t="s">
        <v>7</v>
      </c>
      <c r="D4" s="1306" t="s">
        <v>639</v>
      </c>
      <c r="E4" s="1307"/>
      <c r="F4" s="1308"/>
      <c r="G4" s="1306" t="s">
        <v>642</v>
      </c>
      <c r="H4" s="1307"/>
      <c r="I4" s="1307"/>
      <c r="J4" s="1307"/>
      <c r="K4" s="1307"/>
      <c r="L4" s="1307"/>
      <c r="M4" s="1307"/>
      <c r="N4" s="1307"/>
      <c r="O4" s="1307"/>
      <c r="P4" s="1307"/>
      <c r="Q4" s="1307"/>
      <c r="R4" s="1307"/>
      <c r="S4" s="1307"/>
      <c r="T4" s="1308"/>
      <c r="U4" s="37"/>
      <c r="V4" s="82"/>
    </row>
    <row r="5" spans="1:25" ht="48">
      <c r="A5" s="2734"/>
      <c r="B5" s="2741"/>
      <c r="C5" s="2744"/>
      <c r="D5" s="2733" t="s">
        <v>8</v>
      </c>
      <c r="E5" s="2740" t="s">
        <v>9</v>
      </c>
      <c r="F5" s="2731" t="s">
        <v>10</v>
      </c>
      <c r="G5" s="1209" t="s">
        <v>217</v>
      </c>
      <c r="H5" s="1309"/>
      <c r="I5" s="1310"/>
      <c r="J5" s="1209" t="s">
        <v>216</v>
      </c>
      <c r="K5" s="1309"/>
      <c r="L5" s="1310"/>
      <c r="M5" s="1209" t="s">
        <v>793</v>
      </c>
      <c r="N5" s="1309"/>
      <c r="O5" s="1310"/>
      <c r="P5" s="1209" t="s">
        <v>643</v>
      </c>
      <c r="Q5" s="1218"/>
      <c r="R5" s="1309"/>
      <c r="S5" s="1309"/>
      <c r="T5" s="1310"/>
      <c r="U5" s="37"/>
      <c r="V5" s="82"/>
    </row>
    <row r="6" spans="1:25" ht="39" customHeight="1" thickBot="1">
      <c r="A6" s="2735"/>
      <c r="B6" s="2742"/>
      <c r="C6" s="2745"/>
      <c r="D6" s="2735"/>
      <c r="E6" s="2742"/>
      <c r="F6" s="2732"/>
      <c r="G6" s="703" t="s">
        <v>11</v>
      </c>
      <c r="H6" s="705" t="s">
        <v>9</v>
      </c>
      <c r="I6" s="412" t="s">
        <v>12</v>
      </c>
      <c r="J6" s="703" t="s">
        <v>11</v>
      </c>
      <c r="K6" s="705" t="s">
        <v>9</v>
      </c>
      <c r="L6" s="412" t="s">
        <v>12</v>
      </c>
      <c r="M6" s="703" t="s">
        <v>11</v>
      </c>
      <c r="N6" s="705" t="s">
        <v>9</v>
      </c>
      <c r="O6" s="412" t="s">
        <v>12</v>
      </c>
      <c r="P6" s="2748" t="s">
        <v>11</v>
      </c>
      <c r="Q6" s="2747"/>
      <c r="R6" s="2746" t="s">
        <v>9</v>
      </c>
      <c r="S6" s="2747"/>
      <c r="T6" s="412" t="s">
        <v>12</v>
      </c>
      <c r="U6" s="139"/>
      <c r="V6" s="82"/>
      <c r="X6" s="1302" t="s">
        <v>784</v>
      </c>
      <c r="Y6" s="1302" t="s">
        <v>784</v>
      </c>
    </row>
    <row r="7" spans="1:25" ht="24" customHeight="1">
      <c r="A7" s="424">
        <v>1</v>
      </c>
      <c r="B7" s="1311">
        <f ca="1">'مقادیر تولید'!B6</f>
        <v>0</v>
      </c>
      <c r="C7" s="2138">
        <f ca="1">'مقادیر تولید'!C6</f>
        <v>0</v>
      </c>
      <c r="D7" s="215"/>
      <c r="E7" s="216"/>
      <c r="F7" s="413">
        <f>IFERROR(E7*D7/1000000,0)</f>
        <v>0</v>
      </c>
      <c r="G7" s="1319" cm="1">
        <f t="array" aca="1" ref="G7" ca="1">IF(ROW()-ROW($A$7)&lt;'الف-ب-ج'!$L$9,IF(روکش!$F$9="سه ماهه",INDIRECT("BudgetDB!X"&amp;('الف-ب-ج'!$M$9+ROW()-ROW($A$7))),INDIRECT("BudgetDB!Y"&amp;('الف-ب-ج'!$M$9+ROW()-ROW($A$7)))),"")</f>
        <v>0</v>
      </c>
      <c r="H7" s="1320" cm="1">
        <f t="array" aca="1" ref="H7" ca="1">IF(ROW()-ROW($A$7)&lt;'الف-ب-ج'!$L$9,IF(روکش!$F$9="سه ماهه",INDIRECT("BudgetDB!Z"&amp;('الف-ب-ج'!$M$9+ROW()-ROW($A$7))),INDIRECT("BudgetDB!AA"&amp;('الف-ب-ج'!$M$9+ROW()-ROW($A$7)))),"")</f>
        <v>0</v>
      </c>
      <c r="I7" s="413">
        <f ca="1">IFERROR(H7*G7/1000000,0)</f>
        <v>0</v>
      </c>
      <c r="J7" s="215"/>
      <c r="K7" s="216"/>
      <c r="L7" s="413">
        <f>IFERROR(K7*J7/1000000,0)</f>
        <v>0</v>
      </c>
      <c r="M7" s="402" t="str">
        <f>IFERROR((J7-D7)*100/D7,"-")</f>
        <v>-</v>
      </c>
      <c r="N7" s="414" t="str">
        <f>IFERROR((K7-E7)*100/E7,"-")</f>
        <v>-</v>
      </c>
      <c r="O7" s="415" t="str">
        <f>IFERROR((L7-F7)*100/F7,"-")</f>
        <v>-</v>
      </c>
      <c r="P7" s="2119" t="str">
        <f ca="1">IFERROR(J7*100/G7,"-")</f>
        <v>-</v>
      </c>
      <c r="Q7" s="2163">
        <f ca="1">IFERROR(ABS(P7-100),500)</f>
        <v>500</v>
      </c>
      <c r="R7" s="2169" t="str">
        <f ca="1">IFERROR(K7*100/H7,"-")</f>
        <v>-</v>
      </c>
      <c r="S7" s="2163">
        <f ca="1">IFERROR(ABS(R7-100),500)</f>
        <v>500</v>
      </c>
      <c r="T7" s="415" t="str">
        <f ca="1">IFERROR(L7*100/I7,"-")</f>
        <v>-</v>
      </c>
      <c r="U7" s="37"/>
      <c r="V7" s="82"/>
      <c r="X7" s="1302" t="str">
        <f t="shared" ref="X7:X26" ca="1" si="0">IF(AND(G7=0,J7&gt;0),100,IFERROR(ABS(P7-100),"-"))</f>
        <v>-</v>
      </c>
      <c r="Y7" s="1302" t="str">
        <f t="shared" ref="Y7:Y26" ca="1" si="1">IF(AND(H7=0,K7&gt;0),100,IFERROR(ABS(R7-100),"-"))</f>
        <v>-</v>
      </c>
    </row>
    <row r="8" spans="1:25" ht="24" customHeight="1">
      <c r="A8" s="425">
        <v>2</v>
      </c>
      <c r="B8" s="1312">
        <f ca="1">'مقادیر تولید'!B7</f>
        <v>0</v>
      </c>
      <c r="C8" s="2139">
        <f ca="1">'مقادیر تولید'!C7</f>
        <v>0</v>
      </c>
      <c r="D8" s="217"/>
      <c r="E8" s="218"/>
      <c r="F8" s="416">
        <f t="shared" ref="F8:F25" si="2">IFERROR(E8*D8/1000000,0)</f>
        <v>0</v>
      </c>
      <c r="G8" s="1321" cm="1">
        <f t="array" aca="1" ref="G8" ca="1">IF(ROW()-ROW($A$7)&lt;'الف-ب-ج'!$L$9,IF(روکش!$F$9="سه ماهه",INDIRECT("BudgetDB!X"&amp;('الف-ب-ج'!$M$9+ROW()-ROW($A$7))),INDIRECT("BudgetDB!Y"&amp;('الف-ب-ج'!$M$9+ROW()-ROW($A$7)))),"")</f>
        <v>0</v>
      </c>
      <c r="H8" s="1322" cm="1">
        <f t="array" aca="1" ref="H8" ca="1">IF(ROW()-ROW($A$7)&lt;'الف-ب-ج'!$L$9,IF(روکش!$F$9="سه ماهه",INDIRECT("BudgetDB!Z"&amp;('الف-ب-ج'!$M$9+ROW()-ROW($A$7))),INDIRECT("BudgetDB!AA"&amp;('الف-ب-ج'!$M$9+ROW()-ROW($A$7)))),"")</f>
        <v>0</v>
      </c>
      <c r="I8" s="416">
        <f t="shared" ref="I8:I26" ca="1" si="3">IFERROR(H8*G8/1000000,0)</f>
        <v>0</v>
      </c>
      <c r="J8" s="217"/>
      <c r="K8" s="218"/>
      <c r="L8" s="416">
        <f t="shared" ref="L8:L26" si="4">IFERROR(K8*J8/1000000,0)</f>
        <v>0</v>
      </c>
      <c r="M8" s="406" t="str">
        <f t="shared" ref="M8:M26" si="5">IFERROR((J8-D8)*100/D8,"-")</f>
        <v>-</v>
      </c>
      <c r="N8" s="417" t="str">
        <f t="shared" ref="N8:N26" si="6">IFERROR((K8-E8)*100/E8,"-")</f>
        <v>-</v>
      </c>
      <c r="O8" s="418" t="str">
        <f t="shared" ref="O8:O26" si="7">IFERROR((L8-F8)*100/F8,"-")</f>
        <v>-</v>
      </c>
      <c r="P8" s="2120" t="str">
        <f t="shared" ref="P8:P26" ca="1" si="8">IFERROR(J8*100/G8,"-")</f>
        <v>-</v>
      </c>
      <c r="Q8" s="2164">
        <f t="shared" ref="Q8:S26" ca="1" si="9">IFERROR(ABS(P8-100),500)</f>
        <v>500</v>
      </c>
      <c r="R8" s="2170" t="str">
        <f t="shared" ref="R8:R26" ca="1" si="10">IFERROR(K8*100/H8,"-")</f>
        <v>-</v>
      </c>
      <c r="S8" s="2164">
        <f t="shared" ca="1" si="9"/>
        <v>500</v>
      </c>
      <c r="T8" s="418" t="str">
        <f t="shared" ref="T8:T26" ca="1" si="11">IFERROR(L8*100/I8,"-")</f>
        <v>-</v>
      </c>
      <c r="U8" s="37"/>
      <c r="V8" s="82"/>
      <c r="X8" s="1302" t="str">
        <f t="shared" ca="1" si="0"/>
        <v>-</v>
      </c>
      <c r="Y8" s="1302" t="str">
        <f t="shared" ca="1" si="1"/>
        <v>-</v>
      </c>
    </row>
    <row r="9" spans="1:25" ht="24" customHeight="1">
      <c r="A9" s="425">
        <v>3</v>
      </c>
      <c r="B9" s="1312">
        <f ca="1">'مقادیر تولید'!B8</f>
        <v>0</v>
      </c>
      <c r="C9" s="2139">
        <f ca="1">'مقادیر تولید'!C8</f>
        <v>0</v>
      </c>
      <c r="D9" s="217"/>
      <c r="E9" s="218"/>
      <c r="F9" s="416">
        <f t="shared" si="2"/>
        <v>0</v>
      </c>
      <c r="G9" s="1321" cm="1">
        <f t="array" aca="1" ref="G9" ca="1">IF(ROW()-ROW($A$7)&lt;'الف-ب-ج'!$L$9,IF(روکش!$F$9="سه ماهه",INDIRECT("BudgetDB!X"&amp;('الف-ب-ج'!$M$9+ROW()-ROW($A$7))),INDIRECT("BudgetDB!Y"&amp;('الف-ب-ج'!$M$9+ROW()-ROW($A$7)))),"")</f>
        <v>0</v>
      </c>
      <c r="H9" s="1322" cm="1">
        <f t="array" aca="1" ref="H9" ca="1">IF(ROW()-ROW($A$7)&lt;'الف-ب-ج'!$L$9,IF(روکش!$F$9="سه ماهه",INDIRECT("BudgetDB!Z"&amp;('الف-ب-ج'!$M$9+ROW()-ROW($A$7))),INDIRECT("BudgetDB!AA"&amp;('الف-ب-ج'!$M$9+ROW()-ROW($A$7)))),"")</f>
        <v>0</v>
      </c>
      <c r="I9" s="416">
        <f t="shared" ca="1" si="3"/>
        <v>0</v>
      </c>
      <c r="J9" s="217"/>
      <c r="K9" s="218"/>
      <c r="L9" s="416">
        <f t="shared" si="4"/>
        <v>0</v>
      </c>
      <c r="M9" s="406" t="str">
        <f t="shared" si="5"/>
        <v>-</v>
      </c>
      <c r="N9" s="417" t="str">
        <f t="shared" si="6"/>
        <v>-</v>
      </c>
      <c r="O9" s="418" t="str">
        <f t="shared" si="7"/>
        <v>-</v>
      </c>
      <c r="P9" s="2120" t="str">
        <f t="shared" ca="1" si="8"/>
        <v>-</v>
      </c>
      <c r="Q9" s="2164">
        <f t="shared" ca="1" si="9"/>
        <v>500</v>
      </c>
      <c r="R9" s="2170" t="str">
        <f t="shared" ca="1" si="10"/>
        <v>-</v>
      </c>
      <c r="S9" s="2164">
        <f t="shared" ca="1" si="9"/>
        <v>500</v>
      </c>
      <c r="T9" s="418" t="str">
        <f t="shared" ca="1" si="11"/>
        <v>-</v>
      </c>
      <c r="U9" s="37"/>
      <c r="V9" s="82"/>
      <c r="X9" s="1302" t="str">
        <f t="shared" ca="1" si="0"/>
        <v>-</v>
      </c>
      <c r="Y9" s="1302" t="str">
        <f t="shared" ca="1" si="1"/>
        <v>-</v>
      </c>
    </row>
    <row r="10" spans="1:25" ht="24" customHeight="1">
      <c r="A10" s="425">
        <v>4</v>
      </c>
      <c r="B10" s="1312">
        <f ca="1">'مقادیر تولید'!B9</f>
        <v>0</v>
      </c>
      <c r="C10" s="2139">
        <f ca="1">'مقادیر تولید'!C9</f>
        <v>0</v>
      </c>
      <c r="D10" s="217"/>
      <c r="E10" s="218"/>
      <c r="F10" s="416">
        <f t="shared" si="2"/>
        <v>0</v>
      </c>
      <c r="G10" s="1321" cm="1">
        <f t="array" aca="1" ref="G10" ca="1">IF(ROW()-ROW($A$7)&lt;'الف-ب-ج'!$L$9,IF(روکش!$F$9="سه ماهه",INDIRECT("BudgetDB!X"&amp;('الف-ب-ج'!$M$9+ROW()-ROW($A$7))),INDIRECT("BudgetDB!Y"&amp;('الف-ب-ج'!$M$9+ROW()-ROW($A$7)))),"")</f>
        <v>0</v>
      </c>
      <c r="H10" s="1322" cm="1">
        <f t="array" aca="1" ref="H10" ca="1">IF(ROW()-ROW($A$7)&lt;'الف-ب-ج'!$L$9,IF(روکش!$F$9="سه ماهه",INDIRECT("BudgetDB!Z"&amp;('الف-ب-ج'!$M$9+ROW()-ROW($A$7))),INDIRECT("BudgetDB!AA"&amp;('الف-ب-ج'!$M$9+ROW()-ROW($A$7)))),"")</f>
        <v>0</v>
      </c>
      <c r="I10" s="416">
        <f t="shared" ca="1" si="3"/>
        <v>0</v>
      </c>
      <c r="J10" s="217"/>
      <c r="K10" s="218"/>
      <c r="L10" s="416">
        <f t="shared" si="4"/>
        <v>0</v>
      </c>
      <c r="M10" s="406" t="str">
        <f t="shared" si="5"/>
        <v>-</v>
      </c>
      <c r="N10" s="417" t="str">
        <f t="shared" si="6"/>
        <v>-</v>
      </c>
      <c r="O10" s="418" t="str">
        <f t="shared" si="7"/>
        <v>-</v>
      </c>
      <c r="P10" s="2120" t="str">
        <f t="shared" ca="1" si="8"/>
        <v>-</v>
      </c>
      <c r="Q10" s="2164">
        <f t="shared" ca="1" si="9"/>
        <v>500</v>
      </c>
      <c r="R10" s="2170" t="str">
        <f t="shared" ca="1" si="10"/>
        <v>-</v>
      </c>
      <c r="S10" s="2164">
        <f t="shared" ca="1" si="9"/>
        <v>500</v>
      </c>
      <c r="T10" s="418" t="str">
        <f t="shared" ca="1" si="11"/>
        <v>-</v>
      </c>
      <c r="U10" s="37"/>
      <c r="V10" s="82"/>
      <c r="X10" s="1302" t="str">
        <f t="shared" ca="1" si="0"/>
        <v>-</v>
      </c>
      <c r="Y10" s="1302" t="str">
        <f t="shared" ca="1" si="1"/>
        <v>-</v>
      </c>
    </row>
    <row r="11" spans="1:25" ht="24" customHeight="1">
      <c r="A11" s="425">
        <v>5</v>
      </c>
      <c r="B11" s="1312">
        <f ca="1">'مقادیر تولید'!B10</f>
        <v>0</v>
      </c>
      <c r="C11" s="2139">
        <f ca="1">'مقادیر تولید'!C10</f>
        <v>0</v>
      </c>
      <c r="D11" s="217"/>
      <c r="E11" s="218"/>
      <c r="F11" s="416">
        <f t="shared" si="2"/>
        <v>0</v>
      </c>
      <c r="G11" s="1321" cm="1">
        <f t="array" aca="1" ref="G11" ca="1">IF(ROW()-ROW($A$7)&lt;'الف-ب-ج'!$L$9,IF(روکش!$F$9="سه ماهه",INDIRECT("BudgetDB!X"&amp;('الف-ب-ج'!$M$9+ROW()-ROW($A$7))),INDIRECT("BudgetDB!Y"&amp;('الف-ب-ج'!$M$9+ROW()-ROW($A$7)))),"")</f>
        <v>0</v>
      </c>
      <c r="H11" s="1322" cm="1">
        <f t="array" aca="1" ref="H11" ca="1">IF(ROW()-ROW($A$7)&lt;'الف-ب-ج'!$L$9,IF(روکش!$F$9="سه ماهه",INDIRECT("BudgetDB!Z"&amp;('الف-ب-ج'!$M$9+ROW()-ROW($A$7))),INDIRECT("BudgetDB!AA"&amp;('الف-ب-ج'!$M$9+ROW()-ROW($A$7)))),"")</f>
        <v>0</v>
      </c>
      <c r="I11" s="416">
        <f t="shared" ca="1" si="3"/>
        <v>0</v>
      </c>
      <c r="J11" s="217"/>
      <c r="K11" s="218"/>
      <c r="L11" s="416">
        <f t="shared" si="4"/>
        <v>0</v>
      </c>
      <c r="M11" s="406" t="str">
        <f t="shared" si="5"/>
        <v>-</v>
      </c>
      <c r="N11" s="417" t="str">
        <f t="shared" si="6"/>
        <v>-</v>
      </c>
      <c r="O11" s="418" t="str">
        <f t="shared" si="7"/>
        <v>-</v>
      </c>
      <c r="P11" s="2120" t="str">
        <f t="shared" ca="1" si="8"/>
        <v>-</v>
      </c>
      <c r="Q11" s="2164">
        <f t="shared" ca="1" si="9"/>
        <v>500</v>
      </c>
      <c r="R11" s="2170" t="str">
        <f t="shared" ca="1" si="10"/>
        <v>-</v>
      </c>
      <c r="S11" s="2164">
        <f t="shared" ca="1" si="9"/>
        <v>500</v>
      </c>
      <c r="T11" s="418" t="str">
        <f t="shared" ca="1" si="11"/>
        <v>-</v>
      </c>
      <c r="U11" s="37"/>
      <c r="V11" s="82"/>
      <c r="X11" s="1302" t="str">
        <f t="shared" ca="1" si="0"/>
        <v>-</v>
      </c>
      <c r="Y11" s="1302" t="str">
        <f t="shared" ca="1" si="1"/>
        <v>-</v>
      </c>
    </row>
    <row r="12" spans="1:25" ht="24" customHeight="1">
      <c r="A12" s="425">
        <v>6</v>
      </c>
      <c r="B12" s="1312">
        <f ca="1">'مقادیر تولید'!B11</f>
        <v>0</v>
      </c>
      <c r="C12" s="2139">
        <f ca="1">'مقادیر تولید'!C11</f>
        <v>0</v>
      </c>
      <c r="D12" s="217"/>
      <c r="E12" s="218"/>
      <c r="F12" s="416">
        <f t="shared" si="2"/>
        <v>0</v>
      </c>
      <c r="G12" s="1321" cm="1">
        <f t="array" aca="1" ref="G12" ca="1">IF(ROW()-ROW($A$7)&lt;'الف-ب-ج'!$L$9,IF(روکش!$F$9="سه ماهه",INDIRECT("BudgetDB!X"&amp;('الف-ب-ج'!$M$9+ROW()-ROW($A$7))),INDIRECT("BudgetDB!Y"&amp;('الف-ب-ج'!$M$9+ROW()-ROW($A$7)))),"")</f>
        <v>0</v>
      </c>
      <c r="H12" s="1322" cm="1">
        <f t="array" aca="1" ref="H12" ca="1">IF(ROW()-ROW($A$7)&lt;'الف-ب-ج'!$L$9,IF(روکش!$F$9="سه ماهه",INDIRECT("BudgetDB!Z"&amp;('الف-ب-ج'!$M$9+ROW()-ROW($A$7))),INDIRECT("BudgetDB!AA"&amp;('الف-ب-ج'!$M$9+ROW()-ROW($A$7)))),"")</f>
        <v>0</v>
      </c>
      <c r="I12" s="416">
        <f t="shared" ca="1" si="3"/>
        <v>0</v>
      </c>
      <c r="J12" s="217"/>
      <c r="K12" s="218"/>
      <c r="L12" s="416">
        <f t="shared" si="4"/>
        <v>0</v>
      </c>
      <c r="M12" s="406" t="str">
        <f t="shared" si="5"/>
        <v>-</v>
      </c>
      <c r="N12" s="417" t="str">
        <f t="shared" si="6"/>
        <v>-</v>
      </c>
      <c r="O12" s="418" t="str">
        <f t="shared" si="7"/>
        <v>-</v>
      </c>
      <c r="P12" s="2120" t="str">
        <f t="shared" ca="1" si="8"/>
        <v>-</v>
      </c>
      <c r="Q12" s="2164">
        <f t="shared" ca="1" si="9"/>
        <v>500</v>
      </c>
      <c r="R12" s="2170" t="str">
        <f t="shared" ca="1" si="10"/>
        <v>-</v>
      </c>
      <c r="S12" s="2164">
        <f t="shared" ca="1" si="9"/>
        <v>500</v>
      </c>
      <c r="T12" s="418" t="str">
        <f t="shared" ca="1" si="11"/>
        <v>-</v>
      </c>
      <c r="U12" s="37"/>
      <c r="V12" s="82"/>
      <c r="X12" s="1302" t="str">
        <f t="shared" ca="1" si="0"/>
        <v>-</v>
      </c>
      <c r="Y12" s="1302" t="str">
        <f t="shared" ca="1" si="1"/>
        <v>-</v>
      </c>
    </row>
    <row r="13" spans="1:25" ht="24" customHeight="1">
      <c r="A13" s="425">
        <v>7</v>
      </c>
      <c r="B13" s="1312">
        <f ca="1">'مقادیر تولید'!B12</f>
        <v>0</v>
      </c>
      <c r="C13" s="2139">
        <f ca="1">'مقادیر تولید'!C12</f>
        <v>0</v>
      </c>
      <c r="D13" s="217"/>
      <c r="E13" s="218"/>
      <c r="F13" s="416">
        <f t="shared" si="2"/>
        <v>0</v>
      </c>
      <c r="G13" s="1321" cm="1">
        <f t="array" aca="1" ref="G13" ca="1">IF(ROW()-ROW($A$7)&lt;'الف-ب-ج'!$L$9,IF(روکش!$F$9="سه ماهه",INDIRECT("BudgetDB!X"&amp;('الف-ب-ج'!$M$9+ROW()-ROW($A$7))),INDIRECT("BudgetDB!Y"&amp;('الف-ب-ج'!$M$9+ROW()-ROW($A$7)))),"")</f>
        <v>0</v>
      </c>
      <c r="H13" s="1322" cm="1">
        <f t="array" aca="1" ref="H13" ca="1">IF(ROW()-ROW($A$7)&lt;'الف-ب-ج'!$L$9,IF(روکش!$F$9="سه ماهه",INDIRECT("BudgetDB!Z"&amp;('الف-ب-ج'!$M$9+ROW()-ROW($A$7))),INDIRECT("BudgetDB!AA"&amp;('الف-ب-ج'!$M$9+ROW()-ROW($A$7)))),"")</f>
        <v>0</v>
      </c>
      <c r="I13" s="416">
        <f t="shared" ca="1" si="3"/>
        <v>0</v>
      </c>
      <c r="J13" s="217"/>
      <c r="K13" s="218"/>
      <c r="L13" s="416">
        <f t="shared" si="4"/>
        <v>0</v>
      </c>
      <c r="M13" s="406" t="str">
        <f t="shared" si="5"/>
        <v>-</v>
      </c>
      <c r="N13" s="417" t="str">
        <f t="shared" si="6"/>
        <v>-</v>
      </c>
      <c r="O13" s="418" t="str">
        <f t="shared" si="7"/>
        <v>-</v>
      </c>
      <c r="P13" s="2120" t="str">
        <f t="shared" ca="1" si="8"/>
        <v>-</v>
      </c>
      <c r="Q13" s="2164">
        <f t="shared" ca="1" si="9"/>
        <v>500</v>
      </c>
      <c r="R13" s="2170" t="str">
        <f t="shared" ca="1" si="10"/>
        <v>-</v>
      </c>
      <c r="S13" s="2164">
        <f t="shared" ca="1" si="9"/>
        <v>500</v>
      </c>
      <c r="T13" s="418" t="str">
        <f t="shared" ca="1" si="11"/>
        <v>-</v>
      </c>
      <c r="U13" s="37"/>
      <c r="V13" s="82"/>
      <c r="X13" s="1302" t="str">
        <f t="shared" ca="1" si="0"/>
        <v>-</v>
      </c>
      <c r="Y13" s="1302" t="str">
        <f t="shared" ca="1" si="1"/>
        <v>-</v>
      </c>
    </row>
    <row r="14" spans="1:25" ht="24" customHeight="1">
      <c r="A14" s="425">
        <v>8</v>
      </c>
      <c r="B14" s="1312">
        <f ca="1">'مقادیر تولید'!B13</f>
        <v>0</v>
      </c>
      <c r="C14" s="2139">
        <f ca="1">'مقادیر تولید'!C13</f>
        <v>0</v>
      </c>
      <c r="D14" s="217"/>
      <c r="E14" s="218"/>
      <c r="F14" s="416">
        <f t="shared" si="2"/>
        <v>0</v>
      </c>
      <c r="G14" s="1321" cm="1">
        <f t="array" aca="1" ref="G14" ca="1">IF(ROW()-ROW($A$7)&lt;'الف-ب-ج'!$L$9,IF(روکش!$F$9="سه ماهه",INDIRECT("BudgetDB!X"&amp;('الف-ب-ج'!$M$9+ROW()-ROW($A$7))),INDIRECT("BudgetDB!Y"&amp;('الف-ب-ج'!$M$9+ROW()-ROW($A$7)))),"")</f>
        <v>0</v>
      </c>
      <c r="H14" s="1322" cm="1">
        <f t="array" aca="1" ref="H14" ca="1">IF(ROW()-ROW($A$7)&lt;'الف-ب-ج'!$L$9,IF(روکش!$F$9="سه ماهه",INDIRECT("BudgetDB!Z"&amp;('الف-ب-ج'!$M$9+ROW()-ROW($A$7))),INDIRECT("BudgetDB!AA"&amp;('الف-ب-ج'!$M$9+ROW()-ROW($A$7)))),"")</f>
        <v>0</v>
      </c>
      <c r="I14" s="416">
        <f t="shared" ca="1" si="3"/>
        <v>0</v>
      </c>
      <c r="J14" s="217"/>
      <c r="K14" s="218"/>
      <c r="L14" s="416">
        <f t="shared" si="4"/>
        <v>0</v>
      </c>
      <c r="M14" s="406" t="str">
        <f t="shared" si="5"/>
        <v>-</v>
      </c>
      <c r="N14" s="417" t="str">
        <f t="shared" si="6"/>
        <v>-</v>
      </c>
      <c r="O14" s="418" t="str">
        <f t="shared" si="7"/>
        <v>-</v>
      </c>
      <c r="P14" s="2120" t="str">
        <f t="shared" ca="1" si="8"/>
        <v>-</v>
      </c>
      <c r="Q14" s="2164">
        <f t="shared" ca="1" si="9"/>
        <v>500</v>
      </c>
      <c r="R14" s="2170" t="str">
        <f t="shared" ca="1" si="10"/>
        <v>-</v>
      </c>
      <c r="S14" s="2164">
        <f t="shared" ca="1" si="9"/>
        <v>500</v>
      </c>
      <c r="T14" s="418" t="str">
        <f t="shared" ca="1" si="11"/>
        <v>-</v>
      </c>
      <c r="U14" s="37"/>
      <c r="V14" s="82"/>
      <c r="X14" s="1302" t="str">
        <f t="shared" ca="1" si="0"/>
        <v>-</v>
      </c>
      <c r="Y14" s="1302" t="str">
        <f t="shared" ca="1" si="1"/>
        <v>-</v>
      </c>
    </row>
    <row r="15" spans="1:25" ht="24" customHeight="1">
      <c r="A15" s="425">
        <v>9</v>
      </c>
      <c r="B15" s="1312">
        <f ca="1">'مقادیر تولید'!B14</f>
        <v>0</v>
      </c>
      <c r="C15" s="2139">
        <f ca="1">'مقادیر تولید'!C14</f>
        <v>0</v>
      </c>
      <c r="D15" s="217"/>
      <c r="E15" s="218"/>
      <c r="F15" s="416">
        <f t="shared" si="2"/>
        <v>0</v>
      </c>
      <c r="G15" s="1321" cm="1">
        <f t="array" aca="1" ref="G15" ca="1">IF(ROW()-ROW($A$7)&lt;'الف-ب-ج'!$L$9,IF(روکش!$F$9="سه ماهه",INDIRECT("BudgetDB!X"&amp;('الف-ب-ج'!$M$9+ROW()-ROW($A$7))),INDIRECT("BudgetDB!Y"&amp;('الف-ب-ج'!$M$9+ROW()-ROW($A$7)))),"")</f>
        <v>0</v>
      </c>
      <c r="H15" s="1322" cm="1">
        <f t="array" aca="1" ref="H15" ca="1">IF(ROW()-ROW($A$7)&lt;'الف-ب-ج'!$L$9,IF(روکش!$F$9="سه ماهه",INDIRECT("BudgetDB!Z"&amp;('الف-ب-ج'!$M$9+ROW()-ROW($A$7))),INDIRECT("BudgetDB!AA"&amp;('الف-ب-ج'!$M$9+ROW()-ROW($A$7)))),"")</f>
        <v>0</v>
      </c>
      <c r="I15" s="416">
        <f t="shared" ca="1" si="3"/>
        <v>0</v>
      </c>
      <c r="J15" s="217"/>
      <c r="K15" s="218"/>
      <c r="L15" s="416">
        <f t="shared" si="4"/>
        <v>0</v>
      </c>
      <c r="M15" s="406" t="str">
        <f t="shared" si="5"/>
        <v>-</v>
      </c>
      <c r="N15" s="417" t="str">
        <f t="shared" si="6"/>
        <v>-</v>
      </c>
      <c r="O15" s="418" t="str">
        <f t="shared" si="7"/>
        <v>-</v>
      </c>
      <c r="P15" s="2120" t="str">
        <f t="shared" ca="1" si="8"/>
        <v>-</v>
      </c>
      <c r="Q15" s="2164">
        <f t="shared" ca="1" si="9"/>
        <v>500</v>
      </c>
      <c r="R15" s="2170" t="str">
        <f t="shared" ca="1" si="10"/>
        <v>-</v>
      </c>
      <c r="S15" s="2164">
        <f t="shared" ca="1" si="9"/>
        <v>500</v>
      </c>
      <c r="T15" s="418" t="str">
        <f t="shared" ca="1" si="11"/>
        <v>-</v>
      </c>
      <c r="U15" s="37"/>
      <c r="V15" s="82"/>
      <c r="X15" s="1302" t="str">
        <f t="shared" ca="1" si="0"/>
        <v>-</v>
      </c>
      <c r="Y15" s="1302" t="str">
        <f t="shared" ca="1" si="1"/>
        <v>-</v>
      </c>
    </row>
    <row r="16" spans="1:25" ht="24" customHeight="1">
      <c r="A16" s="426">
        <v>10</v>
      </c>
      <c r="B16" s="1314">
        <f ca="1">'مقادیر تولید'!B15</f>
        <v>0</v>
      </c>
      <c r="C16" s="2140">
        <f ca="1">'مقادیر تولید'!C15</f>
        <v>0</v>
      </c>
      <c r="D16" s="68"/>
      <c r="E16" s="218"/>
      <c r="F16" s="419">
        <f t="shared" si="2"/>
        <v>0</v>
      </c>
      <c r="G16" s="1323" cm="1">
        <f t="array" aca="1" ref="G16" ca="1">IF(ROW()-ROW($A$7)&lt;'الف-ب-ج'!$L$9,IF(روکش!$F$9="سه ماهه",INDIRECT("BudgetDB!X"&amp;('الف-ب-ج'!$M$9+ROW()-ROW($A$7))),INDIRECT("BudgetDB!Y"&amp;('الف-ب-ج'!$M$9+ROW()-ROW($A$7)))),"")</f>
        <v>0</v>
      </c>
      <c r="H16" s="1322" cm="1">
        <f t="array" aca="1" ref="H16" ca="1">IF(ROW()-ROW($A$7)&lt;'الف-ب-ج'!$L$9,IF(روکش!$F$9="سه ماهه",INDIRECT("BudgetDB!Z"&amp;('الف-ب-ج'!$M$9+ROW()-ROW($A$7))),INDIRECT("BudgetDB!AA"&amp;('الف-ب-ج'!$M$9+ROW()-ROW($A$7)))),"")</f>
        <v>0</v>
      </c>
      <c r="I16" s="419">
        <f t="shared" ca="1" si="3"/>
        <v>0</v>
      </c>
      <c r="J16" s="68"/>
      <c r="K16" s="218"/>
      <c r="L16" s="419">
        <f t="shared" si="4"/>
        <v>0</v>
      </c>
      <c r="M16" s="404" t="str">
        <f t="shared" si="5"/>
        <v>-</v>
      </c>
      <c r="N16" s="417" t="str">
        <f t="shared" si="6"/>
        <v>-</v>
      </c>
      <c r="O16" s="420" t="str">
        <f t="shared" si="7"/>
        <v>-</v>
      </c>
      <c r="P16" s="2160" t="str">
        <f t="shared" ca="1" si="8"/>
        <v>-</v>
      </c>
      <c r="Q16" s="2165">
        <f t="shared" ca="1" si="9"/>
        <v>500</v>
      </c>
      <c r="R16" s="2170" t="str">
        <f t="shared" ca="1" si="10"/>
        <v>-</v>
      </c>
      <c r="S16" s="2165">
        <f t="shared" ca="1" si="9"/>
        <v>500</v>
      </c>
      <c r="T16" s="420" t="str">
        <f t="shared" ca="1" si="11"/>
        <v>-</v>
      </c>
      <c r="U16" s="37"/>
      <c r="V16" s="82"/>
      <c r="X16" s="1302" t="str">
        <f t="shared" ca="1" si="0"/>
        <v>-</v>
      </c>
      <c r="Y16" s="1302" t="str">
        <f t="shared" ca="1" si="1"/>
        <v>-</v>
      </c>
    </row>
    <row r="17" spans="1:25" ht="24" customHeight="1">
      <c r="A17" s="426">
        <v>11</v>
      </c>
      <c r="B17" s="1314">
        <f ca="1">'مقادیر تولید'!B16</f>
        <v>0</v>
      </c>
      <c r="C17" s="2140">
        <f ca="1">'مقادیر تولید'!C16</f>
        <v>0</v>
      </c>
      <c r="D17" s="68"/>
      <c r="E17" s="219"/>
      <c r="F17" s="419">
        <f t="shared" si="2"/>
        <v>0</v>
      </c>
      <c r="G17" s="1323" cm="1">
        <f t="array" aca="1" ref="G17" ca="1">IF(ROW()-ROW($A$7)&lt;'الف-ب-ج'!$L$9,IF(روکش!$F$9="سه ماهه",INDIRECT("BudgetDB!X"&amp;('الف-ب-ج'!$M$9+ROW()-ROW($A$7))),INDIRECT("BudgetDB!Y"&amp;('الف-ب-ج'!$M$9+ROW()-ROW($A$7)))),"")</f>
        <v>0</v>
      </c>
      <c r="H17" s="1324" cm="1">
        <f t="array" aca="1" ref="H17" ca="1">IF(ROW()-ROW($A$7)&lt;'الف-ب-ج'!$L$9,IF(روکش!$F$9="سه ماهه",INDIRECT("BudgetDB!Z"&amp;('الف-ب-ج'!$M$9+ROW()-ROW($A$7))),INDIRECT("BudgetDB!AA"&amp;('الف-ب-ج'!$M$9+ROW()-ROW($A$7)))),"")</f>
        <v>0</v>
      </c>
      <c r="I17" s="419">
        <f t="shared" ca="1" si="3"/>
        <v>0</v>
      </c>
      <c r="J17" s="68"/>
      <c r="K17" s="219"/>
      <c r="L17" s="419">
        <f t="shared" si="4"/>
        <v>0</v>
      </c>
      <c r="M17" s="404" t="str">
        <f t="shared" si="5"/>
        <v>-</v>
      </c>
      <c r="N17" s="421" t="str">
        <f t="shared" si="6"/>
        <v>-</v>
      </c>
      <c r="O17" s="420" t="str">
        <f t="shared" si="7"/>
        <v>-</v>
      </c>
      <c r="P17" s="2160" t="str">
        <f t="shared" ca="1" si="8"/>
        <v>-</v>
      </c>
      <c r="Q17" s="2165">
        <f t="shared" ca="1" si="9"/>
        <v>500</v>
      </c>
      <c r="R17" s="2171" t="str">
        <f t="shared" ca="1" si="10"/>
        <v>-</v>
      </c>
      <c r="S17" s="2165">
        <f t="shared" ca="1" si="9"/>
        <v>500</v>
      </c>
      <c r="T17" s="420" t="str">
        <f t="shared" ca="1" si="11"/>
        <v>-</v>
      </c>
      <c r="U17" s="37"/>
      <c r="V17" s="82"/>
      <c r="X17" s="1302" t="str">
        <f t="shared" ca="1" si="0"/>
        <v>-</v>
      </c>
      <c r="Y17" s="1302" t="str">
        <f t="shared" ca="1" si="1"/>
        <v>-</v>
      </c>
    </row>
    <row r="18" spans="1:25" ht="24" customHeight="1">
      <c r="A18" s="426">
        <v>12</v>
      </c>
      <c r="B18" s="1314">
        <f ca="1">'مقادیر تولید'!B17</f>
        <v>0</v>
      </c>
      <c r="C18" s="2140">
        <f ca="1">'مقادیر تولید'!C17</f>
        <v>0</v>
      </c>
      <c r="D18" s="68"/>
      <c r="E18" s="219"/>
      <c r="F18" s="419">
        <f t="shared" si="2"/>
        <v>0</v>
      </c>
      <c r="G18" s="1323" cm="1">
        <f t="array" aca="1" ref="G18" ca="1">IF(ROW()-ROW($A$7)&lt;'الف-ب-ج'!$L$9,IF(روکش!$F$9="سه ماهه",INDIRECT("BudgetDB!X"&amp;('الف-ب-ج'!$M$9+ROW()-ROW($A$7))),INDIRECT("BudgetDB!Y"&amp;('الف-ب-ج'!$M$9+ROW()-ROW($A$7)))),"")</f>
        <v>0</v>
      </c>
      <c r="H18" s="1324" cm="1">
        <f t="array" aca="1" ref="H18" ca="1">IF(ROW()-ROW($A$7)&lt;'الف-ب-ج'!$L$9,IF(روکش!$F$9="سه ماهه",INDIRECT("BudgetDB!Z"&amp;('الف-ب-ج'!$M$9+ROW()-ROW($A$7))),INDIRECT("BudgetDB!AA"&amp;('الف-ب-ج'!$M$9+ROW()-ROW($A$7)))),"")</f>
        <v>0</v>
      </c>
      <c r="I18" s="419">
        <f t="shared" ca="1" si="3"/>
        <v>0</v>
      </c>
      <c r="J18" s="68"/>
      <c r="K18" s="219"/>
      <c r="L18" s="419">
        <f t="shared" si="4"/>
        <v>0</v>
      </c>
      <c r="M18" s="404" t="str">
        <f t="shared" si="5"/>
        <v>-</v>
      </c>
      <c r="N18" s="421" t="str">
        <f t="shared" si="6"/>
        <v>-</v>
      </c>
      <c r="O18" s="420" t="str">
        <f t="shared" si="7"/>
        <v>-</v>
      </c>
      <c r="P18" s="2160" t="str">
        <f t="shared" ca="1" si="8"/>
        <v>-</v>
      </c>
      <c r="Q18" s="2165">
        <f t="shared" ca="1" si="9"/>
        <v>500</v>
      </c>
      <c r="R18" s="2171" t="str">
        <f t="shared" ca="1" si="10"/>
        <v>-</v>
      </c>
      <c r="S18" s="2165">
        <f t="shared" ca="1" si="9"/>
        <v>500</v>
      </c>
      <c r="T18" s="420" t="str">
        <f t="shared" ca="1" si="11"/>
        <v>-</v>
      </c>
      <c r="U18" s="37"/>
      <c r="V18" s="82"/>
      <c r="X18" s="1302" t="str">
        <f t="shared" ca="1" si="0"/>
        <v>-</v>
      </c>
      <c r="Y18" s="1302" t="str">
        <f t="shared" ca="1" si="1"/>
        <v>-</v>
      </c>
    </row>
    <row r="19" spans="1:25" ht="24" customHeight="1">
      <c r="A19" s="426">
        <v>13</v>
      </c>
      <c r="B19" s="1314">
        <f ca="1">'مقادیر تولید'!B18</f>
        <v>0</v>
      </c>
      <c r="C19" s="2140">
        <f ca="1">'مقادیر تولید'!C18</f>
        <v>0</v>
      </c>
      <c r="D19" s="68"/>
      <c r="E19" s="219"/>
      <c r="F19" s="419">
        <f t="shared" si="2"/>
        <v>0</v>
      </c>
      <c r="G19" s="1323" cm="1">
        <f t="array" aca="1" ref="G19" ca="1">IF(ROW()-ROW($A$7)&lt;'الف-ب-ج'!$L$9,IF(روکش!$F$9="سه ماهه",INDIRECT("BudgetDB!X"&amp;('الف-ب-ج'!$M$9+ROW()-ROW($A$7))),INDIRECT("BudgetDB!Y"&amp;('الف-ب-ج'!$M$9+ROW()-ROW($A$7)))),"")</f>
        <v>0</v>
      </c>
      <c r="H19" s="1324" cm="1">
        <f t="array" aca="1" ref="H19" ca="1">IF(ROW()-ROW($A$7)&lt;'الف-ب-ج'!$L$9,IF(روکش!$F$9="سه ماهه",INDIRECT("BudgetDB!Z"&amp;('الف-ب-ج'!$M$9+ROW()-ROW($A$7))),INDIRECT("BudgetDB!AA"&amp;('الف-ب-ج'!$M$9+ROW()-ROW($A$7)))),"")</f>
        <v>0</v>
      </c>
      <c r="I19" s="419">
        <f t="shared" ca="1" si="3"/>
        <v>0</v>
      </c>
      <c r="J19" s="68"/>
      <c r="K19" s="219"/>
      <c r="L19" s="419">
        <f t="shared" si="4"/>
        <v>0</v>
      </c>
      <c r="M19" s="404" t="str">
        <f t="shared" si="5"/>
        <v>-</v>
      </c>
      <c r="N19" s="421" t="str">
        <f t="shared" si="6"/>
        <v>-</v>
      </c>
      <c r="O19" s="420" t="str">
        <f t="shared" si="7"/>
        <v>-</v>
      </c>
      <c r="P19" s="2160" t="str">
        <f t="shared" ca="1" si="8"/>
        <v>-</v>
      </c>
      <c r="Q19" s="2165">
        <f t="shared" ca="1" si="9"/>
        <v>500</v>
      </c>
      <c r="R19" s="2171" t="str">
        <f t="shared" ca="1" si="10"/>
        <v>-</v>
      </c>
      <c r="S19" s="2165">
        <f t="shared" ca="1" si="9"/>
        <v>500</v>
      </c>
      <c r="T19" s="420" t="str">
        <f t="shared" ca="1" si="11"/>
        <v>-</v>
      </c>
      <c r="U19" s="37"/>
      <c r="V19" s="82"/>
      <c r="X19" s="1302" t="str">
        <f t="shared" ca="1" si="0"/>
        <v>-</v>
      </c>
      <c r="Y19" s="1302" t="str">
        <f t="shared" ca="1" si="1"/>
        <v>-</v>
      </c>
    </row>
    <row r="20" spans="1:25" ht="24" customHeight="1">
      <c r="A20" s="426">
        <v>14</v>
      </c>
      <c r="B20" s="1314">
        <f ca="1">'مقادیر تولید'!B19</f>
        <v>0</v>
      </c>
      <c r="C20" s="2140">
        <f ca="1">'مقادیر تولید'!C19</f>
        <v>0</v>
      </c>
      <c r="D20" s="68"/>
      <c r="E20" s="219"/>
      <c r="F20" s="419">
        <f t="shared" si="2"/>
        <v>0</v>
      </c>
      <c r="G20" s="1323" cm="1">
        <f t="array" aca="1" ref="G20" ca="1">IF(ROW()-ROW($A$7)&lt;'الف-ب-ج'!$L$9,IF(روکش!$F$9="سه ماهه",INDIRECT("BudgetDB!X"&amp;('الف-ب-ج'!$M$9+ROW()-ROW($A$7))),INDIRECT("BudgetDB!Y"&amp;('الف-ب-ج'!$M$9+ROW()-ROW($A$7)))),"")</f>
        <v>0</v>
      </c>
      <c r="H20" s="1324" cm="1">
        <f t="array" aca="1" ref="H20" ca="1">IF(ROW()-ROW($A$7)&lt;'الف-ب-ج'!$L$9,IF(روکش!$F$9="سه ماهه",INDIRECT("BudgetDB!Z"&amp;('الف-ب-ج'!$M$9+ROW()-ROW($A$7))),INDIRECT("BudgetDB!AA"&amp;('الف-ب-ج'!$M$9+ROW()-ROW($A$7)))),"")</f>
        <v>0</v>
      </c>
      <c r="I20" s="419">
        <f t="shared" ca="1" si="3"/>
        <v>0</v>
      </c>
      <c r="J20" s="68"/>
      <c r="K20" s="219"/>
      <c r="L20" s="419">
        <f t="shared" si="4"/>
        <v>0</v>
      </c>
      <c r="M20" s="404" t="str">
        <f t="shared" si="5"/>
        <v>-</v>
      </c>
      <c r="N20" s="421" t="str">
        <f t="shared" si="6"/>
        <v>-</v>
      </c>
      <c r="O20" s="420" t="str">
        <f t="shared" si="7"/>
        <v>-</v>
      </c>
      <c r="P20" s="2160" t="str">
        <f t="shared" ca="1" si="8"/>
        <v>-</v>
      </c>
      <c r="Q20" s="2165">
        <f t="shared" ca="1" si="9"/>
        <v>500</v>
      </c>
      <c r="R20" s="2171" t="str">
        <f t="shared" ca="1" si="10"/>
        <v>-</v>
      </c>
      <c r="S20" s="2165">
        <f t="shared" ca="1" si="9"/>
        <v>500</v>
      </c>
      <c r="T20" s="420" t="str">
        <f t="shared" ca="1" si="11"/>
        <v>-</v>
      </c>
      <c r="U20" s="37"/>
      <c r="V20" s="82"/>
      <c r="X20" s="1302" t="str">
        <f t="shared" ca="1" si="0"/>
        <v>-</v>
      </c>
      <c r="Y20" s="1302" t="str">
        <f t="shared" ca="1" si="1"/>
        <v>-</v>
      </c>
    </row>
    <row r="21" spans="1:25" ht="24" customHeight="1">
      <c r="A21" s="426">
        <v>15</v>
      </c>
      <c r="B21" s="1314">
        <f ca="1">'مقادیر تولید'!B20</f>
        <v>0</v>
      </c>
      <c r="C21" s="2140">
        <f ca="1">'مقادیر تولید'!C20</f>
        <v>0</v>
      </c>
      <c r="D21" s="68"/>
      <c r="E21" s="219"/>
      <c r="F21" s="419">
        <f t="shared" si="2"/>
        <v>0</v>
      </c>
      <c r="G21" s="1323" cm="1">
        <f t="array" aca="1" ref="G21" ca="1">IF(ROW()-ROW($A$7)&lt;'الف-ب-ج'!$L$9,IF(روکش!$F$9="سه ماهه",INDIRECT("BudgetDB!X"&amp;('الف-ب-ج'!$M$9+ROW()-ROW($A$7))),INDIRECT("BudgetDB!Y"&amp;('الف-ب-ج'!$M$9+ROW()-ROW($A$7)))),"")</f>
        <v>0</v>
      </c>
      <c r="H21" s="1324" cm="1">
        <f t="array" aca="1" ref="H21" ca="1">IF(ROW()-ROW($A$7)&lt;'الف-ب-ج'!$L$9,IF(روکش!$F$9="سه ماهه",INDIRECT("BudgetDB!Z"&amp;('الف-ب-ج'!$M$9+ROW()-ROW($A$7))),INDIRECT("BudgetDB!AA"&amp;('الف-ب-ج'!$M$9+ROW()-ROW($A$7)))),"")</f>
        <v>0</v>
      </c>
      <c r="I21" s="419">
        <f t="shared" ca="1" si="3"/>
        <v>0</v>
      </c>
      <c r="J21" s="68"/>
      <c r="K21" s="219"/>
      <c r="L21" s="419">
        <f t="shared" si="4"/>
        <v>0</v>
      </c>
      <c r="M21" s="404" t="str">
        <f t="shared" si="5"/>
        <v>-</v>
      </c>
      <c r="N21" s="421" t="str">
        <f t="shared" si="6"/>
        <v>-</v>
      </c>
      <c r="O21" s="420" t="str">
        <f t="shared" si="7"/>
        <v>-</v>
      </c>
      <c r="P21" s="2160" t="str">
        <f t="shared" ca="1" si="8"/>
        <v>-</v>
      </c>
      <c r="Q21" s="2165">
        <f t="shared" ca="1" si="9"/>
        <v>500</v>
      </c>
      <c r="R21" s="2171" t="str">
        <f t="shared" ca="1" si="10"/>
        <v>-</v>
      </c>
      <c r="S21" s="2165">
        <f t="shared" ca="1" si="9"/>
        <v>500</v>
      </c>
      <c r="T21" s="420" t="str">
        <f t="shared" ca="1" si="11"/>
        <v>-</v>
      </c>
      <c r="U21" s="37"/>
      <c r="V21" s="82"/>
      <c r="X21" s="1302" t="str">
        <f t="shared" ca="1" si="0"/>
        <v>-</v>
      </c>
      <c r="Y21" s="1302" t="str">
        <f t="shared" ca="1" si="1"/>
        <v>-</v>
      </c>
    </row>
    <row r="22" spans="1:25" ht="24" customHeight="1">
      <c r="A22" s="426">
        <v>16</v>
      </c>
      <c r="B22" s="1314">
        <f ca="1">'مقادیر تولید'!B21</f>
        <v>0</v>
      </c>
      <c r="C22" s="2140">
        <f ca="1">'مقادیر تولید'!C21</f>
        <v>0</v>
      </c>
      <c r="D22" s="68"/>
      <c r="E22" s="219"/>
      <c r="F22" s="419">
        <f t="shared" si="2"/>
        <v>0</v>
      </c>
      <c r="G22" s="1323" cm="1">
        <f t="array" aca="1" ref="G22" ca="1">IF(ROW()-ROW($A$7)&lt;'الف-ب-ج'!$L$9,IF(روکش!$F$9="سه ماهه",INDIRECT("BudgetDB!X"&amp;('الف-ب-ج'!$M$9+ROW()-ROW($A$7))),INDIRECT("BudgetDB!Y"&amp;('الف-ب-ج'!$M$9+ROW()-ROW($A$7)))),"")</f>
        <v>0</v>
      </c>
      <c r="H22" s="1324" cm="1">
        <f t="array" aca="1" ref="H22" ca="1">IF(ROW()-ROW($A$7)&lt;'الف-ب-ج'!$L$9,IF(روکش!$F$9="سه ماهه",INDIRECT("BudgetDB!Z"&amp;('الف-ب-ج'!$M$9+ROW()-ROW($A$7))),INDIRECT("BudgetDB!AA"&amp;('الف-ب-ج'!$M$9+ROW()-ROW($A$7)))),"")</f>
        <v>0</v>
      </c>
      <c r="I22" s="419">
        <f t="shared" ca="1" si="3"/>
        <v>0</v>
      </c>
      <c r="J22" s="68"/>
      <c r="K22" s="219"/>
      <c r="L22" s="419">
        <f t="shared" si="4"/>
        <v>0</v>
      </c>
      <c r="M22" s="404" t="str">
        <f t="shared" si="5"/>
        <v>-</v>
      </c>
      <c r="N22" s="421" t="str">
        <f t="shared" si="6"/>
        <v>-</v>
      </c>
      <c r="O22" s="420" t="str">
        <f t="shared" si="7"/>
        <v>-</v>
      </c>
      <c r="P22" s="2160" t="str">
        <f t="shared" ca="1" si="8"/>
        <v>-</v>
      </c>
      <c r="Q22" s="2165">
        <f t="shared" ca="1" si="9"/>
        <v>500</v>
      </c>
      <c r="R22" s="2171" t="str">
        <f t="shared" ca="1" si="10"/>
        <v>-</v>
      </c>
      <c r="S22" s="2165">
        <f t="shared" ca="1" si="9"/>
        <v>500</v>
      </c>
      <c r="T22" s="420" t="str">
        <f t="shared" ca="1" si="11"/>
        <v>-</v>
      </c>
      <c r="U22" s="37"/>
      <c r="V22" s="82"/>
      <c r="X22" s="1302" t="str">
        <f t="shared" ca="1" si="0"/>
        <v>-</v>
      </c>
      <c r="Y22" s="1302" t="str">
        <f t="shared" ca="1" si="1"/>
        <v>-</v>
      </c>
    </row>
    <row r="23" spans="1:25" ht="24" customHeight="1">
      <c r="A23" s="426">
        <v>17</v>
      </c>
      <c r="B23" s="1314">
        <f ca="1">'مقادیر تولید'!B22</f>
        <v>0</v>
      </c>
      <c r="C23" s="2140">
        <f ca="1">'مقادیر تولید'!C22</f>
        <v>0</v>
      </c>
      <c r="D23" s="68"/>
      <c r="E23" s="219"/>
      <c r="F23" s="419">
        <f t="shared" si="2"/>
        <v>0</v>
      </c>
      <c r="G23" s="1323" cm="1">
        <f t="array" aca="1" ref="G23" ca="1">IF(ROW()-ROW($A$7)&lt;'الف-ب-ج'!$L$9,IF(روکش!$F$9="سه ماهه",INDIRECT("BudgetDB!X"&amp;('الف-ب-ج'!$M$9+ROW()-ROW($A$7))),INDIRECT("BudgetDB!Y"&amp;('الف-ب-ج'!$M$9+ROW()-ROW($A$7)))),"")</f>
        <v>0</v>
      </c>
      <c r="H23" s="1324" cm="1">
        <f t="array" aca="1" ref="H23" ca="1">IF(ROW()-ROW($A$7)&lt;'الف-ب-ج'!$L$9,IF(روکش!$F$9="سه ماهه",INDIRECT("BudgetDB!Z"&amp;('الف-ب-ج'!$M$9+ROW()-ROW($A$7))),INDIRECT("BudgetDB!AA"&amp;('الف-ب-ج'!$M$9+ROW()-ROW($A$7)))),"")</f>
        <v>0</v>
      </c>
      <c r="I23" s="419">
        <f t="shared" ca="1" si="3"/>
        <v>0</v>
      </c>
      <c r="J23" s="68"/>
      <c r="K23" s="219"/>
      <c r="L23" s="419">
        <f t="shared" si="4"/>
        <v>0</v>
      </c>
      <c r="M23" s="404" t="str">
        <f t="shared" si="5"/>
        <v>-</v>
      </c>
      <c r="N23" s="421" t="str">
        <f t="shared" si="6"/>
        <v>-</v>
      </c>
      <c r="O23" s="420" t="str">
        <f t="shared" si="7"/>
        <v>-</v>
      </c>
      <c r="P23" s="2160" t="str">
        <f t="shared" ca="1" si="8"/>
        <v>-</v>
      </c>
      <c r="Q23" s="2165">
        <f t="shared" ca="1" si="9"/>
        <v>500</v>
      </c>
      <c r="R23" s="2171" t="str">
        <f t="shared" ca="1" si="10"/>
        <v>-</v>
      </c>
      <c r="S23" s="2165">
        <f t="shared" ca="1" si="9"/>
        <v>500</v>
      </c>
      <c r="T23" s="420" t="str">
        <f t="shared" ca="1" si="11"/>
        <v>-</v>
      </c>
      <c r="U23" s="37"/>
      <c r="V23" s="82"/>
      <c r="X23" s="1302" t="str">
        <f t="shared" ca="1" si="0"/>
        <v>-</v>
      </c>
      <c r="Y23" s="1302" t="str">
        <f t="shared" ca="1" si="1"/>
        <v>-</v>
      </c>
    </row>
    <row r="24" spans="1:25" ht="24" customHeight="1">
      <c r="A24" s="426">
        <v>18</v>
      </c>
      <c r="B24" s="1314">
        <f ca="1">'مقادیر تولید'!B23</f>
        <v>0</v>
      </c>
      <c r="C24" s="2140">
        <f ca="1">'مقادیر تولید'!C23</f>
        <v>0</v>
      </c>
      <c r="D24" s="68"/>
      <c r="E24" s="219"/>
      <c r="F24" s="419">
        <f t="shared" si="2"/>
        <v>0</v>
      </c>
      <c r="G24" s="1323" cm="1">
        <f t="array" aca="1" ref="G24" ca="1">IF(ROW()-ROW($A$7)&lt;'الف-ب-ج'!$L$9,IF(روکش!$F$9="سه ماهه",INDIRECT("BudgetDB!X"&amp;('الف-ب-ج'!$M$9+ROW()-ROW($A$7))),INDIRECT("BudgetDB!Y"&amp;('الف-ب-ج'!$M$9+ROW()-ROW($A$7)))),"")</f>
        <v>0</v>
      </c>
      <c r="H24" s="1324" cm="1">
        <f t="array" aca="1" ref="H24" ca="1">IF(ROW()-ROW($A$7)&lt;'الف-ب-ج'!$L$9,IF(روکش!$F$9="سه ماهه",INDIRECT("BudgetDB!Z"&amp;('الف-ب-ج'!$M$9+ROW()-ROW($A$7))),INDIRECT("BudgetDB!AA"&amp;('الف-ب-ج'!$M$9+ROW()-ROW($A$7)))),"")</f>
        <v>0</v>
      </c>
      <c r="I24" s="419">
        <f t="shared" ca="1" si="3"/>
        <v>0</v>
      </c>
      <c r="J24" s="68"/>
      <c r="K24" s="219"/>
      <c r="L24" s="419">
        <f t="shared" si="4"/>
        <v>0</v>
      </c>
      <c r="M24" s="404" t="str">
        <f t="shared" si="5"/>
        <v>-</v>
      </c>
      <c r="N24" s="421" t="str">
        <f t="shared" si="6"/>
        <v>-</v>
      </c>
      <c r="O24" s="420" t="str">
        <f t="shared" si="7"/>
        <v>-</v>
      </c>
      <c r="P24" s="2160" t="str">
        <f t="shared" ca="1" si="8"/>
        <v>-</v>
      </c>
      <c r="Q24" s="2165">
        <f t="shared" ca="1" si="9"/>
        <v>500</v>
      </c>
      <c r="R24" s="2171" t="str">
        <f t="shared" ca="1" si="10"/>
        <v>-</v>
      </c>
      <c r="S24" s="2165">
        <f t="shared" ca="1" si="9"/>
        <v>500</v>
      </c>
      <c r="T24" s="420" t="str">
        <f t="shared" ca="1" si="11"/>
        <v>-</v>
      </c>
      <c r="U24" s="37"/>
      <c r="V24" s="82"/>
      <c r="X24" s="1302" t="str">
        <f t="shared" ca="1" si="0"/>
        <v>-</v>
      </c>
      <c r="Y24" s="1302" t="str">
        <f t="shared" ca="1" si="1"/>
        <v>-</v>
      </c>
    </row>
    <row r="25" spans="1:25" ht="24" customHeight="1">
      <c r="A25" s="426">
        <v>19</v>
      </c>
      <c r="B25" s="1314">
        <f ca="1">'مقادیر تولید'!B24</f>
        <v>0</v>
      </c>
      <c r="C25" s="2140">
        <f ca="1">'مقادیر تولید'!C24</f>
        <v>0</v>
      </c>
      <c r="D25" s="68"/>
      <c r="E25" s="219"/>
      <c r="F25" s="419">
        <f t="shared" si="2"/>
        <v>0</v>
      </c>
      <c r="G25" s="1323" cm="1">
        <f t="array" aca="1" ref="G25" ca="1">IF(ROW()-ROW($A$7)&lt;'الف-ب-ج'!$L$9,IF(روکش!$F$9="سه ماهه",INDIRECT("BudgetDB!X"&amp;('الف-ب-ج'!$M$9+ROW()-ROW($A$7))),INDIRECT("BudgetDB!Y"&amp;('الف-ب-ج'!$M$9+ROW()-ROW($A$7)))),"")</f>
        <v>0</v>
      </c>
      <c r="H25" s="1324" cm="1">
        <f t="array" aca="1" ref="H25" ca="1">IF(ROW()-ROW($A$7)&lt;'الف-ب-ج'!$L$9,IF(روکش!$F$9="سه ماهه",INDIRECT("BudgetDB!Z"&amp;('الف-ب-ج'!$M$9+ROW()-ROW($A$7))),INDIRECT("BudgetDB!AA"&amp;('الف-ب-ج'!$M$9+ROW()-ROW($A$7)))),"")</f>
        <v>0</v>
      </c>
      <c r="I25" s="419">
        <f t="shared" ca="1" si="3"/>
        <v>0</v>
      </c>
      <c r="J25" s="68"/>
      <c r="K25" s="219"/>
      <c r="L25" s="419">
        <f t="shared" si="4"/>
        <v>0</v>
      </c>
      <c r="M25" s="404" t="str">
        <f t="shared" si="5"/>
        <v>-</v>
      </c>
      <c r="N25" s="421" t="str">
        <f t="shared" si="6"/>
        <v>-</v>
      </c>
      <c r="O25" s="420" t="str">
        <f t="shared" si="7"/>
        <v>-</v>
      </c>
      <c r="P25" s="2160" t="str">
        <f t="shared" ca="1" si="8"/>
        <v>-</v>
      </c>
      <c r="Q25" s="2165">
        <f t="shared" ca="1" si="9"/>
        <v>500</v>
      </c>
      <c r="R25" s="2171" t="str">
        <f t="shared" ca="1" si="10"/>
        <v>-</v>
      </c>
      <c r="S25" s="2165">
        <f t="shared" ca="1" si="9"/>
        <v>500</v>
      </c>
      <c r="T25" s="420" t="str">
        <f t="shared" ca="1" si="11"/>
        <v>-</v>
      </c>
      <c r="U25" s="37"/>
      <c r="V25" s="82"/>
      <c r="X25" s="1302" t="str">
        <f t="shared" ca="1" si="0"/>
        <v>-</v>
      </c>
      <c r="Y25" s="1302" t="str">
        <f t="shared" ca="1" si="1"/>
        <v>-</v>
      </c>
    </row>
    <row r="26" spans="1:25" ht="24" customHeight="1" thickBot="1">
      <c r="A26" s="426">
        <v>20</v>
      </c>
      <c r="B26" s="1314">
        <f ca="1">'مقادیر تولید'!B25</f>
        <v>0</v>
      </c>
      <c r="C26" s="2140">
        <f ca="1">'مقادیر تولید'!C25</f>
        <v>0</v>
      </c>
      <c r="D26" s="68"/>
      <c r="E26" s="219"/>
      <c r="F26" s="419">
        <f>IFERROR(E26*D26/1000000,0)</f>
        <v>0</v>
      </c>
      <c r="G26" s="1323" cm="1">
        <f t="array" aca="1" ref="G26" ca="1">IF(ROW()-ROW($A$7)&lt;'الف-ب-ج'!$L$9,IF(روکش!$F$9="سه ماهه",INDIRECT("BudgetDB!X"&amp;('الف-ب-ج'!$M$9+ROW()-ROW($A$7))),INDIRECT("BudgetDB!Y"&amp;('الف-ب-ج'!$M$9+ROW()-ROW($A$7)))),"")</f>
        <v>0</v>
      </c>
      <c r="H26" s="1324" cm="1">
        <f t="array" aca="1" ref="H26" ca="1">IF(ROW()-ROW($A$7)&lt;'الف-ب-ج'!$L$9,IF(روکش!$F$9="سه ماهه",INDIRECT("BudgetDB!Z"&amp;('الف-ب-ج'!$M$9+ROW()-ROW($A$7))),INDIRECT("BudgetDB!AA"&amp;('الف-ب-ج'!$M$9+ROW()-ROW($A$7)))),"")</f>
        <v>0</v>
      </c>
      <c r="I26" s="419">
        <f t="shared" ca="1" si="3"/>
        <v>0</v>
      </c>
      <c r="J26" s="68"/>
      <c r="K26" s="219"/>
      <c r="L26" s="419">
        <f t="shared" si="4"/>
        <v>0</v>
      </c>
      <c r="M26" s="404" t="str">
        <f t="shared" si="5"/>
        <v>-</v>
      </c>
      <c r="N26" s="421" t="str">
        <f t="shared" si="6"/>
        <v>-</v>
      </c>
      <c r="O26" s="420" t="str">
        <f t="shared" si="7"/>
        <v>-</v>
      </c>
      <c r="P26" s="2160" t="str">
        <f t="shared" ca="1" si="8"/>
        <v>-</v>
      </c>
      <c r="Q26" s="2165">
        <f t="shared" ca="1" si="9"/>
        <v>500</v>
      </c>
      <c r="R26" s="2171" t="str">
        <f t="shared" ca="1" si="10"/>
        <v>-</v>
      </c>
      <c r="S26" s="2165">
        <f t="shared" ca="1" si="9"/>
        <v>500</v>
      </c>
      <c r="T26" s="420" t="str">
        <f t="shared" ca="1" si="11"/>
        <v>-</v>
      </c>
      <c r="U26" s="37"/>
      <c r="V26" s="82"/>
      <c r="X26" s="1302" t="str">
        <f t="shared" ca="1" si="0"/>
        <v>-</v>
      </c>
      <c r="Y26" s="1302" t="str">
        <f t="shared" ca="1" si="1"/>
        <v>-</v>
      </c>
    </row>
    <row r="27" spans="1:25" ht="24" customHeight="1" thickBot="1">
      <c r="A27" s="2736" t="s">
        <v>13</v>
      </c>
      <c r="B27" s="2737"/>
      <c r="C27" s="2738"/>
      <c r="D27" s="1326"/>
      <c r="E27" s="1326"/>
      <c r="F27" s="1327">
        <f>SUM(F7:F26)</f>
        <v>0</v>
      </c>
      <c r="G27" s="1326"/>
      <c r="H27" s="1326"/>
      <c r="I27" s="1327">
        <f ca="1">SUM(I7:I26)</f>
        <v>0</v>
      </c>
      <c r="J27" s="1326"/>
      <c r="K27" s="1326"/>
      <c r="L27" s="1327">
        <f>SUM(L7:L26)</f>
        <v>0</v>
      </c>
      <c r="M27" s="1326"/>
      <c r="N27" s="1326"/>
      <c r="O27" s="1327" t="str">
        <f>IFERROR((L27-F27)*100/F27,"-")</f>
        <v>-</v>
      </c>
      <c r="P27" s="2167"/>
      <c r="Q27" s="2168"/>
      <c r="R27" s="2166"/>
      <c r="S27" s="2168"/>
      <c r="T27" s="2172" t="str">
        <f ca="1">IFERROR(L27*100/I27,"-")</f>
        <v>-</v>
      </c>
      <c r="U27" s="37"/>
      <c r="V27" s="82"/>
    </row>
    <row r="28" spans="1:25" ht="12.75" customHeight="1">
      <c r="A28" s="746"/>
      <c r="B28" s="747"/>
      <c r="C28" s="747"/>
      <c r="D28" s="747"/>
      <c r="E28" s="747"/>
      <c r="F28" s="747"/>
      <c r="G28" s="747"/>
      <c r="H28" s="747"/>
      <c r="I28" s="747"/>
      <c r="J28" s="747"/>
      <c r="K28" s="747"/>
      <c r="L28" s="747"/>
      <c r="M28" s="747"/>
      <c r="N28" s="747"/>
      <c r="O28" s="747"/>
      <c r="P28" s="747"/>
      <c r="Q28" s="747"/>
      <c r="R28" s="747"/>
      <c r="S28" s="747"/>
      <c r="T28" s="747"/>
      <c r="U28" s="27"/>
      <c r="V28" s="748"/>
    </row>
  </sheetData>
  <mergeCells count="12">
    <mergeCell ref="R3:T3"/>
    <mergeCell ref="F5:F6"/>
    <mergeCell ref="A4:A6"/>
    <mergeCell ref="A1:T1"/>
    <mergeCell ref="A27:C27"/>
    <mergeCell ref="O3:P3"/>
    <mergeCell ref="B4:B6"/>
    <mergeCell ref="C4:C6"/>
    <mergeCell ref="D5:D6"/>
    <mergeCell ref="E5:E6"/>
    <mergeCell ref="R6:S6"/>
    <mergeCell ref="P6:Q6"/>
  </mergeCells>
  <conditionalFormatting sqref="K7:K26">
    <cfRule type="expression" dxfId="663" priority="18">
      <formula>AND(C7="میلیون ریال",AND(K7&lt;&gt;"",K7&lt;&gt;1000000))</formula>
    </cfRule>
  </conditionalFormatting>
  <conditionalFormatting sqref="E7:E26">
    <cfRule type="expression" dxfId="662" priority="16">
      <formula>AND(C7="میلیون ریال",AND(E7&lt;&gt;1000000,E7&lt;&gt;""))</formula>
    </cfRule>
  </conditionalFormatting>
  <conditionalFormatting sqref="B7:B26">
    <cfRule type="expression" dxfId="661" priority="8">
      <formula>AND(B7=0,OR($D7&lt;&gt;0,$J7&lt;&gt;0))</formula>
    </cfRule>
  </conditionalFormatting>
  <conditionalFormatting sqref="C7:C26">
    <cfRule type="expression" dxfId="660" priority="7">
      <formula>AND(C7=0,OR($D7&lt;&gt;0,$J7&lt;&gt;0))</formula>
    </cfRule>
  </conditionalFormatting>
  <conditionalFormatting sqref="Q7:Q26">
    <cfRule type="iconSet" priority="6">
      <iconSet iconSet="3Symbols" showValue="0" reverse="1">
        <cfvo type="percent" val="0"/>
        <cfvo type="num" val="10" gte="0"/>
        <cfvo type="num" val="40"/>
      </iconSet>
    </cfRule>
  </conditionalFormatting>
  <conditionalFormatting sqref="S7:S26">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C2FBE73F-1544-45CE-A65C-DEA2AC1CB53C}">
            <x14:iconSet iconSet="3Symbols" custom="1">
              <x14:cfvo type="percent">
                <xm:f>0</xm:f>
              </x14:cfvo>
              <x14:cfvo type="num">
                <xm:f>0</xm:f>
              </x14:cfvo>
              <x14:cfvo type="num">
                <xm:f>0</xm:f>
              </x14:cfvo>
              <x14:cfIcon iconSet="3Symbols" iconId="1"/>
              <x14:cfIcon iconSet="3Symbols" iconId="1"/>
              <x14:cfIcon iconSet="NoIcons" iconId="0"/>
            </x14:iconSet>
          </x14:cfRule>
          <xm:sqref>M7:N27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0">
    <pageSetUpPr fitToPage="1"/>
  </sheetPr>
  <dimension ref="A1:AM32"/>
  <sheetViews>
    <sheetView rightToLeft="1" workbookViewId="0">
      <selection sqref="A1:F1"/>
    </sheetView>
  </sheetViews>
  <sheetFormatPr defaultColWidth="9" defaultRowHeight="15"/>
  <cols>
    <col min="1" max="1" width="8.5703125" style="5" customWidth="1"/>
    <col min="2" max="2" width="29.5703125" style="5" customWidth="1"/>
    <col min="3" max="3" width="9" style="5"/>
    <col min="4" max="4" width="10.5703125" style="5" customWidth="1"/>
    <col min="5" max="5" width="12" style="5" bestFit="1" customWidth="1"/>
    <col min="6" max="6" width="12.5703125" style="5" customWidth="1"/>
    <col min="7" max="7" width="11.5703125" style="5" customWidth="1"/>
    <col min="8" max="8" width="12.7109375" style="5" bestFit="1" customWidth="1"/>
    <col min="9" max="9" width="12.5703125" style="5" customWidth="1"/>
    <col min="10" max="11" width="11.5703125" style="5" customWidth="1"/>
    <col min="12" max="12" width="12.5703125" style="5" customWidth="1"/>
    <col min="13" max="18" width="9.5703125" style="5" customWidth="1"/>
    <col min="19" max="19" width="9" style="5" customWidth="1"/>
    <col min="20" max="20" width="9" style="79" customWidth="1"/>
    <col min="21" max="21" width="9" style="79"/>
    <col min="22" max="23" width="0" style="79" hidden="1" customWidth="1"/>
    <col min="24" max="26" width="9" style="79" customWidth="1"/>
    <col min="27" max="39" width="9" style="79"/>
    <col min="40" max="16384" width="9" style="5"/>
  </cols>
  <sheetData>
    <row r="1" spans="1:23" ht="15.75" customHeight="1">
      <c r="A1" s="2759"/>
      <c r="B1" s="2759"/>
      <c r="C1" s="2759"/>
      <c r="D1" s="2759"/>
      <c r="E1" s="2759"/>
      <c r="F1" s="2759"/>
      <c r="G1" s="407"/>
      <c r="H1" s="407"/>
      <c r="I1" s="407"/>
      <c r="J1" s="407"/>
      <c r="K1" s="407"/>
      <c r="L1" s="407"/>
      <c r="M1" s="407"/>
      <c r="N1" s="407"/>
      <c r="O1" s="407"/>
      <c r="P1" s="407"/>
      <c r="Q1" s="407"/>
      <c r="R1" s="407"/>
      <c r="S1" s="9"/>
      <c r="T1" s="80"/>
    </row>
    <row r="2" spans="1:23" ht="24">
      <c r="A2" s="2685" t="str">
        <f>'صورتخلاصه درآمد'!A1:F1</f>
        <v>انبارهای عمومی و خدمات گمرکی ایران</v>
      </c>
      <c r="B2" s="2685"/>
      <c r="C2" s="2685"/>
      <c r="D2" s="2685"/>
      <c r="E2" s="2685"/>
      <c r="F2" s="2685"/>
      <c r="G2" s="2685"/>
      <c r="H2" s="2685"/>
      <c r="I2" s="2685"/>
      <c r="J2" s="2685"/>
      <c r="K2" s="2685"/>
      <c r="L2" s="2685"/>
      <c r="M2" s="2685"/>
      <c r="N2" s="2685"/>
      <c r="O2" s="2685"/>
      <c r="P2" s="2685"/>
      <c r="Q2" s="2685"/>
      <c r="R2" s="2685"/>
    </row>
    <row r="3" spans="1:23" ht="20.25" customHeight="1">
      <c r="A3" s="396"/>
      <c r="B3" s="396"/>
      <c r="C3" s="396"/>
      <c r="D3" s="396"/>
      <c r="E3" s="396"/>
      <c r="F3" s="396"/>
      <c r="G3" s="396"/>
      <c r="H3" s="396"/>
      <c r="I3" s="396"/>
      <c r="J3" s="396"/>
      <c r="K3" s="396"/>
      <c r="L3" s="396"/>
      <c r="M3" s="396"/>
      <c r="N3" s="396"/>
      <c r="O3" s="396"/>
      <c r="P3" s="396"/>
      <c r="Q3" s="396"/>
      <c r="R3" s="396"/>
    </row>
    <row r="4" spans="1:23" ht="24" customHeight="1">
      <c r="A4" s="1110" t="s">
        <v>1266</v>
      </c>
      <c r="B4" s="1110"/>
      <c r="C4" s="1110"/>
      <c r="D4" s="1110"/>
      <c r="E4" s="1110"/>
      <c r="F4" s="1110"/>
      <c r="G4" s="1110"/>
      <c r="H4" s="1110"/>
      <c r="I4" s="1110"/>
      <c r="J4" s="1110"/>
      <c r="K4" s="1110"/>
      <c r="L4" s="1110"/>
      <c r="M4" s="1110"/>
      <c r="N4" s="1110"/>
      <c r="O4" s="1088" t="s">
        <v>1246</v>
      </c>
      <c r="P4" s="1089" t="str">
        <f>روکش!$F$9</f>
        <v>شش ماهه</v>
      </c>
      <c r="Q4" s="1089" t="s">
        <v>379</v>
      </c>
      <c r="R4" s="1088">
        <f>روکش!$D$9</f>
        <v>1405</v>
      </c>
      <c r="S4" s="740"/>
      <c r="T4" s="741"/>
    </row>
    <row r="5" spans="1:23" ht="24.75">
      <c r="A5" s="408"/>
      <c r="B5" s="408"/>
      <c r="C5" s="408"/>
      <c r="D5" s="409"/>
      <c r="E5" s="410"/>
      <c r="F5" s="410"/>
      <c r="G5" s="411"/>
      <c r="H5" s="411"/>
      <c r="I5" s="411"/>
      <c r="J5" s="411"/>
      <c r="K5"/>
      <c r="L5"/>
      <c r="M5" s="704"/>
      <c r="N5" s="704"/>
      <c r="O5" s="2760" t="s">
        <v>3</v>
      </c>
      <c r="P5" s="2760"/>
      <c r="Q5" s="2761" t="s">
        <v>4</v>
      </c>
      <c r="R5" s="2761"/>
      <c r="S5" s="742"/>
      <c r="T5" s="743"/>
    </row>
    <row r="6" spans="1:23" ht="1.5" customHeight="1" thickBot="1">
      <c r="A6" s="408"/>
      <c r="B6" s="408"/>
      <c r="C6" s="408"/>
      <c r="D6" s="409"/>
      <c r="E6" s="410"/>
      <c r="F6" s="410"/>
      <c r="G6" s="411"/>
      <c r="H6" s="411"/>
      <c r="I6" s="411"/>
      <c r="J6" s="411"/>
      <c r="K6" s="704"/>
      <c r="L6" s="704"/>
      <c r="M6" s="704"/>
      <c r="N6" s="704"/>
      <c r="O6" s="704"/>
      <c r="P6" s="704"/>
      <c r="Q6" s="706"/>
      <c r="R6" s="706"/>
      <c r="S6" s="742"/>
      <c r="T6" s="743"/>
    </row>
    <row r="7" spans="1:23" ht="24.75" thickBot="1">
      <c r="A7" s="2733" t="s">
        <v>5</v>
      </c>
      <c r="B7" s="2740" t="s">
        <v>6</v>
      </c>
      <c r="C7" s="2743" t="s">
        <v>7</v>
      </c>
      <c r="D7" s="2756" t="s">
        <v>639</v>
      </c>
      <c r="E7" s="2757"/>
      <c r="F7" s="2758"/>
      <c r="G7" s="2756" t="s">
        <v>642</v>
      </c>
      <c r="H7" s="2757"/>
      <c r="I7" s="2757"/>
      <c r="J7" s="2757"/>
      <c r="K7" s="2757"/>
      <c r="L7" s="2757"/>
      <c r="M7" s="2757"/>
      <c r="N7" s="2757"/>
      <c r="O7" s="2757"/>
      <c r="P7" s="2757"/>
      <c r="Q7" s="2757"/>
      <c r="R7" s="2758"/>
      <c r="S7" s="37"/>
      <c r="T7" s="82"/>
    </row>
    <row r="8" spans="1:23" ht="24" customHeight="1">
      <c r="A8" s="2734"/>
      <c r="B8" s="2741"/>
      <c r="C8" s="2744"/>
      <c r="D8" s="2733" t="s">
        <v>8</v>
      </c>
      <c r="E8" s="2740" t="s">
        <v>9</v>
      </c>
      <c r="F8" s="2731" t="s">
        <v>10</v>
      </c>
      <c r="G8" s="2753" t="s">
        <v>217</v>
      </c>
      <c r="H8" s="2754"/>
      <c r="I8" s="2755"/>
      <c r="J8" s="2753" t="s">
        <v>216</v>
      </c>
      <c r="K8" s="2754"/>
      <c r="L8" s="2755"/>
      <c r="M8" s="2762" t="s">
        <v>793</v>
      </c>
      <c r="N8" s="2754"/>
      <c r="O8" s="2755"/>
      <c r="P8" s="2753" t="s">
        <v>643</v>
      </c>
      <c r="Q8" s="2754"/>
      <c r="R8" s="2755"/>
      <c r="S8" s="37"/>
      <c r="T8" s="82"/>
    </row>
    <row r="9" spans="1:23" ht="50.1" customHeight="1" thickBot="1">
      <c r="A9" s="2735"/>
      <c r="B9" s="2742"/>
      <c r="C9" s="2745"/>
      <c r="D9" s="2735"/>
      <c r="E9" s="2742"/>
      <c r="F9" s="2732"/>
      <c r="G9" s="703" t="s">
        <v>11</v>
      </c>
      <c r="H9" s="705" t="s">
        <v>9</v>
      </c>
      <c r="I9" s="412" t="s">
        <v>12</v>
      </c>
      <c r="J9" s="703" t="s">
        <v>11</v>
      </c>
      <c r="K9" s="705" t="s">
        <v>9</v>
      </c>
      <c r="L9" s="412" t="s">
        <v>12</v>
      </c>
      <c r="M9" s="703" t="s">
        <v>11</v>
      </c>
      <c r="N9" s="705" t="s">
        <v>9</v>
      </c>
      <c r="O9" s="412" t="s">
        <v>12</v>
      </c>
      <c r="P9" s="703" t="s">
        <v>11</v>
      </c>
      <c r="Q9" s="705" t="s">
        <v>9</v>
      </c>
      <c r="R9" s="412" t="s">
        <v>12</v>
      </c>
      <c r="S9" s="139"/>
      <c r="T9" s="82"/>
      <c r="V9" s="210" t="s">
        <v>784</v>
      </c>
      <c r="W9" s="210" t="s">
        <v>784</v>
      </c>
    </row>
    <row r="10" spans="1:23" ht="24" customHeight="1">
      <c r="A10" s="424">
        <v>1</v>
      </c>
      <c r="B10" s="752">
        <f ca="1">'مقادیر تولید'!B6</f>
        <v>0</v>
      </c>
      <c r="C10" s="753">
        <f ca="1">'مقادیر تولید'!C6</f>
        <v>0</v>
      </c>
      <c r="D10" s="215"/>
      <c r="E10" s="216"/>
      <c r="F10" s="749">
        <f>IFERROR(E10*D10/1000000,"")</f>
        <v>0</v>
      </c>
      <c r="G10" s="215"/>
      <c r="H10" s="216"/>
      <c r="I10" s="749">
        <f>IFERROR(H10*G10/1000000,"")</f>
        <v>0</v>
      </c>
      <c r="J10" s="754"/>
      <c r="K10" s="755"/>
      <c r="L10" s="413">
        <f>K10*J10/1000000</f>
        <v>0</v>
      </c>
      <c r="M10" s="402" t="str">
        <f t="shared" ref="M10:M29" si="0">IFERROR((J10-D10)*100/D10,"-")</f>
        <v>-</v>
      </c>
      <c r="N10" s="414" t="str">
        <f t="shared" ref="N10:O25" si="1">IFERROR((K10-E10)*100/E10,"-")</f>
        <v>-</v>
      </c>
      <c r="O10" s="415" t="str">
        <f t="shared" si="1"/>
        <v>-</v>
      </c>
      <c r="P10" s="402" t="str">
        <f t="shared" ref="P10:P29" si="2">IFERROR(J10*100/G10,"-")</f>
        <v>-</v>
      </c>
      <c r="Q10" s="414" t="str">
        <f t="shared" ref="Q10:R25" si="3">IFERROR(K10*100/H10,"-")</f>
        <v>-</v>
      </c>
      <c r="R10" s="415" t="str">
        <f t="shared" si="3"/>
        <v>-</v>
      </c>
      <c r="S10" s="37"/>
      <c r="T10" s="82"/>
      <c r="V10" s="210" t="str">
        <f>IF(AND(G10=0,J10&gt;0),100,IFERROR(ABS(P10-100),"-"))</f>
        <v>-</v>
      </c>
      <c r="W10" s="210" t="str">
        <f>IF(AND(H10=0,K10&gt;0),100,IFERROR(ABS(Q10-100),"-"))</f>
        <v>-</v>
      </c>
    </row>
    <row r="11" spans="1:23" ht="24" customHeight="1">
      <c r="A11" s="425">
        <v>2</v>
      </c>
      <c r="B11" s="756">
        <f ca="1">'مقادیر تولید'!B7</f>
        <v>0</v>
      </c>
      <c r="C11" s="757">
        <f ca="1">'مقادیر تولید'!C7</f>
        <v>0</v>
      </c>
      <c r="D11" s="217"/>
      <c r="E11" s="218"/>
      <c r="F11" s="750">
        <f t="shared" ref="F11:F29" si="4">IFERROR(E11*D11/1000000,"")</f>
        <v>0</v>
      </c>
      <c r="G11" s="217"/>
      <c r="H11" s="218"/>
      <c r="I11" s="750">
        <f t="shared" ref="I11:I29" si="5">IFERROR(H11*G11/1000000,"")</f>
        <v>0</v>
      </c>
      <c r="J11" s="758"/>
      <c r="K11" s="759"/>
      <c r="L11" s="416">
        <f t="shared" ref="L11:L29" si="6">K11*J11/1000000</f>
        <v>0</v>
      </c>
      <c r="M11" s="406" t="str">
        <f t="shared" si="0"/>
        <v>-</v>
      </c>
      <c r="N11" s="417" t="str">
        <f t="shared" si="1"/>
        <v>-</v>
      </c>
      <c r="O11" s="418" t="str">
        <f t="shared" si="1"/>
        <v>-</v>
      </c>
      <c r="P11" s="406" t="str">
        <f t="shared" si="2"/>
        <v>-</v>
      </c>
      <c r="Q11" s="417" t="str">
        <f t="shared" si="3"/>
        <v>-</v>
      </c>
      <c r="R11" s="418" t="str">
        <f t="shared" si="3"/>
        <v>-</v>
      </c>
      <c r="S11" s="37"/>
      <c r="T11" s="82"/>
      <c r="V11" s="210" t="str">
        <f t="shared" ref="V11:W29" si="7">IF(AND(G11=0,J11&gt;0),100,IFERROR(ABS(P11-100),"-"))</f>
        <v>-</v>
      </c>
      <c r="W11" s="210" t="str">
        <f t="shared" si="7"/>
        <v>-</v>
      </c>
    </row>
    <row r="12" spans="1:23" ht="24" customHeight="1">
      <c r="A12" s="425">
        <v>3</v>
      </c>
      <c r="B12" s="756">
        <f ca="1">'مقادیر تولید'!B8</f>
        <v>0</v>
      </c>
      <c r="C12" s="757">
        <f ca="1">'مقادیر تولید'!C8</f>
        <v>0</v>
      </c>
      <c r="D12" s="217"/>
      <c r="E12" s="218"/>
      <c r="F12" s="750">
        <f t="shared" si="4"/>
        <v>0</v>
      </c>
      <c r="G12" s="217"/>
      <c r="H12" s="218"/>
      <c r="I12" s="750">
        <f t="shared" si="5"/>
        <v>0</v>
      </c>
      <c r="J12" s="758"/>
      <c r="K12" s="759"/>
      <c r="L12" s="416">
        <f t="shared" si="6"/>
        <v>0</v>
      </c>
      <c r="M12" s="406" t="str">
        <f t="shared" si="0"/>
        <v>-</v>
      </c>
      <c r="N12" s="417" t="str">
        <f t="shared" si="1"/>
        <v>-</v>
      </c>
      <c r="O12" s="418" t="str">
        <f t="shared" si="1"/>
        <v>-</v>
      </c>
      <c r="P12" s="406" t="str">
        <f t="shared" si="2"/>
        <v>-</v>
      </c>
      <c r="Q12" s="417" t="str">
        <f t="shared" si="3"/>
        <v>-</v>
      </c>
      <c r="R12" s="418" t="str">
        <f t="shared" si="3"/>
        <v>-</v>
      </c>
      <c r="S12" s="37"/>
      <c r="T12" s="82"/>
      <c r="V12" s="210" t="str">
        <f t="shared" si="7"/>
        <v>-</v>
      </c>
      <c r="W12" s="210" t="str">
        <f t="shared" si="7"/>
        <v>-</v>
      </c>
    </row>
    <row r="13" spans="1:23" ht="24" customHeight="1">
      <c r="A13" s="425">
        <v>4</v>
      </c>
      <c r="B13" s="756">
        <f ca="1">'مقادیر تولید'!B9</f>
        <v>0</v>
      </c>
      <c r="C13" s="757">
        <f ca="1">'مقادیر تولید'!C9</f>
        <v>0</v>
      </c>
      <c r="D13" s="217"/>
      <c r="E13" s="218"/>
      <c r="F13" s="750">
        <f t="shared" si="4"/>
        <v>0</v>
      </c>
      <c r="G13" s="217"/>
      <c r="H13" s="218"/>
      <c r="I13" s="750">
        <f t="shared" si="5"/>
        <v>0</v>
      </c>
      <c r="J13" s="758"/>
      <c r="K13" s="759"/>
      <c r="L13" s="416">
        <f t="shared" si="6"/>
        <v>0</v>
      </c>
      <c r="M13" s="406" t="str">
        <f t="shared" si="0"/>
        <v>-</v>
      </c>
      <c r="N13" s="417" t="str">
        <f t="shared" si="1"/>
        <v>-</v>
      </c>
      <c r="O13" s="418" t="str">
        <f t="shared" si="1"/>
        <v>-</v>
      </c>
      <c r="P13" s="406" t="str">
        <f t="shared" si="2"/>
        <v>-</v>
      </c>
      <c r="Q13" s="417" t="str">
        <f t="shared" si="3"/>
        <v>-</v>
      </c>
      <c r="R13" s="418" t="str">
        <f t="shared" si="3"/>
        <v>-</v>
      </c>
      <c r="S13" s="37"/>
      <c r="T13" s="82"/>
      <c r="V13" s="210" t="str">
        <f t="shared" si="7"/>
        <v>-</v>
      </c>
      <c r="W13" s="210" t="str">
        <f t="shared" si="7"/>
        <v>-</v>
      </c>
    </row>
    <row r="14" spans="1:23" ht="24" customHeight="1">
      <c r="A14" s="425">
        <v>5</v>
      </c>
      <c r="B14" s="756">
        <f ca="1">'مقادیر تولید'!B10</f>
        <v>0</v>
      </c>
      <c r="C14" s="757">
        <f ca="1">'مقادیر تولید'!C10</f>
        <v>0</v>
      </c>
      <c r="D14" s="217"/>
      <c r="E14" s="218"/>
      <c r="F14" s="750">
        <f t="shared" si="4"/>
        <v>0</v>
      </c>
      <c r="G14" s="217"/>
      <c r="H14" s="218"/>
      <c r="I14" s="750">
        <f t="shared" si="5"/>
        <v>0</v>
      </c>
      <c r="J14" s="758"/>
      <c r="K14" s="759"/>
      <c r="L14" s="416">
        <f>K14*J14/1000000</f>
        <v>0</v>
      </c>
      <c r="M14" s="406" t="str">
        <f t="shared" si="0"/>
        <v>-</v>
      </c>
      <c r="N14" s="417" t="str">
        <f t="shared" si="1"/>
        <v>-</v>
      </c>
      <c r="O14" s="418" t="str">
        <f t="shared" si="1"/>
        <v>-</v>
      </c>
      <c r="P14" s="406" t="str">
        <f t="shared" si="2"/>
        <v>-</v>
      </c>
      <c r="Q14" s="417" t="str">
        <f t="shared" si="3"/>
        <v>-</v>
      </c>
      <c r="R14" s="418" t="str">
        <f t="shared" si="3"/>
        <v>-</v>
      </c>
      <c r="S14" s="37"/>
      <c r="T14" s="82"/>
      <c r="V14" s="210" t="str">
        <f t="shared" si="7"/>
        <v>-</v>
      </c>
      <c r="W14" s="210" t="str">
        <f t="shared" si="7"/>
        <v>-</v>
      </c>
    </row>
    <row r="15" spans="1:23" ht="24" customHeight="1">
      <c r="A15" s="425">
        <v>6</v>
      </c>
      <c r="B15" s="756">
        <f ca="1">'مقادیر تولید'!B11</f>
        <v>0</v>
      </c>
      <c r="C15" s="757">
        <f ca="1">'مقادیر تولید'!C11</f>
        <v>0</v>
      </c>
      <c r="D15" s="217"/>
      <c r="E15" s="218"/>
      <c r="F15" s="750">
        <f t="shared" si="4"/>
        <v>0</v>
      </c>
      <c r="G15" s="217"/>
      <c r="H15" s="218"/>
      <c r="I15" s="750">
        <f t="shared" si="5"/>
        <v>0</v>
      </c>
      <c r="J15" s="758"/>
      <c r="K15" s="759"/>
      <c r="L15" s="416">
        <f t="shared" si="6"/>
        <v>0</v>
      </c>
      <c r="M15" s="406" t="str">
        <f t="shared" si="0"/>
        <v>-</v>
      </c>
      <c r="N15" s="417" t="str">
        <f t="shared" si="1"/>
        <v>-</v>
      </c>
      <c r="O15" s="418" t="str">
        <f t="shared" si="1"/>
        <v>-</v>
      </c>
      <c r="P15" s="406" t="str">
        <f t="shared" si="2"/>
        <v>-</v>
      </c>
      <c r="Q15" s="417" t="str">
        <f t="shared" si="3"/>
        <v>-</v>
      </c>
      <c r="R15" s="418" t="str">
        <f t="shared" si="3"/>
        <v>-</v>
      </c>
      <c r="S15" s="37"/>
      <c r="T15" s="82"/>
      <c r="V15" s="210" t="str">
        <f t="shared" si="7"/>
        <v>-</v>
      </c>
      <c r="W15" s="210" t="str">
        <f t="shared" si="7"/>
        <v>-</v>
      </c>
    </row>
    <row r="16" spans="1:23" ht="24" customHeight="1">
      <c r="A16" s="425">
        <v>7</v>
      </c>
      <c r="B16" s="756">
        <f ca="1">'مقادیر تولید'!B12</f>
        <v>0</v>
      </c>
      <c r="C16" s="757">
        <f ca="1">'مقادیر تولید'!C12</f>
        <v>0</v>
      </c>
      <c r="D16" s="217"/>
      <c r="E16" s="218"/>
      <c r="F16" s="750">
        <f t="shared" si="4"/>
        <v>0</v>
      </c>
      <c r="G16" s="217"/>
      <c r="H16" s="218"/>
      <c r="I16" s="750">
        <f t="shared" si="5"/>
        <v>0</v>
      </c>
      <c r="J16" s="758"/>
      <c r="K16" s="759"/>
      <c r="L16" s="416">
        <f t="shared" si="6"/>
        <v>0</v>
      </c>
      <c r="M16" s="406" t="str">
        <f t="shared" si="0"/>
        <v>-</v>
      </c>
      <c r="N16" s="417" t="str">
        <f t="shared" si="1"/>
        <v>-</v>
      </c>
      <c r="O16" s="418" t="str">
        <f>IFERROR((L16-F16)*100/F16,"-")</f>
        <v>-</v>
      </c>
      <c r="P16" s="406" t="str">
        <f t="shared" si="2"/>
        <v>-</v>
      </c>
      <c r="Q16" s="417" t="str">
        <f t="shared" si="3"/>
        <v>-</v>
      </c>
      <c r="R16" s="418" t="str">
        <f t="shared" si="3"/>
        <v>-</v>
      </c>
      <c r="S16" s="37"/>
      <c r="T16" s="82"/>
      <c r="V16" s="210" t="str">
        <f t="shared" si="7"/>
        <v>-</v>
      </c>
      <c r="W16" s="210" t="str">
        <f t="shared" si="7"/>
        <v>-</v>
      </c>
    </row>
    <row r="17" spans="1:23" ht="24" customHeight="1">
      <c r="A17" s="425">
        <v>8</v>
      </c>
      <c r="B17" s="756">
        <f ca="1">'مقادیر تولید'!B13</f>
        <v>0</v>
      </c>
      <c r="C17" s="757">
        <f ca="1">'مقادیر تولید'!C13</f>
        <v>0</v>
      </c>
      <c r="D17" s="217"/>
      <c r="E17" s="218"/>
      <c r="F17" s="750">
        <f t="shared" si="4"/>
        <v>0</v>
      </c>
      <c r="G17" s="217"/>
      <c r="H17" s="218"/>
      <c r="I17" s="750">
        <f t="shared" si="5"/>
        <v>0</v>
      </c>
      <c r="J17" s="758"/>
      <c r="K17" s="759"/>
      <c r="L17" s="416">
        <f t="shared" si="6"/>
        <v>0</v>
      </c>
      <c r="M17" s="406" t="str">
        <f t="shared" si="0"/>
        <v>-</v>
      </c>
      <c r="N17" s="417" t="str">
        <f t="shared" si="1"/>
        <v>-</v>
      </c>
      <c r="O17" s="418" t="str">
        <f t="shared" si="1"/>
        <v>-</v>
      </c>
      <c r="P17" s="406" t="str">
        <f t="shared" si="2"/>
        <v>-</v>
      </c>
      <c r="Q17" s="417" t="str">
        <f t="shared" si="3"/>
        <v>-</v>
      </c>
      <c r="R17" s="418" t="str">
        <f t="shared" si="3"/>
        <v>-</v>
      </c>
      <c r="S17" s="37"/>
      <c r="T17" s="82"/>
      <c r="V17" s="210" t="str">
        <f t="shared" si="7"/>
        <v>-</v>
      </c>
      <c r="W17" s="210" t="str">
        <f t="shared" si="7"/>
        <v>-</v>
      </c>
    </row>
    <row r="18" spans="1:23" ht="24" customHeight="1">
      <c r="A18" s="425">
        <v>9</v>
      </c>
      <c r="B18" s="756">
        <f ca="1">'مقادیر تولید'!B14</f>
        <v>0</v>
      </c>
      <c r="C18" s="757">
        <f ca="1">'مقادیر تولید'!C14</f>
        <v>0</v>
      </c>
      <c r="D18" s="217"/>
      <c r="E18" s="218"/>
      <c r="F18" s="750">
        <f t="shared" si="4"/>
        <v>0</v>
      </c>
      <c r="G18" s="217"/>
      <c r="H18" s="218"/>
      <c r="I18" s="750">
        <f t="shared" si="5"/>
        <v>0</v>
      </c>
      <c r="J18" s="758"/>
      <c r="K18" s="759"/>
      <c r="L18" s="416">
        <f t="shared" si="6"/>
        <v>0</v>
      </c>
      <c r="M18" s="406" t="str">
        <f t="shared" si="0"/>
        <v>-</v>
      </c>
      <c r="N18" s="417" t="str">
        <f t="shared" si="1"/>
        <v>-</v>
      </c>
      <c r="O18" s="418" t="str">
        <f t="shared" si="1"/>
        <v>-</v>
      </c>
      <c r="P18" s="406" t="str">
        <f t="shared" si="2"/>
        <v>-</v>
      </c>
      <c r="Q18" s="417" t="str">
        <f t="shared" si="3"/>
        <v>-</v>
      </c>
      <c r="R18" s="418" t="str">
        <f t="shared" si="3"/>
        <v>-</v>
      </c>
      <c r="S18" s="37"/>
      <c r="T18" s="82"/>
      <c r="V18" s="210" t="str">
        <f t="shared" si="7"/>
        <v>-</v>
      </c>
      <c r="W18" s="210" t="str">
        <f t="shared" si="7"/>
        <v>-</v>
      </c>
    </row>
    <row r="19" spans="1:23" ht="24" customHeight="1">
      <c r="A19" s="426">
        <v>10</v>
      </c>
      <c r="B19" s="760">
        <f ca="1">'مقادیر تولید'!B15</f>
        <v>0</v>
      </c>
      <c r="C19" s="761">
        <f ca="1">'مقادیر تولید'!C15</f>
        <v>0</v>
      </c>
      <c r="D19" s="68"/>
      <c r="E19" s="218"/>
      <c r="F19" s="751">
        <f t="shared" si="4"/>
        <v>0</v>
      </c>
      <c r="G19" s="68"/>
      <c r="H19" s="218"/>
      <c r="I19" s="751">
        <f t="shared" si="5"/>
        <v>0</v>
      </c>
      <c r="J19" s="762"/>
      <c r="K19" s="759"/>
      <c r="L19" s="419">
        <f t="shared" si="6"/>
        <v>0</v>
      </c>
      <c r="M19" s="404" t="str">
        <f t="shared" si="0"/>
        <v>-</v>
      </c>
      <c r="N19" s="417" t="str">
        <f t="shared" si="1"/>
        <v>-</v>
      </c>
      <c r="O19" s="420" t="str">
        <f t="shared" si="1"/>
        <v>-</v>
      </c>
      <c r="P19" s="404" t="str">
        <f t="shared" si="2"/>
        <v>-</v>
      </c>
      <c r="Q19" s="417" t="str">
        <f t="shared" si="3"/>
        <v>-</v>
      </c>
      <c r="R19" s="420" t="str">
        <f t="shared" si="3"/>
        <v>-</v>
      </c>
      <c r="S19" s="37"/>
      <c r="T19" s="82"/>
      <c r="V19" s="210" t="str">
        <f t="shared" si="7"/>
        <v>-</v>
      </c>
      <c r="W19" s="210" t="str">
        <f t="shared" si="7"/>
        <v>-</v>
      </c>
    </row>
    <row r="20" spans="1:23" ht="24" customHeight="1">
      <c r="A20" s="426">
        <v>11</v>
      </c>
      <c r="B20" s="760">
        <f ca="1">'مقادیر تولید'!B16</f>
        <v>0</v>
      </c>
      <c r="C20" s="761">
        <f ca="1">'مقادیر تولید'!C16</f>
        <v>0</v>
      </c>
      <c r="D20" s="68"/>
      <c r="E20" s="219"/>
      <c r="F20" s="751">
        <f t="shared" si="4"/>
        <v>0</v>
      </c>
      <c r="G20" s="68"/>
      <c r="H20" s="219"/>
      <c r="I20" s="751">
        <f t="shared" si="5"/>
        <v>0</v>
      </c>
      <c r="J20" s="762"/>
      <c r="K20" s="763"/>
      <c r="L20" s="419">
        <f t="shared" si="6"/>
        <v>0</v>
      </c>
      <c r="M20" s="404" t="str">
        <f t="shared" si="0"/>
        <v>-</v>
      </c>
      <c r="N20" s="421" t="str">
        <f t="shared" si="1"/>
        <v>-</v>
      </c>
      <c r="O20" s="420" t="str">
        <f t="shared" si="1"/>
        <v>-</v>
      </c>
      <c r="P20" s="404" t="str">
        <f t="shared" si="2"/>
        <v>-</v>
      </c>
      <c r="Q20" s="421" t="str">
        <f t="shared" si="3"/>
        <v>-</v>
      </c>
      <c r="R20" s="420" t="str">
        <f t="shared" si="3"/>
        <v>-</v>
      </c>
      <c r="S20" s="37"/>
      <c r="T20" s="82"/>
      <c r="V20" s="210" t="str">
        <f t="shared" si="7"/>
        <v>-</v>
      </c>
      <c r="W20" s="210" t="str">
        <f t="shared" si="7"/>
        <v>-</v>
      </c>
    </row>
    <row r="21" spans="1:23" ht="24" customHeight="1">
      <c r="A21" s="426">
        <v>12</v>
      </c>
      <c r="B21" s="760">
        <f ca="1">'مقادیر تولید'!B17</f>
        <v>0</v>
      </c>
      <c r="C21" s="761">
        <f ca="1">'مقادیر تولید'!C17</f>
        <v>0</v>
      </c>
      <c r="D21" s="68"/>
      <c r="E21" s="219"/>
      <c r="F21" s="751">
        <f t="shared" si="4"/>
        <v>0</v>
      </c>
      <c r="G21" s="68"/>
      <c r="H21" s="219"/>
      <c r="I21" s="751">
        <f t="shared" si="5"/>
        <v>0</v>
      </c>
      <c r="J21" s="762"/>
      <c r="K21" s="763"/>
      <c r="L21" s="419">
        <f t="shared" si="6"/>
        <v>0</v>
      </c>
      <c r="M21" s="404" t="str">
        <f t="shared" si="0"/>
        <v>-</v>
      </c>
      <c r="N21" s="421" t="str">
        <f t="shared" si="1"/>
        <v>-</v>
      </c>
      <c r="O21" s="420" t="str">
        <f t="shared" si="1"/>
        <v>-</v>
      </c>
      <c r="P21" s="404" t="str">
        <f t="shared" si="2"/>
        <v>-</v>
      </c>
      <c r="Q21" s="421" t="str">
        <f t="shared" si="3"/>
        <v>-</v>
      </c>
      <c r="R21" s="420" t="str">
        <f t="shared" si="3"/>
        <v>-</v>
      </c>
      <c r="S21" s="37"/>
      <c r="T21" s="82"/>
      <c r="V21" s="210" t="str">
        <f t="shared" si="7"/>
        <v>-</v>
      </c>
      <c r="W21" s="210" t="str">
        <f t="shared" si="7"/>
        <v>-</v>
      </c>
    </row>
    <row r="22" spans="1:23" ht="24" customHeight="1">
      <c r="A22" s="426">
        <v>13</v>
      </c>
      <c r="B22" s="760">
        <f ca="1">'مقادیر تولید'!B18</f>
        <v>0</v>
      </c>
      <c r="C22" s="761">
        <f ca="1">'مقادیر تولید'!C18</f>
        <v>0</v>
      </c>
      <c r="D22" s="68"/>
      <c r="E22" s="219"/>
      <c r="F22" s="751">
        <f t="shared" si="4"/>
        <v>0</v>
      </c>
      <c r="G22" s="68"/>
      <c r="H22" s="219"/>
      <c r="I22" s="751">
        <f t="shared" si="5"/>
        <v>0</v>
      </c>
      <c r="J22" s="762"/>
      <c r="K22" s="763"/>
      <c r="L22" s="419">
        <f t="shared" si="6"/>
        <v>0</v>
      </c>
      <c r="M22" s="404" t="str">
        <f t="shared" si="0"/>
        <v>-</v>
      </c>
      <c r="N22" s="421" t="str">
        <f t="shared" si="1"/>
        <v>-</v>
      </c>
      <c r="O22" s="420" t="str">
        <f t="shared" si="1"/>
        <v>-</v>
      </c>
      <c r="P22" s="404" t="str">
        <f t="shared" si="2"/>
        <v>-</v>
      </c>
      <c r="Q22" s="421" t="str">
        <f t="shared" si="3"/>
        <v>-</v>
      </c>
      <c r="R22" s="420" t="str">
        <f t="shared" si="3"/>
        <v>-</v>
      </c>
      <c r="S22" s="37"/>
      <c r="T22" s="82"/>
      <c r="V22" s="210" t="str">
        <f t="shared" si="7"/>
        <v>-</v>
      </c>
      <c r="W22" s="210" t="str">
        <f t="shared" si="7"/>
        <v>-</v>
      </c>
    </row>
    <row r="23" spans="1:23" ht="24" customHeight="1">
      <c r="A23" s="426">
        <v>14</v>
      </c>
      <c r="B23" s="760">
        <f ca="1">'مقادیر تولید'!B19</f>
        <v>0</v>
      </c>
      <c r="C23" s="761">
        <f ca="1">'مقادیر تولید'!C19</f>
        <v>0</v>
      </c>
      <c r="D23" s="68"/>
      <c r="E23" s="219"/>
      <c r="F23" s="751">
        <f t="shared" si="4"/>
        <v>0</v>
      </c>
      <c r="G23" s="68"/>
      <c r="H23" s="219"/>
      <c r="I23" s="751">
        <f t="shared" si="5"/>
        <v>0</v>
      </c>
      <c r="J23" s="762"/>
      <c r="K23" s="763"/>
      <c r="L23" s="419">
        <f t="shared" si="6"/>
        <v>0</v>
      </c>
      <c r="M23" s="404" t="str">
        <f t="shared" si="0"/>
        <v>-</v>
      </c>
      <c r="N23" s="421" t="str">
        <f t="shared" si="1"/>
        <v>-</v>
      </c>
      <c r="O23" s="420" t="str">
        <f t="shared" si="1"/>
        <v>-</v>
      </c>
      <c r="P23" s="404" t="str">
        <f t="shared" si="2"/>
        <v>-</v>
      </c>
      <c r="Q23" s="421" t="str">
        <f t="shared" si="3"/>
        <v>-</v>
      </c>
      <c r="R23" s="420" t="str">
        <f t="shared" si="3"/>
        <v>-</v>
      </c>
      <c r="S23" s="37"/>
      <c r="T23" s="82"/>
      <c r="V23" s="210" t="str">
        <f t="shared" si="7"/>
        <v>-</v>
      </c>
      <c r="W23" s="210" t="str">
        <f t="shared" si="7"/>
        <v>-</v>
      </c>
    </row>
    <row r="24" spans="1:23" ht="24" customHeight="1">
      <c r="A24" s="426">
        <v>15</v>
      </c>
      <c r="B24" s="760">
        <f ca="1">'مقادیر تولید'!B20</f>
        <v>0</v>
      </c>
      <c r="C24" s="761">
        <f ca="1">'مقادیر تولید'!C20</f>
        <v>0</v>
      </c>
      <c r="D24" s="68"/>
      <c r="E24" s="219"/>
      <c r="F24" s="751">
        <f t="shared" si="4"/>
        <v>0</v>
      </c>
      <c r="G24" s="68"/>
      <c r="H24" s="219"/>
      <c r="I24" s="751">
        <f t="shared" si="5"/>
        <v>0</v>
      </c>
      <c r="J24" s="762"/>
      <c r="K24" s="763"/>
      <c r="L24" s="419">
        <f t="shared" si="6"/>
        <v>0</v>
      </c>
      <c r="M24" s="404" t="str">
        <f t="shared" si="0"/>
        <v>-</v>
      </c>
      <c r="N24" s="421" t="str">
        <f t="shared" si="1"/>
        <v>-</v>
      </c>
      <c r="O24" s="420" t="str">
        <f t="shared" si="1"/>
        <v>-</v>
      </c>
      <c r="P24" s="404" t="str">
        <f t="shared" si="2"/>
        <v>-</v>
      </c>
      <c r="Q24" s="421" t="str">
        <f t="shared" si="3"/>
        <v>-</v>
      </c>
      <c r="R24" s="420" t="str">
        <f t="shared" si="3"/>
        <v>-</v>
      </c>
      <c r="S24" s="37"/>
      <c r="T24" s="82"/>
      <c r="V24" s="210" t="str">
        <f t="shared" si="7"/>
        <v>-</v>
      </c>
      <c r="W24" s="210" t="str">
        <f t="shared" si="7"/>
        <v>-</v>
      </c>
    </row>
    <row r="25" spans="1:23" ht="24" customHeight="1">
      <c r="A25" s="426">
        <v>16</v>
      </c>
      <c r="B25" s="760">
        <f ca="1">'مقادیر تولید'!B21</f>
        <v>0</v>
      </c>
      <c r="C25" s="761">
        <f ca="1">'مقادیر تولید'!C21</f>
        <v>0</v>
      </c>
      <c r="D25" s="68"/>
      <c r="E25" s="219"/>
      <c r="F25" s="751">
        <f t="shared" si="4"/>
        <v>0</v>
      </c>
      <c r="G25" s="68"/>
      <c r="H25" s="219"/>
      <c r="I25" s="751">
        <f t="shared" si="5"/>
        <v>0</v>
      </c>
      <c r="J25" s="762"/>
      <c r="K25" s="763"/>
      <c r="L25" s="419">
        <f t="shared" si="6"/>
        <v>0</v>
      </c>
      <c r="M25" s="404" t="str">
        <f t="shared" si="0"/>
        <v>-</v>
      </c>
      <c r="N25" s="421" t="str">
        <f t="shared" si="1"/>
        <v>-</v>
      </c>
      <c r="O25" s="420" t="str">
        <f t="shared" si="1"/>
        <v>-</v>
      </c>
      <c r="P25" s="404" t="str">
        <f t="shared" si="2"/>
        <v>-</v>
      </c>
      <c r="Q25" s="421" t="str">
        <f t="shared" si="3"/>
        <v>-</v>
      </c>
      <c r="R25" s="420" t="str">
        <f t="shared" si="3"/>
        <v>-</v>
      </c>
      <c r="S25" s="37"/>
      <c r="T25" s="82"/>
      <c r="V25" s="210" t="str">
        <f t="shared" si="7"/>
        <v>-</v>
      </c>
      <c r="W25" s="210" t="str">
        <f t="shared" si="7"/>
        <v>-</v>
      </c>
    </row>
    <row r="26" spans="1:23" ht="24" customHeight="1">
      <c r="A26" s="426">
        <v>17</v>
      </c>
      <c r="B26" s="760">
        <f ca="1">'مقادیر تولید'!B22</f>
        <v>0</v>
      </c>
      <c r="C26" s="761">
        <f ca="1">'مقادیر تولید'!C22</f>
        <v>0</v>
      </c>
      <c r="D26" s="68"/>
      <c r="E26" s="219"/>
      <c r="F26" s="751">
        <f t="shared" si="4"/>
        <v>0</v>
      </c>
      <c r="G26" s="68"/>
      <c r="H26" s="219"/>
      <c r="I26" s="751">
        <f t="shared" si="5"/>
        <v>0</v>
      </c>
      <c r="J26" s="762"/>
      <c r="K26" s="763"/>
      <c r="L26" s="419">
        <f t="shared" si="6"/>
        <v>0</v>
      </c>
      <c r="M26" s="404" t="str">
        <f t="shared" si="0"/>
        <v>-</v>
      </c>
      <c r="N26" s="421" t="str">
        <f t="shared" ref="N26:O29" si="8">IFERROR((K26-E26)*100/E26,"-")</f>
        <v>-</v>
      </c>
      <c r="O26" s="420" t="str">
        <f t="shared" si="8"/>
        <v>-</v>
      </c>
      <c r="P26" s="404" t="str">
        <f t="shared" si="2"/>
        <v>-</v>
      </c>
      <c r="Q26" s="421" t="str">
        <f t="shared" ref="Q26:R29" si="9">IFERROR(K26*100/H26,"-")</f>
        <v>-</v>
      </c>
      <c r="R26" s="420" t="str">
        <f t="shared" si="9"/>
        <v>-</v>
      </c>
      <c r="S26" s="37"/>
      <c r="T26" s="82"/>
      <c r="V26" s="210" t="str">
        <f t="shared" si="7"/>
        <v>-</v>
      </c>
      <c r="W26" s="210" t="str">
        <f t="shared" si="7"/>
        <v>-</v>
      </c>
    </row>
    <row r="27" spans="1:23" ht="24" customHeight="1">
      <c r="A27" s="426">
        <v>18</v>
      </c>
      <c r="B27" s="760">
        <f ca="1">'مقادیر تولید'!B23</f>
        <v>0</v>
      </c>
      <c r="C27" s="761">
        <f ca="1">'مقادیر تولید'!C23</f>
        <v>0</v>
      </c>
      <c r="D27" s="68"/>
      <c r="E27" s="219"/>
      <c r="F27" s="751">
        <f t="shared" si="4"/>
        <v>0</v>
      </c>
      <c r="G27" s="68"/>
      <c r="H27" s="219"/>
      <c r="I27" s="751">
        <f t="shared" si="5"/>
        <v>0</v>
      </c>
      <c r="J27" s="762"/>
      <c r="K27" s="763"/>
      <c r="L27" s="419">
        <f t="shared" si="6"/>
        <v>0</v>
      </c>
      <c r="M27" s="404" t="str">
        <f t="shared" si="0"/>
        <v>-</v>
      </c>
      <c r="N27" s="421" t="str">
        <f t="shared" si="8"/>
        <v>-</v>
      </c>
      <c r="O27" s="420" t="str">
        <f t="shared" si="8"/>
        <v>-</v>
      </c>
      <c r="P27" s="404" t="str">
        <f t="shared" si="2"/>
        <v>-</v>
      </c>
      <c r="Q27" s="421" t="str">
        <f t="shared" si="9"/>
        <v>-</v>
      </c>
      <c r="R27" s="420" t="str">
        <f t="shared" si="9"/>
        <v>-</v>
      </c>
      <c r="S27" s="37"/>
      <c r="T27" s="82"/>
      <c r="V27" s="210" t="str">
        <f t="shared" si="7"/>
        <v>-</v>
      </c>
      <c r="W27" s="210" t="str">
        <f t="shared" si="7"/>
        <v>-</v>
      </c>
    </row>
    <row r="28" spans="1:23" ht="24" customHeight="1">
      <c r="A28" s="426">
        <v>19</v>
      </c>
      <c r="B28" s="760">
        <f ca="1">'مقادیر تولید'!B24</f>
        <v>0</v>
      </c>
      <c r="C28" s="761">
        <f ca="1">'مقادیر تولید'!C24</f>
        <v>0</v>
      </c>
      <c r="D28" s="68"/>
      <c r="E28" s="219"/>
      <c r="F28" s="751">
        <f t="shared" si="4"/>
        <v>0</v>
      </c>
      <c r="G28" s="68"/>
      <c r="H28" s="219"/>
      <c r="I28" s="751">
        <f t="shared" si="5"/>
        <v>0</v>
      </c>
      <c r="J28" s="762"/>
      <c r="K28" s="763"/>
      <c r="L28" s="419">
        <f t="shared" si="6"/>
        <v>0</v>
      </c>
      <c r="M28" s="404" t="str">
        <f t="shared" si="0"/>
        <v>-</v>
      </c>
      <c r="N28" s="421" t="str">
        <f t="shared" si="8"/>
        <v>-</v>
      </c>
      <c r="O28" s="420" t="str">
        <f t="shared" si="8"/>
        <v>-</v>
      </c>
      <c r="P28" s="404" t="str">
        <f t="shared" si="2"/>
        <v>-</v>
      </c>
      <c r="Q28" s="421" t="str">
        <f t="shared" si="9"/>
        <v>-</v>
      </c>
      <c r="R28" s="420" t="str">
        <f t="shared" si="9"/>
        <v>-</v>
      </c>
      <c r="S28" s="37"/>
      <c r="T28" s="82"/>
      <c r="V28" s="210" t="str">
        <f t="shared" si="7"/>
        <v>-</v>
      </c>
      <c r="W28" s="210" t="str">
        <f t="shared" si="7"/>
        <v>-</v>
      </c>
    </row>
    <row r="29" spans="1:23" ht="24" customHeight="1" thickBot="1">
      <c r="A29" s="426">
        <v>20</v>
      </c>
      <c r="B29" s="760">
        <f ca="1">'مقادیر تولید'!B25</f>
        <v>0</v>
      </c>
      <c r="C29" s="761">
        <f ca="1">'مقادیر تولید'!C25</f>
        <v>0</v>
      </c>
      <c r="D29" s="68"/>
      <c r="E29" s="219"/>
      <c r="F29" s="751">
        <f t="shared" si="4"/>
        <v>0</v>
      </c>
      <c r="G29" s="68"/>
      <c r="H29" s="219"/>
      <c r="I29" s="751">
        <f t="shared" si="5"/>
        <v>0</v>
      </c>
      <c r="J29" s="762"/>
      <c r="K29" s="763"/>
      <c r="L29" s="419">
        <f t="shared" si="6"/>
        <v>0</v>
      </c>
      <c r="M29" s="404" t="str">
        <f t="shared" si="0"/>
        <v>-</v>
      </c>
      <c r="N29" s="421" t="str">
        <f t="shared" si="8"/>
        <v>-</v>
      </c>
      <c r="O29" s="420" t="str">
        <f t="shared" si="8"/>
        <v>-</v>
      </c>
      <c r="P29" s="404" t="str">
        <f t="shared" si="2"/>
        <v>-</v>
      </c>
      <c r="Q29" s="421" t="str">
        <f t="shared" si="9"/>
        <v>-</v>
      </c>
      <c r="R29" s="420" t="str">
        <f t="shared" si="9"/>
        <v>-</v>
      </c>
      <c r="S29" s="37"/>
      <c r="T29" s="82"/>
      <c r="V29" s="210" t="str">
        <f t="shared" si="7"/>
        <v>-</v>
      </c>
      <c r="W29" s="210" t="str">
        <f>IF(AND(H29=0,K29&gt;0),100,IFERROR(ABS(Q29-100),"-"))</f>
        <v>-</v>
      </c>
    </row>
    <row r="30" spans="1:23" ht="24" customHeight="1" thickBot="1">
      <c r="A30" s="2749" t="s">
        <v>13</v>
      </c>
      <c r="B30" s="2750"/>
      <c r="C30" s="2751"/>
      <c r="D30" s="744"/>
      <c r="E30" s="744"/>
      <c r="F30" s="422">
        <f>SUM(F10:F29)</f>
        <v>0</v>
      </c>
      <c r="G30" s="423"/>
      <c r="H30" s="423"/>
      <c r="I30" s="422">
        <f>SUM(I10:I29)</f>
        <v>0</v>
      </c>
      <c r="J30" s="744"/>
      <c r="K30" s="744"/>
      <c r="L30" s="745">
        <f>SUM(L10:L29)</f>
        <v>0</v>
      </c>
      <c r="M30" s="744"/>
      <c r="N30" s="744"/>
      <c r="O30" s="745" t="str">
        <f>IFERROR((L30-F30)*100/F30,"-")</f>
        <v>-</v>
      </c>
      <c r="P30" s="744"/>
      <c r="Q30" s="744"/>
      <c r="R30" s="745" t="str">
        <f>IFERROR(L30*100/I30,"-")</f>
        <v>-</v>
      </c>
      <c r="S30" s="37"/>
      <c r="T30" s="82"/>
    </row>
    <row r="31" spans="1:23" ht="12.75" customHeight="1" thickTop="1">
      <c r="A31" s="746"/>
      <c r="B31" s="747"/>
      <c r="C31" s="747"/>
      <c r="D31" s="747"/>
      <c r="E31" s="747"/>
      <c r="F31" s="747"/>
      <c r="G31" s="747"/>
      <c r="H31" s="747"/>
      <c r="I31" s="747"/>
      <c r="J31" s="747"/>
      <c r="K31" s="747"/>
      <c r="L31" s="747"/>
      <c r="M31" s="747"/>
      <c r="N31" s="747"/>
      <c r="O31" s="747"/>
      <c r="P31" s="747"/>
      <c r="Q31" s="747"/>
      <c r="R31" s="747"/>
      <c r="S31" s="27"/>
      <c r="T31" s="748"/>
    </row>
    <row r="32" spans="1:23" ht="21">
      <c r="A32" s="8"/>
      <c r="B32" s="8"/>
      <c r="C32" s="9"/>
      <c r="E32" s="9"/>
      <c r="F32" s="9"/>
      <c r="G32" s="2752"/>
      <c r="H32" s="2752"/>
      <c r="I32" s="9"/>
      <c r="N32" s="720"/>
    </row>
  </sheetData>
  <mergeCells count="18">
    <mergeCell ref="A1:F1"/>
    <mergeCell ref="A2:R2"/>
    <mergeCell ref="O5:P5"/>
    <mergeCell ref="Q5:R5"/>
    <mergeCell ref="P8:R8"/>
    <mergeCell ref="J8:L8"/>
    <mergeCell ref="M8:O8"/>
    <mergeCell ref="A30:C30"/>
    <mergeCell ref="G32:H32"/>
    <mergeCell ref="D8:D9"/>
    <mergeCell ref="E8:E9"/>
    <mergeCell ref="F8:F9"/>
    <mergeCell ref="G8:I8"/>
    <mergeCell ref="A7:A9"/>
    <mergeCell ref="B7:B9"/>
    <mergeCell ref="C7:C9"/>
    <mergeCell ref="D7:F7"/>
    <mergeCell ref="G7:R7"/>
  </mergeCells>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2">
    <pageSetUpPr fitToPage="1"/>
  </sheetPr>
  <dimension ref="A1:AM32"/>
  <sheetViews>
    <sheetView rightToLeft="1" workbookViewId="0">
      <selection sqref="A1:F1"/>
    </sheetView>
  </sheetViews>
  <sheetFormatPr defaultColWidth="9" defaultRowHeight="15"/>
  <cols>
    <col min="1" max="1" width="8.5703125" style="5" customWidth="1"/>
    <col min="2" max="2" width="29.5703125" style="5" customWidth="1"/>
    <col min="3" max="3" width="9" style="5"/>
    <col min="4" max="4" width="10.5703125" style="5" customWidth="1"/>
    <col min="5" max="5" width="12.5703125" style="5" bestFit="1" customWidth="1"/>
    <col min="6" max="6" width="12.5703125" style="5" customWidth="1"/>
    <col min="7" max="7" width="11.5703125" style="5" customWidth="1"/>
    <col min="8" max="8" width="12.7109375" style="5" bestFit="1" customWidth="1"/>
    <col min="9" max="9" width="12.5703125" style="5" customWidth="1"/>
    <col min="10" max="11" width="11.5703125" style="5" customWidth="1"/>
    <col min="12" max="12" width="12.5703125" style="5" customWidth="1"/>
    <col min="13" max="18" width="9.5703125" style="5" customWidth="1"/>
    <col min="19" max="19" width="9" style="5" customWidth="1"/>
    <col min="20" max="20" width="9" style="79" customWidth="1"/>
    <col min="21" max="21" width="9" style="79"/>
    <col min="22" max="23" width="0" style="79" hidden="1" customWidth="1"/>
    <col min="24" max="26" width="9" style="79" customWidth="1"/>
    <col min="27" max="39" width="9" style="79"/>
    <col min="40" max="16384" width="9" style="5"/>
  </cols>
  <sheetData>
    <row r="1" spans="1:23" ht="15.75" customHeight="1">
      <c r="A1" s="2759"/>
      <c r="B1" s="2759"/>
      <c r="C1" s="2759"/>
      <c r="D1" s="2759"/>
      <c r="E1" s="2759"/>
      <c r="F1" s="2759"/>
      <c r="G1" s="407"/>
      <c r="H1" s="407"/>
      <c r="I1" s="407"/>
      <c r="J1" s="407"/>
      <c r="K1" s="407"/>
      <c r="L1" s="407"/>
      <c r="M1" s="407"/>
      <c r="N1" s="407"/>
      <c r="O1" s="407"/>
      <c r="P1" s="407"/>
      <c r="Q1" s="407"/>
      <c r="R1" s="407"/>
      <c r="S1" s="9"/>
      <c r="T1" s="80"/>
    </row>
    <row r="2" spans="1:23" ht="24">
      <c r="A2" s="2685" t="str">
        <f>'صورتخلاصه درآمد'!A1:F1</f>
        <v>انبارهای عمومی و خدمات گمرکی ایران</v>
      </c>
      <c r="B2" s="2685"/>
      <c r="C2" s="2685"/>
      <c r="D2" s="2685"/>
      <c r="E2" s="2685"/>
      <c r="F2" s="2685"/>
      <c r="G2" s="2685"/>
      <c r="H2" s="2685"/>
      <c r="I2" s="2685"/>
      <c r="J2" s="2685"/>
      <c r="K2" s="2685"/>
      <c r="L2" s="2685"/>
      <c r="M2" s="2685"/>
      <c r="N2" s="2685"/>
      <c r="O2" s="2685"/>
      <c r="P2" s="2685"/>
      <c r="Q2" s="2685"/>
      <c r="R2" s="2685"/>
    </row>
    <row r="3" spans="1:23" ht="20.25" customHeight="1">
      <c r="A3" s="396"/>
      <c r="B3" s="396"/>
      <c r="C3" s="396"/>
      <c r="D3" s="396"/>
      <c r="E3" s="396"/>
      <c r="F3" s="396"/>
      <c r="G3" s="396"/>
      <c r="H3" s="396"/>
      <c r="I3" s="396"/>
      <c r="J3" s="396"/>
      <c r="K3" s="396"/>
      <c r="L3" s="396"/>
      <c r="M3" s="396"/>
      <c r="N3" s="396"/>
      <c r="O3" s="396"/>
      <c r="P3" s="396"/>
      <c r="Q3" s="396"/>
      <c r="R3" s="396"/>
    </row>
    <row r="4" spans="1:23" ht="24" customHeight="1">
      <c r="A4" s="1110" t="s">
        <v>1266</v>
      </c>
      <c r="B4" s="1110"/>
      <c r="C4" s="1110"/>
      <c r="D4" s="1110"/>
      <c r="E4" s="1110"/>
      <c r="F4" s="1110"/>
      <c r="G4" s="1110"/>
      <c r="H4" s="1110"/>
      <c r="I4" s="1110"/>
      <c r="J4" s="1110"/>
      <c r="K4" s="1110"/>
      <c r="L4" s="1110"/>
      <c r="M4" s="1110"/>
      <c r="N4" s="1110"/>
      <c r="O4" s="1088" t="s">
        <v>1246</v>
      </c>
      <c r="P4" s="1089" t="str">
        <f>روکش!$F$9</f>
        <v>شش ماهه</v>
      </c>
      <c r="Q4" s="1089" t="s">
        <v>379</v>
      </c>
      <c r="R4" s="1088">
        <f>روکش!$D$9</f>
        <v>1405</v>
      </c>
      <c r="S4" s="740"/>
      <c r="T4" s="741"/>
    </row>
    <row r="5" spans="1:23" ht="24.75">
      <c r="A5" s="408"/>
      <c r="B5" s="408"/>
      <c r="C5" s="408"/>
      <c r="D5" s="409"/>
      <c r="E5" s="410"/>
      <c r="F5" s="410"/>
      <c r="G5" s="411"/>
      <c r="H5" s="411"/>
      <c r="I5" s="411"/>
      <c r="J5" s="411"/>
      <c r="K5"/>
      <c r="L5"/>
      <c r="M5" s="704"/>
      <c r="N5" s="704"/>
      <c r="O5" s="2760" t="s">
        <v>3</v>
      </c>
      <c r="P5" s="2760"/>
      <c r="Q5" s="2761" t="s">
        <v>4</v>
      </c>
      <c r="R5" s="2761"/>
      <c r="S5" s="742"/>
      <c r="T5" s="743"/>
    </row>
    <row r="6" spans="1:23" ht="1.5" customHeight="1" thickBot="1">
      <c r="A6" s="408"/>
      <c r="B6" s="408"/>
      <c r="C6" s="408"/>
      <c r="D6" s="409"/>
      <c r="E6" s="410"/>
      <c r="F6" s="410"/>
      <c r="G6" s="411"/>
      <c r="H6" s="411"/>
      <c r="I6" s="411"/>
      <c r="J6" s="411"/>
      <c r="K6" s="704"/>
      <c r="L6" s="704"/>
      <c r="M6" s="704"/>
      <c r="N6" s="704"/>
      <c r="O6" s="704"/>
      <c r="P6" s="704"/>
      <c r="Q6" s="706"/>
      <c r="R6" s="706"/>
      <c r="S6" s="742"/>
      <c r="T6" s="743"/>
    </row>
    <row r="7" spans="1:23" ht="24.75" thickBot="1">
      <c r="A7" s="2733" t="s">
        <v>5</v>
      </c>
      <c r="B7" s="2740" t="s">
        <v>6</v>
      </c>
      <c r="C7" s="2743" t="s">
        <v>7</v>
      </c>
      <c r="D7" s="2756" t="s">
        <v>639</v>
      </c>
      <c r="E7" s="2757"/>
      <c r="F7" s="2758"/>
      <c r="G7" s="2756" t="s">
        <v>642</v>
      </c>
      <c r="H7" s="2757"/>
      <c r="I7" s="2757"/>
      <c r="J7" s="2757"/>
      <c r="K7" s="2757"/>
      <c r="L7" s="2757"/>
      <c r="M7" s="2757"/>
      <c r="N7" s="2757"/>
      <c r="O7" s="2757"/>
      <c r="P7" s="2757"/>
      <c r="Q7" s="2757"/>
      <c r="R7" s="2758"/>
      <c r="S7" s="37"/>
      <c r="T7" s="82"/>
    </row>
    <row r="8" spans="1:23" ht="24" customHeight="1">
      <c r="A8" s="2734"/>
      <c r="B8" s="2741"/>
      <c r="C8" s="2744"/>
      <c r="D8" s="2733" t="s">
        <v>8</v>
      </c>
      <c r="E8" s="2740" t="s">
        <v>9</v>
      </c>
      <c r="F8" s="2731" t="s">
        <v>10</v>
      </c>
      <c r="G8" s="2753" t="s">
        <v>217</v>
      </c>
      <c r="H8" s="2754"/>
      <c r="I8" s="2755"/>
      <c r="J8" s="2753" t="s">
        <v>216</v>
      </c>
      <c r="K8" s="2754"/>
      <c r="L8" s="2755"/>
      <c r="M8" s="2762" t="s">
        <v>793</v>
      </c>
      <c r="N8" s="2754"/>
      <c r="O8" s="2755"/>
      <c r="P8" s="2753" t="s">
        <v>643</v>
      </c>
      <c r="Q8" s="2754"/>
      <c r="R8" s="2755"/>
      <c r="S8" s="37"/>
      <c r="T8" s="82"/>
    </row>
    <row r="9" spans="1:23" ht="50.1" customHeight="1" thickBot="1">
      <c r="A9" s="2735"/>
      <c r="B9" s="2742"/>
      <c r="C9" s="2745"/>
      <c r="D9" s="2735"/>
      <c r="E9" s="2742"/>
      <c r="F9" s="2732"/>
      <c r="G9" s="703" t="s">
        <v>11</v>
      </c>
      <c r="H9" s="705" t="s">
        <v>9</v>
      </c>
      <c r="I9" s="412" t="s">
        <v>12</v>
      </c>
      <c r="J9" s="703" t="s">
        <v>11</v>
      </c>
      <c r="K9" s="705" t="s">
        <v>9</v>
      </c>
      <c r="L9" s="412" t="s">
        <v>12</v>
      </c>
      <c r="M9" s="703" t="s">
        <v>11</v>
      </c>
      <c r="N9" s="705" t="s">
        <v>9</v>
      </c>
      <c r="O9" s="412" t="s">
        <v>12</v>
      </c>
      <c r="P9" s="703" t="s">
        <v>11</v>
      </c>
      <c r="Q9" s="705" t="s">
        <v>9</v>
      </c>
      <c r="R9" s="412" t="s">
        <v>12</v>
      </c>
      <c r="S9" s="139"/>
      <c r="T9" s="82"/>
      <c r="V9" s="210" t="s">
        <v>784</v>
      </c>
      <c r="W9" s="210" t="s">
        <v>784</v>
      </c>
    </row>
    <row r="10" spans="1:23" ht="24" customHeight="1">
      <c r="A10" s="424">
        <v>1</v>
      </c>
      <c r="B10" s="752">
        <f ca="1">'مقادیر تولید'!B6</f>
        <v>0</v>
      </c>
      <c r="C10" s="753">
        <f ca="1">'مقادیر تولید'!C6</f>
        <v>0</v>
      </c>
      <c r="D10" s="215"/>
      <c r="E10" s="216"/>
      <c r="F10" s="749">
        <f>IFERROR(E10*D10/1000000,"")</f>
        <v>0</v>
      </c>
      <c r="G10" s="215"/>
      <c r="H10" s="216"/>
      <c r="I10" s="749">
        <f>IFERROR(H10*G10/1000000,"")</f>
        <v>0</v>
      </c>
      <c r="J10" s="215"/>
      <c r="K10" s="216"/>
      <c r="L10" s="413">
        <f>K10*J10/1000000</f>
        <v>0</v>
      </c>
      <c r="M10" s="402" t="str">
        <f t="shared" ref="M10:M29" si="0">IFERROR((J10-D10)*100/D10,"-")</f>
        <v>-</v>
      </c>
      <c r="N10" s="414" t="str">
        <f t="shared" ref="N10:O25" si="1">IFERROR((K10-E10)*100/E10,"-")</f>
        <v>-</v>
      </c>
      <c r="O10" s="415" t="str">
        <f t="shared" si="1"/>
        <v>-</v>
      </c>
      <c r="P10" s="402" t="str">
        <f t="shared" ref="P10:P29" si="2">IFERROR(J10*100/G10,"-")</f>
        <v>-</v>
      </c>
      <c r="Q10" s="414" t="str">
        <f t="shared" ref="Q10:R25" si="3">IFERROR(K10*100/H10,"-")</f>
        <v>-</v>
      </c>
      <c r="R10" s="415" t="str">
        <f t="shared" si="3"/>
        <v>-</v>
      </c>
      <c r="S10" s="37"/>
      <c r="T10" s="82"/>
      <c r="V10" s="210" t="str">
        <f>IF(AND(G10=0,J10&gt;0),100,IFERROR(ABS(P10-100),"-"))</f>
        <v>-</v>
      </c>
      <c r="W10" s="210" t="str">
        <f>IF(AND(H10=0,K10&gt;0),100,IFERROR(ABS(Q10-100),"-"))</f>
        <v>-</v>
      </c>
    </row>
    <row r="11" spans="1:23" ht="24" customHeight="1">
      <c r="A11" s="425">
        <v>2</v>
      </c>
      <c r="B11" s="756">
        <f ca="1">'مقادیر تولید'!B7</f>
        <v>0</v>
      </c>
      <c r="C11" s="757">
        <f ca="1">'مقادیر تولید'!C7</f>
        <v>0</v>
      </c>
      <c r="D11" s="217"/>
      <c r="E11" s="218"/>
      <c r="F11" s="750">
        <f t="shared" ref="F11:F29" si="4">IFERROR(E11*D11/1000000,"")</f>
        <v>0</v>
      </c>
      <c r="G11" s="217"/>
      <c r="H11" s="218"/>
      <c r="I11" s="750">
        <f t="shared" ref="I11:I29" si="5">IFERROR(H11*G11/1000000,"")</f>
        <v>0</v>
      </c>
      <c r="J11" s="217"/>
      <c r="K11" s="218"/>
      <c r="L11" s="416">
        <f t="shared" ref="L11:L29" si="6">K11*J11/1000000</f>
        <v>0</v>
      </c>
      <c r="M11" s="406" t="str">
        <f t="shared" si="0"/>
        <v>-</v>
      </c>
      <c r="N11" s="417" t="str">
        <f t="shared" si="1"/>
        <v>-</v>
      </c>
      <c r="O11" s="418" t="str">
        <f t="shared" si="1"/>
        <v>-</v>
      </c>
      <c r="P11" s="406" t="str">
        <f t="shared" si="2"/>
        <v>-</v>
      </c>
      <c r="Q11" s="417" t="str">
        <f t="shared" si="3"/>
        <v>-</v>
      </c>
      <c r="R11" s="418" t="str">
        <f t="shared" si="3"/>
        <v>-</v>
      </c>
      <c r="S11" s="37"/>
      <c r="T11" s="82"/>
      <c r="V11" s="210" t="str">
        <f t="shared" ref="V11:W29" si="7">IF(AND(G11=0,J11&gt;0),100,IFERROR(ABS(P11-100),"-"))</f>
        <v>-</v>
      </c>
      <c r="W11" s="210" t="str">
        <f t="shared" si="7"/>
        <v>-</v>
      </c>
    </row>
    <row r="12" spans="1:23" ht="24" customHeight="1">
      <c r="A12" s="425">
        <v>3</v>
      </c>
      <c r="B12" s="756">
        <f ca="1">'مقادیر تولید'!B8</f>
        <v>0</v>
      </c>
      <c r="C12" s="757">
        <f ca="1">'مقادیر تولید'!C8</f>
        <v>0</v>
      </c>
      <c r="D12" s="217"/>
      <c r="E12" s="218"/>
      <c r="F12" s="750">
        <f t="shared" si="4"/>
        <v>0</v>
      </c>
      <c r="G12" s="217"/>
      <c r="H12" s="218"/>
      <c r="I12" s="750">
        <f t="shared" si="5"/>
        <v>0</v>
      </c>
      <c r="J12" s="217"/>
      <c r="K12" s="218"/>
      <c r="L12" s="416">
        <f t="shared" si="6"/>
        <v>0</v>
      </c>
      <c r="M12" s="406" t="str">
        <f t="shared" si="0"/>
        <v>-</v>
      </c>
      <c r="N12" s="417" t="str">
        <f t="shared" si="1"/>
        <v>-</v>
      </c>
      <c r="O12" s="418" t="str">
        <f t="shared" si="1"/>
        <v>-</v>
      </c>
      <c r="P12" s="406" t="str">
        <f t="shared" si="2"/>
        <v>-</v>
      </c>
      <c r="Q12" s="417" t="str">
        <f t="shared" si="3"/>
        <v>-</v>
      </c>
      <c r="R12" s="418" t="str">
        <f t="shared" si="3"/>
        <v>-</v>
      </c>
      <c r="S12" s="37"/>
      <c r="T12" s="82"/>
      <c r="V12" s="210" t="str">
        <f t="shared" si="7"/>
        <v>-</v>
      </c>
      <c r="W12" s="210" t="str">
        <f t="shared" si="7"/>
        <v>-</v>
      </c>
    </row>
    <row r="13" spans="1:23" ht="24" customHeight="1">
      <c r="A13" s="425">
        <v>4</v>
      </c>
      <c r="B13" s="756">
        <f ca="1">'مقادیر تولید'!B9</f>
        <v>0</v>
      </c>
      <c r="C13" s="757">
        <f ca="1">'مقادیر تولید'!C9</f>
        <v>0</v>
      </c>
      <c r="D13" s="217"/>
      <c r="E13" s="218"/>
      <c r="F13" s="750">
        <f t="shared" si="4"/>
        <v>0</v>
      </c>
      <c r="G13" s="217"/>
      <c r="H13" s="218"/>
      <c r="I13" s="750">
        <f t="shared" si="5"/>
        <v>0</v>
      </c>
      <c r="J13" s="217"/>
      <c r="K13" s="218"/>
      <c r="L13" s="416">
        <f t="shared" si="6"/>
        <v>0</v>
      </c>
      <c r="M13" s="406" t="str">
        <f t="shared" si="0"/>
        <v>-</v>
      </c>
      <c r="N13" s="417" t="str">
        <f t="shared" si="1"/>
        <v>-</v>
      </c>
      <c r="O13" s="418" t="str">
        <f t="shared" si="1"/>
        <v>-</v>
      </c>
      <c r="P13" s="406" t="str">
        <f t="shared" si="2"/>
        <v>-</v>
      </c>
      <c r="Q13" s="417" t="str">
        <f t="shared" si="3"/>
        <v>-</v>
      </c>
      <c r="R13" s="418" t="str">
        <f t="shared" si="3"/>
        <v>-</v>
      </c>
      <c r="S13" s="37"/>
      <c r="T13" s="82"/>
      <c r="V13" s="210" t="str">
        <f t="shared" si="7"/>
        <v>-</v>
      </c>
      <c r="W13" s="210" t="str">
        <f t="shared" si="7"/>
        <v>-</v>
      </c>
    </row>
    <row r="14" spans="1:23" ht="24" customHeight="1">
      <c r="A14" s="425">
        <v>5</v>
      </c>
      <c r="B14" s="756">
        <f ca="1">'مقادیر تولید'!B10</f>
        <v>0</v>
      </c>
      <c r="C14" s="757">
        <f ca="1">'مقادیر تولید'!C10</f>
        <v>0</v>
      </c>
      <c r="D14" s="217"/>
      <c r="E14" s="218"/>
      <c r="F14" s="750">
        <f t="shared" si="4"/>
        <v>0</v>
      </c>
      <c r="G14" s="217"/>
      <c r="H14" s="218"/>
      <c r="I14" s="750">
        <f t="shared" si="5"/>
        <v>0</v>
      </c>
      <c r="J14" s="217"/>
      <c r="K14" s="218"/>
      <c r="L14" s="416">
        <f>K14*J14/1000000</f>
        <v>0</v>
      </c>
      <c r="M14" s="406" t="str">
        <f t="shared" si="0"/>
        <v>-</v>
      </c>
      <c r="N14" s="417" t="str">
        <f t="shared" si="1"/>
        <v>-</v>
      </c>
      <c r="O14" s="418" t="str">
        <f t="shared" si="1"/>
        <v>-</v>
      </c>
      <c r="P14" s="406" t="str">
        <f t="shared" si="2"/>
        <v>-</v>
      </c>
      <c r="Q14" s="417" t="str">
        <f t="shared" si="3"/>
        <v>-</v>
      </c>
      <c r="R14" s="418" t="str">
        <f t="shared" si="3"/>
        <v>-</v>
      </c>
      <c r="S14" s="37"/>
      <c r="T14" s="82"/>
      <c r="V14" s="210" t="str">
        <f t="shared" si="7"/>
        <v>-</v>
      </c>
      <c r="W14" s="210" t="str">
        <f t="shared" si="7"/>
        <v>-</v>
      </c>
    </row>
    <row r="15" spans="1:23" ht="24" customHeight="1">
      <c r="A15" s="425">
        <v>6</v>
      </c>
      <c r="B15" s="756">
        <f ca="1">'مقادیر تولید'!B11</f>
        <v>0</v>
      </c>
      <c r="C15" s="757">
        <f ca="1">'مقادیر تولید'!C11</f>
        <v>0</v>
      </c>
      <c r="D15" s="217"/>
      <c r="E15" s="218"/>
      <c r="F15" s="750">
        <f t="shared" si="4"/>
        <v>0</v>
      </c>
      <c r="G15" s="217"/>
      <c r="H15" s="218"/>
      <c r="I15" s="750">
        <f t="shared" si="5"/>
        <v>0</v>
      </c>
      <c r="J15" s="217"/>
      <c r="K15" s="218"/>
      <c r="L15" s="416">
        <f t="shared" si="6"/>
        <v>0</v>
      </c>
      <c r="M15" s="406" t="str">
        <f t="shared" si="0"/>
        <v>-</v>
      </c>
      <c r="N15" s="417" t="str">
        <f t="shared" si="1"/>
        <v>-</v>
      </c>
      <c r="O15" s="418" t="str">
        <f t="shared" si="1"/>
        <v>-</v>
      </c>
      <c r="P15" s="406" t="str">
        <f t="shared" si="2"/>
        <v>-</v>
      </c>
      <c r="Q15" s="417" t="str">
        <f t="shared" si="3"/>
        <v>-</v>
      </c>
      <c r="R15" s="418" t="str">
        <f t="shared" si="3"/>
        <v>-</v>
      </c>
      <c r="S15" s="37"/>
      <c r="T15" s="82"/>
      <c r="V15" s="210" t="str">
        <f t="shared" si="7"/>
        <v>-</v>
      </c>
      <c r="W15" s="210" t="str">
        <f t="shared" si="7"/>
        <v>-</v>
      </c>
    </row>
    <row r="16" spans="1:23" ht="24" customHeight="1">
      <c r="A16" s="425">
        <v>7</v>
      </c>
      <c r="B16" s="756">
        <f ca="1">'مقادیر تولید'!B12</f>
        <v>0</v>
      </c>
      <c r="C16" s="757">
        <f ca="1">'مقادیر تولید'!C12</f>
        <v>0</v>
      </c>
      <c r="D16" s="217"/>
      <c r="E16" s="218"/>
      <c r="F16" s="750">
        <f t="shared" si="4"/>
        <v>0</v>
      </c>
      <c r="G16" s="217"/>
      <c r="H16" s="218"/>
      <c r="I16" s="750">
        <f t="shared" si="5"/>
        <v>0</v>
      </c>
      <c r="J16" s="217"/>
      <c r="K16" s="218"/>
      <c r="L16" s="416">
        <f t="shared" si="6"/>
        <v>0</v>
      </c>
      <c r="M16" s="406" t="str">
        <f t="shared" si="0"/>
        <v>-</v>
      </c>
      <c r="N16" s="417" t="str">
        <f t="shared" si="1"/>
        <v>-</v>
      </c>
      <c r="O16" s="418" t="str">
        <f>IFERROR((L16-F16)*100/F16,"-")</f>
        <v>-</v>
      </c>
      <c r="P16" s="406" t="str">
        <f t="shared" si="2"/>
        <v>-</v>
      </c>
      <c r="Q16" s="417" t="str">
        <f t="shared" si="3"/>
        <v>-</v>
      </c>
      <c r="R16" s="418" t="str">
        <f t="shared" si="3"/>
        <v>-</v>
      </c>
      <c r="S16" s="37"/>
      <c r="T16" s="82"/>
      <c r="V16" s="210" t="str">
        <f t="shared" si="7"/>
        <v>-</v>
      </c>
      <c r="W16" s="210" t="str">
        <f t="shared" si="7"/>
        <v>-</v>
      </c>
    </row>
    <row r="17" spans="1:23" ht="24" customHeight="1">
      <c r="A17" s="425">
        <v>8</v>
      </c>
      <c r="B17" s="756">
        <f ca="1">'مقادیر تولید'!B13</f>
        <v>0</v>
      </c>
      <c r="C17" s="757">
        <f ca="1">'مقادیر تولید'!C13</f>
        <v>0</v>
      </c>
      <c r="D17" s="217"/>
      <c r="E17" s="218"/>
      <c r="F17" s="750">
        <f t="shared" si="4"/>
        <v>0</v>
      </c>
      <c r="G17" s="217"/>
      <c r="H17" s="218"/>
      <c r="I17" s="750">
        <f t="shared" si="5"/>
        <v>0</v>
      </c>
      <c r="J17" s="217"/>
      <c r="K17" s="218"/>
      <c r="L17" s="416">
        <f t="shared" si="6"/>
        <v>0</v>
      </c>
      <c r="M17" s="406" t="str">
        <f t="shared" si="0"/>
        <v>-</v>
      </c>
      <c r="N17" s="417" t="str">
        <f t="shared" si="1"/>
        <v>-</v>
      </c>
      <c r="O17" s="418" t="str">
        <f t="shared" si="1"/>
        <v>-</v>
      </c>
      <c r="P17" s="406" t="str">
        <f t="shared" si="2"/>
        <v>-</v>
      </c>
      <c r="Q17" s="417" t="str">
        <f t="shared" si="3"/>
        <v>-</v>
      </c>
      <c r="R17" s="418" t="str">
        <f t="shared" si="3"/>
        <v>-</v>
      </c>
      <c r="S17" s="37"/>
      <c r="T17" s="82"/>
      <c r="V17" s="210" t="str">
        <f t="shared" si="7"/>
        <v>-</v>
      </c>
      <c r="W17" s="210" t="str">
        <f t="shared" si="7"/>
        <v>-</v>
      </c>
    </row>
    <row r="18" spans="1:23" ht="24" customHeight="1">
      <c r="A18" s="425">
        <v>9</v>
      </c>
      <c r="B18" s="756">
        <f ca="1">'مقادیر تولید'!B14</f>
        <v>0</v>
      </c>
      <c r="C18" s="757">
        <f ca="1">'مقادیر تولید'!C14</f>
        <v>0</v>
      </c>
      <c r="D18" s="217"/>
      <c r="E18" s="218"/>
      <c r="F18" s="750">
        <f t="shared" si="4"/>
        <v>0</v>
      </c>
      <c r="G18" s="217"/>
      <c r="H18" s="218"/>
      <c r="I18" s="750">
        <f t="shared" si="5"/>
        <v>0</v>
      </c>
      <c r="J18" s="217"/>
      <c r="K18" s="218"/>
      <c r="L18" s="416">
        <f t="shared" si="6"/>
        <v>0</v>
      </c>
      <c r="M18" s="406" t="str">
        <f t="shared" si="0"/>
        <v>-</v>
      </c>
      <c r="N18" s="417" t="str">
        <f t="shared" si="1"/>
        <v>-</v>
      </c>
      <c r="O18" s="418" t="str">
        <f t="shared" si="1"/>
        <v>-</v>
      </c>
      <c r="P18" s="406" t="str">
        <f t="shared" si="2"/>
        <v>-</v>
      </c>
      <c r="Q18" s="417" t="str">
        <f t="shared" si="3"/>
        <v>-</v>
      </c>
      <c r="R18" s="418" t="str">
        <f t="shared" si="3"/>
        <v>-</v>
      </c>
      <c r="S18" s="37"/>
      <c r="T18" s="82"/>
      <c r="V18" s="210" t="str">
        <f t="shared" si="7"/>
        <v>-</v>
      </c>
      <c r="W18" s="210" t="str">
        <f t="shared" si="7"/>
        <v>-</v>
      </c>
    </row>
    <row r="19" spans="1:23" ht="24" customHeight="1">
      <c r="A19" s="426">
        <v>10</v>
      </c>
      <c r="B19" s="760">
        <f ca="1">'مقادیر تولید'!B15</f>
        <v>0</v>
      </c>
      <c r="C19" s="761">
        <f ca="1">'مقادیر تولید'!C15</f>
        <v>0</v>
      </c>
      <c r="D19" s="68"/>
      <c r="E19" s="218"/>
      <c r="F19" s="751">
        <f t="shared" si="4"/>
        <v>0</v>
      </c>
      <c r="G19" s="68"/>
      <c r="H19" s="218"/>
      <c r="I19" s="751">
        <f t="shared" si="5"/>
        <v>0</v>
      </c>
      <c r="J19" s="68"/>
      <c r="K19" s="218"/>
      <c r="L19" s="419">
        <f t="shared" si="6"/>
        <v>0</v>
      </c>
      <c r="M19" s="404" t="str">
        <f t="shared" si="0"/>
        <v>-</v>
      </c>
      <c r="N19" s="417" t="str">
        <f t="shared" si="1"/>
        <v>-</v>
      </c>
      <c r="O19" s="420" t="str">
        <f t="shared" si="1"/>
        <v>-</v>
      </c>
      <c r="P19" s="404" t="str">
        <f t="shared" si="2"/>
        <v>-</v>
      </c>
      <c r="Q19" s="417" t="str">
        <f t="shared" si="3"/>
        <v>-</v>
      </c>
      <c r="R19" s="420" t="str">
        <f t="shared" si="3"/>
        <v>-</v>
      </c>
      <c r="S19" s="37"/>
      <c r="T19" s="82"/>
      <c r="V19" s="210" t="str">
        <f t="shared" si="7"/>
        <v>-</v>
      </c>
      <c r="W19" s="210" t="str">
        <f t="shared" si="7"/>
        <v>-</v>
      </c>
    </row>
    <row r="20" spans="1:23" ht="24" customHeight="1">
      <c r="A20" s="426">
        <v>11</v>
      </c>
      <c r="B20" s="760">
        <f ca="1">'مقادیر تولید'!B16</f>
        <v>0</v>
      </c>
      <c r="C20" s="761">
        <f ca="1">'مقادیر تولید'!C16</f>
        <v>0</v>
      </c>
      <c r="D20" s="68"/>
      <c r="E20" s="219"/>
      <c r="F20" s="751">
        <f t="shared" si="4"/>
        <v>0</v>
      </c>
      <c r="G20" s="68"/>
      <c r="H20" s="219"/>
      <c r="I20" s="751">
        <f t="shared" si="5"/>
        <v>0</v>
      </c>
      <c r="J20" s="68"/>
      <c r="K20" s="219"/>
      <c r="L20" s="419">
        <f t="shared" si="6"/>
        <v>0</v>
      </c>
      <c r="M20" s="404" t="str">
        <f t="shared" si="0"/>
        <v>-</v>
      </c>
      <c r="N20" s="421" t="str">
        <f t="shared" si="1"/>
        <v>-</v>
      </c>
      <c r="O20" s="420" t="str">
        <f t="shared" si="1"/>
        <v>-</v>
      </c>
      <c r="P20" s="404" t="str">
        <f t="shared" si="2"/>
        <v>-</v>
      </c>
      <c r="Q20" s="421" t="str">
        <f t="shared" si="3"/>
        <v>-</v>
      </c>
      <c r="R20" s="420" t="str">
        <f t="shared" si="3"/>
        <v>-</v>
      </c>
      <c r="S20" s="37"/>
      <c r="T20" s="82"/>
      <c r="V20" s="210" t="str">
        <f t="shared" si="7"/>
        <v>-</v>
      </c>
      <c r="W20" s="210" t="str">
        <f t="shared" si="7"/>
        <v>-</v>
      </c>
    </row>
    <row r="21" spans="1:23" ht="24" customHeight="1">
      <c r="A21" s="426">
        <v>12</v>
      </c>
      <c r="B21" s="760">
        <f ca="1">'مقادیر تولید'!B17</f>
        <v>0</v>
      </c>
      <c r="C21" s="761">
        <f ca="1">'مقادیر تولید'!C17</f>
        <v>0</v>
      </c>
      <c r="D21" s="68"/>
      <c r="E21" s="219"/>
      <c r="F21" s="751">
        <f t="shared" si="4"/>
        <v>0</v>
      </c>
      <c r="G21" s="68"/>
      <c r="H21" s="219"/>
      <c r="I21" s="751">
        <f t="shared" si="5"/>
        <v>0</v>
      </c>
      <c r="J21" s="68"/>
      <c r="K21" s="219"/>
      <c r="L21" s="419">
        <f t="shared" si="6"/>
        <v>0</v>
      </c>
      <c r="M21" s="404" t="str">
        <f t="shared" si="0"/>
        <v>-</v>
      </c>
      <c r="N21" s="421" t="str">
        <f t="shared" si="1"/>
        <v>-</v>
      </c>
      <c r="O21" s="420" t="str">
        <f t="shared" si="1"/>
        <v>-</v>
      </c>
      <c r="P21" s="404" t="str">
        <f t="shared" si="2"/>
        <v>-</v>
      </c>
      <c r="Q21" s="421" t="str">
        <f t="shared" si="3"/>
        <v>-</v>
      </c>
      <c r="R21" s="420" t="str">
        <f t="shared" si="3"/>
        <v>-</v>
      </c>
      <c r="S21" s="37"/>
      <c r="T21" s="82"/>
      <c r="V21" s="210" t="str">
        <f t="shared" si="7"/>
        <v>-</v>
      </c>
      <c r="W21" s="210" t="str">
        <f t="shared" si="7"/>
        <v>-</v>
      </c>
    </row>
    <row r="22" spans="1:23" ht="24" customHeight="1">
      <c r="A22" s="426">
        <v>13</v>
      </c>
      <c r="B22" s="760">
        <f ca="1">'مقادیر تولید'!B18</f>
        <v>0</v>
      </c>
      <c r="C22" s="761">
        <f ca="1">'مقادیر تولید'!C18</f>
        <v>0</v>
      </c>
      <c r="D22" s="68"/>
      <c r="E22" s="219"/>
      <c r="F22" s="751">
        <f t="shared" si="4"/>
        <v>0</v>
      </c>
      <c r="G22" s="68"/>
      <c r="H22" s="219"/>
      <c r="I22" s="751">
        <f t="shared" si="5"/>
        <v>0</v>
      </c>
      <c r="J22" s="68"/>
      <c r="K22" s="219"/>
      <c r="L22" s="419">
        <f t="shared" si="6"/>
        <v>0</v>
      </c>
      <c r="M22" s="404" t="str">
        <f t="shared" si="0"/>
        <v>-</v>
      </c>
      <c r="N22" s="421" t="str">
        <f t="shared" si="1"/>
        <v>-</v>
      </c>
      <c r="O22" s="420" t="str">
        <f t="shared" si="1"/>
        <v>-</v>
      </c>
      <c r="P22" s="404" t="str">
        <f t="shared" si="2"/>
        <v>-</v>
      </c>
      <c r="Q22" s="421" t="str">
        <f t="shared" si="3"/>
        <v>-</v>
      </c>
      <c r="R22" s="420" t="str">
        <f t="shared" si="3"/>
        <v>-</v>
      </c>
      <c r="S22" s="37"/>
      <c r="T22" s="82"/>
      <c r="V22" s="210" t="str">
        <f t="shared" si="7"/>
        <v>-</v>
      </c>
      <c r="W22" s="210" t="str">
        <f t="shared" si="7"/>
        <v>-</v>
      </c>
    </row>
    <row r="23" spans="1:23" ht="24" customHeight="1">
      <c r="A23" s="426">
        <v>14</v>
      </c>
      <c r="B23" s="760">
        <f ca="1">'مقادیر تولید'!B19</f>
        <v>0</v>
      </c>
      <c r="C23" s="761">
        <f ca="1">'مقادیر تولید'!C19</f>
        <v>0</v>
      </c>
      <c r="D23" s="68"/>
      <c r="E23" s="219"/>
      <c r="F23" s="751">
        <f t="shared" si="4"/>
        <v>0</v>
      </c>
      <c r="G23" s="68"/>
      <c r="H23" s="219"/>
      <c r="I23" s="751">
        <f t="shared" si="5"/>
        <v>0</v>
      </c>
      <c r="J23" s="68"/>
      <c r="K23" s="219"/>
      <c r="L23" s="419">
        <f t="shared" si="6"/>
        <v>0</v>
      </c>
      <c r="M23" s="404" t="str">
        <f t="shared" si="0"/>
        <v>-</v>
      </c>
      <c r="N23" s="421" t="str">
        <f t="shared" si="1"/>
        <v>-</v>
      </c>
      <c r="O23" s="420" t="str">
        <f t="shared" si="1"/>
        <v>-</v>
      </c>
      <c r="P23" s="404" t="str">
        <f t="shared" si="2"/>
        <v>-</v>
      </c>
      <c r="Q23" s="421" t="str">
        <f t="shared" si="3"/>
        <v>-</v>
      </c>
      <c r="R23" s="420" t="str">
        <f t="shared" si="3"/>
        <v>-</v>
      </c>
      <c r="S23" s="37"/>
      <c r="T23" s="82"/>
      <c r="V23" s="210" t="str">
        <f t="shared" si="7"/>
        <v>-</v>
      </c>
      <c r="W23" s="210" t="str">
        <f t="shared" si="7"/>
        <v>-</v>
      </c>
    </row>
    <row r="24" spans="1:23" ht="24" customHeight="1">
      <c r="A24" s="426">
        <v>15</v>
      </c>
      <c r="B24" s="760">
        <f ca="1">'مقادیر تولید'!B20</f>
        <v>0</v>
      </c>
      <c r="C24" s="761">
        <f ca="1">'مقادیر تولید'!C20</f>
        <v>0</v>
      </c>
      <c r="D24" s="68"/>
      <c r="E24" s="219"/>
      <c r="F24" s="751">
        <f t="shared" si="4"/>
        <v>0</v>
      </c>
      <c r="G24" s="68"/>
      <c r="H24" s="219"/>
      <c r="I24" s="751">
        <f t="shared" si="5"/>
        <v>0</v>
      </c>
      <c r="J24" s="68"/>
      <c r="K24" s="219"/>
      <c r="L24" s="419">
        <f t="shared" si="6"/>
        <v>0</v>
      </c>
      <c r="M24" s="404" t="str">
        <f t="shared" si="0"/>
        <v>-</v>
      </c>
      <c r="N24" s="421" t="str">
        <f t="shared" si="1"/>
        <v>-</v>
      </c>
      <c r="O24" s="420" t="str">
        <f t="shared" si="1"/>
        <v>-</v>
      </c>
      <c r="P24" s="404" t="str">
        <f t="shared" si="2"/>
        <v>-</v>
      </c>
      <c r="Q24" s="421" t="str">
        <f t="shared" si="3"/>
        <v>-</v>
      </c>
      <c r="R24" s="420" t="str">
        <f t="shared" si="3"/>
        <v>-</v>
      </c>
      <c r="S24" s="37"/>
      <c r="T24" s="82"/>
      <c r="V24" s="210" t="str">
        <f t="shared" si="7"/>
        <v>-</v>
      </c>
      <c r="W24" s="210" t="str">
        <f t="shared" si="7"/>
        <v>-</v>
      </c>
    </row>
    <row r="25" spans="1:23" ht="24" customHeight="1">
      <c r="A25" s="426">
        <v>16</v>
      </c>
      <c r="B25" s="760">
        <f ca="1">'مقادیر تولید'!B21</f>
        <v>0</v>
      </c>
      <c r="C25" s="761">
        <f ca="1">'مقادیر تولید'!C21</f>
        <v>0</v>
      </c>
      <c r="D25" s="68"/>
      <c r="E25" s="219"/>
      <c r="F25" s="751">
        <f t="shared" si="4"/>
        <v>0</v>
      </c>
      <c r="G25" s="68"/>
      <c r="H25" s="219"/>
      <c r="I25" s="751">
        <f t="shared" si="5"/>
        <v>0</v>
      </c>
      <c r="J25" s="68"/>
      <c r="K25" s="219"/>
      <c r="L25" s="419">
        <f t="shared" si="6"/>
        <v>0</v>
      </c>
      <c r="M25" s="404" t="str">
        <f t="shared" si="0"/>
        <v>-</v>
      </c>
      <c r="N25" s="421" t="str">
        <f t="shared" si="1"/>
        <v>-</v>
      </c>
      <c r="O25" s="420" t="str">
        <f t="shared" si="1"/>
        <v>-</v>
      </c>
      <c r="P25" s="404" t="str">
        <f t="shared" si="2"/>
        <v>-</v>
      </c>
      <c r="Q25" s="421" t="str">
        <f t="shared" si="3"/>
        <v>-</v>
      </c>
      <c r="R25" s="420" t="str">
        <f t="shared" si="3"/>
        <v>-</v>
      </c>
      <c r="S25" s="37"/>
      <c r="T25" s="82"/>
      <c r="V25" s="210" t="str">
        <f t="shared" si="7"/>
        <v>-</v>
      </c>
      <c r="W25" s="210" t="str">
        <f t="shared" si="7"/>
        <v>-</v>
      </c>
    </row>
    <row r="26" spans="1:23" ht="24" customHeight="1">
      <c r="A26" s="426">
        <v>17</v>
      </c>
      <c r="B26" s="760">
        <f ca="1">'مقادیر تولید'!B22</f>
        <v>0</v>
      </c>
      <c r="C26" s="761">
        <f ca="1">'مقادیر تولید'!C22</f>
        <v>0</v>
      </c>
      <c r="D26" s="68"/>
      <c r="E26" s="219"/>
      <c r="F26" s="751">
        <f t="shared" si="4"/>
        <v>0</v>
      </c>
      <c r="G26" s="68"/>
      <c r="H26" s="219"/>
      <c r="I26" s="751">
        <f t="shared" si="5"/>
        <v>0</v>
      </c>
      <c r="J26" s="68"/>
      <c r="K26" s="219"/>
      <c r="L26" s="419">
        <f t="shared" si="6"/>
        <v>0</v>
      </c>
      <c r="M26" s="404" t="str">
        <f t="shared" si="0"/>
        <v>-</v>
      </c>
      <c r="N26" s="421" t="str">
        <f t="shared" ref="N26:O29" si="8">IFERROR((K26-E26)*100/E26,"-")</f>
        <v>-</v>
      </c>
      <c r="O26" s="420" t="str">
        <f t="shared" si="8"/>
        <v>-</v>
      </c>
      <c r="P26" s="404" t="str">
        <f t="shared" si="2"/>
        <v>-</v>
      </c>
      <c r="Q26" s="421" t="str">
        <f t="shared" ref="Q26:R29" si="9">IFERROR(K26*100/H26,"-")</f>
        <v>-</v>
      </c>
      <c r="R26" s="420" t="str">
        <f t="shared" si="9"/>
        <v>-</v>
      </c>
      <c r="S26" s="37"/>
      <c r="T26" s="82"/>
      <c r="V26" s="210" t="str">
        <f t="shared" si="7"/>
        <v>-</v>
      </c>
      <c r="W26" s="210" t="str">
        <f t="shared" si="7"/>
        <v>-</v>
      </c>
    </row>
    <row r="27" spans="1:23" ht="24" customHeight="1">
      <c r="A27" s="426">
        <v>18</v>
      </c>
      <c r="B27" s="760">
        <f ca="1">'مقادیر تولید'!B23</f>
        <v>0</v>
      </c>
      <c r="C27" s="761">
        <f ca="1">'مقادیر تولید'!C23</f>
        <v>0</v>
      </c>
      <c r="D27" s="68"/>
      <c r="E27" s="219"/>
      <c r="F27" s="751">
        <f t="shared" si="4"/>
        <v>0</v>
      </c>
      <c r="G27" s="68"/>
      <c r="H27" s="219"/>
      <c r="I27" s="751">
        <f t="shared" si="5"/>
        <v>0</v>
      </c>
      <c r="J27" s="68"/>
      <c r="K27" s="219"/>
      <c r="L27" s="419">
        <f t="shared" si="6"/>
        <v>0</v>
      </c>
      <c r="M27" s="404" t="str">
        <f t="shared" si="0"/>
        <v>-</v>
      </c>
      <c r="N27" s="421" t="str">
        <f t="shared" si="8"/>
        <v>-</v>
      </c>
      <c r="O27" s="420" t="str">
        <f t="shared" si="8"/>
        <v>-</v>
      </c>
      <c r="P27" s="404" t="str">
        <f t="shared" si="2"/>
        <v>-</v>
      </c>
      <c r="Q27" s="421" t="str">
        <f t="shared" si="9"/>
        <v>-</v>
      </c>
      <c r="R27" s="420" t="str">
        <f t="shared" si="9"/>
        <v>-</v>
      </c>
      <c r="S27" s="37"/>
      <c r="T27" s="82"/>
      <c r="V27" s="210" t="str">
        <f t="shared" si="7"/>
        <v>-</v>
      </c>
      <c r="W27" s="210" t="str">
        <f t="shared" si="7"/>
        <v>-</v>
      </c>
    </row>
    <row r="28" spans="1:23" ht="24" customHeight="1">
      <c r="A28" s="426">
        <v>19</v>
      </c>
      <c r="B28" s="760">
        <f ca="1">'مقادیر تولید'!B24</f>
        <v>0</v>
      </c>
      <c r="C28" s="761">
        <f ca="1">'مقادیر تولید'!C24</f>
        <v>0</v>
      </c>
      <c r="D28" s="68"/>
      <c r="E28" s="219"/>
      <c r="F28" s="751">
        <f t="shared" si="4"/>
        <v>0</v>
      </c>
      <c r="G28" s="68"/>
      <c r="H28" s="219"/>
      <c r="I28" s="751">
        <f t="shared" si="5"/>
        <v>0</v>
      </c>
      <c r="J28" s="68"/>
      <c r="K28" s="219"/>
      <c r="L28" s="419">
        <f t="shared" si="6"/>
        <v>0</v>
      </c>
      <c r="M28" s="404" t="str">
        <f t="shared" si="0"/>
        <v>-</v>
      </c>
      <c r="N28" s="421" t="str">
        <f t="shared" si="8"/>
        <v>-</v>
      </c>
      <c r="O28" s="420" t="str">
        <f t="shared" si="8"/>
        <v>-</v>
      </c>
      <c r="P28" s="404" t="str">
        <f t="shared" si="2"/>
        <v>-</v>
      </c>
      <c r="Q28" s="421" t="str">
        <f t="shared" si="9"/>
        <v>-</v>
      </c>
      <c r="R28" s="420" t="str">
        <f t="shared" si="9"/>
        <v>-</v>
      </c>
      <c r="S28" s="37"/>
      <c r="T28" s="82"/>
      <c r="V28" s="210" t="str">
        <f t="shared" si="7"/>
        <v>-</v>
      </c>
      <c r="W28" s="210" t="str">
        <f t="shared" si="7"/>
        <v>-</v>
      </c>
    </row>
    <row r="29" spans="1:23" ht="24" customHeight="1" thickBot="1">
      <c r="A29" s="426">
        <v>20</v>
      </c>
      <c r="B29" s="760">
        <f ca="1">'مقادیر تولید'!B25</f>
        <v>0</v>
      </c>
      <c r="C29" s="761">
        <f ca="1">'مقادیر تولید'!C25</f>
        <v>0</v>
      </c>
      <c r="D29" s="68"/>
      <c r="E29" s="219"/>
      <c r="F29" s="751">
        <f t="shared" si="4"/>
        <v>0</v>
      </c>
      <c r="G29" s="68"/>
      <c r="H29" s="219"/>
      <c r="I29" s="751">
        <f t="shared" si="5"/>
        <v>0</v>
      </c>
      <c r="J29" s="68"/>
      <c r="K29" s="219"/>
      <c r="L29" s="419">
        <f t="shared" si="6"/>
        <v>0</v>
      </c>
      <c r="M29" s="404" t="str">
        <f t="shared" si="0"/>
        <v>-</v>
      </c>
      <c r="N29" s="421" t="str">
        <f t="shared" si="8"/>
        <v>-</v>
      </c>
      <c r="O29" s="420" t="str">
        <f t="shared" si="8"/>
        <v>-</v>
      </c>
      <c r="P29" s="404" t="str">
        <f t="shared" si="2"/>
        <v>-</v>
      </c>
      <c r="Q29" s="421" t="str">
        <f t="shared" si="9"/>
        <v>-</v>
      </c>
      <c r="R29" s="420" t="str">
        <f t="shared" si="9"/>
        <v>-</v>
      </c>
      <c r="S29" s="37"/>
      <c r="T29" s="82"/>
      <c r="V29" s="210" t="str">
        <f t="shared" si="7"/>
        <v>-</v>
      </c>
      <c r="W29" s="210" t="str">
        <f>IF(AND(H29=0,K29&gt;0),100,IFERROR(ABS(Q29-100),"-"))</f>
        <v>-</v>
      </c>
    </row>
    <row r="30" spans="1:23" ht="24" customHeight="1" thickBot="1">
      <c r="A30" s="2749" t="s">
        <v>13</v>
      </c>
      <c r="B30" s="2750"/>
      <c r="C30" s="2751"/>
      <c r="D30" s="744"/>
      <c r="E30" s="744"/>
      <c r="F30" s="422">
        <f>SUM(F10:F29)</f>
        <v>0</v>
      </c>
      <c r="G30" s="423"/>
      <c r="H30" s="423"/>
      <c r="I30" s="422">
        <f>SUM(I10:I29)</f>
        <v>0</v>
      </c>
      <c r="J30" s="423"/>
      <c r="K30" s="423"/>
      <c r="L30" s="422">
        <f>SUM(L10:L29)</f>
        <v>0</v>
      </c>
      <c r="M30" s="423"/>
      <c r="N30" s="423"/>
      <c r="O30" s="422" t="str">
        <f>IFERROR((L30-F30)*100/F30,"-")</f>
        <v>-</v>
      </c>
      <c r="P30" s="423"/>
      <c r="Q30" s="423"/>
      <c r="R30" s="422" t="str">
        <f>IFERROR(L30*100/I30,"-")</f>
        <v>-</v>
      </c>
      <c r="S30" s="37"/>
      <c r="T30" s="82"/>
    </row>
    <row r="31" spans="1:23" ht="12.75" customHeight="1" thickTop="1">
      <c r="A31" s="746"/>
      <c r="B31" s="747"/>
      <c r="C31" s="747"/>
      <c r="D31" s="747"/>
      <c r="E31" s="747"/>
      <c r="F31" s="747"/>
      <c r="G31" s="747"/>
      <c r="H31" s="747"/>
      <c r="I31" s="747"/>
      <c r="J31" s="747"/>
      <c r="K31" s="747"/>
      <c r="L31" s="747"/>
      <c r="M31" s="747"/>
      <c r="N31" s="747"/>
      <c r="O31" s="747"/>
      <c r="P31" s="747"/>
      <c r="Q31" s="747"/>
      <c r="R31" s="747"/>
      <c r="S31" s="27"/>
      <c r="T31" s="748"/>
    </row>
    <row r="32" spans="1:23" ht="21">
      <c r="A32" s="8"/>
      <c r="B32" s="8"/>
      <c r="C32" s="9"/>
      <c r="E32" s="9"/>
      <c r="F32" s="9"/>
      <c r="G32" s="2752"/>
      <c r="H32" s="2752"/>
      <c r="I32" s="9"/>
      <c r="N32" s="720"/>
    </row>
  </sheetData>
  <mergeCells count="18">
    <mergeCell ref="A1:F1"/>
    <mergeCell ref="A2:R2"/>
    <mergeCell ref="O5:P5"/>
    <mergeCell ref="Q5:R5"/>
    <mergeCell ref="P8:R8"/>
    <mergeCell ref="J8:L8"/>
    <mergeCell ref="M8:O8"/>
    <mergeCell ref="A30:C30"/>
    <mergeCell ref="G32:H32"/>
    <mergeCell ref="D8:D9"/>
    <mergeCell ref="E8:E9"/>
    <mergeCell ref="F8:F9"/>
    <mergeCell ref="G8:I8"/>
    <mergeCell ref="A7:A9"/>
    <mergeCell ref="B7:B9"/>
    <mergeCell ref="C7:C9"/>
    <mergeCell ref="D7:F7"/>
    <mergeCell ref="G7:R7"/>
  </mergeCells>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1">
    <tabColor rgb="FF00B050"/>
    <pageSetUpPr fitToPage="1"/>
  </sheetPr>
  <dimension ref="A1:AB32"/>
  <sheetViews>
    <sheetView rightToLeft="1" view="pageBreakPreview" zoomScale="60" zoomScaleNormal="85" workbookViewId="0">
      <selection activeCell="J11" sqref="J11"/>
    </sheetView>
  </sheetViews>
  <sheetFormatPr defaultColWidth="9" defaultRowHeight="15"/>
  <cols>
    <col min="1" max="1" width="8.5703125" style="5" customWidth="1"/>
    <col min="2" max="2" width="29.5703125" style="5" customWidth="1"/>
    <col min="3" max="3" width="9" style="5"/>
    <col min="4" max="5" width="10.5703125" style="5" customWidth="1"/>
    <col min="6" max="6" width="12.5703125" style="5" customWidth="1"/>
    <col min="7" max="8" width="11.5703125" style="5" customWidth="1"/>
    <col min="9" max="9" width="12.5703125" style="5" customWidth="1"/>
    <col min="10" max="11" width="11.5703125" style="5" customWidth="1"/>
    <col min="12" max="12" width="12.5703125" style="5" customWidth="1"/>
    <col min="13" max="16" width="9.5703125" style="5" customWidth="1"/>
    <col min="17" max="17" width="3.7109375" style="5" customWidth="1"/>
    <col min="18" max="18" width="9.5703125" style="5" customWidth="1"/>
    <col min="19" max="19" width="3.7109375" style="5" customWidth="1"/>
    <col min="20" max="20" width="9.5703125" style="5" customWidth="1"/>
    <col min="21" max="22" width="9" style="79" customWidth="1"/>
    <col min="23" max="24" width="9" style="79" hidden="1" customWidth="1"/>
    <col min="25" max="25" width="9" style="79"/>
    <col min="26" max="28" width="9" style="79" customWidth="1"/>
    <col min="29" max="16384" width="9" style="5"/>
  </cols>
  <sheetData>
    <row r="1" spans="1:24"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row>
    <row r="2" spans="1:24" ht="28.5" customHeight="1">
      <c r="A2" s="1206" t="str">
        <f>"گزارش فروش داخلی کالای تجاری (بازرگانی) در دوره " &amp; روکش!F9 &amp; " سال " &amp; روکش!D9</f>
        <v>گزارش فروش داخلی کالای تجاری (بازرگانی) در دوره شش ماهه سال 1405</v>
      </c>
      <c r="B2" s="1206"/>
      <c r="C2" s="1206"/>
      <c r="D2" s="1206"/>
      <c r="E2" s="1206"/>
      <c r="F2" s="1206"/>
      <c r="G2" s="1206"/>
      <c r="H2" s="1206"/>
      <c r="I2" s="1206"/>
      <c r="J2" s="1206"/>
      <c r="K2" s="1206"/>
      <c r="L2" s="1206"/>
      <c r="M2" s="1206"/>
      <c r="N2" s="1206"/>
      <c r="O2" s="1203"/>
      <c r="P2" s="1203"/>
      <c r="Q2" s="1203"/>
      <c r="R2" s="1203"/>
      <c r="S2" s="1203"/>
      <c r="T2" s="1203"/>
      <c r="U2" s="741"/>
      <c r="V2" s="741"/>
    </row>
    <row r="3" spans="1:24" ht="20.100000000000001" customHeight="1" thickBot="1">
      <c r="A3" s="408"/>
      <c r="B3" s="408"/>
      <c r="C3" s="408"/>
      <c r="D3" s="409"/>
      <c r="E3" s="410"/>
      <c r="F3" s="410"/>
      <c r="G3" s="411"/>
      <c r="H3" s="411"/>
      <c r="I3" s="411"/>
      <c r="J3" s="411"/>
      <c r="K3"/>
      <c r="L3"/>
      <c r="M3" s="704"/>
      <c r="N3" s="704"/>
      <c r="O3" s="2763" t="s">
        <v>3</v>
      </c>
      <c r="P3" s="2763"/>
      <c r="Q3" s="1207"/>
      <c r="R3" s="2730" t="s">
        <v>4</v>
      </c>
      <c r="S3" s="2730"/>
      <c r="T3" s="2730"/>
      <c r="U3" s="743"/>
      <c r="V3" s="743"/>
    </row>
    <row r="4" spans="1:24" ht="24.75" customHeight="1" thickBot="1">
      <c r="A4" s="2733" t="s">
        <v>5</v>
      </c>
      <c r="B4" s="2740" t="s">
        <v>14</v>
      </c>
      <c r="C4" s="2743" t="s">
        <v>7</v>
      </c>
      <c r="D4" s="1306" t="s">
        <v>639</v>
      </c>
      <c r="E4" s="1307"/>
      <c r="F4" s="1308"/>
      <c r="G4" s="1306" t="s">
        <v>642</v>
      </c>
      <c r="H4" s="1307"/>
      <c r="I4" s="1307"/>
      <c r="J4" s="1307"/>
      <c r="K4" s="1307"/>
      <c r="L4" s="1307"/>
      <c r="M4" s="1307"/>
      <c r="N4" s="1307"/>
      <c r="O4" s="1307"/>
      <c r="P4" s="1307"/>
      <c r="Q4" s="1307"/>
      <c r="R4" s="1307"/>
      <c r="S4" s="1307"/>
      <c r="T4" s="1308"/>
      <c r="U4" s="82"/>
      <c r="V4" s="82"/>
    </row>
    <row r="5" spans="1:24" ht="50.25" customHeight="1">
      <c r="A5" s="2734"/>
      <c r="B5" s="2741"/>
      <c r="C5" s="2744"/>
      <c r="D5" s="2733" t="s">
        <v>8</v>
      </c>
      <c r="E5" s="2740" t="s">
        <v>9</v>
      </c>
      <c r="F5" s="2731" t="s">
        <v>10</v>
      </c>
      <c r="G5" s="1209" t="s">
        <v>217</v>
      </c>
      <c r="H5" s="1309"/>
      <c r="I5" s="1310"/>
      <c r="J5" s="1209" t="s">
        <v>216</v>
      </c>
      <c r="K5" s="1309"/>
      <c r="L5" s="1310"/>
      <c r="M5" s="1209" t="s">
        <v>793</v>
      </c>
      <c r="N5" s="1309"/>
      <c r="O5" s="1310"/>
      <c r="P5" s="1209" t="s">
        <v>643</v>
      </c>
      <c r="Q5" s="1218"/>
      <c r="R5" s="1309"/>
      <c r="S5" s="1309"/>
      <c r="T5" s="1310"/>
      <c r="U5" s="82"/>
      <c r="V5" s="82"/>
    </row>
    <row r="6" spans="1:24" ht="60" customHeight="1" thickBot="1">
      <c r="A6" s="2735"/>
      <c r="B6" s="2742"/>
      <c r="C6" s="2745"/>
      <c r="D6" s="2735"/>
      <c r="E6" s="2742"/>
      <c r="F6" s="2732"/>
      <c r="G6" s="703" t="s">
        <v>11</v>
      </c>
      <c r="H6" s="705" t="s">
        <v>9</v>
      </c>
      <c r="I6" s="412" t="s">
        <v>12</v>
      </c>
      <c r="J6" s="703" t="s">
        <v>11</v>
      </c>
      <c r="K6" s="705" t="s">
        <v>9</v>
      </c>
      <c r="L6" s="412" t="s">
        <v>12</v>
      </c>
      <c r="M6" s="703" t="s">
        <v>11</v>
      </c>
      <c r="N6" s="705" t="s">
        <v>9</v>
      </c>
      <c r="O6" s="412" t="s">
        <v>12</v>
      </c>
      <c r="P6" s="2748" t="s">
        <v>11</v>
      </c>
      <c r="Q6" s="2747"/>
      <c r="R6" s="2746" t="s">
        <v>9</v>
      </c>
      <c r="S6" s="2747"/>
      <c r="T6" s="412" t="s">
        <v>12</v>
      </c>
      <c r="U6" s="764"/>
      <c r="V6" s="82"/>
      <c r="W6" s="1325" t="s">
        <v>784</v>
      </c>
      <c r="X6" s="1325" t="s">
        <v>784</v>
      </c>
    </row>
    <row r="7" spans="1:24" ht="24.95" customHeight="1">
      <c r="A7" s="424">
        <v>1</v>
      </c>
      <c r="B7" s="1311">
        <f ca="1">'خرید کالای تجاری'!B7</f>
        <v>0</v>
      </c>
      <c r="C7" s="2138">
        <f ca="1">'خرید کالای تجاری'!C7</f>
        <v>0</v>
      </c>
      <c r="D7" s="215"/>
      <c r="E7" s="216"/>
      <c r="F7" s="413">
        <f>IFERROR(E7*D7/1000000,0)</f>
        <v>0</v>
      </c>
      <c r="G7" s="1319" cm="1">
        <f t="array" aca="1" ref="G7" ca="1">IF(ROW()-ROW($A$7)&lt;'الف-ب-ج'!$L$9,IF(روکش!$F$9="سه ماهه",INDIRECT("BudgetDB!AB"&amp;('الف-ب-ج'!$M$9+ROW()-ROW($A$7))),INDIRECT("BudgetDB!AC"&amp;('الف-ب-ج'!$M$9+ROW()-ROW($A$7)))),"")</f>
        <v>0</v>
      </c>
      <c r="H7" s="1320" cm="1">
        <f t="array" aca="1" ref="H7" ca="1">IF(ROW()-ROW($A$7)&lt;'الف-ب-ج'!$L$9,IF(روکش!$F$9="سه ماهه",INDIRECT("BudgetDB!AD"&amp;('الف-ب-ج'!$M$9+ROW()-ROW($A$7))),INDIRECT("BudgetDB!AE"&amp;('الف-ب-ج'!$M$9+ROW()-ROW($A$7)))),"")</f>
        <v>0</v>
      </c>
      <c r="I7" s="413">
        <f ca="1">IFERROR(H7*G7/1000000,0)</f>
        <v>0</v>
      </c>
      <c r="J7" s="215"/>
      <c r="K7" s="216"/>
      <c r="L7" s="413">
        <f>IFERROR(K7*J7/1000000,0)</f>
        <v>0</v>
      </c>
      <c r="M7" s="402" t="str">
        <f>IFERROR((J7-D7)*100/D7,"-")</f>
        <v>-</v>
      </c>
      <c r="N7" s="414" t="str">
        <f t="shared" ref="N7:O20" si="0">IFERROR((K7-E7)*100/E7,"-")</f>
        <v>-</v>
      </c>
      <c r="O7" s="415" t="str">
        <f t="shared" si="0"/>
        <v>-</v>
      </c>
      <c r="P7" s="2119" t="str">
        <f ca="1">IFERROR(J7*100/G7,"-")</f>
        <v>-</v>
      </c>
      <c r="Q7" s="2163">
        <f ca="1">IFERROR(ABS(P7-100),500)</f>
        <v>500</v>
      </c>
      <c r="R7" s="2169" t="str">
        <f ca="1">IFERROR(K7*100/H7,"-")</f>
        <v>-</v>
      </c>
      <c r="S7" s="2163">
        <f ca="1">IFERROR(ABS(R7-100),500)</f>
        <v>500</v>
      </c>
      <c r="T7" s="415" t="str">
        <f t="shared" ref="T7:T16" ca="1" si="1">IFERROR(L7*100/I7,"-")</f>
        <v>-</v>
      </c>
      <c r="U7" s="82"/>
      <c r="V7" s="82"/>
      <c r="W7" s="1325" t="str">
        <f ca="1">IF(AND(G7=0,J7&gt;0),100,IFERROR(ABS(P7-100),"-"))</f>
        <v>-</v>
      </c>
      <c r="X7" s="1325" t="str">
        <f ca="1">IF(AND(H7=0,K7&gt;0),100,IFERROR(ABS(R7-100),"-"))</f>
        <v>-</v>
      </c>
    </row>
    <row r="8" spans="1:24" ht="24.95" customHeight="1">
      <c r="A8" s="425">
        <v>2</v>
      </c>
      <c r="B8" s="1312">
        <f ca="1">'خرید کالای تجاری'!B8</f>
        <v>0</v>
      </c>
      <c r="C8" s="2139">
        <f ca="1">'خرید کالای تجاری'!C8</f>
        <v>0</v>
      </c>
      <c r="D8" s="217"/>
      <c r="E8" s="218"/>
      <c r="F8" s="416">
        <f t="shared" ref="F8:F24" si="2">IFERROR(E8*D8/1000000,0)</f>
        <v>0</v>
      </c>
      <c r="G8" s="1321" cm="1">
        <f t="array" aca="1" ref="G8" ca="1">IF(ROW()-ROW($A$7)&lt;'الف-ب-ج'!$L$9,IF(روکش!$F$9="سه ماهه",INDIRECT("BudgetDB!AB"&amp;('الف-ب-ج'!$M$9+ROW()-ROW($A$7))),INDIRECT("BudgetDB!AC"&amp;('الف-ب-ج'!$M$9+ROW()-ROW($A$7)))),"")</f>
        <v>0</v>
      </c>
      <c r="H8" s="1322" cm="1">
        <f t="array" aca="1" ref="H8" ca="1">IF(ROW()-ROW($A$7)&lt;'الف-ب-ج'!$L$9,IF(روکش!$F$9="سه ماهه",INDIRECT("BudgetDB!AD"&amp;('الف-ب-ج'!$M$9+ROW()-ROW($A$7))),INDIRECT("BudgetDB!AE"&amp;('الف-ب-ج'!$M$9+ROW()-ROW($A$7)))),"")</f>
        <v>0</v>
      </c>
      <c r="I8" s="416">
        <f t="shared" ref="I8:I24" ca="1" si="3">IFERROR(H8*G8/1000000,0)</f>
        <v>0</v>
      </c>
      <c r="J8" s="217"/>
      <c r="K8" s="218"/>
      <c r="L8" s="416">
        <f t="shared" ref="L8:L24" si="4">IFERROR(K8*J8/1000000,0)</f>
        <v>0</v>
      </c>
      <c r="M8" s="406" t="str">
        <f t="shared" ref="M8:M20" si="5">IFERROR((J8-D8)*100/D8,"-")</f>
        <v>-</v>
      </c>
      <c r="N8" s="417" t="str">
        <f t="shared" si="0"/>
        <v>-</v>
      </c>
      <c r="O8" s="418" t="str">
        <f t="shared" si="0"/>
        <v>-</v>
      </c>
      <c r="P8" s="2120" t="str">
        <f t="shared" ref="P8:P25" ca="1" si="6">IFERROR(J8*100/G8,"-")</f>
        <v>-</v>
      </c>
      <c r="Q8" s="2164">
        <f t="shared" ref="Q8:S23" ca="1" si="7">IFERROR(ABS(P8-100),500)</f>
        <v>500</v>
      </c>
      <c r="R8" s="2170" t="str">
        <f t="shared" ref="R8:R25" ca="1" si="8">IFERROR(K8*100/H8,"-")</f>
        <v>-</v>
      </c>
      <c r="S8" s="2164">
        <f t="shared" ca="1" si="7"/>
        <v>500</v>
      </c>
      <c r="T8" s="418" t="str">
        <f t="shared" ca="1" si="1"/>
        <v>-</v>
      </c>
      <c r="U8" s="82"/>
      <c r="V8" s="82"/>
      <c r="W8" s="1325" t="str">
        <f t="shared" ref="W8:W20" ca="1" si="9">IF(AND(G8=0,J8&gt;0),100,IFERROR(ABS(P8-100),"-"))</f>
        <v>-</v>
      </c>
      <c r="X8" s="1325" t="str">
        <f t="shared" ref="X8:X20" ca="1" si="10">IF(AND(H8=0,K8&gt;0),100,IFERROR(ABS(R8-100),"-"))</f>
        <v>-</v>
      </c>
    </row>
    <row r="9" spans="1:24" ht="24.95" customHeight="1">
      <c r="A9" s="425">
        <v>3</v>
      </c>
      <c r="B9" s="1312">
        <f ca="1">'خرید کالای تجاری'!B9</f>
        <v>0</v>
      </c>
      <c r="C9" s="2139">
        <f ca="1">'خرید کالای تجاری'!C9</f>
        <v>0</v>
      </c>
      <c r="D9" s="217"/>
      <c r="E9" s="218"/>
      <c r="F9" s="416">
        <f t="shared" si="2"/>
        <v>0</v>
      </c>
      <c r="G9" s="1321" cm="1">
        <f t="array" aca="1" ref="G9" ca="1">IF(ROW()-ROW($A$7)&lt;'الف-ب-ج'!$L$9,IF(روکش!$F$9="سه ماهه",INDIRECT("BudgetDB!AB"&amp;('الف-ب-ج'!$M$9+ROW()-ROW($A$7))),INDIRECT("BudgetDB!AC"&amp;('الف-ب-ج'!$M$9+ROW()-ROW($A$7)))),"")</f>
        <v>0</v>
      </c>
      <c r="H9" s="1322" cm="1">
        <f t="array" aca="1" ref="H9" ca="1">IF(ROW()-ROW($A$7)&lt;'الف-ب-ج'!$L$9,IF(روکش!$F$9="سه ماهه",INDIRECT("BudgetDB!AD"&amp;('الف-ب-ج'!$M$9+ROW()-ROW($A$7))),INDIRECT("BudgetDB!AE"&amp;('الف-ب-ج'!$M$9+ROW()-ROW($A$7)))),"")</f>
        <v>0</v>
      </c>
      <c r="I9" s="416">
        <f t="shared" ca="1" si="3"/>
        <v>0</v>
      </c>
      <c r="J9" s="217"/>
      <c r="K9" s="218"/>
      <c r="L9" s="416">
        <f t="shared" si="4"/>
        <v>0</v>
      </c>
      <c r="M9" s="406" t="str">
        <f t="shared" si="5"/>
        <v>-</v>
      </c>
      <c r="N9" s="417" t="str">
        <f t="shared" si="0"/>
        <v>-</v>
      </c>
      <c r="O9" s="418" t="str">
        <f t="shared" si="0"/>
        <v>-</v>
      </c>
      <c r="P9" s="2120" t="str">
        <f t="shared" ca="1" si="6"/>
        <v>-</v>
      </c>
      <c r="Q9" s="2164">
        <f t="shared" ca="1" si="7"/>
        <v>500</v>
      </c>
      <c r="R9" s="2170" t="str">
        <f t="shared" ca="1" si="8"/>
        <v>-</v>
      </c>
      <c r="S9" s="2164">
        <f t="shared" ca="1" si="7"/>
        <v>500</v>
      </c>
      <c r="T9" s="418" t="str">
        <f t="shared" ca="1" si="1"/>
        <v>-</v>
      </c>
      <c r="U9" s="82"/>
      <c r="V9" s="82"/>
      <c r="W9" s="1325" t="str">
        <f t="shared" ca="1" si="9"/>
        <v>-</v>
      </c>
      <c r="X9" s="1325" t="str">
        <f t="shared" ca="1" si="10"/>
        <v>-</v>
      </c>
    </row>
    <row r="10" spans="1:24" ht="24.95" customHeight="1">
      <c r="A10" s="425">
        <v>4</v>
      </c>
      <c r="B10" s="1312">
        <f ca="1">'خرید کالای تجاری'!B10</f>
        <v>0</v>
      </c>
      <c r="C10" s="2139">
        <f ca="1">'خرید کالای تجاری'!C10</f>
        <v>0</v>
      </c>
      <c r="D10" s="217"/>
      <c r="E10" s="218"/>
      <c r="F10" s="416">
        <f t="shared" si="2"/>
        <v>0</v>
      </c>
      <c r="G10" s="1321" cm="1">
        <f t="array" aca="1" ref="G10" ca="1">IF(ROW()-ROW($A$7)&lt;'الف-ب-ج'!$L$9,IF(روکش!$F$9="سه ماهه",INDIRECT("BudgetDB!AB"&amp;('الف-ب-ج'!$M$9+ROW()-ROW($A$7))),INDIRECT("BudgetDB!AC"&amp;('الف-ب-ج'!$M$9+ROW()-ROW($A$7)))),"")</f>
        <v>0</v>
      </c>
      <c r="H10" s="1322" cm="1">
        <f t="array" aca="1" ref="H10" ca="1">IF(ROW()-ROW($A$7)&lt;'الف-ب-ج'!$L$9,IF(روکش!$F$9="سه ماهه",INDIRECT("BudgetDB!AD"&amp;('الف-ب-ج'!$M$9+ROW()-ROW($A$7))),INDIRECT("BudgetDB!AE"&amp;('الف-ب-ج'!$M$9+ROW()-ROW($A$7)))),"")</f>
        <v>0</v>
      </c>
      <c r="I10" s="416">
        <f t="shared" ca="1" si="3"/>
        <v>0</v>
      </c>
      <c r="J10" s="217"/>
      <c r="K10" s="218"/>
      <c r="L10" s="416">
        <f t="shared" si="4"/>
        <v>0</v>
      </c>
      <c r="M10" s="406" t="str">
        <f t="shared" si="5"/>
        <v>-</v>
      </c>
      <c r="N10" s="417" t="str">
        <f t="shared" si="0"/>
        <v>-</v>
      </c>
      <c r="O10" s="418" t="str">
        <f t="shared" si="0"/>
        <v>-</v>
      </c>
      <c r="P10" s="2120" t="str">
        <f t="shared" ca="1" si="6"/>
        <v>-</v>
      </c>
      <c r="Q10" s="2164">
        <f t="shared" ca="1" si="7"/>
        <v>500</v>
      </c>
      <c r="R10" s="2170" t="str">
        <f t="shared" ca="1" si="8"/>
        <v>-</v>
      </c>
      <c r="S10" s="2164">
        <f t="shared" ca="1" si="7"/>
        <v>500</v>
      </c>
      <c r="T10" s="418" t="str">
        <f t="shared" ca="1" si="1"/>
        <v>-</v>
      </c>
      <c r="U10" s="82"/>
      <c r="V10" s="82"/>
      <c r="W10" s="1325" t="str">
        <f t="shared" ca="1" si="9"/>
        <v>-</v>
      </c>
      <c r="X10" s="1325" t="str">
        <f t="shared" ca="1" si="10"/>
        <v>-</v>
      </c>
    </row>
    <row r="11" spans="1:24" ht="24.95" customHeight="1">
      <c r="A11" s="425">
        <v>5</v>
      </c>
      <c r="B11" s="1312">
        <f ca="1">'خرید کالای تجاری'!B11</f>
        <v>0</v>
      </c>
      <c r="C11" s="2139">
        <f ca="1">'خرید کالای تجاری'!C11</f>
        <v>0</v>
      </c>
      <c r="D11" s="217"/>
      <c r="E11" s="218"/>
      <c r="F11" s="416">
        <f t="shared" si="2"/>
        <v>0</v>
      </c>
      <c r="G11" s="1321" cm="1">
        <f t="array" aca="1" ref="G11" ca="1">IF(ROW()-ROW($A$7)&lt;'الف-ب-ج'!$L$9,IF(روکش!$F$9="سه ماهه",INDIRECT("BudgetDB!AB"&amp;('الف-ب-ج'!$M$9+ROW()-ROW($A$7))),INDIRECT("BudgetDB!AC"&amp;('الف-ب-ج'!$M$9+ROW()-ROW($A$7)))),"")</f>
        <v>0</v>
      </c>
      <c r="H11" s="1322" cm="1">
        <f t="array" aca="1" ref="H11" ca="1">IF(ROW()-ROW($A$7)&lt;'الف-ب-ج'!$L$9,IF(روکش!$F$9="سه ماهه",INDIRECT("BudgetDB!AD"&amp;('الف-ب-ج'!$M$9+ROW()-ROW($A$7))),INDIRECT("BudgetDB!AE"&amp;('الف-ب-ج'!$M$9+ROW()-ROW($A$7)))),"")</f>
        <v>0</v>
      </c>
      <c r="I11" s="416">
        <f t="shared" ca="1" si="3"/>
        <v>0</v>
      </c>
      <c r="J11" s="217"/>
      <c r="K11" s="218"/>
      <c r="L11" s="416">
        <f t="shared" si="4"/>
        <v>0</v>
      </c>
      <c r="M11" s="406" t="str">
        <f t="shared" si="5"/>
        <v>-</v>
      </c>
      <c r="N11" s="417" t="str">
        <f t="shared" si="0"/>
        <v>-</v>
      </c>
      <c r="O11" s="418" t="str">
        <f t="shared" si="0"/>
        <v>-</v>
      </c>
      <c r="P11" s="2120" t="str">
        <f t="shared" ca="1" si="6"/>
        <v>-</v>
      </c>
      <c r="Q11" s="2164">
        <f t="shared" ca="1" si="7"/>
        <v>500</v>
      </c>
      <c r="R11" s="2170" t="str">
        <f t="shared" ca="1" si="8"/>
        <v>-</v>
      </c>
      <c r="S11" s="2164">
        <f t="shared" ca="1" si="7"/>
        <v>500</v>
      </c>
      <c r="T11" s="418" t="str">
        <f t="shared" ca="1" si="1"/>
        <v>-</v>
      </c>
      <c r="U11" s="82"/>
      <c r="V11" s="82"/>
      <c r="W11" s="1325" t="str">
        <f t="shared" ca="1" si="9"/>
        <v>-</v>
      </c>
      <c r="X11" s="1325" t="str">
        <f t="shared" ca="1" si="10"/>
        <v>-</v>
      </c>
    </row>
    <row r="12" spans="1:24" ht="24.95" customHeight="1">
      <c r="A12" s="425">
        <v>6</v>
      </c>
      <c r="B12" s="1312">
        <f ca="1">'خرید کالای تجاری'!B12</f>
        <v>0</v>
      </c>
      <c r="C12" s="2139">
        <f ca="1">'خرید کالای تجاری'!C12</f>
        <v>0</v>
      </c>
      <c r="D12" s="217"/>
      <c r="E12" s="218"/>
      <c r="F12" s="416">
        <f t="shared" si="2"/>
        <v>0</v>
      </c>
      <c r="G12" s="1321" cm="1">
        <f t="array" aca="1" ref="G12" ca="1">IF(ROW()-ROW($A$7)&lt;'الف-ب-ج'!$L$9,IF(روکش!$F$9="سه ماهه",INDIRECT("BudgetDB!AB"&amp;('الف-ب-ج'!$M$9+ROW()-ROW($A$7))),INDIRECT("BudgetDB!AC"&amp;('الف-ب-ج'!$M$9+ROW()-ROW($A$7)))),"")</f>
        <v>0</v>
      </c>
      <c r="H12" s="1322" cm="1">
        <f t="array" aca="1" ref="H12" ca="1">IF(ROW()-ROW($A$7)&lt;'الف-ب-ج'!$L$9,IF(روکش!$F$9="سه ماهه",INDIRECT("BudgetDB!AD"&amp;('الف-ب-ج'!$M$9+ROW()-ROW($A$7))),INDIRECT("BudgetDB!AE"&amp;('الف-ب-ج'!$M$9+ROW()-ROW($A$7)))),"")</f>
        <v>0</v>
      </c>
      <c r="I12" s="416">
        <f t="shared" ca="1" si="3"/>
        <v>0</v>
      </c>
      <c r="J12" s="217"/>
      <c r="K12" s="218"/>
      <c r="L12" s="416">
        <f t="shared" si="4"/>
        <v>0</v>
      </c>
      <c r="M12" s="406" t="str">
        <f t="shared" si="5"/>
        <v>-</v>
      </c>
      <c r="N12" s="417" t="str">
        <f t="shared" si="0"/>
        <v>-</v>
      </c>
      <c r="O12" s="418" t="str">
        <f t="shared" si="0"/>
        <v>-</v>
      </c>
      <c r="P12" s="2120" t="str">
        <f t="shared" ca="1" si="6"/>
        <v>-</v>
      </c>
      <c r="Q12" s="2164">
        <f t="shared" ca="1" si="7"/>
        <v>500</v>
      </c>
      <c r="R12" s="2170" t="str">
        <f t="shared" ca="1" si="8"/>
        <v>-</v>
      </c>
      <c r="S12" s="2164">
        <f t="shared" ca="1" si="7"/>
        <v>500</v>
      </c>
      <c r="T12" s="418" t="str">
        <f t="shared" ca="1" si="1"/>
        <v>-</v>
      </c>
      <c r="U12" s="82"/>
      <c r="V12" s="82"/>
      <c r="W12" s="1325" t="str">
        <f t="shared" ca="1" si="9"/>
        <v>-</v>
      </c>
      <c r="X12" s="1325" t="str">
        <f t="shared" ca="1" si="10"/>
        <v>-</v>
      </c>
    </row>
    <row r="13" spans="1:24" ht="24.95" customHeight="1">
      <c r="A13" s="425">
        <v>7</v>
      </c>
      <c r="B13" s="1312">
        <f ca="1">'خرید کالای تجاری'!B13</f>
        <v>0</v>
      </c>
      <c r="C13" s="1313">
        <f ca="1">'خرید کالای تجاری'!C13</f>
        <v>0</v>
      </c>
      <c r="D13" s="217"/>
      <c r="E13" s="218"/>
      <c r="F13" s="416">
        <f t="shared" si="2"/>
        <v>0</v>
      </c>
      <c r="G13" s="1321" cm="1">
        <f t="array" aca="1" ref="G13" ca="1">IF(ROW()-ROW($A$7)&lt;'الف-ب-ج'!$L$9,IF(روکش!$F$9="سه ماهه",INDIRECT("BudgetDB!AB"&amp;('الف-ب-ج'!$M$9+ROW()-ROW($A$7))),INDIRECT("BudgetDB!AC"&amp;('الف-ب-ج'!$M$9+ROW()-ROW($A$7)))),"")</f>
        <v>0</v>
      </c>
      <c r="H13" s="1322" cm="1">
        <f t="array" aca="1" ref="H13" ca="1">IF(ROW()-ROW($A$7)&lt;'الف-ب-ج'!$L$9,IF(روکش!$F$9="سه ماهه",INDIRECT("BudgetDB!AD"&amp;('الف-ب-ج'!$M$9+ROW()-ROW($A$7))),INDIRECT("BudgetDB!AE"&amp;('الف-ب-ج'!$M$9+ROW()-ROW($A$7)))),"")</f>
        <v>0</v>
      </c>
      <c r="I13" s="416">
        <f t="shared" ca="1" si="3"/>
        <v>0</v>
      </c>
      <c r="J13" s="217"/>
      <c r="K13" s="218"/>
      <c r="L13" s="416">
        <f t="shared" si="4"/>
        <v>0</v>
      </c>
      <c r="M13" s="406" t="str">
        <f t="shared" si="5"/>
        <v>-</v>
      </c>
      <c r="N13" s="417" t="str">
        <f t="shared" si="0"/>
        <v>-</v>
      </c>
      <c r="O13" s="418" t="str">
        <f>IFERROR((L13-F13)*100/F13,"-")</f>
        <v>-</v>
      </c>
      <c r="P13" s="2120" t="str">
        <f t="shared" ca="1" si="6"/>
        <v>-</v>
      </c>
      <c r="Q13" s="2164">
        <f t="shared" ca="1" si="7"/>
        <v>500</v>
      </c>
      <c r="R13" s="2170" t="str">
        <f t="shared" ca="1" si="8"/>
        <v>-</v>
      </c>
      <c r="S13" s="2164">
        <f t="shared" ca="1" si="7"/>
        <v>500</v>
      </c>
      <c r="T13" s="418" t="str">
        <f t="shared" ca="1" si="1"/>
        <v>-</v>
      </c>
      <c r="U13" s="82"/>
      <c r="V13" s="82"/>
      <c r="W13" s="1325" t="str">
        <f t="shared" ca="1" si="9"/>
        <v>-</v>
      </c>
      <c r="X13" s="1325" t="str">
        <f t="shared" ca="1" si="10"/>
        <v>-</v>
      </c>
    </row>
    <row r="14" spans="1:24" ht="24.95" customHeight="1">
      <c r="A14" s="425">
        <v>8</v>
      </c>
      <c r="B14" s="1312">
        <f ca="1">'خرید کالای تجاری'!B14</f>
        <v>0</v>
      </c>
      <c r="C14" s="1313">
        <f ca="1">'خرید کالای تجاری'!C14</f>
        <v>0</v>
      </c>
      <c r="D14" s="217"/>
      <c r="E14" s="218"/>
      <c r="F14" s="416">
        <f t="shared" si="2"/>
        <v>0</v>
      </c>
      <c r="G14" s="1321" cm="1">
        <f t="array" aca="1" ref="G14" ca="1">IF(ROW()-ROW($A$7)&lt;'الف-ب-ج'!$L$9,IF(روکش!$F$9="سه ماهه",INDIRECT("BudgetDB!AB"&amp;('الف-ب-ج'!$M$9+ROW()-ROW($A$7))),INDIRECT("BudgetDB!AC"&amp;('الف-ب-ج'!$M$9+ROW()-ROW($A$7)))),"")</f>
        <v>0</v>
      </c>
      <c r="H14" s="1322" cm="1">
        <f t="array" aca="1" ref="H14" ca="1">IF(ROW()-ROW($A$7)&lt;'الف-ب-ج'!$L$9,IF(روکش!$F$9="سه ماهه",INDIRECT("BudgetDB!AD"&amp;('الف-ب-ج'!$M$9+ROW()-ROW($A$7))),INDIRECT("BudgetDB!AE"&amp;('الف-ب-ج'!$M$9+ROW()-ROW($A$7)))),"")</f>
        <v>0</v>
      </c>
      <c r="I14" s="416">
        <f t="shared" ca="1" si="3"/>
        <v>0</v>
      </c>
      <c r="J14" s="217"/>
      <c r="K14" s="218"/>
      <c r="L14" s="416">
        <f t="shared" si="4"/>
        <v>0</v>
      </c>
      <c r="M14" s="406" t="str">
        <f t="shared" si="5"/>
        <v>-</v>
      </c>
      <c r="N14" s="417" t="str">
        <f t="shared" si="0"/>
        <v>-</v>
      </c>
      <c r="O14" s="418" t="str">
        <f t="shared" si="0"/>
        <v>-</v>
      </c>
      <c r="P14" s="2120" t="str">
        <f t="shared" ca="1" si="6"/>
        <v>-</v>
      </c>
      <c r="Q14" s="2164">
        <f t="shared" ca="1" si="7"/>
        <v>500</v>
      </c>
      <c r="R14" s="2170" t="str">
        <f t="shared" ca="1" si="8"/>
        <v>-</v>
      </c>
      <c r="S14" s="2164">
        <f t="shared" ca="1" si="7"/>
        <v>500</v>
      </c>
      <c r="T14" s="418" t="str">
        <f t="shared" ca="1" si="1"/>
        <v>-</v>
      </c>
      <c r="U14" s="82"/>
      <c r="V14" s="82"/>
      <c r="W14" s="1325" t="str">
        <f t="shared" ca="1" si="9"/>
        <v>-</v>
      </c>
      <c r="X14" s="1325" t="str">
        <f t="shared" ca="1" si="10"/>
        <v>-</v>
      </c>
    </row>
    <row r="15" spans="1:24" ht="24.95" customHeight="1">
      <c r="A15" s="425">
        <v>9</v>
      </c>
      <c r="B15" s="1312">
        <f ca="1">'خرید کالای تجاری'!B15</f>
        <v>0</v>
      </c>
      <c r="C15" s="1313">
        <f ca="1">'خرید کالای تجاری'!C15</f>
        <v>0</v>
      </c>
      <c r="D15" s="217"/>
      <c r="E15" s="218"/>
      <c r="F15" s="416">
        <f t="shared" si="2"/>
        <v>0</v>
      </c>
      <c r="G15" s="1321" cm="1">
        <f t="array" aca="1" ref="G15" ca="1">IF(ROW()-ROW($A$7)&lt;'الف-ب-ج'!$L$9,IF(روکش!$F$9="سه ماهه",INDIRECT("BudgetDB!AB"&amp;('الف-ب-ج'!$M$9+ROW()-ROW($A$7))),INDIRECT("BudgetDB!AC"&amp;('الف-ب-ج'!$M$9+ROW()-ROW($A$7)))),"")</f>
        <v>0</v>
      </c>
      <c r="H15" s="1322" cm="1">
        <f t="array" aca="1" ref="H15" ca="1">IF(ROW()-ROW($A$7)&lt;'الف-ب-ج'!$L$9,IF(روکش!$F$9="سه ماهه",INDIRECT("BudgetDB!AD"&amp;('الف-ب-ج'!$M$9+ROW()-ROW($A$7))),INDIRECT("BudgetDB!AE"&amp;('الف-ب-ج'!$M$9+ROW()-ROW($A$7)))),"")</f>
        <v>0</v>
      </c>
      <c r="I15" s="416">
        <f t="shared" ca="1" si="3"/>
        <v>0</v>
      </c>
      <c r="J15" s="217"/>
      <c r="K15" s="218"/>
      <c r="L15" s="416">
        <f t="shared" si="4"/>
        <v>0</v>
      </c>
      <c r="M15" s="406" t="str">
        <f t="shared" si="5"/>
        <v>-</v>
      </c>
      <c r="N15" s="417" t="str">
        <f t="shared" si="0"/>
        <v>-</v>
      </c>
      <c r="O15" s="418" t="str">
        <f t="shared" si="0"/>
        <v>-</v>
      </c>
      <c r="P15" s="2120" t="str">
        <f t="shared" ca="1" si="6"/>
        <v>-</v>
      </c>
      <c r="Q15" s="2164">
        <f t="shared" ca="1" si="7"/>
        <v>500</v>
      </c>
      <c r="R15" s="2170" t="str">
        <f t="shared" ca="1" si="8"/>
        <v>-</v>
      </c>
      <c r="S15" s="2164">
        <f t="shared" ca="1" si="7"/>
        <v>500</v>
      </c>
      <c r="T15" s="418" t="str">
        <f t="shared" ca="1" si="1"/>
        <v>-</v>
      </c>
      <c r="U15" s="82"/>
      <c r="V15" s="82"/>
      <c r="W15" s="1325" t="str">
        <f t="shared" ca="1" si="9"/>
        <v>-</v>
      </c>
      <c r="X15" s="1325" t="str">
        <f t="shared" ca="1" si="10"/>
        <v>-</v>
      </c>
    </row>
    <row r="16" spans="1:24" ht="24.95" customHeight="1">
      <c r="A16" s="426">
        <v>10</v>
      </c>
      <c r="B16" s="1314">
        <f ca="1">'خرید کالای تجاری'!B16</f>
        <v>0</v>
      </c>
      <c r="C16" s="1315">
        <f ca="1">'خرید کالای تجاری'!C16</f>
        <v>0</v>
      </c>
      <c r="D16" s="217"/>
      <c r="E16" s="218"/>
      <c r="F16" s="419">
        <f t="shared" si="2"/>
        <v>0</v>
      </c>
      <c r="G16" s="1323" cm="1">
        <f t="array" aca="1" ref="G16" ca="1">IF(ROW()-ROW($A$7)&lt;'الف-ب-ج'!$L$9,IF(روکش!$F$9="سه ماهه",INDIRECT("BudgetDB!AB"&amp;('الف-ب-ج'!$M$9+ROW()-ROW($A$7))),INDIRECT("BudgetDB!AC"&amp;('الف-ب-ج'!$M$9+ROW()-ROW($A$7)))),"")</f>
        <v>0</v>
      </c>
      <c r="H16" s="1322" cm="1">
        <f t="array" aca="1" ref="H16" ca="1">IF(ROW()-ROW($A$7)&lt;'الف-ب-ج'!$L$9,IF(روکش!$F$9="سه ماهه",INDIRECT("BudgetDB!AD"&amp;('الف-ب-ج'!$M$9+ROW()-ROW($A$7))),INDIRECT("BudgetDB!AE"&amp;('الف-ب-ج'!$M$9+ROW()-ROW($A$7)))),"")</f>
        <v>0</v>
      </c>
      <c r="I16" s="419">
        <f t="shared" ca="1" si="3"/>
        <v>0</v>
      </c>
      <c r="J16" s="217"/>
      <c r="K16" s="218"/>
      <c r="L16" s="419">
        <f t="shared" si="4"/>
        <v>0</v>
      </c>
      <c r="M16" s="404" t="str">
        <f t="shared" si="5"/>
        <v>-</v>
      </c>
      <c r="N16" s="417" t="str">
        <f t="shared" si="0"/>
        <v>-</v>
      </c>
      <c r="O16" s="420" t="str">
        <f t="shared" si="0"/>
        <v>-</v>
      </c>
      <c r="P16" s="2160" t="str">
        <f t="shared" ca="1" si="6"/>
        <v>-</v>
      </c>
      <c r="Q16" s="2165">
        <f t="shared" ca="1" si="7"/>
        <v>500</v>
      </c>
      <c r="R16" s="2170" t="str">
        <f t="shared" ca="1" si="8"/>
        <v>-</v>
      </c>
      <c r="S16" s="2165">
        <f t="shared" ca="1" si="7"/>
        <v>500</v>
      </c>
      <c r="T16" s="420" t="str">
        <f t="shared" ca="1" si="1"/>
        <v>-</v>
      </c>
      <c r="U16" s="82"/>
      <c r="V16" s="82"/>
      <c r="W16" s="1325" t="str">
        <f t="shared" ca="1" si="9"/>
        <v>-</v>
      </c>
      <c r="X16" s="1325" t="str">
        <f t="shared" ca="1" si="10"/>
        <v>-</v>
      </c>
    </row>
    <row r="17" spans="1:24" ht="24.95" customHeight="1">
      <c r="A17" s="426">
        <v>11</v>
      </c>
      <c r="B17" s="1314">
        <f ca="1">'خرید کالای تجاری'!B17</f>
        <v>0</v>
      </c>
      <c r="C17" s="1315">
        <f ca="1">'خرید کالای تجاری'!C17</f>
        <v>0</v>
      </c>
      <c r="D17" s="217"/>
      <c r="E17" s="218"/>
      <c r="F17" s="419">
        <f t="shared" si="2"/>
        <v>0</v>
      </c>
      <c r="G17" s="1323" cm="1">
        <f t="array" aca="1" ref="G17" ca="1">IF(ROW()-ROW($A$7)&lt;'الف-ب-ج'!$L$9,IF(روکش!$F$9="سه ماهه",INDIRECT("BudgetDB!AB"&amp;('الف-ب-ج'!$M$9+ROW()-ROW($A$7))),INDIRECT("BudgetDB!AC"&amp;('الف-ب-ج'!$M$9+ROW()-ROW($A$7)))),"")</f>
        <v>0</v>
      </c>
      <c r="H17" s="1324" cm="1">
        <f t="array" aca="1" ref="H17" ca="1">IF(ROW()-ROW($A$7)&lt;'الف-ب-ج'!$L$9,IF(روکش!$F$9="سه ماهه",INDIRECT("BudgetDB!AD"&amp;('الف-ب-ج'!$M$9+ROW()-ROW($A$7))),INDIRECT("BudgetDB!AE"&amp;('الف-ب-ج'!$M$9+ROW()-ROW($A$7)))),"")</f>
        <v>0</v>
      </c>
      <c r="I17" s="419">
        <f t="shared" ca="1" si="3"/>
        <v>0</v>
      </c>
      <c r="J17" s="217"/>
      <c r="K17" s="218"/>
      <c r="L17" s="419">
        <f t="shared" si="4"/>
        <v>0</v>
      </c>
      <c r="M17" s="404" t="str">
        <f t="shared" si="5"/>
        <v>-</v>
      </c>
      <c r="N17" s="421" t="str">
        <f t="shared" si="0"/>
        <v>-</v>
      </c>
      <c r="O17" s="420" t="str">
        <f t="shared" si="0"/>
        <v>-</v>
      </c>
      <c r="P17" s="2160" t="str">
        <f t="shared" ca="1" si="6"/>
        <v>-</v>
      </c>
      <c r="Q17" s="2165">
        <f t="shared" ca="1" si="7"/>
        <v>500</v>
      </c>
      <c r="R17" s="2171" t="str">
        <f t="shared" ca="1" si="8"/>
        <v>-</v>
      </c>
      <c r="S17" s="2165">
        <f t="shared" ca="1" si="7"/>
        <v>500</v>
      </c>
      <c r="T17" s="420" t="str">
        <f t="shared" ref="T17:T29" ca="1" si="11">IFERROR(L17*100/I17,"-")</f>
        <v>-</v>
      </c>
      <c r="U17" s="82"/>
      <c r="V17" s="82"/>
      <c r="W17" s="1325" t="str">
        <f t="shared" ca="1" si="9"/>
        <v>-</v>
      </c>
      <c r="X17" s="1325" t="str">
        <f t="shared" ca="1" si="10"/>
        <v>-</v>
      </c>
    </row>
    <row r="18" spans="1:24" ht="24.95" customHeight="1">
      <c r="A18" s="426">
        <v>12</v>
      </c>
      <c r="B18" s="1314">
        <f ca="1">'خرید کالای تجاری'!B18</f>
        <v>0</v>
      </c>
      <c r="C18" s="1315">
        <f ca="1">'خرید کالای تجاری'!C18</f>
        <v>0</v>
      </c>
      <c r="D18" s="217"/>
      <c r="E18" s="218"/>
      <c r="F18" s="419">
        <f t="shared" si="2"/>
        <v>0</v>
      </c>
      <c r="G18" s="1323" cm="1">
        <f t="array" aca="1" ref="G18" ca="1">IF(ROW()-ROW($A$7)&lt;'الف-ب-ج'!$L$9,IF(روکش!$F$9="سه ماهه",INDIRECT("BudgetDB!AB"&amp;('الف-ب-ج'!$M$9+ROW()-ROW($A$7))),INDIRECT("BudgetDB!AC"&amp;('الف-ب-ج'!$M$9+ROW()-ROW($A$7)))),"")</f>
        <v>0</v>
      </c>
      <c r="H18" s="1324" cm="1">
        <f t="array" aca="1" ref="H18" ca="1">IF(ROW()-ROW($A$7)&lt;'الف-ب-ج'!$L$9,IF(روکش!$F$9="سه ماهه",INDIRECT("BudgetDB!AD"&amp;('الف-ب-ج'!$M$9+ROW()-ROW($A$7))),INDIRECT("BudgetDB!AE"&amp;('الف-ب-ج'!$M$9+ROW()-ROW($A$7)))),"")</f>
        <v>0</v>
      </c>
      <c r="I18" s="419">
        <f t="shared" ca="1" si="3"/>
        <v>0</v>
      </c>
      <c r="J18" s="217"/>
      <c r="K18" s="218"/>
      <c r="L18" s="419">
        <f t="shared" si="4"/>
        <v>0</v>
      </c>
      <c r="M18" s="404" t="str">
        <f t="shared" si="5"/>
        <v>-</v>
      </c>
      <c r="N18" s="421" t="str">
        <f t="shared" si="0"/>
        <v>-</v>
      </c>
      <c r="O18" s="420" t="str">
        <f t="shared" si="0"/>
        <v>-</v>
      </c>
      <c r="P18" s="2160" t="str">
        <f t="shared" ca="1" si="6"/>
        <v>-</v>
      </c>
      <c r="Q18" s="2165">
        <f t="shared" ca="1" si="7"/>
        <v>500</v>
      </c>
      <c r="R18" s="2171" t="str">
        <f t="shared" ca="1" si="8"/>
        <v>-</v>
      </c>
      <c r="S18" s="2165">
        <f t="shared" ca="1" si="7"/>
        <v>500</v>
      </c>
      <c r="T18" s="420" t="str">
        <f t="shared" ca="1" si="11"/>
        <v>-</v>
      </c>
      <c r="U18" s="82"/>
      <c r="V18" s="82"/>
      <c r="W18" s="1325" t="str">
        <f t="shared" ca="1" si="9"/>
        <v>-</v>
      </c>
      <c r="X18" s="1325" t="str">
        <f t="shared" ca="1" si="10"/>
        <v>-</v>
      </c>
    </row>
    <row r="19" spans="1:24" ht="24.95" customHeight="1">
      <c r="A19" s="426">
        <v>13</v>
      </c>
      <c r="B19" s="1314">
        <f ca="1">'خرید کالای تجاری'!B19</f>
        <v>0</v>
      </c>
      <c r="C19" s="1315">
        <f ca="1">'خرید کالای تجاری'!C19</f>
        <v>0</v>
      </c>
      <c r="D19" s="217"/>
      <c r="E19" s="218"/>
      <c r="F19" s="419">
        <f t="shared" si="2"/>
        <v>0</v>
      </c>
      <c r="G19" s="1323" cm="1">
        <f t="array" aca="1" ref="G19" ca="1">IF(ROW()-ROW($A$7)&lt;'الف-ب-ج'!$L$9,IF(روکش!$F$9="سه ماهه",INDIRECT("BudgetDB!AB"&amp;('الف-ب-ج'!$M$9+ROW()-ROW($A$7))),INDIRECT("BudgetDB!AC"&amp;('الف-ب-ج'!$M$9+ROW()-ROW($A$7)))),"")</f>
        <v>0</v>
      </c>
      <c r="H19" s="1324" cm="1">
        <f t="array" aca="1" ref="H19" ca="1">IF(ROW()-ROW($A$7)&lt;'الف-ب-ج'!$L$9,IF(روکش!$F$9="سه ماهه",INDIRECT("BudgetDB!AD"&amp;('الف-ب-ج'!$M$9+ROW()-ROW($A$7))),INDIRECT("BudgetDB!AE"&amp;('الف-ب-ج'!$M$9+ROW()-ROW($A$7)))),"")</f>
        <v>0</v>
      </c>
      <c r="I19" s="419">
        <f t="shared" ca="1" si="3"/>
        <v>0</v>
      </c>
      <c r="J19" s="217"/>
      <c r="K19" s="218"/>
      <c r="L19" s="419">
        <f t="shared" si="4"/>
        <v>0</v>
      </c>
      <c r="M19" s="404" t="str">
        <f t="shared" si="5"/>
        <v>-</v>
      </c>
      <c r="N19" s="421" t="str">
        <f t="shared" si="0"/>
        <v>-</v>
      </c>
      <c r="O19" s="420" t="str">
        <f t="shared" si="0"/>
        <v>-</v>
      </c>
      <c r="P19" s="2160" t="str">
        <f t="shared" ca="1" si="6"/>
        <v>-</v>
      </c>
      <c r="Q19" s="2165">
        <f t="shared" ca="1" si="7"/>
        <v>500</v>
      </c>
      <c r="R19" s="2171" t="str">
        <f t="shared" ca="1" si="8"/>
        <v>-</v>
      </c>
      <c r="S19" s="2165">
        <f t="shared" ca="1" si="7"/>
        <v>500</v>
      </c>
      <c r="T19" s="420" t="str">
        <f t="shared" ca="1" si="11"/>
        <v>-</v>
      </c>
      <c r="U19" s="82"/>
      <c r="V19" s="82"/>
      <c r="W19" s="1325" t="str">
        <f t="shared" ca="1" si="9"/>
        <v>-</v>
      </c>
      <c r="X19" s="1325" t="str">
        <f t="shared" ca="1" si="10"/>
        <v>-</v>
      </c>
    </row>
    <row r="20" spans="1:24" ht="24.95" customHeight="1">
      <c r="A20" s="426">
        <v>14</v>
      </c>
      <c r="B20" s="1314">
        <f ca="1">'خرید کالای تجاری'!B20</f>
        <v>0</v>
      </c>
      <c r="C20" s="1315">
        <f ca="1">'خرید کالای تجاری'!C20</f>
        <v>0</v>
      </c>
      <c r="D20" s="217"/>
      <c r="E20" s="218"/>
      <c r="F20" s="419">
        <f t="shared" si="2"/>
        <v>0</v>
      </c>
      <c r="G20" s="1323" cm="1">
        <f t="array" aca="1" ref="G20" ca="1">IF(ROW()-ROW($A$7)&lt;'الف-ب-ج'!$L$9,IF(روکش!$F$9="سه ماهه",INDIRECT("BudgetDB!AB"&amp;('الف-ب-ج'!$M$9+ROW()-ROW($A$7))),INDIRECT("BudgetDB!AC"&amp;('الف-ب-ج'!$M$9+ROW()-ROW($A$7)))),"")</f>
        <v>0</v>
      </c>
      <c r="H20" s="1324" cm="1">
        <f t="array" aca="1" ref="H20" ca="1">IF(ROW()-ROW($A$7)&lt;'الف-ب-ج'!$L$9,IF(روکش!$F$9="سه ماهه",INDIRECT("BudgetDB!AD"&amp;('الف-ب-ج'!$M$9+ROW()-ROW($A$7))),INDIRECT("BudgetDB!AE"&amp;('الف-ب-ج'!$M$9+ROW()-ROW($A$7)))),"")</f>
        <v>0</v>
      </c>
      <c r="I20" s="419">
        <f t="shared" ca="1" si="3"/>
        <v>0</v>
      </c>
      <c r="J20" s="217"/>
      <c r="K20" s="218"/>
      <c r="L20" s="419">
        <f t="shared" si="4"/>
        <v>0</v>
      </c>
      <c r="M20" s="404" t="str">
        <f t="shared" si="5"/>
        <v>-</v>
      </c>
      <c r="N20" s="421" t="str">
        <f t="shared" si="0"/>
        <v>-</v>
      </c>
      <c r="O20" s="420" t="str">
        <f t="shared" si="0"/>
        <v>-</v>
      </c>
      <c r="P20" s="2160" t="str">
        <f t="shared" ca="1" si="6"/>
        <v>-</v>
      </c>
      <c r="Q20" s="2165">
        <f t="shared" ca="1" si="7"/>
        <v>500</v>
      </c>
      <c r="R20" s="2171" t="str">
        <f t="shared" ca="1" si="8"/>
        <v>-</v>
      </c>
      <c r="S20" s="2165">
        <f t="shared" ca="1" si="7"/>
        <v>500</v>
      </c>
      <c r="T20" s="420" t="str">
        <f t="shared" ca="1" si="11"/>
        <v>-</v>
      </c>
      <c r="U20" s="82"/>
      <c r="V20" s="82"/>
      <c r="W20" s="1325" t="str">
        <f t="shared" ca="1" si="9"/>
        <v>-</v>
      </c>
      <c r="X20" s="1325" t="str">
        <f t="shared" ca="1" si="10"/>
        <v>-</v>
      </c>
    </row>
    <row r="21" spans="1:24" ht="24.95" customHeight="1">
      <c r="A21" s="426">
        <v>15</v>
      </c>
      <c r="B21" s="1314">
        <f ca="1">'خرید کالای تجاری'!B21</f>
        <v>0</v>
      </c>
      <c r="C21" s="1315">
        <f ca="1">'خرید کالای تجاری'!C21</f>
        <v>0</v>
      </c>
      <c r="D21" s="217"/>
      <c r="E21" s="218"/>
      <c r="F21" s="419">
        <f t="shared" si="2"/>
        <v>0</v>
      </c>
      <c r="G21" s="1323" cm="1">
        <f t="array" aca="1" ref="G21" ca="1">IF(ROW()-ROW($A$7)&lt;'الف-ب-ج'!$L$9,IF(روکش!$F$9="سه ماهه",INDIRECT("BudgetDB!AB"&amp;('الف-ب-ج'!$M$9+ROW()-ROW($A$7))),INDIRECT("BudgetDB!AC"&amp;('الف-ب-ج'!$M$9+ROW()-ROW($A$7)))),"")</f>
        <v>0</v>
      </c>
      <c r="H21" s="1324" cm="1">
        <f t="array" aca="1" ref="H21" ca="1">IF(ROW()-ROW($A$7)&lt;'الف-ب-ج'!$L$9,IF(روکش!$F$9="سه ماهه",INDIRECT("BudgetDB!AD"&amp;('الف-ب-ج'!$M$9+ROW()-ROW($A$7))),INDIRECT("BudgetDB!AE"&amp;('الف-ب-ج'!$M$9+ROW()-ROW($A$7)))),"")</f>
        <v>0</v>
      </c>
      <c r="I21" s="419">
        <f t="shared" ca="1" si="3"/>
        <v>0</v>
      </c>
      <c r="J21" s="217"/>
      <c r="K21" s="218"/>
      <c r="L21" s="419">
        <f t="shared" si="4"/>
        <v>0</v>
      </c>
      <c r="M21" s="404" t="str">
        <f t="shared" ref="M21:M24" si="12">IFERROR((J21-D21)*100/D21,"-")</f>
        <v>-</v>
      </c>
      <c r="N21" s="421" t="str">
        <f t="shared" ref="N21:N24" si="13">IFERROR((K21-E21)*100/E21,"-")</f>
        <v>-</v>
      </c>
      <c r="O21" s="420" t="str">
        <f t="shared" ref="O21:O24" si="14">IFERROR((L21-F21)*100/F21,"-")</f>
        <v>-</v>
      </c>
      <c r="P21" s="2160" t="str">
        <f t="shared" ca="1" si="6"/>
        <v>-</v>
      </c>
      <c r="Q21" s="2165">
        <f t="shared" ca="1" si="7"/>
        <v>500</v>
      </c>
      <c r="R21" s="2171" t="str">
        <f t="shared" ca="1" si="8"/>
        <v>-</v>
      </c>
      <c r="S21" s="2165">
        <f t="shared" ca="1" si="7"/>
        <v>500</v>
      </c>
      <c r="T21" s="420" t="str">
        <f t="shared" ca="1" si="11"/>
        <v>-</v>
      </c>
      <c r="U21" s="82"/>
      <c r="V21" s="82"/>
      <c r="W21" s="1325" t="str">
        <f t="shared" ref="W21:W29" ca="1" si="15">IF(AND(G21=0,J21&gt;0),100,IFERROR(ABS(P21-100),"-"))</f>
        <v>-</v>
      </c>
      <c r="X21" s="1325" t="str">
        <f t="shared" ref="X21:X29" ca="1" si="16">IF(AND(H21=0,K21&gt;0),100,IFERROR(ABS(R21-100),"-"))</f>
        <v>-</v>
      </c>
    </row>
    <row r="22" spans="1:24" ht="24.95" customHeight="1">
      <c r="A22" s="426">
        <v>16</v>
      </c>
      <c r="B22" s="1314">
        <f ca="1">'خرید کالای تجاری'!B22</f>
        <v>0</v>
      </c>
      <c r="C22" s="1315">
        <f ca="1">'خرید کالای تجاری'!C22</f>
        <v>0</v>
      </c>
      <c r="D22" s="217"/>
      <c r="E22" s="218"/>
      <c r="F22" s="419">
        <f t="shared" si="2"/>
        <v>0</v>
      </c>
      <c r="G22" s="1323" cm="1">
        <f t="array" aca="1" ref="G22" ca="1">IF(ROW()-ROW($A$7)&lt;'الف-ب-ج'!$L$9,IF(روکش!$F$9="سه ماهه",INDIRECT("BudgetDB!AB"&amp;('الف-ب-ج'!$M$9+ROW()-ROW($A$7))),INDIRECT("BudgetDB!AC"&amp;('الف-ب-ج'!$M$9+ROW()-ROW($A$7)))),"")</f>
        <v>0</v>
      </c>
      <c r="H22" s="1324" cm="1">
        <f t="array" aca="1" ref="H22" ca="1">IF(ROW()-ROW($A$7)&lt;'الف-ب-ج'!$L$9,IF(روکش!$F$9="سه ماهه",INDIRECT("BudgetDB!AD"&amp;('الف-ب-ج'!$M$9+ROW()-ROW($A$7))),INDIRECT("BudgetDB!AE"&amp;('الف-ب-ج'!$M$9+ROW()-ROW($A$7)))),"")</f>
        <v>0</v>
      </c>
      <c r="I22" s="419">
        <f t="shared" ca="1" si="3"/>
        <v>0</v>
      </c>
      <c r="J22" s="217"/>
      <c r="K22" s="218"/>
      <c r="L22" s="419">
        <f t="shared" si="4"/>
        <v>0</v>
      </c>
      <c r="M22" s="404" t="str">
        <f t="shared" si="12"/>
        <v>-</v>
      </c>
      <c r="N22" s="421" t="str">
        <f t="shared" si="13"/>
        <v>-</v>
      </c>
      <c r="O22" s="420" t="str">
        <f t="shared" si="14"/>
        <v>-</v>
      </c>
      <c r="P22" s="2160" t="str">
        <f t="shared" ca="1" si="6"/>
        <v>-</v>
      </c>
      <c r="Q22" s="2165">
        <f t="shared" ca="1" si="7"/>
        <v>500</v>
      </c>
      <c r="R22" s="2171" t="str">
        <f t="shared" ca="1" si="8"/>
        <v>-</v>
      </c>
      <c r="S22" s="2165">
        <f t="shared" ca="1" si="7"/>
        <v>500</v>
      </c>
      <c r="T22" s="420" t="str">
        <f t="shared" ca="1" si="11"/>
        <v>-</v>
      </c>
      <c r="U22" s="82"/>
      <c r="V22" s="82"/>
      <c r="W22" s="1325" t="str">
        <f t="shared" ca="1" si="15"/>
        <v>-</v>
      </c>
      <c r="X22" s="1325" t="str">
        <f t="shared" ca="1" si="16"/>
        <v>-</v>
      </c>
    </row>
    <row r="23" spans="1:24" ht="24.95" customHeight="1">
      <c r="A23" s="426">
        <v>17</v>
      </c>
      <c r="B23" s="1314">
        <f ca="1">'خرید کالای تجاری'!B23</f>
        <v>0</v>
      </c>
      <c r="C23" s="1315">
        <f ca="1">'خرید کالای تجاری'!C23</f>
        <v>0</v>
      </c>
      <c r="D23" s="217"/>
      <c r="E23" s="218"/>
      <c r="F23" s="419">
        <f t="shared" si="2"/>
        <v>0</v>
      </c>
      <c r="G23" s="1323" cm="1">
        <f t="array" aca="1" ref="G23" ca="1">IF(ROW()-ROW($A$7)&lt;'الف-ب-ج'!$L$9,IF(روکش!$F$9="سه ماهه",INDIRECT("BudgetDB!AB"&amp;('الف-ب-ج'!$M$9+ROW()-ROW($A$7))),INDIRECT("BudgetDB!AC"&amp;('الف-ب-ج'!$M$9+ROW()-ROW($A$7)))),"")</f>
        <v>0</v>
      </c>
      <c r="H23" s="1324" cm="1">
        <f t="array" aca="1" ref="H23" ca="1">IF(ROW()-ROW($A$7)&lt;'الف-ب-ج'!$L$9,IF(روکش!$F$9="سه ماهه",INDIRECT("BudgetDB!AD"&amp;('الف-ب-ج'!$M$9+ROW()-ROW($A$7))),INDIRECT("BudgetDB!AE"&amp;('الف-ب-ج'!$M$9+ROW()-ROW($A$7)))),"")</f>
        <v>0</v>
      </c>
      <c r="I23" s="419">
        <f t="shared" ca="1" si="3"/>
        <v>0</v>
      </c>
      <c r="J23" s="217"/>
      <c r="K23" s="218"/>
      <c r="L23" s="419">
        <f t="shared" si="4"/>
        <v>0</v>
      </c>
      <c r="M23" s="404" t="str">
        <f t="shared" si="12"/>
        <v>-</v>
      </c>
      <c r="N23" s="421" t="str">
        <f t="shared" si="13"/>
        <v>-</v>
      </c>
      <c r="O23" s="420" t="str">
        <f t="shared" si="14"/>
        <v>-</v>
      </c>
      <c r="P23" s="2160" t="str">
        <f t="shared" ca="1" si="6"/>
        <v>-</v>
      </c>
      <c r="Q23" s="2165">
        <f t="shared" ca="1" si="7"/>
        <v>500</v>
      </c>
      <c r="R23" s="2171" t="str">
        <f t="shared" ca="1" si="8"/>
        <v>-</v>
      </c>
      <c r="S23" s="2165">
        <f t="shared" ca="1" si="7"/>
        <v>500</v>
      </c>
      <c r="T23" s="420" t="str">
        <f t="shared" ca="1" si="11"/>
        <v>-</v>
      </c>
      <c r="U23" s="82"/>
      <c r="V23" s="82"/>
      <c r="W23" s="1325" t="str">
        <f t="shared" ca="1" si="15"/>
        <v>-</v>
      </c>
      <c r="X23" s="1325" t="str">
        <f t="shared" ca="1" si="16"/>
        <v>-</v>
      </c>
    </row>
    <row r="24" spans="1:24" ht="24.95" customHeight="1">
      <c r="A24" s="426">
        <v>18</v>
      </c>
      <c r="B24" s="1314">
        <f ca="1">'خرید کالای تجاری'!B24</f>
        <v>0</v>
      </c>
      <c r="C24" s="1315">
        <f ca="1">'خرید کالای تجاری'!C24</f>
        <v>0</v>
      </c>
      <c r="D24" s="217"/>
      <c r="E24" s="218"/>
      <c r="F24" s="419">
        <f t="shared" si="2"/>
        <v>0</v>
      </c>
      <c r="G24" s="1323" cm="1">
        <f t="array" aca="1" ref="G24" ca="1">IF(ROW()-ROW($A$7)&lt;'الف-ب-ج'!$L$9,IF(روکش!$F$9="سه ماهه",INDIRECT("BudgetDB!AB"&amp;('الف-ب-ج'!$M$9+ROW()-ROW($A$7))),INDIRECT("BudgetDB!AC"&amp;('الف-ب-ج'!$M$9+ROW()-ROW($A$7)))),"")</f>
        <v>0</v>
      </c>
      <c r="H24" s="1324" cm="1">
        <f t="array" aca="1" ref="H24" ca="1">IF(ROW()-ROW($A$7)&lt;'الف-ب-ج'!$L$9,IF(روکش!$F$9="سه ماهه",INDIRECT("BudgetDB!AD"&amp;('الف-ب-ج'!$M$9+ROW()-ROW($A$7))),INDIRECT("BudgetDB!AE"&amp;('الف-ب-ج'!$M$9+ROW()-ROW($A$7)))),"")</f>
        <v>0</v>
      </c>
      <c r="I24" s="419">
        <f t="shared" ca="1" si="3"/>
        <v>0</v>
      </c>
      <c r="J24" s="217"/>
      <c r="K24" s="218"/>
      <c r="L24" s="419">
        <f t="shared" si="4"/>
        <v>0</v>
      </c>
      <c r="M24" s="404" t="str">
        <f t="shared" si="12"/>
        <v>-</v>
      </c>
      <c r="N24" s="421" t="str">
        <f t="shared" si="13"/>
        <v>-</v>
      </c>
      <c r="O24" s="420" t="str">
        <f t="shared" si="14"/>
        <v>-</v>
      </c>
      <c r="P24" s="2160" t="str">
        <f t="shared" ca="1" si="6"/>
        <v>-</v>
      </c>
      <c r="Q24" s="2165">
        <f t="shared" ref="Q24:S25" ca="1" si="17">IFERROR(ABS(P24-100),500)</f>
        <v>500</v>
      </c>
      <c r="R24" s="2171" t="str">
        <f t="shared" ca="1" si="8"/>
        <v>-</v>
      </c>
      <c r="S24" s="2165">
        <f t="shared" ca="1" si="17"/>
        <v>500</v>
      </c>
      <c r="T24" s="420" t="str">
        <f t="shared" ca="1" si="11"/>
        <v>-</v>
      </c>
      <c r="U24" s="82"/>
      <c r="V24" s="82"/>
      <c r="W24" s="1325" t="str">
        <f t="shared" ca="1" si="15"/>
        <v>-</v>
      </c>
      <c r="X24" s="1325" t="str">
        <f t="shared" ca="1" si="16"/>
        <v>-</v>
      </c>
    </row>
    <row r="25" spans="1:24" ht="24.95" customHeight="1">
      <c r="A25" s="426">
        <v>19</v>
      </c>
      <c r="B25" s="1314">
        <f ca="1">'خرید کالای تجاری'!B25</f>
        <v>0</v>
      </c>
      <c r="C25" s="1315">
        <f ca="1">'خرید کالای تجاری'!C25</f>
        <v>0</v>
      </c>
      <c r="D25" s="217"/>
      <c r="E25" s="218"/>
      <c r="F25" s="419">
        <f t="shared" ref="F25:F29" si="18">IFERROR(E25*D25/1000000,0)</f>
        <v>0</v>
      </c>
      <c r="G25" s="1323" cm="1">
        <f t="array" aca="1" ref="G25" ca="1">IF(ROW()-ROW($A$7)&lt;'الف-ب-ج'!$L$9,IF(روکش!$F$9="سه ماهه",INDIRECT("BudgetDB!AB"&amp;('الف-ب-ج'!$M$9+ROW()-ROW($A$7))),INDIRECT("BudgetDB!AC"&amp;('الف-ب-ج'!$M$9+ROW()-ROW($A$7)))),"")</f>
        <v>0</v>
      </c>
      <c r="H25" s="1324" cm="1">
        <f t="array" aca="1" ref="H25" ca="1">IF(ROW()-ROW($A$7)&lt;'الف-ب-ج'!$L$9,IF(روکش!$F$9="سه ماهه",INDIRECT("BudgetDB!AD"&amp;('الف-ب-ج'!$M$9+ROW()-ROW($A$7))),INDIRECT("BudgetDB!AE"&amp;('الف-ب-ج'!$M$9+ROW()-ROW($A$7)))),"")</f>
        <v>0</v>
      </c>
      <c r="I25" s="419">
        <f t="shared" ref="I25:I29" ca="1" si="19">IFERROR(H25*G25/1000000,0)</f>
        <v>0</v>
      </c>
      <c r="J25" s="217"/>
      <c r="K25" s="218"/>
      <c r="L25" s="419">
        <f t="shared" ref="L25:L29" si="20">IFERROR(K25*J25/1000000,0)</f>
        <v>0</v>
      </c>
      <c r="M25" s="404" t="str">
        <f t="shared" ref="M25:M29" si="21">IFERROR((J25-D25)*100/D25,"-")</f>
        <v>-</v>
      </c>
      <c r="N25" s="421" t="str">
        <f t="shared" ref="N25:N29" si="22">IFERROR((K25-E25)*100/E25,"-")</f>
        <v>-</v>
      </c>
      <c r="O25" s="420" t="str">
        <f t="shared" ref="O25:O29" si="23">IFERROR((L25-F25)*100/F25,"-")</f>
        <v>-</v>
      </c>
      <c r="P25" s="2160" t="str">
        <f t="shared" ca="1" si="6"/>
        <v>-</v>
      </c>
      <c r="Q25" s="2165">
        <f t="shared" ca="1" si="17"/>
        <v>500</v>
      </c>
      <c r="R25" s="2171" t="str">
        <f t="shared" ca="1" si="8"/>
        <v>-</v>
      </c>
      <c r="S25" s="2165">
        <f t="shared" ca="1" si="17"/>
        <v>500</v>
      </c>
      <c r="T25" s="420" t="str">
        <f t="shared" ca="1" si="11"/>
        <v>-</v>
      </c>
      <c r="U25" s="82"/>
      <c r="V25" s="82"/>
      <c r="W25" s="1325"/>
      <c r="X25" s="1325"/>
    </row>
    <row r="26" spans="1:24" ht="24.95" customHeight="1">
      <c r="A26" s="426">
        <v>20</v>
      </c>
      <c r="B26" s="1314">
        <f ca="1">'خرید کالای تجاری'!B26</f>
        <v>0</v>
      </c>
      <c r="C26" s="1315">
        <f ca="1">'خرید کالای تجاری'!C26</f>
        <v>0</v>
      </c>
      <c r="D26" s="217"/>
      <c r="E26" s="218"/>
      <c r="F26" s="419">
        <f t="shared" si="18"/>
        <v>0</v>
      </c>
      <c r="G26" s="1323" cm="1">
        <f t="array" aca="1" ref="G26" ca="1">IF(ROW()-ROW($A$7)&lt;'الف-ب-ج'!$L$9,IF(روکش!$F$9="سه ماهه",INDIRECT("BudgetDB!AB"&amp;('الف-ب-ج'!$M$9+ROW()-ROW($A$7))),INDIRECT("BudgetDB!AC"&amp;('الف-ب-ج'!$M$9+ROW()-ROW($A$7)))),"")</f>
        <v>0</v>
      </c>
      <c r="H26" s="1324" cm="1">
        <f t="array" aca="1" ref="H26" ca="1">IF(ROW()-ROW($A$7)&lt;'الف-ب-ج'!$L$9,IF(روکش!$F$9="سه ماهه",INDIRECT("BudgetDB!AD"&amp;('الف-ب-ج'!$M$9+ROW()-ROW($A$7))),INDIRECT("BudgetDB!AE"&amp;('الف-ب-ج'!$M$9+ROW()-ROW($A$7)))),"")</f>
        <v>0</v>
      </c>
      <c r="I26" s="419">
        <f t="shared" ca="1" si="19"/>
        <v>0</v>
      </c>
      <c r="J26" s="217"/>
      <c r="K26" s="218"/>
      <c r="L26" s="419">
        <f t="shared" si="20"/>
        <v>0</v>
      </c>
      <c r="M26" s="404" t="str">
        <f t="shared" si="21"/>
        <v>-</v>
      </c>
      <c r="N26" s="421" t="str">
        <f t="shared" si="22"/>
        <v>-</v>
      </c>
      <c r="O26" s="420" t="str">
        <f t="shared" si="23"/>
        <v>-</v>
      </c>
      <c r="P26" s="2160" t="str">
        <f t="shared" ref="P26:P29" ca="1" si="24">IFERROR(J26*100/G26,"-")</f>
        <v>-</v>
      </c>
      <c r="Q26" s="2165">
        <f t="shared" ref="Q26" ca="1" si="25">IFERROR(ABS(P26-100),500)</f>
        <v>500</v>
      </c>
      <c r="R26" s="2171" t="str">
        <f t="shared" ref="R26:R29" ca="1" si="26">IFERROR(K26*100/H26,"-")</f>
        <v>-</v>
      </c>
      <c r="S26" s="2165">
        <f t="shared" ref="S26" ca="1" si="27">IFERROR(ABS(R26-100),500)</f>
        <v>500</v>
      </c>
      <c r="T26" s="420" t="str">
        <f t="shared" ca="1" si="11"/>
        <v>-</v>
      </c>
      <c r="U26" s="82"/>
      <c r="V26" s="82"/>
      <c r="W26" s="1325"/>
      <c r="X26" s="1325"/>
    </row>
    <row r="27" spans="1:24" ht="24.95" customHeight="1">
      <c r="A27" s="426">
        <v>21</v>
      </c>
      <c r="B27" s="1314">
        <f ca="1">'خرید کالای تجاری'!B27</f>
        <v>0</v>
      </c>
      <c r="C27" s="1315">
        <f ca="1">'خرید کالای تجاری'!C27</f>
        <v>0</v>
      </c>
      <c r="D27" s="217"/>
      <c r="E27" s="218"/>
      <c r="F27" s="419">
        <f t="shared" si="18"/>
        <v>0</v>
      </c>
      <c r="G27" s="1323" cm="1">
        <f t="array" aca="1" ref="G27" ca="1">IF(ROW()-ROW($A$7)&lt;'الف-ب-ج'!$L$9,IF(روکش!$F$9="سه ماهه",INDIRECT("BudgetDB!AB"&amp;('الف-ب-ج'!$M$9+ROW()-ROW($A$7))),INDIRECT("BudgetDB!AC"&amp;('الف-ب-ج'!$M$9+ROW()-ROW($A$7)))),"")</f>
        <v>0</v>
      </c>
      <c r="H27" s="1324" cm="1">
        <f t="array" aca="1" ref="H27" ca="1">IF(ROW()-ROW($A$7)&lt;'الف-ب-ج'!$L$9,IF(روکش!$F$9="سه ماهه",INDIRECT("BudgetDB!AD"&amp;('الف-ب-ج'!$M$9+ROW()-ROW($A$7))),INDIRECT("BudgetDB!AE"&amp;('الف-ب-ج'!$M$9+ROW()-ROW($A$7)))),"")</f>
        <v>0</v>
      </c>
      <c r="I27" s="419">
        <f t="shared" ca="1" si="19"/>
        <v>0</v>
      </c>
      <c r="J27" s="217"/>
      <c r="K27" s="218"/>
      <c r="L27" s="419">
        <f t="shared" si="20"/>
        <v>0</v>
      </c>
      <c r="M27" s="404" t="str">
        <f t="shared" si="21"/>
        <v>-</v>
      </c>
      <c r="N27" s="421" t="str">
        <f t="shared" si="22"/>
        <v>-</v>
      </c>
      <c r="O27" s="420" t="str">
        <f t="shared" si="23"/>
        <v>-</v>
      </c>
      <c r="P27" s="2160" t="str">
        <f t="shared" ca="1" si="24"/>
        <v>-</v>
      </c>
      <c r="Q27" s="2165">
        <f t="shared" ref="Q27" ca="1" si="28">IFERROR(ABS(P27-100),500)</f>
        <v>500</v>
      </c>
      <c r="R27" s="2171" t="str">
        <f t="shared" ca="1" si="26"/>
        <v>-</v>
      </c>
      <c r="S27" s="2165">
        <f t="shared" ref="S27" ca="1" si="29">IFERROR(ABS(R27-100),500)</f>
        <v>500</v>
      </c>
      <c r="T27" s="420" t="str">
        <f t="shared" ca="1" si="11"/>
        <v>-</v>
      </c>
      <c r="U27" s="82"/>
      <c r="V27" s="82"/>
      <c r="W27" s="1325"/>
      <c r="X27" s="1325"/>
    </row>
    <row r="28" spans="1:24" ht="24.95" customHeight="1">
      <c r="A28" s="426">
        <v>22</v>
      </c>
      <c r="B28" s="1314">
        <f ca="1">'خرید کالای تجاری'!B28</f>
        <v>0</v>
      </c>
      <c r="C28" s="1315">
        <f ca="1">'خرید کالای تجاری'!C28</f>
        <v>0</v>
      </c>
      <c r="D28" s="217"/>
      <c r="E28" s="218"/>
      <c r="F28" s="419">
        <f t="shared" si="18"/>
        <v>0</v>
      </c>
      <c r="G28" s="1323" cm="1">
        <f t="array" aca="1" ref="G28" ca="1">IF(ROW()-ROW($A$7)&lt;'الف-ب-ج'!$L$9,IF(روکش!$F$9="سه ماهه",INDIRECT("BudgetDB!AB"&amp;('الف-ب-ج'!$M$9+ROW()-ROW($A$7))),INDIRECT("BudgetDB!AC"&amp;('الف-ب-ج'!$M$9+ROW()-ROW($A$7)))),"")</f>
        <v>0</v>
      </c>
      <c r="H28" s="1324" cm="1">
        <f t="array" aca="1" ref="H28" ca="1">IF(ROW()-ROW($A$7)&lt;'الف-ب-ج'!$L$9,IF(روکش!$F$9="سه ماهه",INDIRECT("BudgetDB!AD"&amp;('الف-ب-ج'!$M$9+ROW()-ROW($A$7))),INDIRECT("BudgetDB!AE"&amp;('الف-ب-ج'!$M$9+ROW()-ROW($A$7)))),"")</f>
        <v>0</v>
      </c>
      <c r="I28" s="419">
        <f t="shared" ca="1" si="19"/>
        <v>0</v>
      </c>
      <c r="J28" s="217"/>
      <c r="K28" s="218"/>
      <c r="L28" s="419">
        <f t="shared" si="20"/>
        <v>0</v>
      </c>
      <c r="M28" s="404" t="str">
        <f t="shared" si="21"/>
        <v>-</v>
      </c>
      <c r="N28" s="421" t="str">
        <f t="shared" si="22"/>
        <v>-</v>
      </c>
      <c r="O28" s="420" t="str">
        <f t="shared" si="23"/>
        <v>-</v>
      </c>
      <c r="P28" s="2160" t="str">
        <f t="shared" ca="1" si="24"/>
        <v>-</v>
      </c>
      <c r="Q28" s="2165">
        <f t="shared" ref="Q28" ca="1" si="30">IFERROR(ABS(P28-100),500)</f>
        <v>500</v>
      </c>
      <c r="R28" s="2171" t="str">
        <f t="shared" ca="1" si="26"/>
        <v>-</v>
      </c>
      <c r="S28" s="2165">
        <f t="shared" ref="S28" ca="1" si="31">IFERROR(ABS(R28-100),500)</f>
        <v>500</v>
      </c>
      <c r="T28" s="420" t="str">
        <f t="shared" ca="1" si="11"/>
        <v>-</v>
      </c>
      <c r="U28" s="82"/>
      <c r="V28" s="82"/>
      <c r="W28" s="1325" t="str">
        <f t="shared" ca="1" si="15"/>
        <v>-</v>
      </c>
      <c r="X28" s="1325" t="str">
        <f t="shared" ca="1" si="16"/>
        <v>-</v>
      </c>
    </row>
    <row r="29" spans="1:24" ht="24.95" customHeight="1" thickBot="1">
      <c r="A29" s="426">
        <v>23</v>
      </c>
      <c r="B29" s="1314">
        <f ca="1">'خرید کالای تجاری'!B29</f>
        <v>0</v>
      </c>
      <c r="C29" s="1315">
        <f ca="1">'خرید کالای تجاری'!C29</f>
        <v>0</v>
      </c>
      <c r="D29" s="217"/>
      <c r="E29" s="218"/>
      <c r="F29" s="419">
        <f t="shared" si="18"/>
        <v>0</v>
      </c>
      <c r="G29" s="1323" cm="1">
        <f t="array" aca="1" ref="G29" ca="1">IF(ROW()-ROW($A$7)&lt;'الف-ب-ج'!$L$9,IF(روکش!$F$9="سه ماهه",INDIRECT("BudgetDB!AB"&amp;('الف-ب-ج'!$M$9+ROW()-ROW($A$7))),INDIRECT("BudgetDB!AC"&amp;('الف-ب-ج'!$M$9+ROW()-ROW($A$7)))),"")</f>
        <v>0</v>
      </c>
      <c r="H29" s="1324" cm="1">
        <f t="array" aca="1" ref="H29" ca="1">IF(ROW()-ROW($A$7)&lt;'الف-ب-ج'!$L$9,IF(روکش!$F$9="سه ماهه",INDIRECT("BudgetDB!AD"&amp;('الف-ب-ج'!$M$9+ROW()-ROW($A$7))),INDIRECT("BudgetDB!AE"&amp;('الف-ب-ج'!$M$9+ROW()-ROW($A$7)))),"")</f>
        <v>0</v>
      </c>
      <c r="I29" s="419">
        <f t="shared" ca="1" si="19"/>
        <v>0</v>
      </c>
      <c r="J29" s="217"/>
      <c r="K29" s="218"/>
      <c r="L29" s="419">
        <f t="shared" si="20"/>
        <v>0</v>
      </c>
      <c r="M29" s="404" t="str">
        <f t="shared" si="21"/>
        <v>-</v>
      </c>
      <c r="N29" s="421" t="str">
        <f t="shared" si="22"/>
        <v>-</v>
      </c>
      <c r="O29" s="420" t="str">
        <f t="shared" si="23"/>
        <v>-</v>
      </c>
      <c r="P29" s="2160" t="str">
        <f t="shared" ca="1" si="24"/>
        <v>-</v>
      </c>
      <c r="Q29" s="2165">
        <f t="shared" ref="Q29" ca="1" si="32">IFERROR(ABS(P29-100),500)</f>
        <v>500</v>
      </c>
      <c r="R29" s="2171" t="str">
        <f t="shared" ca="1" si="26"/>
        <v>-</v>
      </c>
      <c r="S29" s="2165">
        <f t="shared" ref="S29" ca="1" si="33">IFERROR(ABS(R29-100),500)</f>
        <v>500</v>
      </c>
      <c r="T29" s="420" t="str">
        <f t="shared" ca="1" si="11"/>
        <v>-</v>
      </c>
      <c r="U29" s="82"/>
      <c r="V29" s="82"/>
      <c r="W29" s="1325" t="str">
        <f t="shared" ca="1" si="15"/>
        <v>-</v>
      </c>
      <c r="X29" s="1325" t="str">
        <f t="shared" ca="1" si="16"/>
        <v>-</v>
      </c>
    </row>
    <row r="30" spans="1:24" ht="24.95" customHeight="1" thickBot="1">
      <c r="A30" s="2736" t="s">
        <v>13</v>
      </c>
      <c r="B30" s="2737"/>
      <c r="C30" s="2738"/>
      <c r="D30" s="1326"/>
      <c r="E30" s="1326"/>
      <c r="F30" s="1327">
        <f>SUM(F7:F29)</f>
        <v>0</v>
      </c>
      <c r="G30" s="1326"/>
      <c r="H30" s="1326"/>
      <c r="I30" s="1327">
        <f ca="1">SUM(I7:I29)</f>
        <v>0</v>
      </c>
      <c r="J30" s="1326"/>
      <c r="K30" s="1326"/>
      <c r="L30" s="1327">
        <f>SUM(L7:L29)</f>
        <v>0</v>
      </c>
      <c r="M30" s="1328"/>
      <c r="N30" s="1328"/>
      <c r="O30" s="499" t="str">
        <f>IFERROR((L30-F30)*100/F30,"-")</f>
        <v>-</v>
      </c>
      <c r="P30" s="2764"/>
      <c r="Q30" s="2765"/>
      <c r="R30" s="2766"/>
      <c r="S30" s="2765"/>
      <c r="T30" s="1327" t="str">
        <f ca="1">IFERROR(L30*100/I30,"-")</f>
        <v>-</v>
      </c>
      <c r="U30" s="82"/>
      <c r="V30" s="82"/>
      <c r="W30" s="208"/>
      <c r="X30" s="208"/>
    </row>
    <row r="31" spans="1:24" ht="12.75" customHeight="1">
      <c r="A31" s="746"/>
      <c r="B31" s="747"/>
      <c r="C31" s="747"/>
      <c r="D31" s="747"/>
      <c r="E31" s="747"/>
      <c r="F31" s="747"/>
      <c r="G31" s="747"/>
      <c r="H31" s="747"/>
      <c r="I31" s="747"/>
      <c r="J31" s="747"/>
      <c r="K31" s="747"/>
      <c r="L31" s="747"/>
      <c r="M31" s="747"/>
      <c r="N31" s="747"/>
      <c r="O31" s="747"/>
      <c r="P31" s="747"/>
      <c r="Q31" s="747"/>
      <c r="R31" s="747"/>
      <c r="S31" s="747"/>
      <c r="T31" s="747"/>
      <c r="U31" s="748"/>
      <c r="V31" s="748"/>
    </row>
    <row r="32" spans="1:24" ht="21">
      <c r="A32" s="8"/>
      <c r="B32" s="8"/>
      <c r="C32" s="9"/>
      <c r="E32" s="9"/>
      <c r="F32" s="9"/>
      <c r="G32" s="2752"/>
      <c r="H32" s="2752"/>
      <c r="I32" s="9"/>
      <c r="N32" s="720"/>
    </row>
  </sheetData>
  <mergeCells count="15">
    <mergeCell ref="A1:T1"/>
    <mergeCell ref="O3:P3"/>
    <mergeCell ref="R3:T3"/>
    <mergeCell ref="A30:C30"/>
    <mergeCell ref="G32:H32"/>
    <mergeCell ref="D5:D6"/>
    <mergeCell ref="E5:E6"/>
    <mergeCell ref="F5:F6"/>
    <mergeCell ref="A4:A6"/>
    <mergeCell ref="B4:B6"/>
    <mergeCell ref="C4:C6"/>
    <mergeCell ref="P6:Q6"/>
    <mergeCell ref="R6:S6"/>
    <mergeCell ref="P30:Q30"/>
    <mergeCell ref="R30:S30"/>
  </mergeCells>
  <conditionalFormatting sqref="E7:E29">
    <cfRule type="expression" dxfId="659" priority="11">
      <formula>AND(C7="میلیون ریال",AND(E7&lt;&gt;1000000,E7&lt;&gt;""))</formula>
    </cfRule>
  </conditionalFormatting>
  <conditionalFormatting sqref="K7:K29">
    <cfRule type="expression" dxfId="658" priority="10">
      <formula>AND(C7="میلیون ریال",AND(K7&lt;&gt;"",K7&lt;&gt;1000000))</formula>
    </cfRule>
  </conditionalFormatting>
  <conditionalFormatting sqref="B7:B29">
    <cfRule type="expression" dxfId="657" priority="5">
      <formula>AND(B7=0,OR($D7&lt;&gt;0,$J7&lt;&gt;0))</formula>
    </cfRule>
  </conditionalFormatting>
  <conditionalFormatting sqref="C7:C29">
    <cfRule type="expression" dxfId="656" priority="4">
      <formula>AND(C7=0,OR($D7&lt;&gt;0,$J7&lt;&gt;0))</formula>
    </cfRule>
  </conditionalFormatting>
  <conditionalFormatting sqref="Q7:Q29">
    <cfRule type="iconSet" priority="3">
      <iconSet iconSet="3Symbols" showValue="0" reverse="1">
        <cfvo type="percent" val="0"/>
        <cfvo type="num" val="10" gte="0"/>
        <cfvo type="num" val="40"/>
      </iconSet>
    </cfRule>
  </conditionalFormatting>
  <conditionalFormatting sqref="S7:S29">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93B1B191-761C-4649-AF81-BF2224623D38}">
            <x14:iconSet iconSet="3Symbols" custom="1">
              <x14:cfvo type="percent">
                <xm:f>0</xm:f>
              </x14:cfvo>
              <x14:cfvo type="num">
                <xm:f>0</xm:f>
              </x14:cfvo>
              <x14:cfvo type="num">
                <xm:f>0</xm:f>
              </x14:cfvo>
              <x14:cfIcon iconSet="3Symbols" iconId="1"/>
              <x14:cfIcon iconSet="3Symbols" iconId="1"/>
              <x14:cfIcon iconSet="NoIcons" iconId="0"/>
            </x14:iconSet>
          </x14:cfRule>
          <xm:sqref>M7:N29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9">
    <tabColor rgb="FFFFA07A"/>
    <pageSetUpPr fitToPage="1"/>
  </sheetPr>
  <dimension ref="A1:Z19"/>
  <sheetViews>
    <sheetView rightToLeft="1" view="pageBreakPreview" topLeftCell="A5" zoomScale="60" zoomScaleNormal="100" workbookViewId="0">
      <selection activeCell="F12" sqref="F12"/>
    </sheetView>
  </sheetViews>
  <sheetFormatPr defaultColWidth="9" defaultRowHeight="15"/>
  <cols>
    <col min="1" max="1" width="8.5703125" style="5" customWidth="1"/>
    <col min="2" max="2" width="29.5703125" style="5" customWidth="1"/>
    <col min="3" max="3" width="9" style="5"/>
    <col min="4" max="5" width="10.5703125" style="5" customWidth="1"/>
    <col min="6" max="6" width="12.5703125" style="5" customWidth="1"/>
    <col min="7" max="8" width="11.5703125" style="5" customWidth="1"/>
    <col min="9" max="9" width="12.5703125" style="5" customWidth="1"/>
    <col min="10" max="11" width="11.5703125" style="5" customWidth="1"/>
    <col min="12" max="12" width="12.5703125" style="5" customWidth="1"/>
    <col min="13" max="16" width="9.5703125" style="5" customWidth="1"/>
    <col min="17" max="17" width="3.7109375" style="5" customWidth="1"/>
    <col min="18" max="18" width="9.5703125" style="5" customWidth="1"/>
    <col min="19" max="19" width="3.7109375" style="5" customWidth="1"/>
    <col min="20" max="20" width="9.5703125" style="5" customWidth="1"/>
    <col min="21" max="22" width="9" style="79" customWidth="1"/>
    <col min="23" max="23" width="9" style="79"/>
    <col min="24" max="25" width="9" style="79" hidden="1" customWidth="1"/>
    <col min="26" max="26" width="9" style="79" customWidth="1"/>
    <col min="27" max="16384" width="9" style="5"/>
  </cols>
  <sheetData>
    <row r="1" spans="1:26"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row>
    <row r="2" spans="1:26" s="52" customFormat="1" ht="28.5" customHeight="1">
      <c r="A2" s="1206" t="str">
        <f>"گزارش عوارض دریافتی (وصول شده) در دوره " &amp; روکش!F9 &amp; " سال " &amp; روکش!D9</f>
        <v>گزارش عوارض دریافتی (وصول شده) در دوره شش ماهه سال 1405</v>
      </c>
      <c r="B2" s="1206"/>
      <c r="C2" s="1206"/>
      <c r="D2" s="1206"/>
      <c r="E2" s="1206"/>
      <c r="F2" s="1206"/>
      <c r="G2" s="1206"/>
      <c r="H2" s="1206"/>
      <c r="I2" s="1206"/>
      <c r="J2" s="1206"/>
      <c r="K2" s="1206"/>
      <c r="L2" s="1206"/>
      <c r="M2" s="1206"/>
      <c r="N2" s="1206"/>
      <c r="O2" s="1203"/>
      <c r="P2" s="1203"/>
      <c r="Q2" s="1203"/>
      <c r="R2" s="1203"/>
      <c r="S2" s="1203"/>
      <c r="T2" s="1203"/>
      <c r="U2" s="1210"/>
      <c r="V2" s="1210"/>
      <c r="W2" s="88"/>
      <c r="X2" s="88"/>
      <c r="Y2" s="88"/>
      <c r="Z2" s="88"/>
    </row>
    <row r="3" spans="1:26" ht="20.100000000000001" customHeight="1" thickBot="1">
      <c r="A3" s="408"/>
      <c r="B3" s="408"/>
      <c r="C3" s="408"/>
      <c r="D3" s="409"/>
      <c r="E3" s="410"/>
      <c r="F3" s="410"/>
      <c r="G3" s="411"/>
      <c r="H3" s="411"/>
      <c r="I3" s="411"/>
      <c r="J3" s="411"/>
      <c r="K3"/>
      <c r="L3"/>
      <c r="M3" s="704"/>
      <c r="N3" s="704"/>
      <c r="O3" s="2763" t="s">
        <v>3</v>
      </c>
      <c r="P3" s="2763"/>
      <c r="Q3" s="1207"/>
      <c r="R3" s="2730" t="s">
        <v>4</v>
      </c>
      <c r="S3" s="2730"/>
      <c r="T3" s="2730"/>
      <c r="U3" s="743"/>
      <c r="V3" s="743"/>
    </row>
    <row r="4" spans="1:26" ht="24.75" customHeight="1" thickBot="1">
      <c r="A4" s="2733" t="s">
        <v>5</v>
      </c>
      <c r="B4" s="2740" t="s">
        <v>363</v>
      </c>
      <c r="C4" s="2743" t="s">
        <v>7</v>
      </c>
      <c r="D4" s="1306" t="s">
        <v>639</v>
      </c>
      <c r="E4" s="1307"/>
      <c r="F4" s="1308"/>
      <c r="G4" s="1306" t="s">
        <v>642</v>
      </c>
      <c r="H4" s="1307"/>
      <c r="I4" s="1307"/>
      <c r="J4" s="1307"/>
      <c r="K4" s="1307"/>
      <c r="L4" s="1307"/>
      <c r="M4" s="1307"/>
      <c r="N4" s="1307"/>
      <c r="O4" s="1307"/>
      <c r="P4" s="1307"/>
      <c r="Q4" s="1307"/>
      <c r="R4" s="1307"/>
      <c r="S4" s="1307"/>
      <c r="T4" s="1308"/>
      <c r="U4" s="82"/>
      <c r="V4" s="82"/>
    </row>
    <row r="5" spans="1:26" ht="55.5" customHeight="1">
      <c r="A5" s="2734"/>
      <c r="B5" s="2741"/>
      <c r="C5" s="2744"/>
      <c r="D5" s="2733" t="s">
        <v>8</v>
      </c>
      <c r="E5" s="2740" t="s">
        <v>9</v>
      </c>
      <c r="F5" s="2731" t="s">
        <v>10</v>
      </c>
      <c r="G5" s="1209" t="s">
        <v>217</v>
      </c>
      <c r="H5" s="1309"/>
      <c r="I5" s="1310"/>
      <c r="J5" s="1209" t="s">
        <v>216</v>
      </c>
      <c r="K5" s="1309"/>
      <c r="L5" s="1310"/>
      <c r="M5" s="1209" t="s">
        <v>793</v>
      </c>
      <c r="N5" s="1309"/>
      <c r="O5" s="1310"/>
      <c r="P5" s="1209" t="s">
        <v>643</v>
      </c>
      <c r="Q5" s="1218"/>
      <c r="R5" s="1309"/>
      <c r="S5" s="1309"/>
      <c r="T5" s="1310"/>
      <c r="U5" s="82"/>
      <c r="V5" s="82"/>
    </row>
    <row r="6" spans="1:26" ht="60" customHeight="1" thickBot="1">
      <c r="A6" s="2735"/>
      <c r="B6" s="2742"/>
      <c r="C6" s="2745"/>
      <c r="D6" s="2735"/>
      <c r="E6" s="2742"/>
      <c r="F6" s="2732"/>
      <c r="G6" s="703" t="s">
        <v>11</v>
      </c>
      <c r="H6" s="705" t="s">
        <v>9</v>
      </c>
      <c r="I6" s="412" t="s">
        <v>12</v>
      </c>
      <c r="J6" s="703" t="s">
        <v>11</v>
      </c>
      <c r="K6" s="705" t="s">
        <v>9</v>
      </c>
      <c r="L6" s="412" t="s">
        <v>12</v>
      </c>
      <c r="M6" s="703" t="s">
        <v>11</v>
      </c>
      <c r="N6" s="705" t="s">
        <v>9</v>
      </c>
      <c r="O6" s="412" t="s">
        <v>12</v>
      </c>
      <c r="P6" s="2748" t="s">
        <v>11</v>
      </c>
      <c r="Q6" s="2747"/>
      <c r="R6" s="2746" t="s">
        <v>9</v>
      </c>
      <c r="S6" s="2747"/>
      <c r="T6" s="412" t="s">
        <v>12</v>
      </c>
      <c r="U6" s="764"/>
      <c r="V6" s="82"/>
      <c r="X6" s="1302" t="s">
        <v>784</v>
      </c>
      <c r="Y6" s="1302" t="s">
        <v>784</v>
      </c>
    </row>
    <row r="7" spans="1:26" ht="30" customHeight="1">
      <c r="A7" s="424">
        <v>1</v>
      </c>
      <c r="B7" s="1311">
        <f ca="1">IF(ROW()-ROW($A$7)&lt;'الف-ب-ج'!$L$9,INDIRECT("BudgetDB!AF"&amp;('الف-ب-ج'!$M$9+ROW()-ROW($A$7))),"")</f>
        <v>0</v>
      </c>
      <c r="C7" s="2138">
        <f ca="1">IF(ROW()-ROW($A$7)&lt;'الف-ب-ج'!$L$9,INDIRECT("BudgetDB!AG"&amp;('الف-ب-ج'!$M$9+ROW()-ROW($A$7))),"")</f>
        <v>0</v>
      </c>
      <c r="D7" s="215"/>
      <c r="E7" s="216"/>
      <c r="F7" s="413">
        <f>IFERROR(E7*D7/1000000,0)</f>
        <v>0</v>
      </c>
      <c r="G7" s="1319" cm="1">
        <f t="array" aca="1" ref="G7" ca="1">IF(ROW()-ROW($A$7)&lt;'الف-ب-ج'!$L$9,IF(روکش!$F$9="سه ماهه",INDIRECT("BudgetDB!AH"&amp;('الف-ب-ج'!$M$9+ROW()-ROW($A$7))),INDIRECT("BudgetDB!AI"&amp;('الف-ب-ج'!$M$9+ROW()-ROW($A$7)))),"")</f>
        <v>0</v>
      </c>
      <c r="H7" s="1320" cm="1">
        <f t="array" aca="1" ref="H7" ca="1">IF(ROW()-ROW($A$7)&lt;'الف-ب-ج'!$L$9,IF(روکش!$F$9="سه ماهه",INDIRECT("BudgetDB!AJ"&amp;('الف-ب-ج'!$M$9+ROW()-ROW($A$7))),INDIRECT("BudgetDB!AK"&amp;('الف-ب-ج'!$M$9+ROW()-ROW($A$7)))),"")</f>
        <v>0</v>
      </c>
      <c r="I7" s="413">
        <f ca="1">IFERROR(H7*G7/1000000,0)</f>
        <v>0</v>
      </c>
      <c r="J7" s="215"/>
      <c r="K7" s="216"/>
      <c r="L7" s="413">
        <f>IFERROR(K7*J7/1000000,0)</f>
        <v>0</v>
      </c>
      <c r="M7" s="402" t="str">
        <f>IFERROR((J7-D7)*100/D7,"-")</f>
        <v>-</v>
      </c>
      <c r="N7" s="414" t="str">
        <f t="shared" ref="N7:O7" si="0">IFERROR((K7-E7)*100/E7,"-")</f>
        <v>-</v>
      </c>
      <c r="O7" s="415" t="str">
        <f t="shared" si="0"/>
        <v>-</v>
      </c>
      <c r="P7" s="2119" t="str">
        <f ca="1">IFERROR(J7*100/G7,"-")</f>
        <v>-</v>
      </c>
      <c r="Q7" s="2163">
        <f ca="1">IFERROR(ABS(P7-100),500)</f>
        <v>500</v>
      </c>
      <c r="R7" s="2169" t="str">
        <f ca="1">IFERROR(K7*100/H7,"-")</f>
        <v>-</v>
      </c>
      <c r="S7" s="2163">
        <f ca="1">IFERROR(ABS(R7-100),500)</f>
        <v>500</v>
      </c>
      <c r="T7" s="415" t="str">
        <f ca="1">IFERROR(L7*100/I7,"-")</f>
        <v>-</v>
      </c>
      <c r="U7" s="82"/>
      <c r="V7" s="82"/>
      <c r="X7" s="1302" t="str">
        <f ca="1">IF(AND(G7=0,J7&gt;0),100,IFERROR(ABS(P7-100),"-"))</f>
        <v>-</v>
      </c>
      <c r="Y7" s="1302" t="str">
        <f ca="1">IF(AND(H7=0,K7&gt;0),100,IFERROR(ABS(R7-100),"-"))</f>
        <v>-</v>
      </c>
    </row>
    <row r="8" spans="1:26" ht="30" customHeight="1">
      <c r="A8" s="425">
        <v>2</v>
      </c>
      <c r="B8" s="1312">
        <f ca="1">IF(ROW()-ROW($A$7)&lt;'الف-ب-ج'!$L$9,INDIRECT("BudgetDB!AF"&amp;('الف-ب-ج'!$M$9+ROW()-ROW($A$7))),"")</f>
        <v>0</v>
      </c>
      <c r="C8" s="2139">
        <f ca="1">IF(ROW()-ROW($A$7)&lt;'الف-ب-ج'!$L$9,INDIRECT("BudgetDB!AG"&amp;('الف-ب-ج'!$M$9+ROW()-ROW($A$7))),"")</f>
        <v>0</v>
      </c>
      <c r="D8" s="217"/>
      <c r="E8" s="218"/>
      <c r="F8" s="416">
        <f t="shared" ref="F8:F16" si="1">IFERROR(E8*D8/1000000,0)</f>
        <v>0</v>
      </c>
      <c r="G8" s="1321" cm="1">
        <f t="array" aca="1" ref="G8" ca="1">IF(ROW()-ROW($A$7)&lt;'الف-ب-ج'!$L$9,IF(روکش!$F$9="سه ماهه",INDIRECT("BudgetDB!AH"&amp;('الف-ب-ج'!$M$9+ROW()-ROW($A$7))),INDIRECT("BudgetDB!AI"&amp;('الف-ب-ج'!$M$9+ROW()-ROW($A$7)))),"")</f>
        <v>0</v>
      </c>
      <c r="H8" s="1322" cm="1">
        <f t="array" aca="1" ref="H8" ca="1">IF(ROW()-ROW($A$7)&lt;'الف-ب-ج'!$L$9,IF(روکش!$F$9="سه ماهه",INDIRECT("BudgetDB!AJ"&amp;('الف-ب-ج'!$M$9+ROW()-ROW($A$7))),INDIRECT("BudgetDB!AK"&amp;('الف-ب-ج'!$M$9+ROW()-ROW($A$7)))),"")</f>
        <v>0</v>
      </c>
      <c r="I8" s="416">
        <f t="shared" ref="I8:I16" ca="1" si="2">IFERROR(H8*G8/1000000,0)</f>
        <v>0</v>
      </c>
      <c r="J8" s="217"/>
      <c r="K8" s="218"/>
      <c r="L8" s="416">
        <f t="shared" ref="L8:L16" si="3">IFERROR(K8*J8/1000000,0)</f>
        <v>0</v>
      </c>
      <c r="M8" s="406" t="str">
        <f t="shared" ref="M8:M10" si="4">IFERROR((J8-D8)*100/D8,"-")</f>
        <v>-</v>
      </c>
      <c r="N8" s="417" t="str">
        <f t="shared" ref="N8:N10" si="5">IFERROR((K8-E8)*100/E8,"-")</f>
        <v>-</v>
      </c>
      <c r="O8" s="418" t="str">
        <f t="shared" ref="O8:O17" si="6">IFERROR((L8-F8)*100/F8,"-")</f>
        <v>-</v>
      </c>
      <c r="P8" s="2120" t="str">
        <f t="shared" ref="P8:P9" ca="1" si="7">IFERROR(J8*100/G8,"-")</f>
        <v>-</v>
      </c>
      <c r="Q8" s="2164">
        <f t="shared" ref="Q8:S9" ca="1" si="8">IFERROR(ABS(P8-100),500)</f>
        <v>500</v>
      </c>
      <c r="R8" s="2170" t="str">
        <f t="shared" ref="R8:R9" ca="1" si="9">IFERROR(K8*100/H8,"-")</f>
        <v>-</v>
      </c>
      <c r="S8" s="2164">
        <f t="shared" ca="1" si="8"/>
        <v>500</v>
      </c>
      <c r="T8" s="418" t="str">
        <f t="shared" ref="T8:T17" ca="1" si="10">IFERROR(L8*100/I8,"-")</f>
        <v>-</v>
      </c>
      <c r="U8" s="82"/>
      <c r="V8" s="82"/>
      <c r="X8" s="1302" t="str">
        <f t="shared" ref="X8:X16" ca="1" si="11">IF(AND(G8=0,J8&gt;0),100,IFERROR(ABS(P8-100),"-"))</f>
        <v>-</v>
      </c>
      <c r="Y8" s="1302" t="str">
        <f t="shared" ref="Y8:Y16" ca="1" si="12">IF(AND(H8=0,K8&gt;0),100,IFERROR(ABS(R8-100),"-"))</f>
        <v>-</v>
      </c>
    </row>
    <row r="9" spans="1:26" ht="30" customHeight="1">
      <c r="A9" s="425">
        <v>3</v>
      </c>
      <c r="B9" s="1312">
        <f ca="1">IF(ROW()-ROW($A$7)&lt;'الف-ب-ج'!$L$9,INDIRECT("BudgetDB!AF"&amp;('الف-ب-ج'!$M$9+ROW()-ROW($A$7))),"")</f>
        <v>0</v>
      </c>
      <c r="C9" s="2139">
        <f ca="1">IF(ROW()-ROW($A$7)&lt;'الف-ب-ج'!$L$9,INDIRECT("BudgetDB!AG"&amp;('الف-ب-ج'!$M$9+ROW()-ROW($A$7))),"")</f>
        <v>0</v>
      </c>
      <c r="D9" s="217"/>
      <c r="E9" s="218"/>
      <c r="F9" s="416">
        <f t="shared" si="1"/>
        <v>0</v>
      </c>
      <c r="G9" s="1321" cm="1">
        <f t="array" aca="1" ref="G9" ca="1">IF(ROW()-ROW($A$7)&lt;'الف-ب-ج'!$L$9,IF(روکش!$F$9="سه ماهه",INDIRECT("BudgetDB!AH"&amp;('الف-ب-ج'!$M$9+ROW()-ROW($A$7))),INDIRECT("BudgetDB!AI"&amp;('الف-ب-ج'!$M$9+ROW()-ROW($A$7)))),"")</f>
        <v>0</v>
      </c>
      <c r="H9" s="1322" cm="1">
        <f t="array" aca="1" ref="H9" ca="1">IF(ROW()-ROW($A$7)&lt;'الف-ب-ج'!$L$9,IF(روکش!$F$9="سه ماهه",INDIRECT("BudgetDB!AJ"&amp;('الف-ب-ج'!$M$9+ROW()-ROW($A$7))),INDIRECT("BudgetDB!AK"&amp;('الف-ب-ج'!$M$9+ROW()-ROW($A$7)))),"")</f>
        <v>0</v>
      </c>
      <c r="I9" s="416">
        <f t="shared" ca="1" si="2"/>
        <v>0</v>
      </c>
      <c r="J9" s="217"/>
      <c r="K9" s="218"/>
      <c r="L9" s="416">
        <f t="shared" si="3"/>
        <v>0</v>
      </c>
      <c r="M9" s="406" t="str">
        <f t="shared" si="4"/>
        <v>-</v>
      </c>
      <c r="N9" s="417" t="str">
        <f t="shared" si="5"/>
        <v>-</v>
      </c>
      <c r="O9" s="418" t="str">
        <f t="shared" si="6"/>
        <v>-</v>
      </c>
      <c r="P9" s="2120" t="str">
        <f t="shared" ca="1" si="7"/>
        <v>-</v>
      </c>
      <c r="Q9" s="2164">
        <f t="shared" ca="1" si="8"/>
        <v>500</v>
      </c>
      <c r="R9" s="2170" t="str">
        <f t="shared" ca="1" si="9"/>
        <v>-</v>
      </c>
      <c r="S9" s="2164">
        <f t="shared" ca="1" si="8"/>
        <v>500</v>
      </c>
      <c r="T9" s="418" t="str">
        <f t="shared" ca="1" si="10"/>
        <v>-</v>
      </c>
      <c r="U9" s="82"/>
      <c r="V9" s="82"/>
      <c r="X9" s="1302" t="str">
        <f t="shared" ca="1" si="11"/>
        <v>-</v>
      </c>
      <c r="Y9" s="1302" t="str">
        <f t="shared" ca="1" si="12"/>
        <v>-</v>
      </c>
    </row>
    <row r="10" spans="1:26" ht="30" customHeight="1">
      <c r="A10" s="425">
        <v>4</v>
      </c>
      <c r="B10" s="1312">
        <f ca="1">IF(ROW()-ROW($A$7)&lt;'الف-ب-ج'!$L$9,INDIRECT("BudgetDB!AF"&amp;('الف-ب-ج'!$M$9+ROW()-ROW($A$7))),"")</f>
        <v>0</v>
      </c>
      <c r="C10" s="2139">
        <f ca="1">IF(ROW()-ROW($A$7)&lt;'الف-ب-ج'!$L$9,INDIRECT("BudgetDB!AG"&amp;('الف-ب-ج'!$M$9+ROW()-ROW($A$7))),"")</f>
        <v>0</v>
      </c>
      <c r="D10" s="217"/>
      <c r="E10" s="218"/>
      <c r="F10" s="416">
        <f t="shared" si="1"/>
        <v>0</v>
      </c>
      <c r="G10" s="1321" cm="1">
        <f t="array" aca="1" ref="G10" ca="1">IF(ROW()-ROW($A$7)&lt;'الف-ب-ج'!$L$9,IF(روکش!$F$9="سه ماهه",INDIRECT("BudgetDB!AH"&amp;('الف-ب-ج'!$M$9+ROW()-ROW($A$7))),INDIRECT("BudgetDB!AI"&amp;('الف-ب-ج'!$M$9+ROW()-ROW($A$7)))),"")</f>
        <v>0</v>
      </c>
      <c r="H10" s="1322" cm="1">
        <f t="array" aca="1" ref="H10" ca="1">IF(ROW()-ROW($A$7)&lt;'الف-ب-ج'!$L$9,IF(روکش!$F$9="سه ماهه",INDIRECT("BudgetDB!AJ"&amp;('الف-ب-ج'!$M$9+ROW()-ROW($A$7))),INDIRECT("BudgetDB!AK"&amp;('الف-ب-ج'!$M$9+ROW()-ROW($A$7)))),"")</f>
        <v>0</v>
      </c>
      <c r="I10" s="416">
        <f t="shared" ca="1" si="2"/>
        <v>0</v>
      </c>
      <c r="J10" s="217"/>
      <c r="K10" s="218"/>
      <c r="L10" s="416">
        <f t="shared" si="3"/>
        <v>0</v>
      </c>
      <c r="M10" s="406" t="str">
        <f t="shared" si="4"/>
        <v>-</v>
      </c>
      <c r="N10" s="417" t="str">
        <f t="shared" si="5"/>
        <v>-</v>
      </c>
      <c r="O10" s="418" t="str">
        <f t="shared" si="6"/>
        <v>-</v>
      </c>
      <c r="P10" s="2120" t="str">
        <f t="shared" ref="P10:P16" ca="1" si="13">IFERROR(J10*100/G10,"-")</f>
        <v>-</v>
      </c>
      <c r="Q10" s="2164">
        <f t="shared" ref="Q10" ca="1" si="14">IFERROR(ABS(P10-100),500)</f>
        <v>500</v>
      </c>
      <c r="R10" s="2170" t="str">
        <f t="shared" ref="R10:R16" ca="1" si="15">IFERROR(K10*100/H10,"-")</f>
        <v>-</v>
      </c>
      <c r="S10" s="2164">
        <f t="shared" ref="S10" ca="1" si="16">IFERROR(ABS(R10-100),500)</f>
        <v>500</v>
      </c>
      <c r="T10" s="418" t="str">
        <f t="shared" ca="1" si="10"/>
        <v>-</v>
      </c>
      <c r="U10" s="82"/>
      <c r="V10" s="82"/>
      <c r="X10" s="1302" t="str">
        <f t="shared" ca="1" si="11"/>
        <v>-</v>
      </c>
      <c r="Y10" s="1302" t="str">
        <f t="shared" ca="1" si="12"/>
        <v>-</v>
      </c>
    </row>
    <row r="11" spans="1:26" ht="30" customHeight="1">
      <c r="A11" s="425">
        <v>5</v>
      </c>
      <c r="B11" s="1312">
        <f ca="1">IF(ROW()-ROW($A$7)&lt;'الف-ب-ج'!$L$9,INDIRECT("BudgetDB!AF"&amp;('الف-ب-ج'!$M$9+ROW()-ROW($A$7))),"")</f>
        <v>0</v>
      </c>
      <c r="C11" s="2139">
        <f ca="1">IF(ROW()-ROW($A$7)&lt;'الف-ب-ج'!$L$9,INDIRECT("BudgetDB!AG"&amp;('الف-ب-ج'!$M$9+ROW()-ROW($A$7))),"")</f>
        <v>0</v>
      </c>
      <c r="D11" s="217"/>
      <c r="E11" s="218"/>
      <c r="F11" s="416">
        <f t="shared" si="1"/>
        <v>0</v>
      </c>
      <c r="G11" s="1321" cm="1">
        <f t="array" aca="1" ref="G11" ca="1">IF(ROW()-ROW($A$7)&lt;'الف-ب-ج'!$L$9,IF(روکش!$F$9="سه ماهه",INDIRECT("BudgetDB!AH"&amp;('الف-ب-ج'!$M$9+ROW()-ROW($A$7))),INDIRECT("BudgetDB!AI"&amp;('الف-ب-ج'!$M$9+ROW()-ROW($A$7)))),"")</f>
        <v>0</v>
      </c>
      <c r="H11" s="1322" cm="1">
        <f t="array" aca="1" ref="H11" ca="1">IF(ROW()-ROW($A$7)&lt;'الف-ب-ج'!$L$9,IF(روکش!$F$9="سه ماهه",INDIRECT("BudgetDB!AJ"&amp;('الف-ب-ج'!$M$9+ROW()-ROW($A$7))),INDIRECT("BudgetDB!AK"&amp;('الف-ب-ج'!$M$9+ROW()-ROW($A$7)))),"")</f>
        <v>0</v>
      </c>
      <c r="I11" s="416">
        <f t="shared" ca="1" si="2"/>
        <v>0</v>
      </c>
      <c r="J11" s="217"/>
      <c r="K11" s="218"/>
      <c r="L11" s="416">
        <f t="shared" si="3"/>
        <v>0</v>
      </c>
      <c r="M11" s="406" t="str">
        <f t="shared" ref="M11:M16" si="17">IFERROR((J11-D11)*100/D11,"-")</f>
        <v>-</v>
      </c>
      <c r="N11" s="417" t="str">
        <f t="shared" ref="N11:N16" si="18">IFERROR((K11-E11)*100/E11,"-")</f>
        <v>-</v>
      </c>
      <c r="O11" s="418" t="str">
        <f t="shared" ref="O11:O16" si="19">IFERROR((L11-F11)*100/F11,"-")</f>
        <v>-</v>
      </c>
      <c r="P11" s="2120" t="str">
        <f t="shared" ca="1" si="13"/>
        <v>-</v>
      </c>
      <c r="Q11" s="2164">
        <f t="shared" ref="Q11" ca="1" si="20">IFERROR(ABS(P11-100),500)</f>
        <v>500</v>
      </c>
      <c r="R11" s="2170" t="str">
        <f t="shared" ca="1" si="15"/>
        <v>-</v>
      </c>
      <c r="S11" s="2164">
        <f t="shared" ref="S11" ca="1" si="21">IFERROR(ABS(R11-100),500)</f>
        <v>500</v>
      </c>
      <c r="T11" s="418" t="str">
        <f t="shared" ca="1" si="10"/>
        <v>-</v>
      </c>
      <c r="U11" s="82"/>
      <c r="V11" s="82"/>
      <c r="X11" s="1302" t="str">
        <f t="shared" ca="1" si="11"/>
        <v>-</v>
      </c>
      <c r="Y11" s="1302" t="str">
        <f t="shared" ca="1" si="12"/>
        <v>-</v>
      </c>
    </row>
    <row r="12" spans="1:26" ht="30" customHeight="1">
      <c r="A12" s="425">
        <v>6</v>
      </c>
      <c r="B12" s="756">
        <f ca="1">IF(ROW()-ROW($A$7)&lt;'الف-ب-ج'!$L$9,INDIRECT("BudgetDB!AF"&amp;('الف-ب-ج'!$M$9+ROW()-ROW($A$7))),"")</f>
        <v>0</v>
      </c>
      <c r="C12" s="757">
        <f ca="1">IF(ROW()-ROW($A$7)&lt;'الف-ب-ج'!$L$9,INDIRECT("BudgetDB!AG"&amp;('الف-ب-ج'!$M$9+ROW()-ROW($A$7))),"")</f>
        <v>0</v>
      </c>
      <c r="D12" s="217"/>
      <c r="E12" s="218"/>
      <c r="F12" s="416">
        <f t="shared" si="1"/>
        <v>0</v>
      </c>
      <c r="G12" s="1321" cm="1">
        <f t="array" aca="1" ref="G12" ca="1">IF(ROW()-ROW($A$7)&lt;'الف-ب-ج'!$L$9,IF(روکش!$F$9="سه ماهه",INDIRECT("BudgetDB!AH"&amp;('الف-ب-ج'!$M$9+ROW()-ROW($A$7))),INDIRECT("BudgetDB!AI"&amp;('الف-ب-ج'!$M$9+ROW()-ROW($A$7)))),"")</f>
        <v>0</v>
      </c>
      <c r="H12" s="1322" cm="1">
        <f t="array" aca="1" ref="H12" ca="1">IF(ROW()-ROW($A$7)&lt;'الف-ب-ج'!$L$9,IF(روکش!$F$9="سه ماهه",INDIRECT("BudgetDB!AJ"&amp;('الف-ب-ج'!$M$9+ROW()-ROW($A$7))),INDIRECT("BudgetDB!AK"&amp;('الف-ب-ج'!$M$9+ROW()-ROW($A$7)))),"")</f>
        <v>0</v>
      </c>
      <c r="I12" s="416">
        <f t="shared" ca="1" si="2"/>
        <v>0</v>
      </c>
      <c r="J12" s="217"/>
      <c r="K12" s="218"/>
      <c r="L12" s="416">
        <f t="shared" si="3"/>
        <v>0</v>
      </c>
      <c r="M12" s="406" t="str">
        <f t="shared" si="17"/>
        <v>-</v>
      </c>
      <c r="N12" s="417" t="str">
        <f t="shared" si="18"/>
        <v>-</v>
      </c>
      <c r="O12" s="418" t="str">
        <f t="shared" si="19"/>
        <v>-</v>
      </c>
      <c r="P12" s="2120" t="str">
        <f t="shared" ca="1" si="13"/>
        <v>-</v>
      </c>
      <c r="Q12" s="2164">
        <f t="shared" ref="Q12" ca="1" si="22">IFERROR(ABS(P12-100),500)</f>
        <v>500</v>
      </c>
      <c r="R12" s="2170" t="str">
        <f t="shared" ca="1" si="15"/>
        <v>-</v>
      </c>
      <c r="S12" s="2164">
        <f t="shared" ref="S12" ca="1" si="23">IFERROR(ABS(R12-100),500)</f>
        <v>500</v>
      </c>
      <c r="T12" s="418" t="str">
        <f t="shared" ref="T12:T16" ca="1" si="24">IFERROR(L12*100/I12,"-")</f>
        <v>-</v>
      </c>
      <c r="U12" s="82"/>
      <c r="V12" s="82"/>
      <c r="X12" s="1302" t="str">
        <f t="shared" ca="1" si="11"/>
        <v>-</v>
      </c>
      <c r="Y12" s="1302" t="str">
        <f t="shared" ca="1" si="12"/>
        <v>-</v>
      </c>
    </row>
    <row r="13" spans="1:26" ht="30" customHeight="1">
      <c r="A13" s="425">
        <v>7</v>
      </c>
      <c r="B13" s="756">
        <f ca="1">IF(ROW()-ROW($A$7)&lt;'الف-ب-ج'!$L$9,INDIRECT("BudgetDB!AF"&amp;('الف-ب-ج'!$M$9+ROW()-ROW($A$7))),"")</f>
        <v>0</v>
      </c>
      <c r="C13" s="757">
        <f ca="1">IF(ROW()-ROW($A$7)&lt;'الف-ب-ج'!$L$9,INDIRECT("BudgetDB!AG"&amp;('الف-ب-ج'!$M$9+ROW()-ROW($A$7))),"")</f>
        <v>0</v>
      </c>
      <c r="D13" s="217"/>
      <c r="E13" s="218"/>
      <c r="F13" s="416">
        <f t="shared" si="1"/>
        <v>0</v>
      </c>
      <c r="G13" s="1321" cm="1">
        <f t="array" aca="1" ref="G13" ca="1">IF(ROW()-ROW($A$7)&lt;'الف-ب-ج'!$L$9,IF(روکش!$F$9="سه ماهه",INDIRECT("BudgetDB!AH"&amp;('الف-ب-ج'!$M$9+ROW()-ROW($A$7))),INDIRECT("BudgetDB!AI"&amp;('الف-ب-ج'!$M$9+ROW()-ROW($A$7)))),"")</f>
        <v>0</v>
      </c>
      <c r="H13" s="1322" cm="1">
        <f t="array" aca="1" ref="H13" ca="1">IF(ROW()-ROW($A$7)&lt;'الف-ب-ج'!$L$9,IF(روکش!$F$9="سه ماهه",INDIRECT("BudgetDB!AJ"&amp;('الف-ب-ج'!$M$9+ROW()-ROW($A$7))),INDIRECT("BudgetDB!AK"&amp;('الف-ب-ج'!$M$9+ROW()-ROW($A$7)))),"")</f>
        <v>0</v>
      </c>
      <c r="I13" s="416">
        <f t="shared" ca="1" si="2"/>
        <v>0</v>
      </c>
      <c r="J13" s="217"/>
      <c r="K13" s="218"/>
      <c r="L13" s="416">
        <f t="shared" si="3"/>
        <v>0</v>
      </c>
      <c r="M13" s="406" t="str">
        <f t="shared" si="17"/>
        <v>-</v>
      </c>
      <c r="N13" s="417" t="str">
        <f t="shared" si="18"/>
        <v>-</v>
      </c>
      <c r="O13" s="418" t="str">
        <f t="shared" si="19"/>
        <v>-</v>
      </c>
      <c r="P13" s="2120" t="str">
        <f t="shared" ca="1" si="13"/>
        <v>-</v>
      </c>
      <c r="Q13" s="2164">
        <f t="shared" ref="Q13" ca="1" si="25">IFERROR(ABS(P13-100),500)</f>
        <v>500</v>
      </c>
      <c r="R13" s="2170" t="str">
        <f t="shared" ca="1" si="15"/>
        <v>-</v>
      </c>
      <c r="S13" s="2164">
        <f t="shared" ref="S13" ca="1" si="26">IFERROR(ABS(R13-100),500)</f>
        <v>500</v>
      </c>
      <c r="T13" s="418" t="str">
        <f t="shared" ca="1" si="24"/>
        <v>-</v>
      </c>
      <c r="U13" s="82"/>
      <c r="V13" s="82"/>
      <c r="X13" s="1302" t="str">
        <f t="shared" ca="1" si="11"/>
        <v>-</v>
      </c>
      <c r="Y13" s="1302" t="str">
        <f t="shared" ca="1" si="12"/>
        <v>-</v>
      </c>
    </row>
    <row r="14" spans="1:26" ht="30" customHeight="1">
      <c r="A14" s="425">
        <v>8</v>
      </c>
      <c r="B14" s="756">
        <f ca="1">IF(ROW()-ROW($A$7)&lt;'الف-ب-ج'!$L$9,INDIRECT("BudgetDB!AF"&amp;('الف-ب-ج'!$M$9+ROW()-ROW($A$7))),"")</f>
        <v>0</v>
      </c>
      <c r="C14" s="757">
        <f ca="1">IF(ROW()-ROW($A$7)&lt;'الف-ب-ج'!$L$9,INDIRECT("BudgetDB!AG"&amp;('الف-ب-ج'!$M$9+ROW()-ROW($A$7))),"")</f>
        <v>0</v>
      </c>
      <c r="D14" s="217"/>
      <c r="E14" s="218"/>
      <c r="F14" s="416">
        <f t="shared" si="1"/>
        <v>0</v>
      </c>
      <c r="G14" s="1321" cm="1">
        <f t="array" aca="1" ref="G14" ca="1">IF(ROW()-ROW($A$7)&lt;'الف-ب-ج'!$L$9,IF(روکش!$F$9="سه ماهه",INDIRECT("BudgetDB!AH"&amp;('الف-ب-ج'!$M$9+ROW()-ROW($A$7))),INDIRECT("BudgetDB!AI"&amp;('الف-ب-ج'!$M$9+ROW()-ROW($A$7)))),"")</f>
        <v>0</v>
      </c>
      <c r="H14" s="1322" cm="1">
        <f t="array" aca="1" ref="H14" ca="1">IF(ROW()-ROW($A$7)&lt;'الف-ب-ج'!$L$9,IF(روکش!$F$9="سه ماهه",INDIRECT("BudgetDB!AJ"&amp;('الف-ب-ج'!$M$9+ROW()-ROW($A$7))),INDIRECT("BudgetDB!AK"&amp;('الف-ب-ج'!$M$9+ROW()-ROW($A$7)))),"")</f>
        <v>0</v>
      </c>
      <c r="I14" s="416">
        <f t="shared" ca="1" si="2"/>
        <v>0</v>
      </c>
      <c r="J14" s="217"/>
      <c r="K14" s="218"/>
      <c r="L14" s="416">
        <f t="shared" si="3"/>
        <v>0</v>
      </c>
      <c r="M14" s="406" t="str">
        <f t="shared" si="17"/>
        <v>-</v>
      </c>
      <c r="N14" s="417" t="str">
        <f t="shared" si="18"/>
        <v>-</v>
      </c>
      <c r="O14" s="418" t="str">
        <f t="shared" si="19"/>
        <v>-</v>
      </c>
      <c r="P14" s="2120" t="str">
        <f t="shared" ca="1" si="13"/>
        <v>-</v>
      </c>
      <c r="Q14" s="2164">
        <f t="shared" ref="Q14" ca="1" si="27">IFERROR(ABS(P14-100),500)</f>
        <v>500</v>
      </c>
      <c r="R14" s="2170" t="str">
        <f t="shared" ca="1" si="15"/>
        <v>-</v>
      </c>
      <c r="S14" s="2164">
        <f t="shared" ref="S14" ca="1" si="28">IFERROR(ABS(R14-100),500)</f>
        <v>500</v>
      </c>
      <c r="T14" s="418" t="str">
        <f t="shared" ca="1" si="24"/>
        <v>-</v>
      </c>
      <c r="U14" s="82"/>
      <c r="V14" s="82"/>
      <c r="X14" s="1302" t="str">
        <f t="shared" ca="1" si="11"/>
        <v>-</v>
      </c>
      <c r="Y14" s="1302" t="str">
        <f t="shared" ca="1" si="12"/>
        <v>-</v>
      </c>
    </row>
    <row r="15" spans="1:26" ht="30" customHeight="1">
      <c r="A15" s="425">
        <v>9</v>
      </c>
      <c r="B15" s="756">
        <f ca="1">IF(ROW()-ROW($A$7)&lt;'الف-ب-ج'!$L$9,INDIRECT("BudgetDB!AF"&amp;('الف-ب-ج'!$M$9+ROW()-ROW($A$7))),"")</f>
        <v>0</v>
      </c>
      <c r="C15" s="757">
        <f ca="1">IF(ROW()-ROW($A$7)&lt;'الف-ب-ج'!$L$9,INDIRECT("BudgetDB!AG"&amp;('الف-ب-ج'!$M$9+ROW()-ROW($A$7))),"")</f>
        <v>0</v>
      </c>
      <c r="D15" s="217"/>
      <c r="E15" s="218"/>
      <c r="F15" s="416">
        <f t="shared" si="1"/>
        <v>0</v>
      </c>
      <c r="G15" s="1321" cm="1">
        <f t="array" aca="1" ref="G15" ca="1">IF(ROW()-ROW($A$7)&lt;'الف-ب-ج'!$L$9,IF(روکش!$F$9="سه ماهه",INDIRECT("BudgetDB!AH"&amp;('الف-ب-ج'!$M$9+ROW()-ROW($A$7))),INDIRECT("BudgetDB!AI"&amp;('الف-ب-ج'!$M$9+ROW()-ROW($A$7)))),"")</f>
        <v>0</v>
      </c>
      <c r="H15" s="1322" cm="1">
        <f t="array" aca="1" ref="H15" ca="1">IF(ROW()-ROW($A$7)&lt;'الف-ب-ج'!$L$9,IF(روکش!$F$9="سه ماهه",INDIRECT("BudgetDB!AJ"&amp;('الف-ب-ج'!$M$9+ROW()-ROW($A$7))),INDIRECT("BudgetDB!AK"&amp;('الف-ب-ج'!$M$9+ROW()-ROW($A$7)))),"")</f>
        <v>0</v>
      </c>
      <c r="I15" s="416">
        <f t="shared" ca="1" si="2"/>
        <v>0</v>
      </c>
      <c r="J15" s="217"/>
      <c r="K15" s="218"/>
      <c r="L15" s="416">
        <f t="shared" si="3"/>
        <v>0</v>
      </c>
      <c r="M15" s="406" t="str">
        <f t="shared" si="17"/>
        <v>-</v>
      </c>
      <c r="N15" s="417" t="str">
        <f t="shared" si="18"/>
        <v>-</v>
      </c>
      <c r="O15" s="418" t="str">
        <f t="shared" si="19"/>
        <v>-</v>
      </c>
      <c r="P15" s="2120" t="str">
        <f t="shared" ca="1" si="13"/>
        <v>-</v>
      </c>
      <c r="Q15" s="2164">
        <f t="shared" ref="Q15" ca="1" si="29">IFERROR(ABS(P15-100),500)</f>
        <v>500</v>
      </c>
      <c r="R15" s="2170" t="str">
        <f t="shared" ca="1" si="15"/>
        <v>-</v>
      </c>
      <c r="S15" s="2164">
        <f t="shared" ref="S15" ca="1" si="30">IFERROR(ABS(R15-100),500)</f>
        <v>500</v>
      </c>
      <c r="T15" s="418" t="str">
        <f t="shared" ca="1" si="24"/>
        <v>-</v>
      </c>
      <c r="U15" s="82"/>
      <c r="V15" s="82"/>
      <c r="X15" s="1302" t="str">
        <f t="shared" ca="1" si="11"/>
        <v>-</v>
      </c>
      <c r="Y15" s="1302" t="str">
        <f t="shared" ca="1" si="12"/>
        <v>-</v>
      </c>
    </row>
    <row r="16" spans="1:26" ht="30" customHeight="1" thickBot="1">
      <c r="A16" s="426">
        <v>10</v>
      </c>
      <c r="B16" s="2036">
        <f ca="1">IF(ROW()-ROW($A$7)&lt;'الف-ب-ج'!$L$9,INDIRECT("BudgetDB!AF"&amp;('الف-ب-ج'!$M$9+ROW()-ROW($A$7))),"")</f>
        <v>0</v>
      </c>
      <c r="C16" s="2037">
        <f ca="1">IF(ROW()-ROW($A$7)&lt;'الف-ب-ج'!$L$9,INDIRECT("BudgetDB!AG"&amp;('الف-ب-ج'!$M$9+ROW()-ROW($A$7))),"")</f>
        <v>0</v>
      </c>
      <c r="D16" s="217"/>
      <c r="E16" s="218"/>
      <c r="F16" s="419">
        <f t="shared" si="1"/>
        <v>0</v>
      </c>
      <c r="G16" s="1321" cm="1">
        <f t="array" aca="1" ref="G16" ca="1">IF(ROW()-ROW($A$7)&lt;'الف-ب-ج'!$L$9,IF(روکش!$F$9="سه ماهه",INDIRECT("BudgetDB!AH"&amp;('الف-ب-ج'!$M$9+ROW()-ROW($A$7))),INDIRECT("BudgetDB!AI"&amp;('الف-ب-ج'!$M$9+ROW()-ROW($A$7)))),"")</f>
        <v>0</v>
      </c>
      <c r="H16" s="1322" cm="1">
        <f t="array" aca="1" ref="H16" ca="1">IF(ROW()-ROW($A$7)&lt;'الف-ب-ج'!$L$9,IF(روکش!$F$9="سه ماهه",INDIRECT("BudgetDB!AJ"&amp;('الف-ب-ج'!$M$9+ROW()-ROW($A$7))),INDIRECT("BudgetDB!AK"&amp;('الف-ب-ج'!$M$9+ROW()-ROW($A$7)))),"")</f>
        <v>0</v>
      </c>
      <c r="I16" s="419">
        <f t="shared" ca="1" si="2"/>
        <v>0</v>
      </c>
      <c r="J16" s="68"/>
      <c r="K16" s="218"/>
      <c r="L16" s="419">
        <f t="shared" si="3"/>
        <v>0</v>
      </c>
      <c r="M16" s="406" t="str">
        <f t="shared" si="17"/>
        <v>-</v>
      </c>
      <c r="N16" s="417" t="str">
        <f t="shared" si="18"/>
        <v>-</v>
      </c>
      <c r="O16" s="418" t="str">
        <f t="shared" si="19"/>
        <v>-</v>
      </c>
      <c r="P16" s="2120" t="str">
        <f t="shared" ca="1" si="13"/>
        <v>-</v>
      </c>
      <c r="Q16" s="2164">
        <f t="shared" ref="Q16" ca="1" si="31">IFERROR(ABS(P16-100),500)</f>
        <v>500</v>
      </c>
      <c r="R16" s="2170" t="str">
        <f t="shared" ca="1" si="15"/>
        <v>-</v>
      </c>
      <c r="S16" s="2164">
        <f t="shared" ref="S16" ca="1" si="32">IFERROR(ABS(R16-100),500)</f>
        <v>500</v>
      </c>
      <c r="T16" s="418" t="str">
        <f t="shared" ca="1" si="24"/>
        <v>-</v>
      </c>
      <c r="U16" s="82"/>
      <c r="V16" s="82"/>
      <c r="X16" s="1302" t="str">
        <f t="shared" ca="1" si="11"/>
        <v>-</v>
      </c>
      <c r="Y16" s="1302" t="str">
        <f t="shared" ca="1" si="12"/>
        <v>-</v>
      </c>
    </row>
    <row r="17" spans="1:25" ht="30" customHeight="1" thickBot="1">
      <c r="A17" s="2736" t="s">
        <v>13</v>
      </c>
      <c r="B17" s="2737"/>
      <c r="C17" s="2738"/>
      <c r="D17" s="1326"/>
      <c r="E17" s="1326"/>
      <c r="F17" s="1327">
        <f>SUM(F7:F16)</f>
        <v>0</v>
      </c>
      <c r="G17" s="1326"/>
      <c r="H17" s="1326"/>
      <c r="I17" s="1327">
        <f ca="1">SUM(I7:I16)</f>
        <v>0</v>
      </c>
      <c r="J17" s="1326"/>
      <c r="K17" s="1326"/>
      <c r="L17" s="1327">
        <f>SUM(L7:L16)</f>
        <v>0</v>
      </c>
      <c r="M17" s="1328"/>
      <c r="N17" s="1328"/>
      <c r="O17" s="499" t="str">
        <f t="shared" si="6"/>
        <v>-</v>
      </c>
      <c r="P17" s="2764"/>
      <c r="Q17" s="2765"/>
      <c r="R17" s="2766"/>
      <c r="S17" s="2765"/>
      <c r="T17" s="1327" t="str">
        <f t="shared" ca="1" si="10"/>
        <v>-</v>
      </c>
      <c r="U17" s="82"/>
      <c r="V17" s="82"/>
      <c r="X17" s="210"/>
      <c r="Y17" s="210"/>
    </row>
    <row r="18" spans="1:25" ht="12.75" customHeight="1">
      <c r="A18" s="746"/>
      <c r="B18" s="747"/>
      <c r="C18" s="747"/>
      <c r="D18" s="747"/>
      <c r="E18" s="747"/>
      <c r="F18" s="747"/>
      <c r="G18" s="747"/>
      <c r="H18" s="747"/>
      <c r="I18" s="747"/>
      <c r="J18" s="747"/>
      <c r="K18" s="747"/>
      <c r="L18" s="747"/>
      <c r="M18" s="747"/>
      <c r="N18" s="747"/>
      <c r="O18" s="747"/>
      <c r="P18" s="747"/>
      <c r="Q18" s="747"/>
      <c r="R18" s="747"/>
      <c r="S18" s="747"/>
      <c r="T18" s="747"/>
      <c r="U18" s="748"/>
      <c r="V18" s="748"/>
    </row>
    <row r="19" spans="1:25" ht="21">
      <c r="A19" s="8"/>
      <c r="B19" s="8"/>
      <c r="C19" s="9"/>
      <c r="E19" s="9"/>
      <c r="F19" s="9"/>
      <c r="G19" s="2752"/>
      <c r="H19" s="2752"/>
      <c r="I19" s="9"/>
      <c r="N19" s="720"/>
    </row>
  </sheetData>
  <mergeCells count="15">
    <mergeCell ref="A1:T1"/>
    <mergeCell ref="O3:P3"/>
    <mergeCell ref="R3:T3"/>
    <mergeCell ref="A17:C17"/>
    <mergeCell ref="G19:H19"/>
    <mergeCell ref="D5:D6"/>
    <mergeCell ref="E5:E6"/>
    <mergeCell ref="F5:F6"/>
    <mergeCell ref="A4:A6"/>
    <mergeCell ref="B4:B6"/>
    <mergeCell ref="C4:C6"/>
    <mergeCell ref="P6:Q6"/>
    <mergeCell ref="R6:S6"/>
    <mergeCell ref="P17:Q17"/>
    <mergeCell ref="R17:S17"/>
  </mergeCells>
  <conditionalFormatting sqref="E7:E16">
    <cfRule type="expression" dxfId="655" priority="19">
      <formula>AND(C7="میلیون ریال",AND(E7&lt;&gt;1000000,E7&lt;&gt;""))</formula>
    </cfRule>
  </conditionalFormatting>
  <conditionalFormatting sqref="K7:K16">
    <cfRule type="expression" dxfId="654" priority="18">
      <formula>AND(C7="میلیون ریال",AND(K7&lt;&gt;"",K7&lt;&gt;1000000))</formula>
    </cfRule>
  </conditionalFormatting>
  <conditionalFormatting sqref="B7:B16">
    <cfRule type="expression" dxfId="653" priority="5">
      <formula>AND(B7=0,OR($D7&lt;&gt;0,$J7&lt;&gt;0))</formula>
    </cfRule>
  </conditionalFormatting>
  <conditionalFormatting sqref="C7:C16">
    <cfRule type="expression" dxfId="652" priority="4">
      <formula>AND(C7=0,OR($D7&lt;&gt;0,$J7&lt;&gt;0))</formula>
    </cfRule>
  </conditionalFormatting>
  <conditionalFormatting sqref="Q7:Q16">
    <cfRule type="iconSet" priority="3">
      <iconSet iconSet="3Symbols" showValue="0" reverse="1">
        <cfvo type="percent" val="0"/>
        <cfvo type="num" val="10" gte="0"/>
        <cfvo type="num" val="40"/>
      </iconSet>
    </cfRule>
  </conditionalFormatting>
  <conditionalFormatting sqref="S7:S16">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892BE1AF-DF71-4EBF-8253-B8CEDD7DF9E4}">
            <x14:iconSet iconSet="3Symbols" custom="1">
              <x14:cfvo type="percent">
                <xm:f>0</xm:f>
              </x14:cfvo>
              <x14:cfvo type="num">
                <xm:f>0</xm:f>
              </x14:cfvo>
              <x14:cfvo type="num">
                <xm:f>0</xm:f>
              </x14:cfvo>
              <x14:cfIcon iconSet="3Symbols" iconId="1"/>
              <x14:cfIcon iconSet="3Symbols" iconId="1"/>
              <x14:cfIcon iconSet="NoIcons" iconId="0"/>
            </x14:iconSet>
          </x14:cfRule>
          <xm:sqref>M7:N16</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4">
    <tabColor rgb="FF458B74"/>
    <pageSetUpPr fitToPage="1"/>
  </sheetPr>
  <dimension ref="A1:AB102"/>
  <sheetViews>
    <sheetView showGridLines="0" rightToLeft="1" zoomScale="60" zoomScaleNormal="60" workbookViewId="0">
      <pane xSplit="1" ySplit="5" topLeftCell="B6" activePane="bottomRight" state="frozen"/>
      <selection pane="topRight" activeCell="B1" sqref="B1"/>
      <selection pane="bottomLeft" activeCell="A6" sqref="A6"/>
      <selection pane="bottomRight" activeCell="K51" sqref="K51"/>
    </sheetView>
  </sheetViews>
  <sheetFormatPr defaultColWidth="9" defaultRowHeight="15"/>
  <cols>
    <col min="1" max="1" width="48.42578125" style="5" customWidth="1"/>
    <col min="2" max="13" width="14.5703125" style="5" customWidth="1"/>
    <col min="14" max="23" width="11.5703125" style="5" customWidth="1"/>
    <col min="24" max="24" width="14.42578125" style="5" customWidth="1"/>
    <col min="25" max="25" width="11.5703125" style="5" customWidth="1"/>
    <col min="26" max="16384" width="9" style="5"/>
  </cols>
  <sheetData>
    <row r="1" spans="1:28" ht="26.25" customHeight="1">
      <c r="A1" s="2767" t="str">
        <f>روکش!D4</f>
        <v>انبارهای عمومی و خدمات گمرکی ایران</v>
      </c>
      <c r="B1" s="2767"/>
      <c r="C1" s="2767"/>
      <c r="D1" s="2767"/>
      <c r="E1" s="2767"/>
      <c r="F1" s="2767"/>
      <c r="G1" s="2767"/>
      <c r="H1" s="2767"/>
      <c r="I1" s="2767"/>
      <c r="J1" s="2767"/>
      <c r="K1" s="2767"/>
      <c r="L1" s="2767"/>
      <c r="M1" s="2767"/>
      <c r="N1" s="2767"/>
      <c r="O1" s="2767"/>
      <c r="P1" s="2767"/>
      <c r="Q1" s="2767"/>
      <c r="R1" s="2767"/>
      <c r="S1" s="2767"/>
      <c r="T1" s="2767"/>
      <c r="U1" s="2767"/>
      <c r="V1" s="2767"/>
      <c r="W1" s="2767"/>
      <c r="X1" s="2767"/>
      <c r="Y1" s="2767"/>
    </row>
    <row r="2" spans="1:28" ht="28.5" customHeight="1" thickBot="1">
      <c r="A2" s="1211" t="str">
        <f>"گزارش عملیات واردات شرکت‌ها و شعب تابعه در دوره " &amp; روکش!F9 &amp; " سال " &amp; روکش!D9</f>
        <v>گزارش عملیات واردات شرکت‌ها و شعب تابعه در دوره شش ماهه سال 1405</v>
      </c>
      <c r="B2" s="1211"/>
      <c r="C2" s="1211"/>
      <c r="D2" s="1211"/>
      <c r="E2" s="1211"/>
      <c r="F2" s="1211"/>
      <c r="G2" s="1211"/>
      <c r="H2" s="1211"/>
      <c r="I2" s="1211"/>
      <c r="J2" s="1211"/>
      <c r="K2" s="1211"/>
      <c r="L2" s="1211"/>
      <c r="M2" s="1211"/>
      <c r="N2" s="1211"/>
      <c r="O2" s="1211"/>
      <c r="P2" s="1211"/>
      <c r="Q2" s="1211"/>
      <c r="R2" s="1211"/>
      <c r="S2" s="1211"/>
      <c r="T2" s="1211"/>
      <c r="U2" s="1211"/>
      <c r="V2" s="1203"/>
      <c r="W2" s="1203"/>
      <c r="X2" s="1203"/>
      <c r="Y2" s="1203"/>
    </row>
    <row r="3" spans="1:28" ht="36" customHeight="1" thickBot="1">
      <c r="A3" s="2768" t="s">
        <v>340</v>
      </c>
      <c r="B3" s="1212" t="s">
        <v>450</v>
      </c>
      <c r="C3" s="1213"/>
      <c r="D3" s="1213"/>
      <c r="E3" s="1213"/>
      <c r="F3" s="1213"/>
      <c r="G3" s="1213"/>
      <c r="H3" s="1213"/>
      <c r="I3" s="1213"/>
      <c r="J3" s="1213"/>
      <c r="K3" s="1213"/>
      <c r="L3" s="1213"/>
      <c r="M3" s="1213"/>
      <c r="N3" s="1213"/>
      <c r="O3" s="1213"/>
      <c r="P3" s="1213"/>
      <c r="Q3" s="1213"/>
      <c r="R3" s="1213"/>
      <c r="S3" s="1213"/>
      <c r="T3" s="1213"/>
      <c r="U3" s="1213"/>
      <c r="V3" s="1213"/>
      <c r="W3" s="1213"/>
      <c r="X3" s="1213"/>
      <c r="Y3" s="1214"/>
    </row>
    <row r="4" spans="1:28" ht="48">
      <c r="A4" s="2769"/>
      <c r="B4" s="1215" t="s">
        <v>639</v>
      </c>
      <c r="C4" s="1216"/>
      <c r="D4" s="1216"/>
      <c r="E4" s="1217"/>
      <c r="F4" s="1215" t="s">
        <v>674</v>
      </c>
      <c r="G4" s="1216"/>
      <c r="H4" s="1216"/>
      <c r="I4" s="1217"/>
      <c r="J4" s="1215" t="s">
        <v>675</v>
      </c>
      <c r="K4" s="1216"/>
      <c r="L4" s="1216"/>
      <c r="M4" s="1217"/>
      <c r="N4" s="1215" t="s">
        <v>676</v>
      </c>
      <c r="O4" s="1216"/>
      <c r="P4" s="1216"/>
      <c r="Q4" s="1217"/>
      <c r="R4" s="1215" t="s">
        <v>491</v>
      </c>
      <c r="S4" s="1216"/>
      <c r="T4" s="1216"/>
      <c r="U4" s="1217"/>
      <c r="V4" s="1209" t="s">
        <v>451</v>
      </c>
      <c r="W4" s="1218"/>
      <c r="X4" s="1218"/>
      <c r="Y4" s="1219"/>
    </row>
    <row r="5" spans="1:28" ht="19.5" thickBot="1">
      <c r="A5" s="2770"/>
      <c r="B5" s="765" t="s">
        <v>452</v>
      </c>
      <c r="C5" s="766" t="s">
        <v>453</v>
      </c>
      <c r="D5" s="766" t="s">
        <v>454</v>
      </c>
      <c r="E5" s="767" t="s">
        <v>455</v>
      </c>
      <c r="F5" s="765" t="s">
        <v>452</v>
      </c>
      <c r="G5" s="766" t="s">
        <v>453</v>
      </c>
      <c r="H5" s="766" t="s">
        <v>454</v>
      </c>
      <c r="I5" s="767" t="s">
        <v>455</v>
      </c>
      <c r="J5" s="765" t="s">
        <v>452</v>
      </c>
      <c r="K5" s="766" t="s">
        <v>453</v>
      </c>
      <c r="L5" s="766" t="s">
        <v>454</v>
      </c>
      <c r="M5" s="767" t="s">
        <v>455</v>
      </c>
      <c r="N5" s="765" t="s">
        <v>452</v>
      </c>
      <c r="O5" s="766" t="s">
        <v>453</v>
      </c>
      <c r="P5" s="766" t="s">
        <v>454</v>
      </c>
      <c r="Q5" s="767" t="s">
        <v>455</v>
      </c>
      <c r="R5" s="765" t="s">
        <v>452</v>
      </c>
      <c r="S5" s="766" t="s">
        <v>453</v>
      </c>
      <c r="T5" s="766" t="s">
        <v>454</v>
      </c>
      <c r="U5" s="767" t="s">
        <v>455</v>
      </c>
      <c r="V5" s="765" t="s">
        <v>452</v>
      </c>
      <c r="W5" s="766" t="s">
        <v>453</v>
      </c>
      <c r="X5" s="766" t="s">
        <v>454</v>
      </c>
      <c r="Y5" s="767" t="s">
        <v>455</v>
      </c>
      <c r="AA5" s="5" t="s">
        <v>1055</v>
      </c>
      <c r="AB5" s="48"/>
    </row>
    <row r="6" spans="1:28" ht="24" hidden="1">
      <c r="A6" s="2458" t="s">
        <v>3119</v>
      </c>
      <c r="B6" s="2441"/>
      <c r="C6" s="2442"/>
      <c r="D6" s="2442"/>
      <c r="E6" s="2443"/>
      <c r="F6" s="2444"/>
      <c r="G6" s="2445"/>
      <c r="H6" s="2445"/>
      <c r="I6" s="2446"/>
      <c r="J6" s="2447"/>
      <c r="K6" s="2448"/>
      <c r="L6" s="2448"/>
      <c r="M6" s="2449"/>
      <c r="N6" s="893" t="str">
        <f>IFERROR(J6*100/F6,"-")</f>
        <v>-</v>
      </c>
      <c r="O6" s="893" t="str">
        <f>IFERROR(K6*100/G6,"-")</f>
        <v>-</v>
      </c>
      <c r="P6" s="893" t="str">
        <f>IFERROR(L6*100/H6,"-")</f>
        <v>-</v>
      </c>
      <c r="Q6" s="894" t="str">
        <f>IFERROR(M6*100/I6,"-")</f>
        <v>-</v>
      </c>
      <c r="R6" s="771">
        <f>IFERROR(J6-F6,"-")</f>
        <v>0</v>
      </c>
      <c r="S6" s="773">
        <f>IFERROR(K6-G6,"-")</f>
        <v>0</v>
      </c>
      <c r="T6" s="773">
        <f>IFERROR(L6-H6,"-")</f>
        <v>0</v>
      </c>
      <c r="U6" s="772">
        <f>IFERROR(M6-I6,"-")</f>
        <v>0</v>
      </c>
      <c r="V6" s="771">
        <f>J6-B6</f>
        <v>0</v>
      </c>
      <c r="W6" s="771">
        <f>K6-C6</f>
        <v>0</v>
      </c>
      <c r="X6" s="771">
        <f>L6-D6</f>
        <v>0</v>
      </c>
      <c r="Y6" s="772">
        <f>M6-E6</f>
        <v>0</v>
      </c>
      <c r="AB6" s="48"/>
    </row>
    <row r="7" spans="1:28" ht="24" hidden="1">
      <c r="A7" s="2459" t="s">
        <v>3120</v>
      </c>
      <c r="B7" s="2441"/>
      <c r="C7" s="2442"/>
      <c r="D7" s="2442"/>
      <c r="E7" s="2443"/>
      <c r="F7" s="2444"/>
      <c r="G7" s="2445"/>
      <c r="H7" s="2445"/>
      <c r="I7" s="2446"/>
      <c r="J7" s="2447"/>
      <c r="K7" s="2448"/>
      <c r="L7" s="2448"/>
      <c r="M7" s="2449"/>
      <c r="N7" s="893" t="str">
        <f t="shared" ref="N7:N47" si="0">IFERROR(J7*100/F7,"-")</f>
        <v>-</v>
      </c>
      <c r="O7" s="895" t="str">
        <f t="shared" ref="O7:O47" si="1">IFERROR(K7*100/G7,"-")</f>
        <v>-</v>
      </c>
      <c r="P7" s="896" t="str">
        <f t="shared" ref="P7:P47" si="2">IFERROR(L7*100/H7,"-")</f>
        <v>-</v>
      </c>
      <c r="Q7" s="897" t="str">
        <f t="shared" ref="Q7:Q47" si="3">IFERROR(M7*100/I7,"-")</f>
        <v>-</v>
      </c>
      <c r="R7" s="771">
        <f t="shared" ref="R7:R47" si="4">IFERROR(J7-F7,"-")</f>
        <v>0</v>
      </c>
      <c r="S7" s="773">
        <f t="shared" ref="S7:S47" si="5">IFERROR(K7-G7,"-")</f>
        <v>0</v>
      </c>
      <c r="T7" s="774">
        <f t="shared" ref="T7:T47" si="6">IFERROR(L7-H7,"-")</f>
        <v>0</v>
      </c>
      <c r="U7" s="775">
        <f t="shared" ref="U7:U47" si="7">IFERROR(M7-I7,"-")</f>
        <v>0</v>
      </c>
      <c r="V7" s="771">
        <f t="shared" ref="V7:V47" si="8">J7-B7</f>
        <v>0</v>
      </c>
      <c r="W7" s="773">
        <f t="shared" ref="W7:W47" si="9">K7-C7</f>
        <v>0</v>
      </c>
      <c r="X7" s="774">
        <f t="shared" ref="X7:X47" si="10">L7-D7</f>
        <v>0</v>
      </c>
      <c r="Y7" s="775">
        <f t="shared" ref="Y7:Y47" si="11">M7-E7</f>
        <v>0</v>
      </c>
      <c r="AB7" s="48"/>
    </row>
    <row r="8" spans="1:28" ht="24" hidden="1">
      <c r="A8" s="2459" t="s">
        <v>3121</v>
      </c>
      <c r="B8" s="2441"/>
      <c r="C8" s="2442"/>
      <c r="D8" s="2442"/>
      <c r="E8" s="2443"/>
      <c r="F8" s="2444"/>
      <c r="G8" s="2445"/>
      <c r="H8" s="2445"/>
      <c r="I8" s="2446"/>
      <c r="J8" s="2447"/>
      <c r="K8" s="2448"/>
      <c r="L8" s="2448"/>
      <c r="M8" s="2449"/>
      <c r="N8" s="893" t="str">
        <f t="shared" si="0"/>
        <v>-</v>
      </c>
      <c r="O8" s="895" t="str">
        <f t="shared" si="1"/>
        <v>-</v>
      </c>
      <c r="P8" s="896" t="str">
        <f t="shared" si="2"/>
        <v>-</v>
      </c>
      <c r="Q8" s="897" t="str">
        <f t="shared" si="3"/>
        <v>-</v>
      </c>
      <c r="R8" s="771">
        <f t="shared" si="4"/>
        <v>0</v>
      </c>
      <c r="S8" s="773">
        <f t="shared" si="5"/>
        <v>0</v>
      </c>
      <c r="T8" s="774">
        <f t="shared" si="6"/>
        <v>0</v>
      </c>
      <c r="U8" s="775">
        <f t="shared" si="7"/>
        <v>0</v>
      </c>
      <c r="V8" s="771">
        <f t="shared" si="8"/>
        <v>0</v>
      </c>
      <c r="W8" s="773">
        <f t="shared" si="9"/>
        <v>0</v>
      </c>
      <c r="X8" s="774">
        <f t="shared" si="10"/>
        <v>0</v>
      </c>
      <c r="Y8" s="775">
        <f t="shared" si="11"/>
        <v>0</v>
      </c>
      <c r="AB8" s="48"/>
    </row>
    <row r="9" spans="1:28" ht="24" hidden="1">
      <c r="A9" s="2459" t="s">
        <v>3122</v>
      </c>
      <c r="B9" s="2441"/>
      <c r="C9" s="2442"/>
      <c r="D9" s="2442"/>
      <c r="E9" s="2443"/>
      <c r="F9" s="2444"/>
      <c r="G9" s="2445"/>
      <c r="H9" s="2445"/>
      <c r="I9" s="2446"/>
      <c r="J9" s="2447"/>
      <c r="K9" s="2448"/>
      <c r="L9" s="2448"/>
      <c r="M9" s="2449"/>
      <c r="N9" s="893" t="str">
        <f t="shared" si="0"/>
        <v>-</v>
      </c>
      <c r="O9" s="895" t="str">
        <f t="shared" si="1"/>
        <v>-</v>
      </c>
      <c r="P9" s="896" t="str">
        <f t="shared" si="2"/>
        <v>-</v>
      </c>
      <c r="Q9" s="897" t="str">
        <f t="shared" si="3"/>
        <v>-</v>
      </c>
      <c r="R9" s="771">
        <f t="shared" si="4"/>
        <v>0</v>
      </c>
      <c r="S9" s="773">
        <f t="shared" si="5"/>
        <v>0</v>
      </c>
      <c r="T9" s="774">
        <f t="shared" si="6"/>
        <v>0</v>
      </c>
      <c r="U9" s="775">
        <f t="shared" si="7"/>
        <v>0</v>
      </c>
      <c r="V9" s="771">
        <f t="shared" si="8"/>
        <v>0</v>
      </c>
      <c r="W9" s="773">
        <f t="shared" si="9"/>
        <v>0</v>
      </c>
      <c r="X9" s="774">
        <f t="shared" si="10"/>
        <v>0</v>
      </c>
      <c r="Y9" s="775">
        <f t="shared" si="11"/>
        <v>0</v>
      </c>
      <c r="AB9" s="48"/>
    </row>
    <row r="10" spans="1:28" ht="24" hidden="1">
      <c r="A10" s="2459" t="s">
        <v>3123</v>
      </c>
      <c r="B10" s="2441"/>
      <c r="C10" s="2442"/>
      <c r="D10" s="2442"/>
      <c r="E10" s="2443"/>
      <c r="F10" s="2444"/>
      <c r="G10" s="2445"/>
      <c r="H10" s="2445"/>
      <c r="I10" s="2446"/>
      <c r="J10" s="2447"/>
      <c r="K10" s="2448"/>
      <c r="L10" s="2448"/>
      <c r="M10" s="2449"/>
      <c r="N10" s="893" t="str">
        <f t="shared" si="0"/>
        <v>-</v>
      </c>
      <c r="O10" s="895" t="str">
        <f t="shared" si="1"/>
        <v>-</v>
      </c>
      <c r="P10" s="896" t="str">
        <f t="shared" si="2"/>
        <v>-</v>
      </c>
      <c r="Q10" s="897" t="str">
        <f t="shared" si="3"/>
        <v>-</v>
      </c>
      <c r="R10" s="771">
        <f t="shared" si="4"/>
        <v>0</v>
      </c>
      <c r="S10" s="773">
        <f t="shared" si="5"/>
        <v>0</v>
      </c>
      <c r="T10" s="774">
        <f t="shared" si="6"/>
        <v>0</v>
      </c>
      <c r="U10" s="775">
        <f t="shared" si="7"/>
        <v>0</v>
      </c>
      <c r="V10" s="771">
        <f t="shared" si="8"/>
        <v>0</v>
      </c>
      <c r="W10" s="773">
        <f t="shared" si="9"/>
        <v>0</v>
      </c>
      <c r="X10" s="774">
        <f t="shared" si="10"/>
        <v>0</v>
      </c>
      <c r="Y10" s="775">
        <f t="shared" si="11"/>
        <v>0</v>
      </c>
      <c r="AB10" s="48"/>
    </row>
    <row r="11" spans="1:28" ht="24" hidden="1">
      <c r="A11" s="2459" t="s">
        <v>3124</v>
      </c>
      <c r="B11" s="2441"/>
      <c r="C11" s="2442"/>
      <c r="D11" s="2442"/>
      <c r="E11" s="2443"/>
      <c r="F11" s="2444"/>
      <c r="G11" s="2445"/>
      <c r="H11" s="2445"/>
      <c r="I11" s="2446"/>
      <c r="J11" s="2447"/>
      <c r="K11" s="2448"/>
      <c r="L11" s="2448"/>
      <c r="M11" s="2449"/>
      <c r="N11" s="893" t="str">
        <f t="shared" si="0"/>
        <v>-</v>
      </c>
      <c r="O11" s="895" t="str">
        <f t="shared" si="1"/>
        <v>-</v>
      </c>
      <c r="P11" s="896" t="str">
        <f t="shared" si="2"/>
        <v>-</v>
      </c>
      <c r="Q11" s="897" t="str">
        <f t="shared" si="3"/>
        <v>-</v>
      </c>
      <c r="R11" s="771">
        <f t="shared" si="4"/>
        <v>0</v>
      </c>
      <c r="S11" s="773">
        <f t="shared" si="5"/>
        <v>0</v>
      </c>
      <c r="T11" s="774">
        <f t="shared" si="6"/>
        <v>0</v>
      </c>
      <c r="U11" s="775">
        <f t="shared" si="7"/>
        <v>0</v>
      </c>
      <c r="V11" s="771">
        <f t="shared" si="8"/>
        <v>0</v>
      </c>
      <c r="W11" s="773">
        <f t="shared" si="9"/>
        <v>0</v>
      </c>
      <c r="X11" s="774">
        <f t="shared" si="10"/>
        <v>0</v>
      </c>
      <c r="Y11" s="775">
        <f t="shared" si="11"/>
        <v>0</v>
      </c>
      <c r="AB11" s="48"/>
    </row>
    <row r="12" spans="1:28" ht="24" hidden="1">
      <c r="A12" s="2459" t="s">
        <v>3125</v>
      </c>
      <c r="B12" s="2441"/>
      <c r="C12" s="2442"/>
      <c r="D12" s="2442"/>
      <c r="E12" s="2443"/>
      <c r="F12" s="2444"/>
      <c r="G12" s="2445"/>
      <c r="H12" s="2445"/>
      <c r="I12" s="2446"/>
      <c r="J12" s="2447"/>
      <c r="K12" s="2448"/>
      <c r="L12" s="2448"/>
      <c r="M12" s="2449"/>
      <c r="N12" s="893" t="str">
        <f t="shared" si="0"/>
        <v>-</v>
      </c>
      <c r="O12" s="895" t="str">
        <f t="shared" si="1"/>
        <v>-</v>
      </c>
      <c r="P12" s="896" t="str">
        <f t="shared" si="2"/>
        <v>-</v>
      </c>
      <c r="Q12" s="897" t="str">
        <f t="shared" si="3"/>
        <v>-</v>
      </c>
      <c r="R12" s="771">
        <f t="shared" si="4"/>
        <v>0</v>
      </c>
      <c r="S12" s="773">
        <f t="shared" si="5"/>
        <v>0</v>
      </c>
      <c r="T12" s="774">
        <f t="shared" si="6"/>
        <v>0</v>
      </c>
      <c r="U12" s="775">
        <f t="shared" si="7"/>
        <v>0</v>
      </c>
      <c r="V12" s="771">
        <f t="shared" si="8"/>
        <v>0</v>
      </c>
      <c r="W12" s="774">
        <f t="shared" si="9"/>
        <v>0</v>
      </c>
      <c r="X12" s="774">
        <f t="shared" si="10"/>
        <v>0</v>
      </c>
      <c r="Y12" s="775">
        <f t="shared" si="11"/>
        <v>0</v>
      </c>
      <c r="AB12" s="48"/>
    </row>
    <row r="13" spans="1:28" ht="24" hidden="1">
      <c r="A13" s="2459" t="s">
        <v>3126</v>
      </c>
      <c r="B13" s="2441"/>
      <c r="C13" s="2442"/>
      <c r="D13" s="2442"/>
      <c r="E13" s="2443"/>
      <c r="F13" s="2444"/>
      <c r="G13" s="2445"/>
      <c r="H13" s="2445"/>
      <c r="I13" s="2446"/>
      <c r="J13" s="2447"/>
      <c r="K13" s="2448"/>
      <c r="L13" s="2448"/>
      <c r="M13" s="2449"/>
      <c r="N13" s="893" t="str">
        <f t="shared" si="0"/>
        <v>-</v>
      </c>
      <c r="O13" s="895" t="str">
        <f t="shared" si="1"/>
        <v>-</v>
      </c>
      <c r="P13" s="896" t="str">
        <f t="shared" si="2"/>
        <v>-</v>
      </c>
      <c r="Q13" s="897" t="str">
        <f t="shared" si="3"/>
        <v>-</v>
      </c>
      <c r="R13" s="771">
        <f t="shared" si="4"/>
        <v>0</v>
      </c>
      <c r="S13" s="773">
        <f t="shared" si="5"/>
        <v>0</v>
      </c>
      <c r="T13" s="774">
        <f t="shared" si="6"/>
        <v>0</v>
      </c>
      <c r="U13" s="775">
        <f t="shared" si="7"/>
        <v>0</v>
      </c>
      <c r="V13" s="771">
        <f t="shared" si="8"/>
        <v>0</v>
      </c>
      <c r="W13" s="774">
        <f>K13-C13</f>
        <v>0</v>
      </c>
      <c r="X13" s="774">
        <f t="shared" si="10"/>
        <v>0</v>
      </c>
      <c r="Y13" s="775">
        <f t="shared" si="11"/>
        <v>0</v>
      </c>
      <c r="AB13" s="48"/>
    </row>
    <row r="14" spans="1:28" ht="24.75" hidden="1" thickBot="1">
      <c r="A14" s="2460" t="s">
        <v>3127</v>
      </c>
      <c r="B14" s="2441"/>
      <c r="C14" s="2442"/>
      <c r="D14" s="2442"/>
      <c r="E14" s="2443"/>
      <c r="F14" s="2444"/>
      <c r="G14" s="2445"/>
      <c r="H14" s="2445"/>
      <c r="I14" s="2446"/>
      <c r="J14" s="2447"/>
      <c r="K14" s="2448"/>
      <c r="L14" s="2448"/>
      <c r="M14" s="2449"/>
      <c r="N14" s="893" t="str">
        <f t="shared" si="0"/>
        <v>-</v>
      </c>
      <c r="O14" s="895" t="str">
        <f t="shared" si="1"/>
        <v>-</v>
      </c>
      <c r="P14" s="896" t="str">
        <f t="shared" si="2"/>
        <v>-</v>
      </c>
      <c r="Q14" s="897" t="str">
        <f t="shared" si="3"/>
        <v>-</v>
      </c>
      <c r="R14" s="771">
        <f t="shared" si="4"/>
        <v>0</v>
      </c>
      <c r="S14" s="773">
        <f t="shared" si="5"/>
        <v>0</v>
      </c>
      <c r="T14" s="774">
        <f t="shared" si="6"/>
        <v>0</v>
      </c>
      <c r="U14" s="775">
        <f t="shared" si="7"/>
        <v>0</v>
      </c>
      <c r="V14" s="771">
        <f t="shared" si="8"/>
        <v>0</v>
      </c>
      <c r="W14" s="773">
        <f t="shared" si="9"/>
        <v>0</v>
      </c>
      <c r="X14" s="774">
        <f t="shared" si="10"/>
        <v>0</v>
      </c>
      <c r="Y14" s="775">
        <f t="shared" si="11"/>
        <v>0</v>
      </c>
      <c r="AB14" s="48"/>
    </row>
    <row r="15" spans="1:28" ht="24" hidden="1">
      <c r="A15" s="2461" t="s">
        <v>3128</v>
      </c>
      <c r="B15" s="2441"/>
      <c r="C15" s="2442"/>
      <c r="D15" s="2442"/>
      <c r="E15" s="2443"/>
      <c r="F15" s="2444"/>
      <c r="G15" s="2445"/>
      <c r="H15" s="2445"/>
      <c r="I15" s="2446"/>
      <c r="J15" s="2447"/>
      <c r="K15" s="2448"/>
      <c r="L15" s="2448"/>
      <c r="M15" s="2449"/>
      <c r="N15" s="893" t="str">
        <f t="shared" si="0"/>
        <v>-</v>
      </c>
      <c r="O15" s="895" t="str">
        <f t="shared" si="1"/>
        <v>-</v>
      </c>
      <c r="P15" s="896" t="str">
        <f t="shared" si="2"/>
        <v>-</v>
      </c>
      <c r="Q15" s="897" t="str">
        <f t="shared" si="3"/>
        <v>-</v>
      </c>
      <c r="R15" s="771">
        <f t="shared" si="4"/>
        <v>0</v>
      </c>
      <c r="S15" s="773">
        <f t="shared" si="5"/>
        <v>0</v>
      </c>
      <c r="T15" s="774">
        <f t="shared" si="6"/>
        <v>0</v>
      </c>
      <c r="U15" s="775">
        <f t="shared" si="7"/>
        <v>0</v>
      </c>
      <c r="V15" s="771">
        <f t="shared" si="8"/>
        <v>0</v>
      </c>
      <c r="W15" s="773">
        <f t="shared" si="9"/>
        <v>0</v>
      </c>
      <c r="X15" s="774">
        <f t="shared" si="10"/>
        <v>0</v>
      </c>
      <c r="Y15" s="775">
        <f t="shared" si="11"/>
        <v>0</v>
      </c>
      <c r="AB15" s="48"/>
    </row>
    <row r="16" spans="1:28" ht="24" hidden="1">
      <c r="A16" s="2462" t="s">
        <v>3129</v>
      </c>
      <c r="B16" s="2441"/>
      <c r="C16" s="2442"/>
      <c r="D16" s="2442"/>
      <c r="E16" s="2443"/>
      <c r="F16" s="2444"/>
      <c r="G16" s="2445"/>
      <c r="H16" s="2445"/>
      <c r="I16" s="2446"/>
      <c r="J16" s="2447"/>
      <c r="K16" s="2448"/>
      <c r="L16" s="2448"/>
      <c r="M16" s="2449"/>
      <c r="N16" s="893" t="str">
        <f t="shared" si="0"/>
        <v>-</v>
      </c>
      <c r="O16" s="895" t="str">
        <f t="shared" si="1"/>
        <v>-</v>
      </c>
      <c r="P16" s="896" t="str">
        <f t="shared" si="2"/>
        <v>-</v>
      </c>
      <c r="Q16" s="897" t="str">
        <f t="shared" si="3"/>
        <v>-</v>
      </c>
      <c r="R16" s="771">
        <f t="shared" si="4"/>
        <v>0</v>
      </c>
      <c r="S16" s="773">
        <f t="shared" si="5"/>
        <v>0</v>
      </c>
      <c r="T16" s="774">
        <f t="shared" si="6"/>
        <v>0</v>
      </c>
      <c r="U16" s="775">
        <f t="shared" si="7"/>
        <v>0</v>
      </c>
      <c r="V16" s="771">
        <f t="shared" si="8"/>
        <v>0</v>
      </c>
      <c r="W16" s="774">
        <f t="shared" si="9"/>
        <v>0</v>
      </c>
      <c r="X16" s="774">
        <f t="shared" si="10"/>
        <v>0</v>
      </c>
      <c r="Y16" s="775">
        <f t="shared" si="11"/>
        <v>0</v>
      </c>
      <c r="AB16" s="48"/>
    </row>
    <row r="17" spans="1:28" ht="24" hidden="1">
      <c r="A17" s="2462" t="s">
        <v>3130</v>
      </c>
      <c r="B17" s="2441"/>
      <c r="C17" s="2442"/>
      <c r="D17" s="2442"/>
      <c r="E17" s="2443"/>
      <c r="F17" s="2444"/>
      <c r="G17" s="2445"/>
      <c r="H17" s="2445"/>
      <c r="I17" s="2446"/>
      <c r="J17" s="2447"/>
      <c r="K17" s="2448"/>
      <c r="L17" s="2448"/>
      <c r="M17" s="2449"/>
      <c r="N17" s="893" t="str">
        <f t="shared" si="0"/>
        <v>-</v>
      </c>
      <c r="O17" s="895" t="str">
        <f t="shared" si="1"/>
        <v>-</v>
      </c>
      <c r="P17" s="896" t="str">
        <f t="shared" si="2"/>
        <v>-</v>
      </c>
      <c r="Q17" s="897" t="str">
        <f t="shared" si="3"/>
        <v>-</v>
      </c>
      <c r="R17" s="771">
        <f t="shared" si="4"/>
        <v>0</v>
      </c>
      <c r="S17" s="773">
        <f t="shared" si="5"/>
        <v>0</v>
      </c>
      <c r="T17" s="774">
        <f t="shared" si="6"/>
        <v>0</v>
      </c>
      <c r="U17" s="775">
        <f t="shared" si="7"/>
        <v>0</v>
      </c>
      <c r="V17" s="771">
        <f t="shared" si="8"/>
        <v>0</v>
      </c>
      <c r="W17" s="773">
        <f t="shared" si="9"/>
        <v>0</v>
      </c>
      <c r="X17" s="774">
        <f t="shared" si="10"/>
        <v>0</v>
      </c>
      <c r="Y17" s="775">
        <f t="shared" si="11"/>
        <v>0</v>
      </c>
      <c r="AB17" s="48"/>
    </row>
    <row r="18" spans="1:28" ht="24" hidden="1">
      <c r="A18" s="2462" t="s">
        <v>3131</v>
      </c>
      <c r="B18" s="2441"/>
      <c r="C18" s="2442"/>
      <c r="D18" s="2442"/>
      <c r="E18" s="2443"/>
      <c r="F18" s="2444"/>
      <c r="G18" s="2445"/>
      <c r="H18" s="2445"/>
      <c r="I18" s="2446"/>
      <c r="J18" s="2447"/>
      <c r="K18" s="2448"/>
      <c r="L18" s="2448"/>
      <c r="M18" s="2449"/>
      <c r="N18" s="893" t="str">
        <f t="shared" si="0"/>
        <v>-</v>
      </c>
      <c r="O18" s="895" t="str">
        <f t="shared" si="1"/>
        <v>-</v>
      </c>
      <c r="P18" s="896" t="str">
        <f t="shared" si="2"/>
        <v>-</v>
      </c>
      <c r="Q18" s="897" t="str">
        <f t="shared" si="3"/>
        <v>-</v>
      </c>
      <c r="R18" s="771">
        <f t="shared" si="4"/>
        <v>0</v>
      </c>
      <c r="S18" s="773">
        <f t="shared" si="5"/>
        <v>0</v>
      </c>
      <c r="T18" s="774">
        <f t="shared" si="6"/>
        <v>0</v>
      </c>
      <c r="U18" s="775">
        <f t="shared" si="7"/>
        <v>0</v>
      </c>
      <c r="V18" s="771">
        <f t="shared" si="8"/>
        <v>0</v>
      </c>
      <c r="W18" s="773">
        <f t="shared" si="9"/>
        <v>0</v>
      </c>
      <c r="X18" s="774">
        <f t="shared" si="10"/>
        <v>0</v>
      </c>
      <c r="Y18" s="775">
        <f t="shared" si="11"/>
        <v>0</v>
      </c>
      <c r="AB18" s="48"/>
    </row>
    <row r="19" spans="1:28" ht="24" hidden="1">
      <c r="A19" s="2462" t="s">
        <v>3132</v>
      </c>
      <c r="B19" s="2441"/>
      <c r="C19" s="2442"/>
      <c r="D19" s="2442"/>
      <c r="E19" s="2443"/>
      <c r="F19" s="2444"/>
      <c r="G19" s="2445"/>
      <c r="H19" s="2445"/>
      <c r="I19" s="2446"/>
      <c r="J19" s="2447"/>
      <c r="K19" s="2448"/>
      <c r="L19" s="2448"/>
      <c r="M19" s="2449"/>
      <c r="N19" s="893" t="str">
        <f t="shared" si="0"/>
        <v>-</v>
      </c>
      <c r="O19" s="895" t="str">
        <f t="shared" si="1"/>
        <v>-</v>
      </c>
      <c r="P19" s="896" t="str">
        <f t="shared" si="2"/>
        <v>-</v>
      </c>
      <c r="Q19" s="897" t="str">
        <f t="shared" si="3"/>
        <v>-</v>
      </c>
      <c r="R19" s="771">
        <f t="shared" si="4"/>
        <v>0</v>
      </c>
      <c r="S19" s="773">
        <f t="shared" si="5"/>
        <v>0</v>
      </c>
      <c r="T19" s="774">
        <f t="shared" si="6"/>
        <v>0</v>
      </c>
      <c r="U19" s="775">
        <f t="shared" si="7"/>
        <v>0</v>
      </c>
      <c r="V19" s="771">
        <f t="shared" si="8"/>
        <v>0</v>
      </c>
      <c r="W19" s="774">
        <f t="shared" si="9"/>
        <v>0</v>
      </c>
      <c r="X19" s="774">
        <f t="shared" si="10"/>
        <v>0</v>
      </c>
      <c r="Y19" s="775">
        <f t="shared" si="11"/>
        <v>0</v>
      </c>
      <c r="AB19" s="48"/>
    </row>
    <row r="20" spans="1:28" ht="24" hidden="1">
      <c r="A20" s="2462" t="s">
        <v>3133</v>
      </c>
      <c r="B20" s="2441"/>
      <c r="C20" s="2442"/>
      <c r="D20" s="2442"/>
      <c r="E20" s="2443"/>
      <c r="F20" s="2444"/>
      <c r="G20" s="2445"/>
      <c r="H20" s="2445"/>
      <c r="I20" s="2446"/>
      <c r="J20" s="2447"/>
      <c r="K20" s="2448"/>
      <c r="L20" s="2448"/>
      <c r="M20" s="2449"/>
      <c r="N20" s="893" t="str">
        <f t="shared" si="0"/>
        <v>-</v>
      </c>
      <c r="O20" s="895" t="str">
        <f t="shared" si="1"/>
        <v>-</v>
      </c>
      <c r="P20" s="896" t="str">
        <f t="shared" si="2"/>
        <v>-</v>
      </c>
      <c r="Q20" s="897" t="str">
        <f t="shared" si="3"/>
        <v>-</v>
      </c>
      <c r="R20" s="771">
        <f t="shared" si="4"/>
        <v>0</v>
      </c>
      <c r="S20" s="773">
        <f t="shared" si="5"/>
        <v>0</v>
      </c>
      <c r="T20" s="774">
        <f t="shared" si="6"/>
        <v>0</v>
      </c>
      <c r="U20" s="775">
        <f t="shared" si="7"/>
        <v>0</v>
      </c>
      <c r="V20" s="771">
        <f t="shared" si="8"/>
        <v>0</v>
      </c>
      <c r="W20" s="774">
        <f t="shared" si="9"/>
        <v>0</v>
      </c>
      <c r="X20" s="774">
        <f t="shared" si="10"/>
        <v>0</v>
      </c>
      <c r="Y20" s="775">
        <f t="shared" si="11"/>
        <v>0</v>
      </c>
      <c r="AB20" s="48"/>
    </row>
    <row r="21" spans="1:28" ht="24" hidden="1">
      <c r="A21" s="2462" t="s">
        <v>3134</v>
      </c>
      <c r="B21" s="2441"/>
      <c r="C21" s="2442"/>
      <c r="D21" s="2442"/>
      <c r="E21" s="2443"/>
      <c r="F21" s="2444"/>
      <c r="G21" s="2445"/>
      <c r="H21" s="2445"/>
      <c r="I21" s="2446"/>
      <c r="J21" s="2447"/>
      <c r="K21" s="2448"/>
      <c r="L21" s="2448"/>
      <c r="M21" s="2449"/>
      <c r="N21" s="893" t="str">
        <f t="shared" si="0"/>
        <v>-</v>
      </c>
      <c r="O21" s="895" t="str">
        <f t="shared" si="1"/>
        <v>-</v>
      </c>
      <c r="P21" s="896" t="str">
        <f t="shared" si="2"/>
        <v>-</v>
      </c>
      <c r="Q21" s="897" t="str">
        <f t="shared" si="3"/>
        <v>-</v>
      </c>
      <c r="R21" s="771">
        <f t="shared" si="4"/>
        <v>0</v>
      </c>
      <c r="S21" s="773">
        <f t="shared" si="5"/>
        <v>0</v>
      </c>
      <c r="T21" s="774">
        <f t="shared" si="6"/>
        <v>0</v>
      </c>
      <c r="U21" s="775">
        <f t="shared" si="7"/>
        <v>0</v>
      </c>
      <c r="V21" s="771">
        <f t="shared" si="8"/>
        <v>0</v>
      </c>
      <c r="W21" s="773">
        <f t="shared" si="9"/>
        <v>0</v>
      </c>
      <c r="X21" s="774">
        <f t="shared" si="10"/>
        <v>0</v>
      </c>
      <c r="Y21" s="775">
        <f t="shared" si="11"/>
        <v>0</v>
      </c>
      <c r="AB21" s="48"/>
    </row>
    <row r="22" spans="1:28" ht="24" hidden="1">
      <c r="A22" s="2462" t="s">
        <v>3135</v>
      </c>
      <c r="B22" s="2441"/>
      <c r="C22" s="2442"/>
      <c r="D22" s="2442"/>
      <c r="E22" s="2443"/>
      <c r="F22" s="2444"/>
      <c r="G22" s="2445"/>
      <c r="H22" s="2445"/>
      <c r="I22" s="2446"/>
      <c r="J22" s="2447"/>
      <c r="K22" s="2448"/>
      <c r="L22" s="2448"/>
      <c r="M22" s="2449"/>
      <c r="N22" s="893" t="str">
        <f t="shared" si="0"/>
        <v>-</v>
      </c>
      <c r="O22" s="895" t="str">
        <f t="shared" si="1"/>
        <v>-</v>
      </c>
      <c r="P22" s="896" t="str">
        <f t="shared" si="2"/>
        <v>-</v>
      </c>
      <c r="Q22" s="897" t="str">
        <f t="shared" si="3"/>
        <v>-</v>
      </c>
      <c r="R22" s="771">
        <f t="shared" si="4"/>
        <v>0</v>
      </c>
      <c r="S22" s="773">
        <f t="shared" si="5"/>
        <v>0</v>
      </c>
      <c r="T22" s="774">
        <f t="shared" si="6"/>
        <v>0</v>
      </c>
      <c r="U22" s="775">
        <f t="shared" si="7"/>
        <v>0</v>
      </c>
      <c r="V22" s="771">
        <f t="shared" si="8"/>
        <v>0</v>
      </c>
      <c r="W22" s="774">
        <f t="shared" si="9"/>
        <v>0</v>
      </c>
      <c r="X22" s="774">
        <f t="shared" si="10"/>
        <v>0</v>
      </c>
      <c r="Y22" s="775">
        <f t="shared" si="11"/>
        <v>0</v>
      </c>
      <c r="AB22" s="48"/>
    </row>
    <row r="23" spans="1:28" ht="24" hidden="1">
      <c r="A23" s="2462" t="s">
        <v>3136</v>
      </c>
      <c r="B23" s="2441"/>
      <c r="C23" s="2442"/>
      <c r="D23" s="2442"/>
      <c r="E23" s="2443"/>
      <c r="F23" s="2444"/>
      <c r="G23" s="2445"/>
      <c r="H23" s="2445"/>
      <c r="I23" s="2446"/>
      <c r="J23" s="2447"/>
      <c r="K23" s="2448"/>
      <c r="L23" s="2448"/>
      <c r="M23" s="2449"/>
      <c r="N23" s="893" t="str">
        <f t="shared" si="0"/>
        <v>-</v>
      </c>
      <c r="O23" s="895" t="str">
        <f t="shared" si="1"/>
        <v>-</v>
      </c>
      <c r="P23" s="896" t="str">
        <f t="shared" si="2"/>
        <v>-</v>
      </c>
      <c r="Q23" s="897" t="str">
        <f t="shared" si="3"/>
        <v>-</v>
      </c>
      <c r="R23" s="771">
        <f t="shared" si="4"/>
        <v>0</v>
      </c>
      <c r="S23" s="773">
        <f t="shared" si="5"/>
        <v>0</v>
      </c>
      <c r="T23" s="774">
        <f t="shared" si="6"/>
        <v>0</v>
      </c>
      <c r="U23" s="775">
        <f t="shared" si="7"/>
        <v>0</v>
      </c>
      <c r="V23" s="771">
        <f t="shared" si="8"/>
        <v>0</v>
      </c>
      <c r="W23" s="774">
        <f t="shared" si="9"/>
        <v>0</v>
      </c>
      <c r="X23" s="774">
        <f t="shared" si="10"/>
        <v>0</v>
      </c>
      <c r="Y23" s="775">
        <f t="shared" si="11"/>
        <v>0</v>
      </c>
      <c r="AB23" s="48"/>
    </row>
    <row r="24" spans="1:28" ht="24" hidden="1">
      <c r="A24" s="2462" t="s">
        <v>3137</v>
      </c>
      <c r="B24" s="2441"/>
      <c r="C24" s="2442"/>
      <c r="D24" s="2442"/>
      <c r="E24" s="2443"/>
      <c r="F24" s="2444"/>
      <c r="G24" s="2445"/>
      <c r="H24" s="2445"/>
      <c r="I24" s="2446"/>
      <c r="J24" s="2447"/>
      <c r="K24" s="2448"/>
      <c r="L24" s="2448"/>
      <c r="M24" s="2449"/>
      <c r="N24" s="893" t="str">
        <f t="shared" si="0"/>
        <v>-</v>
      </c>
      <c r="O24" s="895" t="str">
        <f t="shared" si="1"/>
        <v>-</v>
      </c>
      <c r="P24" s="896" t="str">
        <f t="shared" si="2"/>
        <v>-</v>
      </c>
      <c r="Q24" s="897" t="str">
        <f t="shared" si="3"/>
        <v>-</v>
      </c>
      <c r="R24" s="771">
        <f t="shared" si="4"/>
        <v>0</v>
      </c>
      <c r="S24" s="773">
        <f t="shared" si="5"/>
        <v>0</v>
      </c>
      <c r="T24" s="774">
        <f t="shared" si="6"/>
        <v>0</v>
      </c>
      <c r="U24" s="775">
        <f t="shared" si="7"/>
        <v>0</v>
      </c>
      <c r="V24" s="771">
        <f t="shared" si="8"/>
        <v>0</v>
      </c>
      <c r="W24" s="774">
        <f t="shared" si="9"/>
        <v>0</v>
      </c>
      <c r="X24" s="774">
        <f t="shared" si="10"/>
        <v>0</v>
      </c>
      <c r="Y24" s="775">
        <f t="shared" si="11"/>
        <v>0</v>
      </c>
      <c r="AB24" s="48"/>
    </row>
    <row r="25" spans="1:28" s="121" customFormat="1" ht="24" hidden="1">
      <c r="A25" s="2462" t="s">
        <v>3138</v>
      </c>
      <c r="B25" s="2441"/>
      <c r="C25" s="2442"/>
      <c r="D25" s="2442"/>
      <c r="E25" s="2443"/>
      <c r="F25" s="2444"/>
      <c r="G25" s="2445"/>
      <c r="H25" s="2445"/>
      <c r="I25" s="2446"/>
      <c r="J25" s="2447"/>
      <c r="K25" s="2448"/>
      <c r="L25" s="2448"/>
      <c r="M25" s="2449"/>
      <c r="N25" s="893" t="str">
        <f t="shared" si="0"/>
        <v>-</v>
      </c>
      <c r="O25" s="895" t="str">
        <f t="shared" si="1"/>
        <v>-</v>
      </c>
      <c r="P25" s="896" t="str">
        <f t="shared" si="2"/>
        <v>-</v>
      </c>
      <c r="Q25" s="897" t="str">
        <f t="shared" si="3"/>
        <v>-</v>
      </c>
      <c r="R25" s="771">
        <f t="shared" si="4"/>
        <v>0</v>
      </c>
      <c r="S25" s="773">
        <f t="shared" si="5"/>
        <v>0</v>
      </c>
      <c r="T25" s="774">
        <f t="shared" si="6"/>
        <v>0</v>
      </c>
      <c r="U25" s="775">
        <f t="shared" si="7"/>
        <v>0</v>
      </c>
      <c r="V25" s="771">
        <f t="shared" si="8"/>
        <v>0</v>
      </c>
      <c r="W25" s="774">
        <f t="shared" si="9"/>
        <v>0</v>
      </c>
      <c r="X25" s="774">
        <f t="shared" si="10"/>
        <v>0</v>
      </c>
      <c r="Y25" s="775">
        <f t="shared" si="11"/>
        <v>0</v>
      </c>
      <c r="AB25" s="48"/>
    </row>
    <row r="26" spans="1:28" s="121" customFormat="1" ht="24" hidden="1">
      <c r="A26" s="2462" t="s">
        <v>3139</v>
      </c>
      <c r="B26" s="2441"/>
      <c r="C26" s="2442"/>
      <c r="D26" s="2442"/>
      <c r="E26" s="2443"/>
      <c r="F26" s="2444"/>
      <c r="G26" s="2445"/>
      <c r="H26" s="2445"/>
      <c r="I26" s="2446"/>
      <c r="J26" s="2447"/>
      <c r="K26" s="2448"/>
      <c r="L26" s="2448"/>
      <c r="M26" s="2449"/>
      <c r="N26" s="893" t="str">
        <f t="shared" si="0"/>
        <v>-</v>
      </c>
      <c r="O26" s="895" t="str">
        <f t="shared" si="1"/>
        <v>-</v>
      </c>
      <c r="P26" s="896" t="str">
        <f t="shared" si="2"/>
        <v>-</v>
      </c>
      <c r="Q26" s="897" t="str">
        <f t="shared" si="3"/>
        <v>-</v>
      </c>
      <c r="R26" s="771">
        <f t="shared" si="4"/>
        <v>0</v>
      </c>
      <c r="S26" s="773">
        <f t="shared" si="5"/>
        <v>0</v>
      </c>
      <c r="T26" s="774">
        <f t="shared" si="6"/>
        <v>0</v>
      </c>
      <c r="U26" s="775">
        <f t="shared" si="7"/>
        <v>0</v>
      </c>
      <c r="V26" s="771">
        <f t="shared" si="8"/>
        <v>0</v>
      </c>
      <c r="W26" s="774">
        <f t="shared" si="9"/>
        <v>0</v>
      </c>
      <c r="X26" s="774">
        <f t="shared" si="10"/>
        <v>0</v>
      </c>
      <c r="Y26" s="775">
        <f t="shared" si="11"/>
        <v>0</v>
      </c>
      <c r="AB26" s="48"/>
    </row>
    <row r="27" spans="1:28" s="121" customFormat="1" ht="24" hidden="1">
      <c r="A27" s="2462" t="s">
        <v>3140</v>
      </c>
      <c r="B27" s="2441"/>
      <c r="C27" s="2442"/>
      <c r="D27" s="2442"/>
      <c r="E27" s="2443"/>
      <c r="F27" s="2444"/>
      <c r="G27" s="2445"/>
      <c r="H27" s="2445"/>
      <c r="I27" s="2446"/>
      <c r="J27" s="2447"/>
      <c r="K27" s="2448"/>
      <c r="L27" s="2448"/>
      <c r="M27" s="2449"/>
      <c r="N27" s="893" t="str">
        <f t="shared" si="0"/>
        <v>-</v>
      </c>
      <c r="O27" s="895" t="str">
        <f t="shared" si="1"/>
        <v>-</v>
      </c>
      <c r="P27" s="896" t="str">
        <f t="shared" si="2"/>
        <v>-</v>
      </c>
      <c r="Q27" s="897" t="str">
        <f t="shared" si="3"/>
        <v>-</v>
      </c>
      <c r="R27" s="771">
        <f t="shared" si="4"/>
        <v>0</v>
      </c>
      <c r="S27" s="773">
        <f t="shared" si="5"/>
        <v>0</v>
      </c>
      <c r="T27" s="774">
        <f t="shared" si="6"/>
        <v>0</v>
      </c>
      <c r="U27" s="775">
        <f t="shared" si="7"/>
        <v>0</v>
      </c>
      <c r="V27" s="771">
        <f t="shared" si="8"/>
        <v>0</v>
      </c>
      <c r="W27" s="774">
        <f t="shared" si="9"/>
        <v>0</v>
      </c>
      <c r="X27" s="774">
        <f t="shared" si="10"/>
        <v>0</v>
      </c>
      <c r="Y27" s="775">
        <f t="shared" si="11"/>
        <v>0</v>
      </c>
      <c r="AB27" s="48"/>
    </row>
    <row r="28" spans="1:28" s="121" customFormat="1" ht="24" hidden="1">
      <c r="A28" s="2462" t="s">
        <v>3141</v>
      </c>
      <c r="B28" s="2441"/>
      <c r="C28" s="2442"/>
      <c r="D28" s="2442"/>
      <c r="E28" s="2443"/>
      <c r="F28" s="2444"/>
      <c r="G28" s="2445"/>
      <c r="H28" s="2445"/>
      <c r="I28" s="2446"/>
      <c r="J28" s="2447"/>
      <c r="K28" s="2448"/>
      <c r="L28" s="2448"/>
      <c r="M28" s="2449"/>
      <c r="N28" s="893" t="str">
        <f t="shared" si="0"/>
        <v>-</v>
      </c>
      <c r="O28" s="895" t="str">
        <f t="shared" si="1"/>
        <v>-</v>
      </c>
      <c r="P28" s="896" t="str">
        <f t="shared" si="2"/>
        <v>-</v>
      </c>
      <c r="Q28" s="897" t="str">
        <f t="shared" si="3"/>
        <v>-</v>
      </c>
      <c r="R28" s="771">
        <f t="shared" si="4"/>
        <v>0</v>
      </c>
      <c r="S28" s="773">
        <f t="shared" si="5"/>
        <v>0</v>
      </c>
      <c r="T28" s="774">
        <f t="shared" si="6"/>
        <v>0</v>
      </c>
      <c r="U28" s="775">
        <f t="shared" si="7"/>
        <v>0</v>
      </c>
      <c r="V28" s="771">
        <f t="shared" si="8"/>
        <v>0</v>
      </c>
      <c r="W28" s="774">
        <f t="shared" si="9"/>
        <v>0</v>
      </c>
      <c r="X28" s="774">
        <f t="shared" si="10"/>
        <v>0</v>
      </c>
      <c r="Y28" s="775">
        <f t="shared" si="11"/>
        <v>0</v>
      </c>
      <c r="AB28" s="48"/>
    </row>
    <row r="29" spans="1:28" s="121" customFormat="1" ht="24" hidden="1">
      <c r="A29" s="2462" t="s">
        <v>3142</v>
      </c>
      <c r="B29" s="2441"/>
      <c r="C29" s="2442"/>
      <c r="D29" s="2442"/>
      <c r="E29" s="2443"/>
      <c r="F29" s="2444"/>
      <c r="G29" s="2445"/>
      <c r="H29" s="2445"/>
      <c r="I29" s="2446"/>
      <c r="J29" s="2447"/>
      <c r="K29" s="2448"/>
      <c r="L29" s="2448"/>
      <c r="M29" s="2449"/>
      <c r="N29" s="893" t="str">
        <f t="shared" si="0"/>
        <v>-</v>
      </c>
      <c r="O29" s="895" t="str">
        <f t="shared" si="1"/>
        <v>-</v>
      </c>
      <c r="P29" s="896" t="str">
        <f t="shared" si="2"/>
        <v>-</v>
      </c>
      <c r="Q29" s="897" t="str">
        <f t="shared" si="3"/>
        <v>-</v>
      </c>
      <c r="R29" s="771">
        <f t="shared" si="4"/>
        <v>0</v>
      </c>
      <c r="S29" s="773">
        <f t="shared" si="5"/>
        <v>0</v>
      </c>
      <c r="T29" s="774">
        <f t="shared" si="6"/>
        <v>0</v>
      </c>
      <c r="U29" s="775">
        <f t="shared" si="7"/>
        <v>0</v>
      </c>
      <c r="V29" s="771">
        <f t="shared" si="8"/>
        <v>0</v>
      </c>
      <c r="W29" s="773">
        <f t="shared" si="9"/>
        <v>0</v>
      </c>
      <c r="X29" s="774">
        <f t="shared" si="10"/>
        <v>0</v>
      </c>
      <c r="Y29" s="775">
        <f t="shared" si="11"/>
        <v>0</v>
      </c>
      <c r="AB29" s="48"/>
    </row>
    <row r="30" spans="1:28" s="121" customFormat="1" ht="24" hidden="1">
      <c r="A30" s="2462" t="s">
        <v>3143</v>
      </c>
      <c r="B30" s="2441"/>
      <c r="C30" s="2442"/>
      <c r="D30" s="2442"/>
      <c r="E30" s="2443"/>
      <c r="F30" s="2444"/>
      <c r="G30" s="2445"/>
      <c r="H30" s="2445"/>
      <c r="I30" s="2446"/>
      <c r="J30" s="2447"/>
      <c r="K30" s="2448"/>
      <c r="L30" s="2448"/>
      <c r="M30" s="2449"/>
      <c r="N30" s="896" t="str">
        <f t="shared" si="0"/>
        <v>-</v>
      </c>
      <c r="O30" s="896" t="str">
        <f t="shared" si="1"/>
        <v>-</v>
      </c>
      <c r="P30" s="896" t="str">
        <f t="shared" si="2"/>
        <v>-</v>
      </c>
      <c r="Q30" s="897" t="str">
        <f t="shared" si="3"/>
        <v>-</v>
      </c>
      <c r="R30" s="774">
        <f t="shared" si="4"/>
        <v>0</v>
      </c>
      <c r="S30" s="774">
        <f t="shared" si="5"/>
        <v>0</v>
      </c>
      <c r="T30" s="774">
        <f t="shared" si="6"/>
        <v>0</v>
      </c>
      <c r="U30" s="775">
        <f t="shared" si="7"/>
        <v>0</v>
      </c>
      <c r="V30" s="774">
        <f t="shared" si="8"/>
        <v>0</v>
      </c>
      <c r="W30" s="774">
        <f t="shared" si="9"/>
        <v>0</v>
      </c>
      <c r="X30" s="774">
        <f t="shared" si="10"/>
        <v>0</v>
      </c>
      <c r="Y30" s="775">
        <f t="shared" si="11"/>
        <v>0</v>
      </c>
      <c r="AB30" s="48"/>
    </row>
    <row r="31" spans="1:28" s="121" customFormat="1" ht="24" hidden="1">
      <c r="A31" s="2462" t="s">
        <v>3144</v>
      </c>
      <c r="B31" s="2441"/>
      <c r="C31" s="2442"/>
      <c r="D31" s="2442"/>
      <c r="E31" s="2443"/>
      <c r="F31" s="2444"/>
      <c r="G31" s="2445"/>
      <c r="H31" s="2445"/>
      <c r="I31" s="2446"/>
      <c r="J31" s="2447"/>
      <c r="K31" s="2448"/>
      <c r="L31" s="2448"/>
      <c r="M31" s="2449"/>
      <c r="N31" s="896" t="str">
        <f t="shared" si="0"/>
        <v>-</v>
      </c>
      <c r="O31" s="896" t="str">
        <f t="shared" si="1"/>
        <v>-</v>
      </c>
      <c r="P31" s="896" t="str">
        <f t="shared" si="2"/>
        <v>-</v>
      </c>
      <c r="Q31" s="897" t="str">
        <f t="shared" si="3"/>
        <v>-</v>
      </c>
      <c r="R31" s="774">
        <f t="shared" si="4"/>
        <v>0</v>
      </c>
      <c r="S31" s="774">
        <f t="shared" si="5"/>
        <v>0</v>
      </c>
      <c r="T31" s="774">
        <f t="shared" si="6"/>
        <v>0</v>
      </c>
      <c r="U31" s="775">
        <f t="shared" si="7"/>
        <v>0</v>
      </c>
      <c r="V31" s="774">
        <f t="shared" si="8"/>
        <v>0</v>
      </c>
      <c r="W31" s="774">
        <f t="shared" si="9"/>
        <v>0</v>
      </c>
      <c r="X31" s="774">
        <f t="shared" si="10"/>
        <v>0</v>
      </c>
      <c r="Y31" s="775">
        <f t="shared" si="11"/>
        <v>0</v>
      </c>
      <c r="AB31" s="48"/>
    </row>
    <row r="32" spans="1:28" s="121" customFormat="1" ht="24.75" hidden="1" thickBot="1">
      <c r="A32" s="2463" t="s">
        <v>3145</v>
      </c>
      <c r="B32" s="2441"/>
      <c r="C32" s="2442"/>
      <c r="D32" s="2442"/>
      <c r="E32" s="2443"/>
      <c r="F32" s="2444"/>
      <c r="G32" s="2445"/>
      <c r="H32" s="2445"/>
      <c r="I32" s="2446"/>
      <c r="J32" s="2447"/>
      <c r="K32" s="2448"/>
      <c r="L32" s="2448"/>
      <c r="M32" s="2449"/>
      <c r="N32" s="896" t="str">
        <f t="shared" si="0"/>
        <v>-</v>
      </c>
      <c r="O32" s="896" t="str">
        <f t="shared" si="1"/>
        <v>-</v>
      </c>
      <c r="P32" s="896" t="str">
        <f t="shared" si="2"/>
        <v>-</v>
      </c>
      <c r="Q32" s="897" t="str">
        <f t="shared" si="3"/>
        <v>-</v>
      </c>
      <c r="R32" s="774">
        <f t="shared" si="4"/>
        <v>0</v>
      </c>
      <c r="S32" s="774">
        <f t="shared" si="5"/>
        <v>0</v>
      </c>
      <c r="T32" s="774">
        <f t="shared" si="6"/>
        <v>0</v>
      </c>
      <c r="U32" s="775">
        <f t="shared" si="7"/>
        <v>0</v>
      </c>
      <c r="V32" s="774">
        <f t="shared" si="8"/>
        <v>0</v>
      </c>
      <c r="W32" s="774">
        <f t="shared" si="9"/>
        <v>0</v>
      </c>
      <c r="X32" s="774">
        <f t="shared" si="10"/>
        <v>0</v>
      </c>
      <c r="Y32" s="775">
        <f t="shared" si="11"/>
        <v>0</v>
      </c>
      <c r="AB32" s="48"/>
    </row>
    <row r="33" spans="1:28" s="121" customFormat="1" ht="24" hidden="1">
      <c r="A33" s="2464" t="s">
        <v>3146</v>
      </c>
      <c r="B33" s="2441"/>
      <c r="C33" s="2442"/>
      <c r="D33" s="2442"/>
      <c r="E33" s="2443"/>
      <c r="F33" s="2444"/>
      <c r="G33" s="2445"/>
      <c r="H33" s="2445"/>
      <c r="I33" s="2446"/>
      <c r="J33" s="2447"/>
      <c r="K33" s="2448"/>
      <c r="L33" s="2448"/>
      <c r="M33" s="2449"/>
      <c r="N33" s="896" t="str">
        <f t="shared" si="0"/>
        <v>-</v>
      </c>
      <c r="O33" s="896" t="str">
        <f t="shared" si="1"/>
        <v>-</v>
      </c>
      <c r="P33" s="896" t="str">
        <f t="shared" si="2"/>
        <v>-</v>
      </c>
      <c r="Q33" s="897" t="str">
        <f t="shared" si="3"/>
        <v>-</v>
      </c>
      <c r="R33" s="774">
        <f t="shared" si="4"/>
        <v>0</v>
      </c>
      <c r="S33" s="774">
        <f t="shared" si="5"/>
        <v>0</v>
      </c>
      <c r="T33" s="774">
        <f t="shared" si="6"/>
        <v>0</v>
      </c>
      <c r="U33" s="775">
        <f t="shared" si="7"/>
        <v>0</v>
      </c>
      <c r="V33" s="774">
        <f t="shared" si="8"/>
        <v>0</v>
      </c>
      <c r="W33" s="774">
        <f t="shared" si="9"/>
        <v>0</v>
      </c>
      <c r="X33" s="774">
        <f t="shared" si="10"/>
        <v>0</v>
      </c>
      <c r="Y33" s="775">
        <f t="shared" si="11"/>
        <v>0</v>
      </c>
      <c r="AB33" s="48"/>
    </row>
    <row r="34" spans="1:28" s="121" customFormat="1" ht="24" hidden="1">
      <c r="A34" s="2465" t="s">
        <v>3147</v>
      </c>
      <c r="B34" s="2441"/>
      <c r="C34" s="2442"/>
      <c r="D34" s="2442"/>
      <c r="E34" s="2443"/>
      <c r="F34" s="2444"/>
      <c r="G34" s="2445"/>
      <c r="H34" s="2445"/>
      <c r="I34" s="2446"/>
      <c r="J34" s="2447"/>
      <c r="K34" s="2448"/>
      <c r="L34" s="2448"/>
      <c r="M34" s="2449"/>
      <c r="N34" s="896" t="str">
        <f t="shared" si="0"/>
        <v>-</v>
      </c>
      <c r="O34" s="896" t="str">
        <f t="shared" si="1"/>
        <v>-</v>
      </c>
      <c r="P34" s="896" t="str">
        <f t="shared" si="2"/>
        <v>-</v>
      </c>
      <c r="Q34" s="897" t="str">
        <f t="shared" si="3"/>
        <v>-</v>
      </c>
      <c r="R34" s="774">
        <f t="shared" si="4"/>
        <v>0</v>
      </c>
      <c r="S34" s="774">
        <f t="shared" si="5"/>
        <v>0</v>
      </c>
      <c r="T34" s="774">
        <f t="shared" si="6"/>
        <v>0</v>
      </c>
      <c r="U34" s="775">
        <f t="shared" si="7"/>
        <v>0</v>
      </c>
      <c r="V34" s="774">
        <f t="shared" si="8"/>
        <v>0</v>
      </c>
      <c r="W34" s="774">
        <f t="shared" si="9"/>
        <v>0</v>
      </c>
      <c r="X34" s="774">
        <f t="shared" si="10"/>
        <v>0</v>
      </c>
      <c r="Y34" s="775">
        <f t="shared" si="11"/>
        <v>0</v>
      </c>
      <c r="AB34" s="48"/>
    </row>
    <row r="35" spans="1:28" s="121" customFormat="1" ht="24" hidden="1">
      <c r="A35" s="2465" t="s">
        <v>3148</v>
      </c>
      <c r="B35" s="2441"/>
      <c r="C35" s="2442"/>
      <c r="D35" s="2442"/>
      <c r="E35" s="2443"/>
      <c r="F35" s="2444"/>
      <c r="G35" s="2445"/>
      <c r="H35" s="2445"/>
      <c r="I35" s="2446"/>
      <c r="J35" s="2447"/>
      <c r="K35" s="2448"/>
      <c r="L35" s="2448"/>
      <c r="M35" s="2449"/>
      <c r="N35" s="896" t="str">
        <f t="shared" si="0"/>
        <v>-</v>
      </c>
      <c r="O35" s="896" t="str">
        <f t="shared" si="1"/>
        <v>-</v>
      </c>
      <c r="P35" s="896" t="str">
        <f t="shared" si="2"/>
        <v>-</v>
      </c>
      <c r="Q35" s="897" t="str">
        <f t="shared" si="3"/>
        <v>-</v>
      </c>
      <c r="R35" s="774">
        <f t="shared" si="4"/>
        <v>0</v>
      </c>
      <c r="S35" s="774">
        <f t="shared" si="5"/>
        <v>0</v>
      </c>
      <c r="T35" s="774">
        <f t="shared" si="6"/>
        <v>0</v>
      </c>
      <c r="U35" s="775">
        <f t="shared" si="7"/>
        <v>0</v>
      </c>
      <c r="V35" s="774">
        <f t="shared" si="8"/>
        <v>0</v>
      </c>
      <c r="W35" s="774">
        <f t="shared" si="9"/>
        <v>0</v>
      </c>
      <c r="X35" s="774">
        <f t="shared" si="10"/>
        <v>0</v>
      </c>
      <c r="Y35" s="775">
        <f t="shared" si="11"/>
        <v>0</v>
      </c>
      <c r="AB35" s="48"/>
    </row>
    <row r="36" spans="1:28" s="121" customFormat="1" ht="24" hidden="1">
      <c r="A36" s="2465" t="s">
        <v>3149</v>
      </c>
      <c r="B36" s="2441"/>
      <c r="C36" s="2442"/>
      <c r="D36" s="2442"/>
      <c r="E36" s="2443"/>
      <c r="F36" s="2444"/>
      <c r="G36" s="2445"/>
      <c r="H36" s="2445"/>
      <c r="I36" s="2446"/>
      <c r="J36" s="2447"/>
      <c r="K36" s="2448"/>
      <c r="L36" s="2448"/>
      <c r="M36" s="2449"/>
      <c r="N36" s="896" t="str">
        <f t="shared" si="0"/>
        <v>-</v>
      </c>
      <c r="O36" s="896" t="str">
        <f t="shared" si="1"/>
        <v>-</v>
      </c>
      <c r="P36" s="896" t="str">
        <f t="shared" si="2"/>
        <v>-</v>
      </c>
      <c r="Q36" s="897" t="str">
        <f t="shared" si="3"/>
        <v>-</v>
      </c>
      <c r="R36" s="774">
        <f t="shared" si="4"/>
        <v>0</v>
      </c>
      <c r="S36" s="774">
        <f t="shared" si="5"/>
        <v>0</v>
      </c>
      <c r="T36" s="774">
        <f t="shared" si="6"/>
        <v>0</v>
      </c>
      <c r="U36" s="775">
        <f t="shared" si="7"/>
        <v>0</v>
      </c>
      <c r="V36" s="774">
        <f t="shared" si="8"/>
        <v>0</v>
      </c>
      <c r="W36" s="774">
        <f t="shared" si="9"/>
        <v>0</v>
      </c>
      <c r="X36" s="774">
        <f t="shared" si="10"/>
        <v>0</v>
      </c>
      <c r="Y36" s="775">
        <f t="shared" si="11"/>
        <v>0</v>
      </c>
      <c r="AB36" s="48"/>
    </row>
    <row r="37" spans="1:28" s="121" customFormat="1" ht="24" hidden="1">
      <c r="A37" s="2465" t="s">
        <v>3150</v>
      </c>
      <c r="B37" s="2441"/>
      <c r="C37" s="2442"/>
      <c r="D37" s="2442"/>
      <c r="E37" s="2443"/>
      <c r="F37" s="2444"/>
      <c r="G37" s="2445"/>
      <c r="H37" s="2445"/>
      <c r="I37" s="2446"/>
      <c r="J37" s="2447"/>
      <c r="K37" s="2448"/>
      <c r="L37" s="2448"/>
      <c r="M37" s="2449"/>
      <c r="N37" s="896" t="str">
        <f t="shared" si="0"/>
        <v>-</v>
      </c>
      <c r="O37" s="896" t="str">
        <f t="shared" si="1"/>
        <v>-</v>
      </c>
      <c r="P37" s="896" t="str">
        <f t="shared" si="2"/>
        <v>-</v>
      </c>
      <c r="Q37" s="897" t="str">
        <f t="shared" si="3"/>
        <v>-</v>
      </c>
      <c r="R37" s="774">
        <f t="shared" si="4"/>
        <v>0</v>
      </c>
      <c r="S37" s="774">
        <f t="shared" si="5"/>
        <v>0</v>
      </c>
      <c r="T37" s="774">
        <f t="shared" si="6"/>
        <v>0</v>
      </c>
      <c r="U37" s="775">
        <f t="shared" si="7"/>
        <v>0</v>
      </c>
      <c r="V37" s="774">
        <f t="shared" si="8"/>
        <v>0</v>
      </c>
      <c r="W37" s="774">
        <f t="shared" si="9"/>
        <v>0</v>
      </c>
      <c r="X37" s="774">
        <f t="shared" si="10"/>
        <v>0</v>
      </c>
      <c r="Y37" s="775">
        <f t="shared" si="11"/>
        <v>0</v>
      </c>
      <c r="AB37" s="48"/>
    </row>
    <row r="38" spans="1:28" s="121" customFormat="1" ht="24" hidden="1">
      <c r="A38" s="2465" t="s">
        <v>3151</v>
      </c>
      <c r="B38" s="2441"/>
      <c r="C38" s="2442"/>
      <c r="D38" s="2442"/>
      <c r="E38" s="2443"/>
      <c r="F38" s="2444"/>
      <c r="G38" s="2445"/>
      <c r="H38" s="2445"/>
      <c r="I38" s="2446"/>
      <c r="J38" s="2447"/>
      <c r="K38" s="2448"/>
      <c r="L38" s="2448"/>
      <c r="M38" s="2449"/>
      <c r="N38" s="896" t="str">
        <f t="shared" si="0"/>
        <v>-</v>
      </c>
      <c r="O38" s="896" t="str">
        <f t="shared" si="1"/>
        <v>-</v>
      </c>
      <c r="P38" s="896" t="str">
        <f t="shared" si="2"/>
        <v>-</v>
      </c>
      <c r="Q38" s="897" t="str">
        <f t="shared" si="3"/>
        <v>-</v>
      </c>
      <c r="R38" s="774">
        <f t="shared" si="4"/>
        <v>0</v>
      </c>
      <c r="S38" s="774">
        <f t="shared" si="5"/>
        <v>0</v>
      </c>
      <c r="T38" s="774">
        <f t="shared" si="6"/>
        <v>0</v>
      </c>
      <c r="U38" s="775">
        <f t="shared" si="7"/>
        <v>0</v>
      </c>
      <c r="V38" s="774">
        <f t="shared" si="8"/>
        <v>0</v>
      </c>
      <c r="W38" s="774">
        <f t="shared" si="9"/>
        <v>0</v>
      </c>
      <c r="X38" s="774">
        <f t="shared" si="10"/>
        <v>0</v>
      </c>
      <c r="Y38" s="775">
        <f t="shared" si="11"/>
        <v>0</v>
      </c>
      <c r="AB38" s="48"/>
    </row>
    <row r="39" spans="1:28" s="121" customFormat="1" ht="24" hidden="1">
      <c r="A39" s="2465" t="s">
        <v>3152</v>
      </c>
      <c r="B39" s="2441"/>
      <c r="C39" s="2442"/>
      <c r="D39" s="2442"/>
      <c r="E39" s="2443"/>
      <c r="F39" s="2444"/>
      <c r="G39" s="2445"/>
      <c r="H39" s="2445"/>
      <c r="I39" s="2446"/>
      <c r="J39" s="2447"/>
      <c r="K39" s="2448"/>
      <c r="L39" s="2448"/>
      <c r="M39" s="2449"/>
      <c r="N39" s="896" t="str">
        <f t="shared" si="0"/>
        <v>-</v>
      </c>
      <c r="O39" s="896" t="str">
        <f t="shared" si="1"/>
        <v>-</v>
      </c>
      <c r="P39" s="896" t="str">
        <f t="shared" si="2"/>
        <v>-</v>
      </c>
      <c r="Q39" s="897" t="str">
        <f t="shared" si="3"/>
        <v>-</v>
      </c>
      <c r="R39" s="774">
        <f t="shared" si="4"/>
        <v>0</v>
      </c>
      <c r="S39" s="774">
        <f t="shared" si="5"/>
        <v>0</v>
      </c>
      <c r="T39" s="774">
        <f t="shared" si="6"/>
        <v>0</v>
      </c>
      <c r="U39" s="775">
        <f t="shared" si="7"/>
        <v>0</v>
      </c>
      <c r="V39" s="774">
        <f t="shared" si="8"/>
        <v>0</v>
      </c>
      <c r="W39" s="774">
        <f t="shared" si="9"/>
        <v>0</v>
      </c>
      <c r="X39" s="774">
        <f t="shared" si="10"/>
        <v>0</v>
      </c>
      <c r="Y39" s="775">
        <f t="shared" si="11"/>
        <v>0</v>
      </c>
      <c r="AB39" s="48"/>
    </row>
    <row r="40" spans="1:28" s="121" customFormat="1" ht="24" hidden="1">
      <c r="A40" s="2466" t="s">
        <v>3153</v>
      </c>
      <c r="B40" s="2441"/>
      <c r="C40" s="2442"/>
      <c r="D40" s="2442"/>
      <c r="E40" s="2443"/>
      <c r="F40" s="2444"/>
      <c r="G40" s="2445"/>
      <c r="H40" s="2445"/>
      <c r="I40" s="2446"/>
      <c r="J40" s="2447"/>
      <c r="K40" s="2448"/>
      <c r="L40" s="2448"/>
      <c r="M40" s="2449"/>
      <c r="N40" s="896" t="str">
        <f t="shared" si="0"/>
        <v>-</v>
      </c>
      <c r="O40" s="896" t="str">
        <f t="shared" si="1"/>
        <v>-</v>
      </c>
      <c r="P40" s="896" t="str">
        <f t="shared" si="2"/>
        <v>-</v>
      </c>
      <c r="Q40" s="897" t="str">
        <f t="shared" si="3"/>
        <v>-</v>
      </c>
      <c r="R40" s="774">
        <f t="shared" si="4"/>
        <v>0</v>
      </c>
      <c r="S40" s="774">
        <f t="shared" si="5"/>
        <v>0</v>
      </c>
      <c r="T40" s="774">
        <f t="shared" si="6"/>
        <v>0</v>
      </c>
      <c r="U40" s="775">
        <f t="shared" si="7"/>
        <v>0</v>
      </c>
      <c r="V40" s="774">
        <f t="shared" si="8"/>
        <v>0</v>
      </c>
      <c r="W40" s="774">
        <f t="shared" si="9"/>
        <v>0</v>
      </c>
      <c r="X40" s="774">
        <f t="shared" si="10"/>
        <v>0</v>
      </c>
      <c r="Y40" s="775">
        <f t="shared" si="11"/>
        <v>0</v>
      </c>
      <c r="AB40" s="48"/>
    </row>
    <row r="41" spans="1:28" s="121" customFormat="1" ht="24.75" hidden="1" thickBot="1">
      <c r="A41" s="2467" t="s">
        <v>3154</v>
      </c>
      <c r="B41" s="2441"/>
      <c r="C41" s="2442"/>
      <c r="D41" s="2442"/>
      <c r="E41" s="2443"/>
      <c r="F41" s="2444"/>
      <c r="G41" s="2445"/>
      <c r="H41" s="2445"/>
      <c r="I41" s="2446"/>
      <c r="J41" s="2447"/>
      <c r="K41" s="2448"/>
      <c r="L41" s="2448"/>
      <c r="M41" s="2449"/>
      <c r="N41" s="896" t="str">
        <f t="shared" si="0"/>
        <v>-</v>
      </c>
      <c r="O41" s="896" t="str">
        <f t="shared" si="1"/>
        <v>-</v>
      </c>
      <c r="P41" s="896" t="str">
        <f t="shared" si="2"/>
        <v>-</v>
      </c>
      <c r="Q41" s="897" t="str">
        <f t="shared" si="3"/>
        <v>-</v>
      </c>
      <c r="R41" s="774">
        <f t="shared" si="4"/>
        <v>0</v>
      </c>
      <c r="S41" s="774">
        <f t="shared" si="5"/>
        <v>0</v>
      </c>
      <c r="T41" s="774">
        <f t="shared" si="6"/>
        <v>0</v>
      </c>
      <c r="U41" s="775">
        <f t="shared" si="7"/>
        <v>0</v>
      </c>
      <c r="V41" s="774">
        <f t="shared" si="8"/>
        <v>0</v>
      </c>
      <c r="W41" s="774">
        <f t="shared" si="9"/>
        <v>0</v>
      </c>
      <c r="X41" s="774">
        <f t="shared" si="10"/>
        <v>0</v>
      </c>
      <c r="Y41" s="775">
        <f t="shared" si="11"/>
        <v>0</v>
      </c>
      <c r="AB41" s="48"/>
    </row>
    <row r="42" spans="1:28" s="121" customFormat="1" ht="24">
      <c r="A42" s="2468" t="s">
        <v>3155</v>
      </c>
      <c r="B42" s="2441">
        <v>10454</v>
      </c>
      <c r="C42" s="2442">
        <v>3822</v>
      </c>
      <c r="D42" s="2442">
        <v>11125</v>
      </c>
      <c r="E42" s="2443"/>
      <c r="F42" s="2631">
        <v>31584.696844291459</v>
      </c>
      <c r="G42" s="2632">
        <v>9716.27363125185</v>
      </c>
      <c r="H42" s="2632">
        <v>38497.26561103703</v>
      </c>
      <c r="I42" s="2633">
        <v>0</v>
      </c>
      <c r="J42" s="2447">
        <v>3728</v>
      </c>
      <c r="K42" s="2448">
        <v>40</v>
      </c>
      <c r="L42" s="2448">
        <v>2891</v>
      </c>
      <c r="M42" s="2449"/>
      <c r="N42" s="896">
        <f t="shared" si="0"/>
        <v>11.80318436608262</v>
      </c>
      <c r="O42" s="896">
        <f t="shared" si="1"/>
        <v>0.41168046020587812</v>
      </c>
      <c r="P42" s="896">
        <f t="shared" si="2"/>
        <v>7.5096242658106096</v>
      </c>
      <c r="Q42" s="897" t="str">
        <f t="shared" si="3"/>
        <v>-</v>
      </c>
      <c r="R42" s="774">
        <f t="shared" si="4"/>
        <v>-27856.696844291459</v>
      </c>
      <c r="S42" s="774">
        <f t="shared" si="5"/>
        <v>-9676.27363125185</v>
      </c>
      <c r="T42" s="774">
        <f t="shared" si="6"/>
        <v>-35606.26561103703</v>
      </c>
      <c r="U42" s="775">
        <f t="shared" si="7"/>
        <v>0</v>
      </c>
      <c r="V42" s="774">
        <f t="shared" si="8"/>
        <v>-6726</v>
      </c>
      <c r="W42" s="774">
        <f t="shared" si="9"/>
        <v>-3782</v>
      </c>
      <c r="X42" s="774">
        <f t="shared" si="10"/>
        <v>-8234</v>
      </c>
      <c r="Y42" s="775">
        <f t="shared" si="11"/>
        <v>0</v>
      </c>
      <c r="AA42" s="121" t="s">
        <v>3216</v>
      </c>
      <c r="AB42" s="48"/>
    </row>
    <row r="43" spans="1:28" s="121" customFormat="1" ht="24">
      <c r="A43" s="2469" t="s">
        <v>3156</v>
      </c>
      <c r="B43" s="2441">
        <v>11312</v>
      </c>
      <c r="C43" s="2442"/>
      <c r="D43" s="2442">
        <v>9899</v>
      </c>
      <c r="E43" s="2443"/>
      <c r="F43" s="2631">
        <v>15240.749009516021</v>
      </c>
      <c r="G43" s="2632">
        <v>0</v>
      </c>
      <c r="H43" s="2632">
        <v>16320.389275384978</v>
      </c>
      <c r="I43" s="2633">
        <v>0</v>
      </c>
      <c r="J43" s="2447">
        <v>8102</v>
      </c>
      <c r="K43" s="2448">
        <v>493</v>
      </c>
      <c r="L43" s="2448">
        <v>6309</v>
      </c>
      <c r="M43" s="2449">
        <v>2207</v>
      </c>
      <c r="N43" s="896">
        <f t="shared" si="0"/>
        <v>53.160116966307051</v>
      </c>
      <c r="O43" s="896" t="str">
        <f t="shared" si="1"/>
        <v>-</v>
      </c>
      <c r="P43" s="896">
        <f t="shared" si="2"/>
        <v>38.65716615911527</v>
      </c>
      <c r="Q43" s="897" t="str">
        <f t="shared" si="3"/>
        <v>-</v>
      </c>
      <c r="R43" s="774">
        <f t="shared" si="4"/>
        <v>-7138.749009516021</v>
      </c>
      <c r="S43" s="774">
        <f t="shared" si="5"/>
        <v>493</v>
      </c>
      <c r="T43" s="774">
        <f t="shared" si="6"/>
        <v>-10011.389275384978</v>
      </c>
      <c r="U43" s="775">
        <f t="shared" si="7"/>
        <v>2207</v>
      </c>
      <c r="V43" s="774">
        <f t="shared" si="8"/>
        <v>-3210</v>
      </c>
      <c r="W43" s="774">
        <f t="shared" si="9"/>
        <v>493</v>
      </c>
      <c r="X43" s="774">
        <f t="shared" si="10"/>
        <v>-3590</v>
      </c>
      <c r="Y43" s="775">
        <f t="shared" si="11"/>
        <v>2207</v>
      </c>
      <c r="AA43" s="121" t="s">
        <v>2277</v>
      </c>
      <c r="AB43" s="48"/>
    </row>
    <row r="44" spans="1:28" s="121" customFormat="1" ht="24">
      <c r="A44" s="2469" t="s">
        <v>3157</v>
      </c>
      <c r="B44" s="2441">
        <v>8705</v>
      </c>
      <c r="C44" s="2442"/>
      <c r="D44" s="2442">
        <v>7882</v>
      </c>
      <c r="E44" s="2443">
        <v>29637</v>
      </c>
      <c r="F44" s="2631">
        <v>9512.2015725190831</v>
      </c>
      <c r="G44" s="2632">
        <v>0</v>
      </c>
      <c r="H44" s="2632">
        <v>9271.6113885696359</v>
      </c>
      <c r="I44" s="2633">
        <v>35361.703312900892</v>
      </c>
      <c r="J44" s="2447">
        <v>5924</v>
      </c>
      <c r="K44" s="2448"/>
      <c r="L44" s="2448">
        <v>6778</v>
      </c>
      <c r="M44" s="2449">
        <v>24810</v>
      </c>
      <c r="N44" s="896">
        <f t="shared" si="0"/>
        <v>62.277906485019614</v>
      </c>
      <c r="O44" s="896" t="str">
        <f t="shared" si="1"/>
        <v>-</v>
      </c>
      <c r="P44" s="896">
        <f t="shared" si="2"/>
        <v>73.104875904917165</v>
      </c>
      <c r="Q44" s="897">
        <f t="shared" si="3"/>
        <v>70.160647467874242</v>
      </c>
      <c r="R44" s="774">
        <f t="shared" si="4"/>
        <v>-3588.2015725190831</v>
      </c>
      <c r="S44" s="774">
        <f t="shared" si="5"/>
        <v>0</v>
      </c>
      <c r="T44" s="774">
        <f t="shared" si="6"/>
        <v>-2493.6113885696359</v>
      </c>
      <c r="U44" s="775">
        <f t="shared" si="7"/>
        <v>-10551.703312900892</v>
      </c>
      <c r="V44" s="774">
        <f t="shared" si="8"/>
        <v>-2781</v>
      </c>
      <c r="W44" s="774">
        <f t="shared" si="9"/>
        <v>0</v>
      </c>
      <c r="X44" s="774">
        <f t="shared" si="10"/>
        <v>-1104</v>
      </c>
      <c r="Y44" s="775">
        <f t="shared" si="11"/>
        <v>-4827</v>
      </c>
      <c r="AA44" s="121" t="s">
        <v>2280</v>
      </c>
      <c r="AB44" s="48"/>
    </row>
    <row r="45" spans="1:28" s="121" customFormat="1" ht="24">
      <c r="A45" s="2469" t="s">
        <v>3158</v>
      </c>
      <c r="B45" s="2441">
        <v>42498</v>
      </c>
      <c r="C45" s="2442"/>
      <c r="D45" s="2442">
        <v>40280</v>
      </c>
      <c r="E45" s="2443">
        <v>418170</v>
      </c>
      <c r="F45" s="2631">
        <v>39628.667816030655</v>
      </c>
      <c r="G45" s="2632">
        <v>0</v>
      </c>
      <c r="H45" s="2632">
        <v>37960.714858659485</v>
      </c>
      <c r="I45" s="2633">
        <v>401431.40062814206</v>
      </c>
      <c r="J45" s="2447">
        <v>54954</v>
      </c>
      <c r="L45" s="2448">
        <v>62858</v>
      </c>
      <c r="M45" s="2449">
        <v>489014</v>
      </c>
      <c r="N45" s="896">
        <f t="shared" si="0"/>
        <v>138.67233754895469</v>
      </c>
      <c r="O45" s="896" t="str">
        <f>IFERROR(L45*100/G45,"-")</f>
        <v>-</v>
      </c>
      <c r="P45" s="896" t="str">
        <f>IFERROR(#REF!*100/H45,"-")</f>
        <v>-</v>
      </c>
      <c r="Q45" s="897">
        <f t="shared" si="3"/>
        <v>121.81757561436713</v>
      </c>
      <c r="R45" s="774">
        <f t="shared" si="4"/>
        <v>15325.332183969345</v>
      </c>
      <c r="S45" s="774">
        <f>IFERROR(L45-G45,"-")</f>
        <v>62858</v>
      </c>
      <c r="T45" s="774" t="str">
        <f>IFERROR(#REF!-H45,"-")</f>
        <v>-</v>
      </c>
      <c r="U45" s="775">
        <f t="shared" si="7"/>
        <v>87582.599371857941</v>
      </c>
      <c r="V45" s="774">
        <f t="shared" si="8"/>
        <v>12456</v>
      </c>
      <c r="W45" s="774">
        <f>L45-C45</f>
        <v>62858</v>
      </c>
      <c r="X45" s="774" t="e">
        <f>#REF!-D45</f>
        <v>#REF!</v>
      </c>
      <c r="Y45" s="775">
        <f t="shared" si="11"/>
        <v>70844</v>
      </c>
      <c r="AA45" s="121" t="s">
        <v>2279</v>
      </c>
      <c r="AB45" s="48"/>
    </row>
    <row r="46" spans="1:28" s="121" customFormat="1" ht="24">
      <c r="A46" s="2469" t="s">
        <v>3159</v>
      </c>
      <c r="B46" s="2441">
        <v>4848</v>
      </c>
      <c r="C46" s="2442">
        <v>1</v>
      </c>
      <c r="D46" s="2442">
        <v>10826</v>
      </c>
      <c r="E46" s="2443"/>
      <c r="F46" s="2631">
        <v>3225.1863419470778</v>
      </c>
      <c r="G46" s="2632">
        <v>0</v>
      </c>
      <c r="H46" s="2632">
        <v>5774.4347436758444</v>
      </c>
      <c r="I46" s="2633">
        <v>0</v>
      </c>
      <c r="J46" s="2447">
        <v>5114</v>
      </c>
      <c r="K46" s="2448"/>
      <c r="L46" s="2448">
        <v>6401</v>
      </c>
      <c r="M46" s="2449"/>
      <c r="N46" s="896">
        <f t="shared" si="0"/>
        <v>158.56448148396368</v>
      </c>
      <c r="O46" s="896" t="str">
        <f t="shared" si="1"/>
        <v>-</v>
      </c>
      <c r="P46" s="896">
        <f t="shared" si="2"/>
        <v>110.85067689110817</v>
      </c>
      <c r="Q46" s="897" t="str">
        <f t="shared" si="3"/>
        <v>-</v>
      </c>
      <c r="R46" s="774">
        <f t="shared" si="4"/>
        <v>1888.8136580529222</v>
      </c>
      <c r="S46" s="774">
        <f t="shared" si="5"/>
        <v>0</v>
      </c>
      <c r="T46" s="774">
        <f t="shared" si="6"/>
        <v>626.5652563241556</v>
      </c>
      <c r="U46" s="775">
        <f t="shared" si="7"/>
        <v>0</v>
      </c>
      <c r="V46" s="774">
        <f t="shared" si="8"/>
        <v>266</v>
      </c>
      <c r="W46" s="774">
        <f t="shared" si="9"/>
        <v>-1</v>
      </c>
      <c r="X46" s="774">
        <f t="shared" si="10"/>
        <v>-4425</v>
      </c>
      <c r="Y46" s="775">
        <f t="shared" si="11"/>
        <v>0</v>
      </c>
      <c r="AA46" s="121" t="s">
        <v>3217</v>
      </c>
      <c r="AB46" s="48"/>
    </row>
    <row r="47" spans="1:28" s="121" customFormat="1" ht="24">
      <c r="A47" s="2469" t="s">
        <v>3160</v>
      </c>
      <c r="B47" s="2441">
        <v>17</v>
      </c>
      <c r="C47" s="2442"/>
      <c r="D47" s="2442">
        <v>20</v>
      </c>
      <c r="E47" s="2443"/>
      <c r="F47" s="2631">
        <v>39.017739130434776</v>
      </c>
      <c r="G47" s="2632">
        <v>0</v>
      </c>
      <c r="H47" s="2632">
        <v>33.470577777777777</v>
      </c>
      <c r="I47" s="2633">
        <v>0</v>
      </c>
      <c r="J47" s="2448">
        <v>1704</v>
      </c>
      <c r="K47" s="2448"/>
      <c r="L47" s="2448">
        <v>1952</v>
      </c>
      <c r="M47" s="2449"/>
      <c r="N47" s="896">
        <f t="shared" si="0"/>
        <v>4367.2443303380405</v>
      </c>
      <c r="O47" s="896" t="str">
        <f t="shared" si="1"/>
        <v>-</v>
      </c>
      <c r="P47" s="896">
        <f t="shared" si="2"/>
        <v>5831.9877623863349</v>
      </c>
      <c r="Q47" s="897" t="str">
        <f t="shared" si="3"/>
        <v>-</v>
      </c>
      <c r="R47" s="774">
        <f t="shared" si="4"/>
        <v>1664.9822608695652</v>
      </c>
      <c r="S47" s="774">
        <f t="shared" si="5"/>
        <v>0</v>
      </c>
      <c r="T47" s="774">
        <f t="shared" si="6"/>
        <v>1918.5294222222221</v>
      </c>
      <c r="U47" s="775">
        <f t="shared" si="7"/>
        <v>0</v>
      </c>
      <c r="V47" s="774">
        <f t="shared" si="8"/>
        <v>1687</v>
      </c>
      <c r="W47" s="774">
        <f t="shared" si="9"/>
        <v>0</v>
      </c>
      <c r="X47" s="774">
        <f t="shared" si="10"/>
        <v>1932</v>
      </c>
      <c r="Y47" s="775">
        <f t="shared" si="11"/>
        <v>0</v>
      </c>
      <c r="AA47" s="121" t="s">
        <v>2278</v>
      </c>
      <c r="AB47" s="48"/>
    </row>
    <row r="48" spans="1:28" s="121" customFormat="1" ht="24">
      <c r="A48" s="2469" t="s">
        <v>3161</v>
      </c>
      <c r="B48" s="2441">
        <v>23951</v>
      </c>
      <c r="C48" s="2442">
        <v>50</v>
      </c>
      <c r="D48" s="2442">
        <v>32693</v>
      </c>
      <c r="E48" s="2443">
        <v>50539</v>
      </c>
      <c r="F48" s="2631">
        <v>39141.15186327757</v>
      </c>
      <c r="G48" s="2632">
        <v>0</v>
      </c>
      <c r="H48" s="2632">
        <v>37898.876855284332</v>
      </c>
      <c r="I48" s="2633">
        <v>72638.662278350035</v>
      </c>
      <c r="J48" s="2447">
        <v>52470</v>
      </c>
      <c r="K48" s="2448">
        <v>86</v>
      </c>
      <c r="L48" s="2448">
        <v>51694</v>
      </c>
      <c r="M48" s="2449">
        <v>125131</v>
      </c>
      <c r="N48" s="896">
        <f t="shared" ref="N48:N71" si="12">IFERROR(J48*100/F48,"-")</f>
        <v>134.05328535879809</v>
      </c>
      <c r="O48" s="896" t="str">
        <f t="shared" ref="O48:O71" si="13">IFERROR(K48*100/G48,"-")</f>
        <v>-</v>
      </c>
      <c r="P48" s="896">
        <f t="shared" ref="P48:P71" si="14">IFERROR(L48*100/H48,"-")</f>
        <v>136.39982049439595</v>
      </c>
      <c r="Q48" s="897">
        <f t="shared" ref="Q48:Q71" si="15">IFERROR(M48*100/I48,"-")</f>
        <v>172.265011600159</v>
      </c>
      <c r="R48" s="774">
        <f t="shared" ref="R48:R71" si="16">IFERROR(J48-F48,"-")</f>
        <v>13328.84813672243</v>
      </c>
      <c r="S48" s="774">
        <f t="shared" ref="S48:S71" si="17">IFERROR(K48-G48,"-")</f>
        <v>86</v>
      </c>
      <c r="T48" s="774">
        <f t="shared" ref="T48:T71" si="18">IFERROR(L48-H48,"-")</f>
        <v>13795.123144715668</v>
      </c>
      <c r="U48" s="775">
        <f t="shared" ref="U48:U71" si="19">IFERROR(M48-I48,"-")</f>
        <v>52492.337721649965</v>
      </c>
      <c r="V48" s="774">
        <f t="shared" ref="V48:V71" si="20">J48-B48</f>
        <v>28519</v>
      </c>
      <c r="W48" s="774">
        <f t="shared" ref="W48:W71" si="21">K48-C48</f>
        <v>36</v>
      </c>
      <c r="X48" s="774">
        <f t="shared" ref="X48:X71" si="22">L48-D48</f>
        <v>19001</v>
      </c>
      <c r="Y48" s="775">
        <f t="shared" ref="Y48:Y71" si="23">M48-E48</f>
        <v>74592</v>
      </c>
      <c r="AA48" s="121" t="s">
        <v>2281</v>
      </c>
      <c r="AB48" s="48"/>
    </row>
    <row r="49" spans="1:28" s="121" customFormat="1" ht="24">
      <c r="A49" s="2469" t="s">
        <v>3162</v>
      </c>
      <c r="B49" s="2441">
        <v>227</v>
      </c>
      <c r="C49" s="2442">
        <v>29</v>
      </c>
      <c r="D49" s="2442">
        <v>373</v>
      </c>
      <c r="E49" s="2443"/>
      <c r="F49" s="2631">
        <v>1285.7708023774144</v>
      </c>
      <c r="G49" s="2632">
        <v>58.144818976279652</v>
      </c>
      <c r="H49" s="2632">
        <v>3069.1125766871169</v>
      </c>
      <c r="I49" s="2633">
        <v>0</v>
      </c>
      <c r="J49" s="2447">
        <v>235</v>
      </c>
      <c r="K49" s="2448">
        <v>38</v>
      </c>
      <c r="L49" s="2448">
        <v>96</v>
      </c>
      <c r="M49" s="2449"/>
      <c r="N49" s="896">
        <f t="shared" si="12"/>
        <v>18.276974369419541</v>
      </c>
      <c r="O49" s="896">
        <f t="shared" si="13"/>
        <v>65.354060205264744</v>
      </c>
      <c r="P49" s="896">
        <f t="shared" si="14"/>
        <v>3.1279400022408104</v>
      </c>
      <c r="Q49" s="897" t="str">
        <f t="shared" si="15"/>
        <v>-</v>
      </c>
      <c r="R49" s="774">
        <f t="shared" si="16"/>
        <v>-1050.7708023774144</v>
      </c>
      <c r="S49" s="774">
        <f t="shared" si="17"/>
        <v>-20.144818976279652</v>
      </c>
      <c r="T49" s="774">
        <f t="shared" si="18"/>
        <v>-2973.1125766871169</v>
      </c>
      <c r="U49" s="775">
        <f t="shared" si="19"/>
        <v>0</v>
      </c>
      <c r="V49" s="774">
        <f t="shared" si="20"/>
        <v>8</v>
      </c>
      <c r="W49" s="774">
        <f t="shared" si="21"/>
        <v>9</v>
      </c>
      <c r="X49" s="774">
        <f t="shared" si="22"/>
        <v>-277</v>
      </c>
      <c r="Y49" s="775">
        <f t="shared" si="23"/>
        <v>0</v>
      </c>
      <c r="AA49" s="121" t="s">
        <v>2283</v>
      </c>
      <c r="AB49" s="48"/>
    </row>
    <row r="50" spans="1:28" s="121" customFormat="1" ht="24">
      <c r="A50" s="2469" t="s">
        <v>3163</v>
      </c>
      <c r="B50" s="2441">
        <v>597</v>
      </c>
      <c r="C50" s="2442"/>
      <c r="D50" s="2442">
        <v>626</v>
      </c>
      <c r="E50" s="2443"/>
      <c r="F50" s="2631">
        <v>3114.5333333333333</v>
      </c>
      <c r="G50" s="2445"/>
      <c r="H50" s="2632">
        <v>3436.3999999999996</v>
      </c>
      <c r="I50" s="2633">
        <v>0</v>
      </c>
      <c r="J50" s="2447">
        <v>7029</v>
      </c>
      <c r="K50" s="2448"/>
      <c r="L50" s="2448">
        <v>6747</v>
      </c>
      <c r="M50" s="2449"/>
      <c r="N50" s="896">
        <f t="shared" si="12"/>
        <v>225.68389057750761</v>
      </c>
      <c r="O50" s="896" t="str">
        <f t="shared" si="13"/>
        <v>-</v>
      </c>
      <c r="P50" s="896">
        <f t="shared" si="14"/>
        <v>196.33919217786058</v>
      </c>
      <c r="Q50" s="897" t="str">
        <f t="shared" si="15"/>
        <v>-</v>
      </c>
      <c r="R50" s="774">
        <f t="shared" si="16"/>
        <v>3914.4666666666667</v>
      </c>
      <c r="S50" s="774">
        <f t="shared" si="17"/>
        <v>0</v>
      </c>
      <c r="T50" s="774">
        <f t="shared" si="18"/>
        <v>3310.6000000000004</v>
      </c>
      <c r="U50" s="775">
        <f t="shared" si="19"/>
        <v>0</v>
      </c>
      <c r="V50" s="774">
        <f t="shared" si="20"/>
        <v>6432</v>
      </c>
      <c r="W50" s="774">
        <f t="shared" si="21"/>
        <v>0</v>
      </c>
      <c r="X50" s="774">
        <f t="shared" si="22"/>
        <v>6121</v>
      </c>
      <c r="Y50" s="775">
        <f t="shared" si="23"/>
        <v>0</v>
      </c>
      <c r="AA50" s="121" t="s">
        <v>2282</v>
      </c>
      <c r="AB50" s="48"/>
    </row>
    <row r="51" spans="1:28" s="121" customFormat="1" ht="24.75" thickBot="1">
      <c r="A51" s="2469" t="s">
        <v>3164</v>
      </c>
      <c r="B51" s="2441"/>
      <c r="C51" s="2442"/>
      <c r="D51" s="2442"/>
      <c r="E51" s="2443"/>
      <c r="F51" s="2444"/>
      <c r="G51" s="2445"/>
      <c r="H51" s="2445"/>
      <c r="I51" s="2446"/>
      <c r="J51" s="2447"/>
      <c r="K51" s="2448"/>
      <c r="L51" s="2448"/>
      <c r="M51" s="2449"/>
      <c r="N51" s="896" t="str">
        <f t="shared" si="12"/>
        <v>-</v>
      </c>
      <c r="O51" s="896" t="str">
        <f t="shared" si="13"/>
        <v>-</v>
      </c>
      <c r="P51" s="896" t="str">
        <f t="shared" si="14"/>
        <v>-</v>
      </c>
      <c r="Q51" s="897" t="str">
        <f t="shared" si="15"/>
        <v>-</v>
      </c>
      <c r="R51" s="774">
        <f t="shared" si="16"/>
        <v>0</v>
      </c>
      <c r="S51" s="774">
        <f t="shared" si="17"/>
        <v>0</v>
      </c>
      <c r="T51" s="774">
        <f t="shared" si="18"/>
        <v>0</v>
      </c>
      <c r="U51" s="775">
        <f t="shared" si="19"/>
        <v>0</v>
      </c>
      <c r="V51" s="774">
        <f t="shared" si="20"/>
        <v>0</v>
      </c>
      <c r="W51" s="774">
        <f t="shared" si="21"/>
        <v>0</v>
      </c>
      <c r="X51" s="774">
        <f t="shared" si="22"/>
        <v>0</v>
      </c>
      <c r="Y51" s="775">
        <f t="shared" si="23"/>
        <v>0</v>
      </c>
      <c r="AA51" s="121" t="s">
        <v>3218</v>
      </c>
      <c r="AB51" s="48"/>
    </row>
    <row r="52" spans="1:28" s="121" customFormat="1" ht="24" hidden="1">
      <c r="A52" s="2471" t="s">
        <v>3165</v>
      </c>
      <c r="B52" s="2441"/>
      <c r="C52" s="2442"/>
      <c r="D52" s="2442"/>
      <c r="E52" s="2443"/>
      <c r="F52" s="2444"/>
      <c r="G52" s="2445"/>
      <c r="H52" s="2445"/>
      <c r="I52" s="2446"/>
      <c r="J52" s="2447"/>
      <c r="K52" s="2448"/>
      <c r="L52" s="2448"/>
      <c r="M52" s="2449"/>
      <c r="N52" s="896" t="str">
        <f t="shared" si="12"/>
        <v>-</v>
      </c>
      <c r="O52" s="896" t="str">
        <f t="shared" si="13"/>
        <v>-</v>
      </c>
      <c r="P52" s="896" t="str">
        <f t="shared" si="14"/>
        <v>-</v>
      </c>
      <c r="Q52" s="897" t="str">
        <f t="shared" si="15"/>
        <v>-</v>
      </c>
      <c r="R52" s="774">
        <f t="shared" si="16"/>
        <v>0</v>
      </c>
      <c r="S52" s="774">
        <f t="shared" si="17"/>
        <v>0</v>
      </c>
      <c r="T52" s="774">
        <f t="shared" si="18"/>
        <v>0</v>
      </c>
      <c r="U52" s="775">
        <f t="shared" si="19"/>
        <v>0</v>
      </c>
      <c r="V52" s="774">
        <f t="shared" si="20"/>
        <v>0</v>
      </c>
      <c r="W52" s="774">
        <f t="shared" si="21"/>
        <v>0</v>
      </c>
      <c r="X52" s="774">
        <f t="shared" si="22"/>
        <v>0</v>
      </c>
      <c r="Y52" s="775">
        <f t="shared" si="23"/>
        <v>0</v>
      </c>
      <c r="AB52" s="48"/>
    </row>
    <row r="53" spans="1:28" s="121" customFormat="1" ht="24.75" hidden="1" thickBot="1">
      <c r="A53" s="2472" t="s">
        <v>3166</v>
      </c>
      <c r="B53" s="2441"/>
      <c r="C53" s="2442"/>
      <c r="D53" s="2442"/>
      <c r="E53" s="2443"/>
      <c r="F53" s="2444"/>
      <c r="G53" s="2445"/>
      <c r="H53" s="2445"/>
      <c r="I53" s="2446"/>
      <c r="J53" s="2447"/>
      <c r="K53" s="2448"/>
      <c r="L53" s="2448"/>
      <c r="M53" s="2449"/>
      <c r="N53" s="896" t="str">
        <f t="shared" si="12"/>
        <v>-</v>
      </c>
      <c r="O53" s="896" t="str">
        <f t="shared" si="13"/>
        <v>-</v>
      </c>
      <c r="P53" s="896" t="str">
        <f t="shared" si="14"/>
        <v>-</v>
      </c>
      <c r="Q53" s="897" t="str">
        <f t="shared" si="15"/>
        <v>-</v>
      </c>
      <c r="R53" s="774">
        <f t="shared" si="16"/>
        <v>0</v>
      </c>
      <c r="S53" s="774">
        <f t="shared" si="17"/>
        <v>0</v>
      </c>
      <c r="T53" s="774">
        <f t="shared" si="18"/>
        <v>0</v>
      </c>
      <c r="U53" s="775">
        <f t="shared" si="19"/>
        <v>0</v>
      </c>
      <c r="V53" s="774">
        <f t="shared" si="20"/>
        <v>0</v>
      </c>
      <c r="W53" s="774">
        <f t="shared" si="21"/>
        <v>0</v>
      </c>
      <c r="X53" s="774">
        <f t="shared" si="22"/>
        <v>0</v>
      </c>
      <c r="Y53" s="775">
        <f t="shared" si="23"/>
        <v>0</v>
      </c>
      <c r="AB53" s="48"/>
    </row>
    <row r="54" spans="1:28" s="121" customFormat="1" ht="24" hidden="1">
      <c r="A54" s="2473" t="s">
        <v>3167</v>
      </c>
      <c r="B54" s="2441"/>
      <c r="C54" s="2442"/>
      <c r="D54" s="2442"/>
      <c r="E54" s="2443"/>
      <c r="F54" s="2444"/>
      <c r="G54" s="2445"/>
      <c r="H54" s="2445"/>
      <c r="I54" s="2446"/>
      <c r="J54" s="2447"/>
      <c r="K54" s="2448"/>
      <c r="L54" s="2448"/>
      <c r="M54" s="2449"/>
      <c r="N54" s="896" t="str">
        <f t="shared" si="12"/>
        <v>-</v>
      </c>
      <c r="O54" s="896" t="str">
        <f t="shared" si="13"/>
        <v>-</v>
      </c>
      <c r="P54" s="896" t="str">
        <f t="shared" si="14"/>
        <v>-</v>
      </c>
      <c r="Q54" s="897" t="str">
        <f t="shared" si="15"/>
        <v>-</v>
      </c>
      <c r="R54" s="774">
        <f t="shared" si="16"/>
        <v>0</v>
      </c>
      <c r="S54" s="774">
        <f t="shared" si="17"/>
        <v>0</v>
      </c>
      <c r="T54" s="774">
        <f t="shared" si="18"/>
        <v>0</v>
      </c>
      <c r="U54" s="775">
        <f t="shared" si="19"/>
        <v>0</v>
      </c>
      <c r="V54" s="774">
        <f t="shared" si="20"/>
        <v>0</v>
      </c>
      <c r="W54" s="774">
        <f t="shared" si="21"/>
        <v>0</v>
      </c>
      <c r="X54" s="774">
        <f t="shared" si="22"/>
        <v>0</v>
      </c>
      <c r="Y54" s="775">
        <f t="shared" si="23"/>
        <v>0</v>
      </c>
      <c r="AB54" s="48"/>
    </row>
    <row r="55" spans="1:28" s="121" customFormat="1" ht="24" hidden="1">
      <c r="A55" s="2474" t="s">
        <v>3168</v>
      </c>
      <c r="B55" s="2441"/>
      <c r="C55" s="2442"/>
      <c r="D55" s="2442"/>
      <c r="E55" s="2443"/>
      <c r="F55" s="2444"/>
      <c r="G55" s="2445"/>
      <c r="H55" s="2445"/>
      <c r="I55" s="2446"/>
      <c r="J55" s="2447"/>
      <c r="K55" s="2448"/>
      <c r="L55" s="2448"/>
      <c r="M55" s="2449"/>
      <c r="N55" s="896" t="str">
        <f t="shared" si="12"/>
        <v>-</v>
      </c>
      <c r="O55" s="896" t="str">
        <f t="shared" si="13"/>
        <v>-</v>
      </c>
      <c r="P55" s="896" t="str">
        <f t="shared" si="14"/>
        <v>-</v>
      </c>
      <c r="Q55" s="897" t="str">
        <f t="shared" si="15"/>
        <v>-</v>
      </c>
      <c r="R55" s="774">
        <f t="shared" si="16"/>
        <v>0</v>
      </c>
      <c r="S55" s="774">
        <f t="shared" si="17"/>
        <v>0</v>
      </c>
      <c r="T55" s="774">
        <f t="shared" si="18"/>
        <v>0</v>
      </c>
      <c r="U55" s="775">
        <f t="shared" si="19"/>
        <v>0</v>
      </c>
      <c r="V55" s="774">
        <f t="shared" si="20"/>
        <v>0</v>
      </c>
      <c r="W55" s="774">
        <f t="shared" si="21"/>
        <v>0</v>
      </c>
      <c r="X55" s="774">
        <f t="shared" si="22"/>
        <v>0</v>
      </c>
      <c r="Y55" s="775">
        <f t="shared" si="23"/>
        <v>0</v>
      </c>
      <c r="AB55" s="48"/>
    </row>
    <row r="56" spans="1:28" s="121" customFormat="1" ht="24" hidden="1">
      <c r="A56" s="2474" t="s">
        <v>3169</v>
      </c>
      <c r="B56" s="2441"/>
      <c r="C56" s="2442"/>
      <c r="D56" s="2442"/>
      <c r="E56" s="2443"/>
      <c r="F56" s="2444"/>
      <c r="G56" s="2445"/>
      <c r="H56" s="2445"/>
      <c r="I56" s="2446"/>
      <c r="J56" s="2447"/>
      <c r="K56" s="2448"/>
      <c r="L56" s="2448"/>
      <c r="M56" s="2449"/>
      <c r="N56" s="896" t="str">
        <f t="shared" si="12"/>
        <v>-</v>
      </c>
      <c r="O56" s="896" t="str">
        <f t="shared" si="13"/>
        <v>-</v>
      </c>
      <c r="P56" s="896" t="str">
        <f t="shared" si="14"/>
        <v>-</v>
      </c>
      <c r="Q56" s="897" t="str">
        <f t="shared" si="15"/>
        <v>-</v>
      </c>
      <c r="R56" s="774">
        <f t="shared" si="16"/>
        <v>0</v>
      </c>
      <c r="S56" s="774">
        <f t="shared" si="17"/>
        <v>0</v>
      </c>
      <c r="T56" s="774">
        <f t="shared" si="18"/>
        <v>0</v>
      </c>
      <c r="U56" s="775">
        <f t="shared" si="19"/>
        <v>0</v>
      </c>
      <c r="V56" s="774">
        <f t="shared" si="20"/>
        <v>0</v>
      </c>
      <c r="W56" s="774">
        <f t="shared" si="21"/>
        <v>0</v>
      </c>
      <c r="X56" s="774">
        <f t="shared" si="22"/>
        <v>0</v>
      </c>
      <c r="Y56" s="775">
        <f t="shared" si="23"/>
        <v>0</v>
      </c>
      <c r="AB56" s="48"/>
    </row>
    <row r="57" spans="1:28" s="121" customFormat="1" ht="24" hidden="1">
      <c r="A57" s="2474" t="s">
        <v>3170</v>
      </c>
      <c r="B57" s="2441"/>
      <c r="C57" s="2442"/>
      <c r="D57" s="2442"/>
      <c r="E57" s="2443"/>
      <c r="F57" s="2444"/>
      <c r="G57" s="2445"/>
      <c r="H57" s="2445"/>
      <c r="I57" s="2446"/>
      <c r="J57" s="2447"/>
      <c r="K57" s="2448"/>
      <c r="L57" s="2448"/>
      <c r="M57" s="2449"/>
      <c r="N57" s="896" t="str">
        <f t="shared" si="12"/>
        <v>-</v>
      </c>
      <c r="O57" s="896" t="str">
        <f t="shared" si="13"/>
        <v>-</v>
      </c>
      <c r="P57" s="896" t="str">
        <f t="shared" si="14"/>
        <v>-</v>
      </c>
      <c r="Q57" s="897" t="str">
        <f t="shared" si="15"/>
        <v>-</v>
      </c>
      <c r="R57" s="774">
        <f t="shared" si="16"/>
        <v>0</v>
      </c>
      <c r="S57" s="774">
        <f t="shared" si="17"/>
        <v>0</v>
      </c>
      <c r="T57" s="774">
        <f t="shared" si="18"/>
        <v>0</v>
      </c>
      <c r="U57" s="775">
        <f t="shared" si="19"/>
        <v>0</v>
      </c>
      <c r="V57" s="774">
        <f t="shared" si="20"/>
        <v>0</v>
      </c>
      <c r="W57" s="774">
        <f t="shared" si="21"/>
        <v>0</v>
      </c>
      <c r="X57" s="774">
        <f t="shared" si="22"/>
        <v>0</v>
      </c>
      <c r="Y57" s="775">
        <f t="shared" si="23"/>
        <v>0</v>
      </c>
      <c r="AB57" s="48"/>
    </row>
    <row r="58" spans="1:28" s="121" customFormat="1" ht="24" hidden="1">
      <c r="A58" s="2474" t="s">
        <v>3171</v>
      </c>
      <c r="B58" s="2441"/>
      <c r="C58" s="2442"/>
      <c r="D58" s="2442"/>
      <c r="E58" s="2443"/>
      <c r="F58" s="2444"/>
      <c r="G58" s="2445"/>
      <c r="H58" s="2445"/>
      <c r="I58" s="2446"/>
      <c r="J58" s="2447"/>
      <c r="K58" s="2448"/>
      <c r="L58" s="2448"/>
      <c r="M58" s="2449"/>
      <c r="N58" s="896" t="str">
        <f t="shared" si="12"/>
        <v>-</v>
      </c>
      <c r="O58" s="896" t="str">
        <f t="shared" si="13"/>
        <v>-</v>
      </c>
      <c r="P58" s="896" t="str">
        <f t="shared" si="14"/>
        <v>-</v>
      </c>
      <c r="Q58" s="897" t="str">
        <f t="shared" si="15"/>
        <v>-</v>
      </c>
      <c r="R58" s="774">
        <f t="shared" si="16"/>
        <v>0</v>
      </c>
      <c r="S58" s="774">
        <f t="shared" si="17"/>
        <v>0</v>
      </c>
      <c r="T58" s="774">
        <f t="shared" si="18"/>
        <v>0</v>
      </c>
      <c r="U58" s="775">
        <f t="shared" si="19"/>
        <v>0</v>
      </c>
      <c r="V58" s="774">
        <f t="shared" si="20"/>
        <v>0</v>
      </c>
      <c r="W58" s="774">
        <f t="shared" si="21"/>
        <v>0</v>
      </c>
      <c r="X58" s="774">
        <f t="shared" si="22"/>
        <v>0</v>
      </c>
      <c r="Y58" s="775">
        <f t="shared" si="23"/>
        <v>0</v>
      </c>
      <c r="AB58" s="48"/>
    </row>
    <row r="59" spans="1:28" s="121" customFormat="1" ht="24" hidden="1">
      <c r="A59" s="2474" t="s">
        <v>3172</v>
      </c>
      <c r="B59" s="2441"/>
      <c r="C59" s="2442"/>
      <c r="D59" s="2442"/>
      <c r="E59" s="2443"/>
      <c r="F59" s="2444"/>
      <c r="G59" s="2445"/>
      <c r="H59" s="2445"/>
      <c r="I59" s="2446"/>
      <c r="J59" s="2447"/>
      <c r="K59" s="2448"/>
      <c r="L59" s="2448"/>
      <c r="M59" s="2449"/>
      <c r="N59" s="896" t="str">
        <f t="shared" si="12"/>
        <v>-</v>
      </c>
      <c r="O59" s="896" t="str">
        <f t="shared" si="13"/>
        <v>-</v>
      </c>
      <c r="P59" s="896" t="str">
        <f t="shared" si="14"/>
        <v>-</v>
      </c>
      <c r="Q59" s="897" t="str">
        <f t="shared" si="15"/>
        <v>-</v>
      </c>
      <c r="R59" s="774">
        <f t="shared" si="16"/>
        <v>0</v>
      </c>
      <c r="S59" s="774">
        <f t="shared" si="17"/>
        <v>0</v>
      </c>
      <c r="T59" s="774">
        <f t="shared" si="18"/>
        <v>0</v>
      </c>
      <c r="U59" s="775">
        <f t="shared" si="19"/>
        <v>0</v>
      </c>
      <c r="V59" s="774">
        <f t="shared" si="20"/>
        <v>0</v>
      </c>
      <c r="W59" s="774">
        <f t="shared" si="21"/>
        <v>0</v>
      </c>
      <c r="X59" s="774">
        <f t="shared" si="22"/>
        <v>0</v>
      </c>
      <c r="Y59" s="775">
        <f t="shared" si="23"/>
        <v>0</v>
      </c>
      <c r="AB59" s="48"/>
    </row>
    <row r="60" spans="1:28" s="121" customFormat="1" ht="24" hidden="1">
      <c r="A60" s="2474" t="s">
        <v>3173</v>
      </c>
      <c r="B60" s="2441"/>
      <c r="C60" s="2442"/>
      <c r="D60" s="2442"/>
      <c r="E60" s="2443"/>
      <c r="F60" s="2444"/>
      <c r="G60" s="2445"/>
      <c r="H60" s="2445"/>
      <c r="I60" s="2446"/>
      <c r="J60" s="2447"/>
      <c r="K60" s="2448"/>
      <c r="L60" s="2448"/>
      <c r="M60" s="2449"/>
      <c r="N60" s="2431" t="str">
        <f t="shared" si="12"/>
        <v>-</v>
      </c>
      <c r="O60" s="2431" t="str">
        <f t="shared" si="13"/>
        <v>-</v>
      </c>
      <c r="P60" s="2431" t="str">
        <f t="shared" si="14"/>
        <v>-</v>
      </c>
      <c r="Q60" s="2432" t="str">
        <f t="shared" si="15"/>
        <v>-</v>
      </c>
      <c r="R60" s="2433">
        <f t="shared" si="16"/>
        <v>0</v>
      </c>
      <c r="S60" s="2433">
        <f t="shared" si="17"/>
        <v>0</v>
      </c>
      <c r="T60" s="2433">
        <f t="shared" si="18"/>
        <v>0</v>
      </c>
      <c r="U60" s="2434">
        <f t="shared" si="19"/>
        <v>0</v>
      </c>
      <c r="V60" s="2433">
        <f t="shared" si="20"/>
        <v>0</v>
      </c>
      <c r="W60" s="2433">
        <f t="shared" si="21"/>
        <v>0</v>
      </c>
      <c r="X60" s="2433">
        <f t="shared" si="22"/>
        <v>0</v>
      </c>
      <c r="Y60" s="2434">
        <f t="shared" si="23"/>
        <v>0</v>
      </c>
      <c r="AB60" s="48"/>
    </row>
    <row r="61" spans="1:28" s="121" customFormat="1" ht="24.75" hidden="1" thickBot="1">
      <c r="A61" s="2474" t="s">
        <v>3174</v>
      </c>
      <c r="B61" s="2441"/>
      <c r="C61" s="2442"/>
      <c r="D61" s="2442"/>
      <c r="E61" s="2443"/>
      <c r="F61" s="2444"/>
      <c r="G61" s="2445"/>
      <c r="H61" s="2445"/>
      <c r="I61" s="2446"/>
      <c r="J61" s="2447"/>
      <c r="K61" s="2448"/>
      <c r="L61" s="2448"/>
      <c r="M61" s="2449"/>
      <c r="N61" s="2431" t="str">
        <f t="shared" si="12"/>
        <v>-</v>
      </c>
      <c r="O61" s="2431" t="str">
        <f t="shared" si="13"/>
        <v>-</v>
      </c>
      <c r="P61" s="2431" t="str">
        <f t="shared" si="14"/>
        <v>-</v>
      </c>
      <c r="Q61" s="2432" t="str">
        <f t="shared" si="15"/>
        <v>-</v>
      </c>
      <c r="R61" s="2433">
        <f t="shared" si="16"/>
        <v>0</v>
      </c>
      <c r="S61" s="2433">
        <f t="shared" si="17"/>
        <v>0</v>
      </c>
      <c r="T61" s="2433">
        <f t="shared" si="18"/>
        <v>0</v>
      </c>
      <c r="U61" s="2434">
        <f t="shared" si="19"/>
        <v>0</v>
      </c>
      <c r="V61" s="2433">
        <f t="shared" si="20"/>
        <v>0</v>
      </c>
      <c r="W61" s="2433">
        <f t="shared" si="21"/>
        <v>0</v>
      </c>
      <c r="X61" s="2433">
        <f t="shared" si="22"/>
        <v>0</v>
      </c>
      <c r="Y61" s="2434">
        <f t="shared" si="23"/>
        <v>0</v>
      </c>
      <c r="AB61" s="48"/>
    </row>
    <row r="62" spans="1:28" s="121" customFormat="1" ht="24" hidden="1">
      <c r="A62" s="2475" t="s">
        <v>3175</v>
      </c>
      <c r="B62" s="2441"/>
      <c r="C62" s="2442"/>
      <c r="D62" s="2442"/>
      <c r="E62" s="2443"/>
      <c r="F62" s="2444"/>
      <c r="G62" s="2445"/>
      <c r="H62" s="2445"/>
      <c r="I62" s="2446"/>
      <c r="J62" s="2447"/>
      <c r="K62" s="2448"/>
      <c r="L62" s="2448"/>
      <c r="M62" s="2449"/>
      <c r="N62" s="2431" t="str">
        <f t="shared" si="12"/>
        <v>-</v>
      </c>
      <c r="O62" s="2431" t="str">
        <f t="shared" si="13"/>
        <v>-</v>
      </c>
      <c r="P62" s="2431" t="str">
        <f t="shared" si="14"/>
        <v>-</v>
      </c>
      <c r="Q62" s="2432" t="str">
        <f t="shared" si="15"/>
        <v>-</v>
      </c>
      <c r="R62" s="2433">
        <f t="shared" si="16"/>
        <v>0</v>
      </c>
      <c r="S62" s="2433">
        <f t="shared" si="17"/>
        <v>0</v>
      </c>
      <c r="T62" s="2433">
        <f t="shared" si="18"/>
        <v>0</v>
      </c>
      <c r="U62" s="2434">
        <f t="shared" si="19"/>
        <v>0</v>
      </c>
      <c r="V62" s="2433">
        <f t="shared" si="20"/>
        <v>0</v>
      </c>
      <c r="W62" s="2433">
        <f t="shared" si="21"/>
        <v>0</v>
      </c>
      <c r="X62" s="2433">
        <f t="shared" si="22"/>
        <v>0</v>
      </c>
      <c r="Y62" s="2434">
        <f t="shared" si="23"/>
        <v>0</v>
      </c>
      <c r="AB62" s="48"/>
    </row>
    <row r="63" spans="1:28" s="121" customFormat="1" ht="24.75" hidden="1" thickBot="1">
      <c r="A63" s="2476" t="s">
        <v>3176</v>
      </c>
      <c r="B63" s="2441"/>
      <c r="C63" s="2442"/>
      <c r="D63" s="2442"/>
      <c r="E63" s="2443"/>
      <c r="F63" s="2444"/>
      <c r="G63" s="2445"/>
      <c r="H63" s="2445"/>
      <c r="I63" s="2446"/>
      <c r="J63" s="2447"/>
      <c r="K63" s="2448"/>
      <c r="L63" s="2448"/>
      <c r="M63" s="2449"/>
      <c r="N63" s="2431" t="str">
        <f t="shared" si="12"/>
        <v>-</v>
      </c>
      <c r="O63" s="2431" t="str">
        <f t="shared" si="13"/>
        <v>-</v>
      </c>
      <c r="P63" s="2431" t="str">
        <f t="shared" si="14"/>
        <v>-</v>
      </c>
      <c r="Q63" s="2432" t="str">
        <f t="shared" si="15"/>
        <v>-</v>
      </c>
      <c r="R63" s="2433">
        <f t="shared" si="16"/>
        <v>0</v>
      </c>
      <c r="S63" s="2433">
        <f t="shared" si="17"/>
        <v>0</v>
      </c>
      <c r="T63" s="2433">
        <f t="shared" si="18"/>
        <v>0</v>
      </c>
      <c r="U63" s="2434">
        <f t="shared" si="19"/>
        <v>0</v>
      </c>
      <c r="V63" s="2433">
        <f t="shared" si="20"/>
        <v>0</v>
      </c>
      <c r="W63" s="2433">
        <f t="shared" si="21"/>
        <v>0</v>
      </c>
      <c r="X63" s="2433">
        <f t="shared" si="22"/>
        <v>0</v>
      </c>
      <c r="Y63" s="2434">
        <f t="shared" si="23"/>
        <v>0</v>
      </c>
      <c r="AB63" s="48"/>
    </row>
    <row r="64" spans="1:28" s="121" customFormat="1" ht="24" hidden="1">
      <c r="A64" s="2477" t="s">
        <v>3177</v>
      </c>
      <c r="B64" s="2441"/>
      <c r="C64" s="2442"/>
      <c r="D64" s="2442"/>
      <c r="E64" s="2443"/>
      <c r="F64" s="2444"/>
      <c r="G64" s="2445"/>
      <c r="H64" s="2445"/>
      <c r="I64" s="2446"/>
      <c r="J64" s="2447"/>
      <c r="K64" s="2448"/>
      <c r="L64" s="2448"/>
      <c r="M64" s="2449"/>
      <c r="N64" s="2431" t="str">
        <f t="shared" si="12"/>
        <v>-</v>
      </c>
      <c r="O64" s="2431" t="str">
        <f t="shared" si="13"/>
        <v>-</v>
      </c>
      <c r="P64" s="2431" t="str">
        <f t="shared" si="14"/>
        <v>-</v>
      </c>
      <c r="Q64" s="2432" t="str">
        <f t="shared" si="15"/>
        <v>-</v>
      </c>
      <c r="R64" s="2433">
        <f t="shared" si="16"/>
        <v>0</v>
      </c>
      <c r="S64" s="2433">
        <f t="shared" si="17"/>
        <v>0</v>
      </c>
      <c r="T64" s="2433">
        <f t="shared" si="18"/>
        <v>0</v>
      </c>
      <c r="U64" s="2434">
        <f t="shared" si="19"/>
        <v>0</v>
      </c>
      <c r="V64" s="2433">
        <f t="shared" si="20"/>
        <v>0</v>
      </c>
      <c r="W64" s="2433">
        <f t="shared" si="21"/>
        <v>0</v>
      </c>
      <c r="X64" s="2433">
        <f t="shared" si="22"/>
        <v>0</v>
      </c>
      <c r="Y64" s="2434">
        <f t="shared" si="23"/>
        <v>0</v>
      </c>
      <c r="AB64" s="48"/>
    </row>
    <row r="65" spans="1:28" s="121" customFormat="1" ht="24" hidden="1">
      <c r="A65" s="2478" t="s">
        <v>3178</v>
      </c>
      <c r="B65" s="2441"/>
      <c r="C65" s="2442"/>
      <c r="D65" s="2442"/>
      <c r="E65" s="2443"/>
      <c r="F65" s="2444"/>
      <c r="G65" s="2445"/>
      <c r="H65" s="2445"/>
      <c r="I65" s="2446"/>
      <c r="J65" s="2447"/>
      <c r="K65" s="2448"/>
      <c r="L65" s="2448"/>
      <c r="M65" s="2449"/>
      <c r="N65" s="2431" t="str">
        <f t="shared" si="12"/>
        <v>-</v>
      </c>
      <c r="O65" s="2431" t="str">
        <f t="shared" si="13"/>
        <v>-</v>
      </c>
      <c r="P65" s="2431" t="str">
        <f t="shared" si="14"/>
        <v>-</v>
      </c>
      <c r="Q65" s="2432" t="str">
        <f t="shared" si="15"/>
        <v>-</v>
      </c>
      <c r="R65" s="2433">
        <f t="shared" si="16"/>
        <v>0</v>
      </c>
      <c r="S65" s="2433">
        <f t="shared" si="17"/>
        <v>0</v>
      </c>
      <c r="T65" s="2433">
        <f t="shared" si="18"/>
        <v>0</v>
      </c>
      <c r="U65" s="2434">
        <f t="shared" si="19"/>
        <v>0</v>
      </c>
      <c r="V65" s="2433">
        <f t="shared" si="20"/>
        <v>0</v>
      </c>
      <c r="W65" s="2433">
        <f t="shared" si="21"/>
        <v>0</v>
      </c>
      <c r="X65" s="2433">
        <f t="shared" si="22"/>
        <v>0</v>
      </c>
      <c r="Y65" s="2434">
        <f t="shared" si="23"/>
        <v>0</v>
      </c>
      <c r="AB65" s="48"/>
    </row>
    <row r="66" spans="1:28" s="121" customFormat="1" ht="24" hidden="1">
      <c r="A66" s="2478" t="s">
        <v>3179</v>
      </c>
      <c r="B66" s="2441"/>
      <c r="C66" s="2442"/>
      <c r="D66" s="2442"/>
      <c r="E66" s="2443"/>
      <c r="F66" s="2444"/>
      <c r="G66" s="2445"/>
      <c r="H66" s="2445"/>
      <c r="I66" s="2446"/>
      <c r="J66" s="2447"/>
      <c r="K66" s="2448"/>
      <c r="L66" s="2448"/>
      <c r="M66" s="2449"/>
      <c r="N66" s="2431" t="str">
        <f t="shared" si="12"/>
        <v>-</v>
      </c>
      <c r="O66" s="2431" t="str">
        <f t="shared" si="13"/>
        <v>-</v>
      </c>
      <c r="P66" s="2431" t="str">
        <f t="shared" si="14"/>
        <v>-</v>
      </c>
      <c r="Q66" s="2432" t="str">
        <f t="shared" si="15"/>
        <v>-</v>
      </c>
      <c r="R66" s="2433">
        <f t="shared" si="16"/>
        <v>0</v>
      </c>
      <c r="S66" s="2433">
        <f t="shared" si="17"/>
        <v>0</v>
      </c>
      <c r="T66" s="2433">
        <f t="shared" si="18"/>
        <v>0</v>
      </c>
      <c r="U66" s="2434">
        <f t="shared" si="19"/>
        <v>0</v>
      </c>
      <c r="V66" s="2433">
        <f t="shared" si="20"/>
        <v>0</v>
      </c>
      <c r="W66" s="2433">
        <f t="shared" si="21"/>
        <v>0</v>
      </c>
      <c r="X66" s="2433">
        <f t="shared" si="22"/>
        <v>0</v>
      </c>
      <c r="Y66" s="2434">
        <f t="shared" si="23"/>
        <v>0</v>
      </c>
      <c r="AB66" s="48"/>
    </row>
    <row r="67" spans="1:28" s="121" customFormat="1" ht="24.75" hidden="1" thickBot="1">
      <c r="A67" s="2478" t="s">
        <v>3180</v>
      </c>
      <c r="B67" s="2441"/>
      <c r="C67" s="2442"/>
      <c r="D67" s="2442"/>
      <c r="E67" s="2443"/>
      <c r="F67" s="2444"/>
      <c r="G67" s="2445"/>
      <c r="H67" s="2445"/>
      <c r="I67" s="2446"/>
      <c r="J67" s="2447"/>
      <c r="K67" s="2448"/>
      <c r="L67" s="2448"/>
      <c r="M67" s="2449"/>
      <c r="N67" s="2431" t="str">
        <f t="shared" si="12"/>
        <v>-</v>
      </c>
      <c r="O67" s="2431" t="str">
        <f t="shared" si="13"/>
        <v>-</v>
      </c>
      <c r="P67" s="2431" t="str">
        <f t="shared" si="14"/>
        <v>-</v>
      </c>
      <c r="Q67" s="2432" t="str">
        <f t="shared" si="15"/>
        <v>-</v>
      </c>
      <c r="R67" s="2433">
        <f t="shared" si="16"/>
        <v>0</v>
      </c>
      <c r="S67" s="2433">
        <f t="shared" si="17"/>
        <v>0</v>
      </c>
      <c r="T67" s="2433">
        <f t="shared" si="18"/>
        <v>0</v>
      </c>
      <c r="U67" s="2434">
        <f t="shared" si="19"/>
        <v>0</v>
      </c>
      <c r="V67" s="2433">
        <f t="shared" si="20"/>
        <v>0</v>
      </c>
      <c r="W67" s="2433">
        <f t="shared" si="21"/>
        <v>0</v>
      </c>
      <c r="X67" s="2433">
        <f t="shared" si="22"/>
        <v>0</v>
      </c>
      <c r="Y67" s="2434">
        <f t="shared" si="23"/>
        <v>0</v>
      </c>
      <c r="AB67" s="48"/>
    </row>
    <row r="68" spans="1:28" s="121" customFormat="1" ht="24.75" hidden="1" thickBot="1">
      <c r="A68" s="2479" t="s">
        <v>3181</v>
      </c>
      <c r="B68" s="2441"/>
      <c r="C68" s="2442"/>
      <c r="D68" s="2442"/>
      <c r="E68" s="2443"/>
      <c r="F68" s="2444"/>
      <c r="G68" s="2445"/>
      <c r="H68" s="2445"/>
      <c r="I68" s="2446"/>
      <c r="J68" s="2447"/>
      <c r="K68" s="2448"/>
      <c r="L68" s="2448"/>
      <c r="M68" s="2449"/>
      <c r="N68" s="2431" t="str">
        <f t="shared" si="12"/>
        <v>-</v>
      </c>
      <c r="O68" s="2431" t="str">
        <f t="shared" si="13"/>
        <v>-</v>
      </c>
      <c r="P68" s="2431" t="str">
        <f t="shared" si="14"/>
        <v>-</v>
      </c>
      <c r="Q68" s="2432" t="str">
        <f t="shared" si="15"/>
        <v>-</v>
      </c>
      <c r="R68" s="2433">
        <f t="shared" si="16"/>
        <v>0</v>
      </c>
      <c r="S68" s="2433">
        <f t="shared" si="17"/>
        <v>0</v>
      </c>
      <c r="T68" s="2433">
        <f t="shared" si="18"/>
        <v>0</v>
      </c>
      <c r="U68" s="2434">
        <f t="shared" si="19"/>
        <v>0</v>
      </c>
      <c r="V68" s="2433">
        <f t="shared" si="20"/>
        <v>0</v>
      </c>
      <c r="W68" s="2433">
        <f t="shared" si="21"/>
        <v>0</v>
      </c>
      <c r="X68" s="2433">
        <f t="shared" si="22"/>
        <v>0</v>
      </c>
      <c r="Y68" s="2434">
        <f t="shared" si="23"/>
        <v>0</v>
      </c>
      <c r="AB68" s="48"/>
    </row>
    <row r="69" spans="1:28" s="121" customFormat="1" ht="24.75" hidden="1" thickBot="1">
      <c r="A69" s="2480" t="s">
        <v>3182</v>
      </c>
      <c r="B69" s="2441"/>
      <c r="C69" s="2442"/>
      <c r="D69" s="2442"/>
      <c r="E69" s="2443"/>
      <c r="F69" s="2444"/>
      <c r="G69" s="2445"/>
      <c r="H69" s="2445"/>
      <c r="I69" s="2446"/>
      <c r="J69" s="2447"/>
      <c r="K69" s="2448"/>
      <c r="L69" s="2448"/>
      <c r="M69" s="2449"/>
      <c r="N69" s="2431" t="str">
        <f t="shared" si="12"/>
        <v>-</v>
      </c>
      <c r="O69" s="2431" t="str">
        <f t="shared" si="13"/>
        <v>-</v>
      </c>
      <c r="P69" s="2431" t="str">
        <f t="shared" si="14"/>
        <v>-</v>
      </c>
      <c r="Q69" s="2432" t="str">
        <f t="shared" si="15"/>
        <v>-</v>
      </c>
      <c r="R69" s="2433">
        <f t="shared" si="16"/>
        <v>0</v>
      </c>
      <c r="S69" s="2433">
        <f t="shared" si="17"/>
        <v>0</v>
      </c>
      <c r="T69" s="2433">
        <f t="shared" si="18"/>
        <v>0</v>
      </c>
      <c r="U69" s="2434">
        <f t="shared" si="19"/>
        <v>0</v>
      </c>
      <c r="V69" s="2433">
        <f t="shared" si="20"/>
        <v>0</v>
      </c>
      <c r="W69" s="2433">
        <f t="shared" si="21"/>
        <v>0</v>
      </c>
      <c r="X69" s="2433">
        <f t="shared" si="22"/>
        <v>0</v>
      </c>
      <c r="Y69" s="2434">
        <f t="shared" si="23"/>
        <v>0</v>
      </c>
      <c r="AB69" s="48"/>
    </row>
    <row r="70" spans="1:28" s="121" customFormat="1" ht="24.75" hidden="1" thickBot="1">
      <c r="A70" s="1111"/>
      <c r="B70" s="2441"/>
      <c r="C70" s="2442"/>
      <c r="D70" s="2442"/>
      <c r="E70" s="2443"/>
      <c r="F70" s="2444"/>
      <c r="G70" s="2445"/>
      <c r="H70" s="2445"/>
      <c r="I70" s="2446"/>
      <c r="J70" s="2447"/>
      <c r="K70" s="2448"/>
      <c r="L70" s="2448"/>
      <c r="M70" s="2449"/>
      <c r="N70" s="2431" t="str">
        <f t="shared" si="12"/>
        <v>-</v>
      </c>
      <c r="O70" s="2431" t="str">
        <f t="shared" si="13"/>
        <v>-</v>
      </c>
      <c r="P70" s="2431" t="str">
        <f t="shared" si="14"/>
        <v>-</v>
      </c>
      <c r="Q70" s="2432" t="str">
        <f t="shared" si="15"/>
        <v>-</v>
      </c>
      <c r="R70" s="2433">
        <f t="shared" si="16"/>
        <v>0</v>
      </c>
      <c r="S70" s="2433">
        <f t="shared" si="17"/>
        <v>0</v>
      </c>
      <c r="T70" s="2433">
        <f t="shared" si="18"/>
        <v>0</v>
      </c>
      <c r="U70" s="2434">
        <f t="shared" si="19"/>
        <v>0</v>
      </c>
      <c r="V70" s="2433">
        <f t="shared" si="20"/>
        <v>0</v>
      </c>
      <c r="W70" s="2433">
        <f t="shared" si="21"/>
        <v>0</v>
      </c>
      <c r="X70" s="2433">
        <f t="shared" si="22"/>
        <v>0</v>
      </c>
      <c r="Y70" s="2434">
        <f t="shared" si="23"/>
        <v>0</v>
      </c>
      <c r="AB70" s="48"/>
    </row>
    <row r="71" spans="1:28" s="121" customFormat="1" ht="24.75" thickBot="1">
      <c r="A71" s="776" t="s">
        <v>456</v>
      </c>
      <c r="B71" s="2428">
        <f>SUM(B42:B51)</f>
        <v>102609</v>
      </c>
      <c r="C71" s="2429">
        <f t="shared" ref="C71:M71" si="24">SUM(C42:C51)</f>
        <v>3902</v>
      </c>
      <c r="D71" s="2429">
        <f t="shared" si="24"/>
        <v>113724</v>
      </c>
      <c r="E71" s="2430">
        <f t="shared" si="24"/>
        <v>498346</v>
      </c>
      <c r="F71" s="2428">
        <f t="shared" si="24"/>
        <v>142771.97532242304</v>
      </c>
      <c r="G71" s="2429">
        <f t="shared" si="24"/>
        <v>9774.4184502281296</v>
      </c>
      <c r="H71" s="2429">
        <f t="shared" si="24"/>
        <v>152262.27588707619</v>
      </c>
      <c r="I71" s="2430">
        <f t="shared" si="24"/>
        <v>509431.766219393</v>
      </c>
      <c r="J71" s="2428">
        <f t="shared" si="24"/>
        <v>139260</v>
      </c>
      <c r="K71" s="2429">
        <f t="shared" si="24"/>
        <v>657</v>
      </c>
      <c r="L71" s="2429">
        <f t="shared" si="24"/>
        <v>145726</v>
      </c>
      <c r="M71" s="2430">
        <f t="shared" si="24"/>
        <v>641162</v>
      </c>
      <c r="N71" s="2435">
        <f t="shared" si="12"/>
        <v>97.540150779246474</v>
      </c>
      <c r="O71" s="2436">
        <f t="shared" si="13"/>
        <v>6.7216275151865021</v>
      </c>
      <c r="P71" s="2436">
        <f t="shared" si="14"/>
        <v>95.707225674254502</v>
      </c>
      <c r="Q71" s="2437">
        <f t="shared" si="15"/>
        <v>125.85826847002622</v>
      </c>
      <c r="R71" s="2438">
        <f t="shared" si="16"/>
        <v>-3511.9753224230371</v>
      </c>
      <c r="S71" s="2439">
        <f t="shared" si="17"/>
        <v>-9117.4184502281296</v>
      </c>
      <c r="T71" s="2439">
        <f t="shared" si="18"/>
        <v>-6536.27588707619</v>
      </c>
      <c r="U71" s="2440">
        <f t="shared" si="19"/>
        <v>131730.233780607</v>
      </c>
      <c r="V71" s="2438">
        <f t="shared" si="20"/>
        <v>36651</v>
      </c>
      <c r="W71" s="2439">
        <f t="shared" si="21"/>
        <v>-3245</v>
      </c>
      <c r="X71" s="2439">
        <f t="shared" si="22"/>
        <v>32002</v>
      </c>
      <c r="Y71" s="2440">
        <f t="shared" si="23"/>
        <v>142816</v>
      </c>
    </row>
    <row r="72" spans="1:28" s="121" customFormat="1">
      <c r="A72" s="892"/>
      <c r="B72" s="892"/>
      <c r="C72" s="892"/>
      <c r="D72" s="892"/>
      <c r="E72" s="892"/>
      <c r="F72" s="892"/>
      <c r="G72" s="892"/>
      <c r="H72" s="892"/>
      <c r="I72" s="892"/>
      <c r="J72" s="892"/>
      <c r="K72" s="892"/>
      <c r="L72" s="892"/>
      <c r="M72" s="892"/>
      <c r="N72" s="892"/>
      <c r="O72" s="892"/>
      <c r="P72" s="892"/>
      <c r="Q72" s="892"/>
      <c r="R72" s="892"/>
      <c r="S72" s="892"/>
      <c r="T72" s="892"/>
      <c r="U72" s="892"/>
      <c r="V72" s="892"/>
      <c r="W72" s="892"/>
      <c r="X72" s="892"/>
      <c r="Y72" s="892"/>
    </row>
    <row r="73" spans="1:28" s="121" customFormat="1" ht="33.75">
      <c r="A73" s="2787" t="s">
        <v>457</v>
      </c>
      <c r="B73" s="2787"/>
      <c r="C73" s="2787"/>
      <c r="D73" s="2787"/>
      <c r="E73" s="2787"/>
      <c r="F73" s="2788"/>
      <c r="G73" s="2788"/>
      <c r="H73" s="2788"/>
      <c r="I73" s="2788"/>
      <c r="J73" s="2788"/>
      <c r="K73" s="2788"/>
      <c r="L73" s="2788"/>
      <c r="M73" s="2788"/>
      <c r="N73" s="2788"/>
      <c r="O73" s="2788"/>
      <c r="P73" s="2788"/>
      <c r="Q73" s="2788"/>
      <c r="R73" s="2788"/>
      <c r="S73" s="2788"/>
      <c r="T73" s="2788"/>
      <c r="U73" s="2788"/>
      <c r="V73" s="2788"/>
      <c r="W73" s="2788"/>
      <c r="X73" s="2788"/>
      <c r="Y73" s="2788"/>
    </row>
    <row r="74" spans="1:28" ht="15.75" thickBot="1">
      <c r="A74"/>
      <c r="B74"/>
      <c r="C74"/>
      <c r="D74"/>
      <c r="E74"/>
      <c r="F74"/>
      <c r="G74"/>
      <c r="H74"/>
      <c r="I74"/>
      <c r="J74"/>
      <c r="K74"/>
      <c r="L74"/>
      <c r="M74"/>
      <c r="N74"/>
      <c r="O74"/>
      <c r="P74"/>
      <c r="Q74"/>
      <c r="R74"/>
      <c r="S74"/>
      <c r="T74"/>
      <c r="U74"/>
      <c r="V74"/>
      <c r="W74"/>
      <c r="X74"/>
      <c r="Y74"/>
    </row>
    <row r="75" spans="1:28" ht="68.25" customHeight="1">
      <c r="A75" s="2771" t="s">
        <v>458</v>
      </c>
      <c r="B75" s="2773" t="s">
        <v>488</v>
      </c>
      <c r="C75" s="2775" t="s">
        <v>186</v>
      </c>
      <c r="D75" s="2776"/>
      <c r="E75" s="2775" t="s">
        <v>218</v>
      </c>
      <c r="F75" s="2776"/>
      <c r="G75" s="2773" t="s">
        <v>489</v>
      </c>
      <c r="H75" s="2773"/>
      <c r="I75" s="2781" t="s">
        <v>490</v>
      </c>
      <c r="J75" s="2782"/>
      <c r="K75"/>
      <c r="L75"/>
      <c r="M75"/>
      <c r="N75"/>
      <c r="O75"/>
      <c r="P75"/>
      <c r="Q75"/>
      <c r="R75"/>
      <c r="S75"/>
      <c r="T75"/>
      <c r="U75"/>
      <c r="V75"/>
      <c r="W75"/>
      <c r="X75"/>
      <c r="Y75"/>
      <c r="AA75" s="121"/>
    </row>
    <row r="76" spans="1:28" ht="60" customHeight="1">
      <c r="A76" s="2772"/>
      <c r="B76" s="2774"/>
      <c r="C76" s="2777"/>
      <c r="D76" s="2778"/>
      <c r="E76" s="2777"/>
      <c r="F76" s="2778"/>
      <c r="G76" s="777" t="s">
        <v>459</v>
      </c>
      <c r="H76" s="777" t="s">
        <v>460</v>
      </c>
      <c r="I76" s="777" t="s">
        <v>459</v>
      </c>
      <c r="J76" s="778" t="s">
        <v>461</v>
      </c>
      <c r="K76"/>
      <c r="L76"/>
      <c r="M76"/>
      <c r="N76"/>
      <c r="O76"/>
      <c r="P76"/>
      <c r="Q76"/>
      <c r="R76"/>
      <c r="S76"/>
      <c r="T76"/>
      <c r="U76"/>
      <c r="V76"/>
      <c r="W76"/>
      <c r="X76"/>
      <c r="Y76"/>
      <c r="AA76" s="121"/>
    </row>
    <row r="77" spans="1:28" ht="24">
      <c r="A77" s="779" t="s">
        <v>452</v>
      </c>
      <c r="B77" s="780">
        <f>B71</f>
        <v>102609</v>
      </c>
      <c r="C77" s="2779">
        <f>F71</f>
        <v>142771.97532242304</v>
      </c>
      <c r="D77" s="2780"/>
      <c r="E77" s="2779">
        <f>J71</f>
        <v>139260</v>
      </c>
      <c r="F77" s="2780"/>
      <c r="G77" s="780">
        <f>E77-B77</f>
        <v>36651</v>
      </c>
      <c r="H77" s="780">
        <f>IFERROR((E77-B77)*100/B77,"-")</f>
        <v>35.719088968803909</v>
      </c>
      <c r="I77" s="780">
        <f>E77-C77</f>
        <v>-3511.9753224230371</v>
      </c>
      <c r="J77" s="781">
        <f>IFERROR(E77*100/C77,"-")</f>
        <v>97.540150779246474</v>
      </c>
      <c r="K77"/>
      <c r="L77"/>
      <c r="M77"/>
      <c r="N77"/>
      <c r="O77"/>
      <c r="P77"/>
      <c r="Q77"/>
      <c r="R77"/>
      <c r="S77"/>
      <c r="T77"/>
      <c r="U77"/>
      <c r="V77"/>
      <c r="W77"/>
      <c r="X77"/>
      <c r="Y77"/>
      <c r="AA77" s="121"/>
    </row>
    <row r="78" spans="1:28" ht="24">
      <c r="A78" s="779" t="s">
        <v>453</v>
      </c>
      <c r="B78" s="780">
        <f>C71</f>
        <v>3902</v>
      </c>
      <c r="C78" s="2779">
        <f>G71</f>
        <v>9774.4184502281296</v>
      </c>
      <c r="D78" s="2780"/>
      <c r="E78" s="2779">
        <f>K71</f>
        <v>657</v>
      </c>
      <c r="F78" s="2780"/>
      <c r="G78" s="780">
        <f>E78-B78</f>
        <v>-3245</v>
      </c>
      <c r="H78" s="780">
        <f>IFERROR((E78-B78)*100/B78,"-")</f>
        <v>-83.162480779087645</v>
      </c>
      <c r="I78" s="780">
        <f>E78-C78</f>
        <v>-9117.4184502281296</v>
      </c>
      <c r="J78" s="781">
        <f>IFERROR(E78*100/C78,"-")</f>
        <v>6.7216275151865021</v>
      </c>
      <c r="K78"/>
      <c r="L78"/>
      <c r="M78"/>
      <c r="N78"/>
      <c r="O78"/>
      <c r="P78"/>
      <c r="Q78"/>
      <c r="R78"/>
      <c r="S78"/>
      <c r="T78"/>
      <c r="U78"/>
      <c r="V78"/>
      <c r="W78"/>
      <c r="X78"/>
      <c r="Y78"/>
      <c r="AA78" s="121"/>
    </row>
    <row r="79" spans="1:28" ht="24">
      <c r="A79" s="779" t="s">
        <v>454</v>
      </c>
      <c r="B79" s="780">
        <f>D71</f>
        <v>113724</v>
      </c>
      <c r="C79" s="2779">
        <f>H71</f>
        <v>152262.27588707619</v>
      </c>
      <c r="D79" s="2780"/>
      <c r="E79" s="2779">
        <f>L71</f>
        <v>145726</v>
      </c>
      <c r="F79" s="2780"/>
      <c r="G79" s="780">
        <f>E79-B79</f>
        <v>32002</v>
      </c>
      <c r="H79" s="780">
        <f>IFERROR((E79-B79)*100/B79,"-")</f>
        <v>28.140058386971969</v>
      </c>
      <c r="I79" s="780">
        <f>E79-C79</f>
        <v>-6536.27588707619</v>
      </c>
      <c r="J79" s="781">
        <f>IFERROR(E79*100/C79,"-")</f>
        <v>95.707225674254502</v>
      </c>
      <c r="K79"/>
      <c r="L79"/>
      <c r="M79"/>
      <c r="N79"/>
      <c r="O79"/>
      <c r="P79"/>
      <c r="Q79"/>
      <c r="R79"/>
      <c r="S79"/>
      <c r="T79"/>
      <c r="U79"/>
      <c r="V79"/>
      <c r="W79"/>
      <c r="X79"/>
      <c r="Y79"/>
      <c r="AA79" s="121"/>
    </row>
    <row r="80" spans="1:28" ht="24.75" thickBot="1">
      <c r="A80" s="782" t="s">
        <v>455</v>
      </c>
      <c r="B80" s="783">
        <f>E71</f>
        <v>498346</v>
      </c>
      <c r="C80" s="2785">
        <f>I71</f>
        <v>509431.766219393</v>
      </c>
      <c r="D80" s="2786"/>
      <c r="E80" s="2785">
        <f>M71</f>
        <v>641162</v>
      </c>
      <c r="F80" s="2786"/>
      <c r="G80" s="783">
        <f>E80-B80</f>
        <v>142816</v>
      </c>
      <c r="H80" s="783">
        <f>IFERROR((E80-B80)*100/B80,"-")</f>
        <v>28.658000666203801</v>
      </c>
      <c r="I80" s="783">
        <f>E80-C80</f>
        <v>131730.233780607</v>
      </c>
      <c r="J80" s="784">
        <f>IFERROR(E80*100/C80,"-")</f>
        <v>125.85826847002622</v>
      </c>
      <c r="K80"/>
      <c r="L80"/>
      <c r="M80"/>
      <c r="N80"/>
      <c r="O80"/>
      <c r="P80"/>
      <c r="Q80"/>
      <c r="R80"/>
      <c r="S80"/>
      <c r="T80"/>
      <c r="U80"/>
      <c r="V80"/>
      <c r="W80"/>
      <c r="X80"/>
      <c r="Y80"/>
      <c r="AA80" s="121"/>
    </row>
    <row r="81" spans="1:27" ht="7.5" customHeight="1" thickBot="1">
      <c r="A81"/>
      <c r="B81"/>
      <c r="C81"/>
      <c r="D81"/>
      <c r="E81"/>
      <c r="F81" s="785"/>
      <c r="G81"/>
      <c r="H81"/>
      <c r="I81"/>
      <c r="J81"/>
      <c r="K81"/>
      <c r="L81"/>
      <c r="M81"/>
      <c r="N81"/>
      <c r="O81"/>
      <c r="P81"/>
      <c r="Q81"/>
      <c r="R81"/>
      <c r="S81"/>
      <c r="T81"/>
      <c r="U81"/>
      <c r="V81"/>
      <c r="W81"/>
      <c r="X81"/>
      <c r="Y81"/>
    </row>
    <row r="82" spans="1:27" ht="15.75" hidden="1" thickBot="1">
      <c r="A82"/>
      <c r="B82"/>
      <c r="C82"/>
      <c r="D82"/>
      <c r="E82"/>
      <c r="F82"/>
      <c r="G82"/>
      <c r="H82"/>
      <c r="I82"/>
      <c r="J82"/>
      <c r="K82"/>
      <c r="L82"/>
      <c r="M82"/>
      <c r="N82"/>
      <c r="O82"/>
      <c r="P82"/>
      <c r="Q82"/>
      <c r="R82"/>
      <c r="S82"/>
      <c r="T82"/>
      <c r="U82"/>
      <c r="V82"/>
      <c r="W82"/>
      <c r="X82"/>
      <c r="Y82"/>
    </row>
    <row r="83" spans="1:27" ht="15.75" hidden="1" thickBot="1">
      <c r="A83"/>
      <c r="B83"/>
      <c r="C83"/>
      <c r="D83"/>
      <c r="E83"/>
      <c r="F83"/>
      <c r="G83"/>
      <c r="H83"/>
      <c r="I83"/>
      <c r="J83"/>
      <c r="K83"/>
      <c r="L83"/>
      <c r="M83"/>
      <c r="N83"/>
      <c r="O83"/>
      <c r="P83"/>
      <c r="Q83"/>
      <c r="R83"/>
      <c r="S83"/>
      <c r="T83"/>
      <c r="U83"/>
      <c r="V83"/>
      <c r="W83"/>
      <c r="X83"/>
      <c r="Y83"/>
    </row>
    <row r="84" spans="1:27" ht="15.75" hidden="1" thickBot="1">
      <c r="A84"/>
      <c r="B84"/>
      <c r="C84"/>
      <c r="D84"/>
      <c r="E84"/>
      <c r="F84"/>
      <c r="G84"/>
      <c r="H84"/>
      <c r="I84"/>
      <c r="J84"/>
      <c r="K84"/>
      <c r="L84"/>
      <c r="M84"/>
      <c r="N84"/>
      <c r="O84"/>
      <c r="P84"/>
      <c r="Q84"/>
      <c r="R84"/>
      <c r="S84"/>
      <c r="T84"/>
      <c r="U84"/>
      <c r="V84"/>
      <c r="W84"/>
      <c r="X84"/>
      <c r="Y84"/>
    </row>
    <row r="85" spans="1:27" ht="15.75" hidden="1" thickBot="1">
      <c r="A85"/>
      <c r="B85"/>
      <c r="C85"/>
      <c r="D85"/>
      <c r="E85"/>
      <c r="F85"/>
      <c r="G85"/>
      <c r="H85"/>
      <c r="I85"/>
      <c r="J85"/>
      <c r="K85"/>
      <c r="L85"/>
      <c r="M85"/>
      <c r="N85"/>
      <c r="O85"/>
      <c r="P85"/>
      <c r="Q85"/>
      <c r="R85"/>
      <c r="S85"/>
      <c r="T85"/>
      <c r="U85"/>
      <c r="V85"/>
      <c r="W85"/>
      <c r="X85"/>
      <c r="Y85"/>
    </row>
    <row r="86" spans="1:27" ht="54" customHeight="1">
      <c r="A86" s="2771" t="s">
        <v>458</v>
      </c>
      <c r="B86" s="2773" t="s">
        <v>488</v>
      </c>
      <c r="C86" s="2775" t="s">
        <v>186</v>
      </c>
      <c r="D86" s="2776"/>
      <c r="E86" s="2775" t="s">
        <v>439</v>
      </c>
      <c r="F86" s="2776"/>
      <c r="G86" s="2773" t="s">
        <v>489</v>
      </c>
      <c r="H86" s="2773"/>
      <c r="I86" s="2781" t="s">
        <v>490</v>
      </c>
      <c r="J86" s="2782"/>
      <c r="K86"/>
      <c r="L86"/>
      <c r="M86"/>
      <c r="N86"/>
      <c r="O86"/>
      <c r="P86"/>
      <c r="Q86"/>
      <c r="R86"/>
      <c r="S86"/>
      <c r="T86"/>
      <c r="U86"/>
      <c r="V86"/>
      <c r="W86"/>
      <c r="X86"/>
      <c r="Y86"/>
      <c r="AA86" s="121"/>
    </row>
    <row r="87" spans="1:27" ht="48">
      <c r="A87" s="2772"/>
      <c r="B87" s="2774"/>
      <c r="C87" s="2777"/>
      <c r="D87" s="2778"/>
      <c r="E87" s="2777"/>
      <c r="F87" s="2778"/>
      <c r="G87" s="777" t="s">
        <v>459</v>
      </c>
      <c r="H87" s="777" t="s">
        <v>460</v>
      </c>
      <c r="I87" s="777" t="s">
        <v>459</v>
      </c>
      <c r="J87" s="778" t="s">
        <v>461</v>
      </c>
      <c r="K87"/>
      <c r="L87"/>
      <c r="M87"/>
      <c r="N87"/>
      <c r="O87"/>
      <c r="P87"/>
      <c r="Q87"/>
      <c r="R87"/>
      <c r="S87"/>
      <c r="T87"/>
      <c r="U87"/>
      <c r="V87"/>
      <c r="W87"/>
      <c r="X87"/>
      <c r="Y87"/>
      <c r="AA87" s="121"/>
    </row>
    <row r="88" spans="1:27" ht="24">
      <c r="A88" s="779" t="s">
        <v>462</v>
      </c>
      <c r="B88" s="125"/>
      <c r="C88" s="2783"/>
      <c r="D88" s="2784"/>
      <c r="E88" s="2783"/>
      <c r="F88" s="2784"/>
      <c r="G88" s="786">
        <f>E88-B88</f>
        <v>0</v>
      </c>
      <c r="H88" s="787" t="str">
        <f>IFERROR((E88-B88)*100/B88,"-")</f>
        <v>-</v>
      </c>
      <c r="I88" s="786">
        <f>E88-C88</f>
        <v>0</v>
      </c>
      <c r="J88" s="788" t="str">
        <f>IFERROR(E88*100/C88,"-")</f>
        <v>-</v>
      </c>
      <c r="AA88" s="121"/>
    </row>
    <row r="89" spans="1:27" ht="24">
      <c r="A89" s="779" t="s">
        <v>463</v>
      </c>
      <c r="B89" s="125"/>
      <c r="C89" s="2783"/>
      <c r="D89" s="2784"/>
      <c r="E89" s="2783"/>
      <c r="F89" s="2784"/>
      <c r="G89" s="786">
        <f>E89-B89</f>
        <v>0</v>
      </c>
      <c r="H89" s="787" t="str">
        <f>IFERROR((E89-B89)*100/B89,"-")</f>
        <v>-</v>
      </c>
      <c r="I89" s="786">
        <f>E89-C89</f>
        <v>0</v>
      </c>
      <c r="J89" s="788" t="str">
        <f>IFERROR(E89*100/C89,"-")</f>
        <v>-</v>
      </c>
      <c r="AA89" s="121"/>
    </row>
    <row r="90" spans="1:27" ht="24">
      <c r="A90" s="779" t="s">
        <v>464</v>
      </c>
      <c r="B90" s="125"/>
      <c r="C90" s="2783"/>
      <c r="D90" s="2784"/>
      <c r="E90" s="2783"/>
      <c r="F90" s="2784"/>
      <c r="G90" s="786">
        <f>E90-B90</f>
        <v>0</v>
      </c>
      <c r="H90" s="787" t="str">
        <f>IFERROR((E90-B90)*100/B90,"-")</f>
        <v>-</v>
      </c>
      <c r="I90" s="786">
        <f>E90-C90</f>
        <v>0</v>
      </c>
      <c r="J90" s="788" t="str">
        <f>IFERROR(E90*100/C90,"-")</f>
        <v>-</v>
      </c>
      <c r="AA90" s="121"/>
    </row>
    <row r="91" spans="1:27" ht="24.75" thickBot="1">
      <c r="A91" s="792" t="s">
        <v>1</v>
      </c>
      <c r="B91" s="790">
        <f>SUM(B88:B90)</f>
        <v>0</v>
      </c>
      <c r="C91" s="2789">
        <f>SUM(C88:D90)</f>
        <v>0</v>
      </c>
      <c r="D91" s="2790"/>
      <c r="E91" s="2789">
        <f>SUM(E88:F90)</f>
        <v>0</v>
      </c>
      <c r="F91" s="2790"/>
      <c r="G91" s="786">
        <f>E91-B91</f>
        <v>0</v>
      </c>
      <c r="H91" s="789" t="str">
        <f>IFERROR((E91-B91)*100/B91,"-")</f>
        <v>-</v>
      </c>
      <c r="I91" s="790">
        <f>E91-C91</f>
        <v>0</v>
      </c>
      <c r="J91" s="791" t="str">
        <f>IFERROR(E91*100/C91,"-")</f>
        <v>-</v>
      </c>
      <c r="AA91" s="121"/>
    </row>
    <row r="97" spans="3:6">
      <c r="C97" s="126"/>
    </row>
    <row r="102" spans="3:6">
      <c r="F102" s="126"/>
    </row>
  </sheetData>
  <mergeCells count="31">
    <mergeCell ref="C90:D90"/>
    <mergeCell ref="E90:F90"/>
    <mergeCell ref="C91:D91"/>
    <mergeCell ref="E91:F91"/>
    <mergeCell ref="C89:D89"/>
    <mergeCell ref="E89:F89"/>
    <mergeCell ref="C88:D88"/>
    <mergeCell ref="E88:F88"/>
    <mergeCell ref="C80:D80"/>
    <mergeCell ref="E80:F80"/>
    <mergeCell ref="A73:Y73"/>
    <mergeCell ref="A75:A76"/>
    <mergeCell ref="B75:B76"/>
    <mergeCell ref="C75:D76"/>
    <mergeCell ref="E75:F76"/>
    <mergeCell ref="G75:H75"/>
    <mergeCell ref="I75:J75"/>
    <mergeCell ref="A1:Y1"/>
    <mergeCell ref="A3:A5"/>
    <mergeCell ref="A86:A87"/>
    <mergeCell ref="B86:B87"/>
    <mergeCell ref="C86:D87"/>
    <mergeCell ref="E86:F87"/>
    <mergeCell ref="C77:D77"/>
    <mergeCell ref="E77:F77"/>
    <mergeCell ref="C78:D78"/>
    <mergeCell ref="E78:F78"/>
    <mergeCell ref="C79:D79"/>
    <mergeCell ref="E79:F79"/>
    <mergeCell ref="G86:H86"/>
    <mergeCell ref="I86:J86"/>
  </mergeCells>
  <conditionalFormatting sqref="F35:M37 I32:M34">
    <cfRule type="cellIs" dxfId="651" priority="26" operator="equal">
      <formula>0</formula>
    </cfRule>
  </conditionalFormatting>
  <conditionalFormatting sqref="F39:M39">
    <cfRule type="cellIs" dxfId="650" priority="25" operator="equal">
      <formula>0</formula>
    </cfRule>
  </conditionalFormatting>
  <conditionalFormatting sqref="F40:M40">
    <cfRule type="cellIs" dxfId="649" priority="24" operator="equal">
      <formula>0</formula>
    </cfRule>
  </conditionalFormatting>
  <conditionalFormatting sqref="B35:E37 E32:E34">
    <cfRule type="cellIs" dxfId="648" priority="17" operator="equal">
      <formula>0</formula>
    </cfRule>
  </conditionalFormatting>
  <conditionalFormatting sqref="B39:E39">
    <cfRule type="cellIs" dxfId="647" priority="16" operator="equal">
      <formula>0</formula>
    </cfRule>
  </conditionalFormatting>
  <conditionalFormatting sqref="B40:E40">
    <cfRule type="cellIs" dxfId="646" priority="15" operator="equal">
      <formula>0</formula>
    </cfRule>
  </conditionalFormatting>
  <conditionalFormatting sqref="A1:XFD41 A51:XFD1048576 A42:E50 G50 J42:XFD44 J46:XFD50 J45 L45:XFD45">
    <cfRule type="cellIs" dxfId="645" priority="13" operator="lessThan">
      <formula>0</formula>
    </cfRule>
    <cfRule type="cellIs" dxfId="644" priority="14" operator="equal">
      <formula>0</formula>
    </cfRule>
  </conditionalFormatting>
  <conditionalFormatting sqref="F42:F50">
    <cfRule type="cellIs" dxfId="643" priority="11" operator="lessThan">
      <formula>0</formula>
    </cfRule>
    <cfRule type="cellIs" dxfId="642" priority="12" operator="equal">
      <formula>0</formula>
    </cfRule>
  </conditionalFormatting>
  <conditionalFormatting sqref="F42:F50">
    <cfRule type="cellIs" dxfId="641" priority="10" operator="lessThan">
      <formula>0</formula>
    </cfRule>
  </conditionalFormatting>
  <conditionalFormatting sqref="G42:G49">
    <cfRule type="cellIs" dxfId="640" priority="8" operator="lessThan">
      <formula>0</formula>
    </cfRule>
    <cfRule type="cellIs" dxfId="639" priority="9" operator="equal">
      <formula>0</formula>
    </cfRule>
  </conditionalFormatting>
  <conditionalFormatting sqref="G42:G49">
    <cfRule type="cellIs" dxfId="638" priority="7" operator="lessThan">
      <formula>0</formula>
    </cfRule>
  </conditionalFormatting>
  <conditionalFormatting sqref="H42:H50">
    <cfRule type="cellIs" dxfId="637" priority="5" operator="lessThan">
      <formula>0</formula>
    </cfRule>
    <cfRule type="cellIs" dxfId="636" priority="6" operator="equal">
      <formula>0</formula>
    </cfRule>
  </conditionalFormatting>
  <conditionalFormatting sqref="H42:H50">
    <cfRule type="cellIs" dxfId="635" priority="4" operator="lessThan">
      <formula>0</formula>
    </cfRule>
  </conditionalFormatting>
  <conditionalFormatting sqref="I42:I50">
    <cfRule type="cellIs" dxfId="634" priority="2" operator="lessThan">
      <formula>0</formula>
    </cfRule>
    <cfRule type="cellIs" dxfId="633" priority="3" operator="equal">
      <formula>0</formula>
    </cfRule>
  </conditionalFormatting>
  <conditionalFormatting sqref="I42:I50">
    <cfRule type="cellIs" dxfId="632" priority="1" operator="lessThan">
      <formula>0</formula>
    </cfRule>
  </conditionalFormatting>
  <printOptions horizontalCentered="1"/>
  <pageMargins left="0.19685039370078741" right="0.19685039370078741" top="0.59055118110236227" bottom="0.78740157480314965" header="0.19685039370078741" footer="0.19685039370078741"/>
  <pageSetup paperSize="9" scale="3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5">
    <tabColor rgb="FF458B74"/>
    <pageSetUpPr fitToPage="1"/>
  </sheetPr>
  <dimension ref="A1:AB102"/>
  <sheetViews>
    <sheetView showGridLines="0" rightToLeft="1" zoomScale="70" zoomScaleNormal="70" workbookViewId="0">
      <pane xSplit="1" ySplit="5" topLeftCell="B42" activePane="bottomRight" state="frozen"/>
      <selection pane="topRight" activeCell="B1" sqref="B1"/>
      <selection pane="bottomLeft" activeCell="A6" sqref="A6"/>
      <selection pane="bottomRight" activeCell="M44" sqref="M44"/>
    </sheetView>
  </sheetViews>
  <sheetFormatPr defaultColWidth="9" defaultRowHeight="15"/>
  <cols>
    <col min="1" max="1" width="48.42578125" style="5" customWidth="1"/>
    <col min="2" max="13" width="14.5703125" style="5" customWidth="1"/>
    <col min="14" max="25" width="11.5703125" style="5" customWidth="1"/>
    <col min="26" max="16384" width="9" style="5"/>
  </cols>
  <sheetData>
    <row r="1" spans="1:28" ht="26.25" customHeight="1">
      <c r="A1" s="2767" t="str">
        <f>روکش!D4</f>
        <v>انبارهای عمومی و خدمات گمرکی ایران</v>
      </c>
      <c r="B1" s="2767"/>
      <c r="C1" s="2767"/>
      <c r="D1" s="2767"/>
      <c r="E1" s="2767"/>
      <c r="F1" s="2767"/>
      <c r="G1" s="2767"/>
      <c r="H1" s="2767"/>
      <c r="I1" s="2767"/>
      <c r="J1" s="2767"/>
      <c r="K1" s="2767"/>
      <c r="L1" s="2767"/>
      <c r="M1" s="2767"/>
      <c r="N1" s="2767"/>
      <c r="O1" s="2767"/>
      <c r="P1" s="2767"/>
      <c r="Q1" s="2767"/>
      <c r="R1" s="2767"/>
      <c r="S1" s="2767"/>
      <c r="T1" s="2767"/>
      <c r="U1" s="2767"/>
      <c r="V1" s="2767"/>
      <c r="W1" s="2767"/>
      <c r="X1" s="2767"/>
      <c r="Y1" s="2767"/>
    </row>
    <row r="2" spans="1:28" s="52" customFormat="1" ht="24" customHeight="1" thickBot="1">
      <c r="A2" s="1211" t="str">
        <f>"گزارش عملیات صادرات شرکت‌ها و شعب تابعه در دوره " &amp; روکش!F9 &amp; " سال " &amp; روکش!D9</f>
        <v>گزارش عملیات صادرات شرکت‌ها و شعب تابعه در دوره شش ماهه سال 1405</v>
      </c>
      <c r="B2" s="1211"/>
      <c r="C2" s="1211"/>
      <c r="D2" s="1211"/>
      <c r="E2" s="1211"/>
      <c r="F2" s="1211"/>
      <c r="G2" s="1211"/>
      <c r="H2" s="1211"/>
      <c r="I2" s="1211"/>
      <c r="J2" s="1211"/>
      <c r="K2" s="1211"/>
      <c r="L2" s="1211"/>
      <c r="M2" s="1211"/>
      <c r="N2" s="1211"/>
      <c r="O2" s="1211"/>
      <c r="P2" s="1211"/>
      <c r="Q2" s="1211"/>
      <c r="R2" s="1211"/>
      <c r="S2" s="1211"/>
      <c r="T2" s="1211"/>
      <c r="U2" s="1211"/>
      <c r="V2" s="1203"/>
      <c r="W2" s="1203"/>
      <c r="X2" s="1203"/>
      <c r="Y2" s="1203"/>
    </row>
    <row r="3" spans="1:28" ht="36" customHeight="1" thickBot="1">
      <c r="A3" s="2768" t="s">
        <v>340</v>
      </c>
      <c r="B3" s="1212" t="s">
        <v>1267</v>
      </c>
      <c r="C3" s="1213"/>
      <c r="D3" s="1213"/>
      <c r="E3" s="1213"/>
      <c r="F3" s="1213"/>
      <c r="G3" s="1213"/>
      <c r="H3" s="1213"/>
      <c r="I3" s="1213"/>
      <c r="J3" s="1213"/>
      <c r="K3" s="1213"/>
      <c r="L3" s="1213"/>
      <c r="M3" s="1213"/>
      <c r="N3" s="1213"/>
      <c r="O3" s="1213"/>
      <c r="P3" s="1213"/>
      <c r="Q3" s="1213"/>
      <c r="R3" s="1213"/>
      <c r="S3" s="1213"/>
      <c r="T3" s="1213"/>
      <c r="U3" s="1213"/>
      <c r="V3" s="1213"/>
      <c r="W3" s="1213"/>
      <c r="X3" s="1213"/>
      <c r="Y3" s="1214"/>
    </row>
    <row r="4" spans="1:28" ht="48">
      <c r="A4" s="2769"/>
      <c r="B4" s="1215" t="s">
        <v>639</v>
      </c>
      <c r="C4" s="1216"/>
      <c r="D4" s="1216"/>
      <c r="E4" s="1217"/>
      <c r="F4" s="1215" t="s">
        <v>674</v>
      </c>
      <c r="G4" s="1216"/>
      <c r="H4" s="1216"/>
      <c r="I4" s="1217"/>
      <c r="J4" s="1215" t="s">
        <v>675</v>
      </c>
      <c r="K4" s="1216"/>
      <c r="L4" s="1216"/>
      <c r="M4" s="1217"/>
      <c r="N4" s="1215" t="s">
        <v>676</v>
      </c>
      <c r="O4" s="1216"/>
      <c r="P4" s="1216"/>
      <c r="Q4" s="1217"/>
      <c r="R4" s="1215" t="s">
        <v>491</v>
      </c>
      <c r="S4" s="1216"/>
      <c r="T4" s="1216"/>
      <c r="U4" s="1217"/>
      <c r="V4" s="1209" t="s">
        <v>451</v>
      </c>
      <c r="W4" s="1218"/>
      <c r="X4" s="1218"/>
      <c r="Y4" s="1219"/>
    </row>
    <row r="5" spans="1:28" ht="19.5" thickBot="1">
      <c r="A5" s="2770"/>
      <c r="B5" s="765" t="s">
        <v>452</v>
      </c>
      <c r="C5" s="766" t="s">
        <v>453</v>
      </c>
      <c r="D5" s="766" t="s">
        <v>454</v>
      </c>
      <c r="E5" s="767" t="s">
        <v>455</v>
      </c>
      <c r="F5" s="765" t="s">
        <v>452</v>
      </c>
      <c r="G5" s="766" t="s">
        <v>453</v>
      </c>
      <c r="H5" s="766" t="s">
        <v>454</v>
      </c>
      <c r="I5" s="767" t="s">
        <v>455</v>
      </c>
      <c r="J5" s="765" t="s">
        <v>452</v>
      </c>
      <c r="K5" s="766" t="s">
        <v>453</v>
      </c>
      <c r="L5" s="766" t="s">
        <v>454</v>
      </c>
      <c r="M5" s="767" t="s">
        <v>455</v>
      </c>
      <c r="N5" s="765" t="s">
        <v>452</v>
      </c>
      <c r="O5" s="766" t="s">
        <v>453</v>
      </c>
      <c r="P5" s="766" t="s">
        <v>454</v>
      </c>
      <c r="Q5" s="767" t="s">
        <v>455</v>
      </c>
      <c r="R5" s="765" t="s">
        <v>452</v>
      </c>
      <c r="S5" s="766" t="s">
        <v>453</v>
      </c>
      <c r="T5" s="766" t="s">
        <v>454</v>
      </c>
      <c r="U5" s="767" t="s">
        <v>455</v>
      </c>
      <c r="V5" s="765" t="s">
        <v>452</v>
      </c>
      <c r="W5" s="766" t="s">
        <v>453</v>
      </c>
      <c r="X5" s="766" t="s">
        <v>454</v>
      </c>
      <c r="Y5" s="767" t="s">
        <v>455</v>
      </c>
      <c r="AA5" s="121" t="str">
        <f>واردات!AA5</f>
        <v>شعبه</v>
      </c>
      <c r="AB5" s="48"/>
    </row>
    <row r="6" spans="1:28" ht="24" hidden="1">
      <c r="A6" s="2458" t="s">
        <v>3119</v>
      </c>
      <c r="B6" s="2444"/>
      <c r="C6" s="2445"/>
      <c r="D6" s="2445"/>
      <c r="E6" s="2446"/>
      <c r="F6" s="2444"/>
      <c r="G6" s="2445"/>
      <c r="H6" s="2445"/>
      <c r="I6" s="2446"/>
      <c r="J6" s="2447"/>
      <c r="K6" s="2448"/>
      <c r="L6" s="2448"/>
      <c r="M6" s="2449"/>
      <c r="N6" s="2453" t="str">
        <f>IFERROR(J6*100/F6,"-")</f>
        <v>-</v>
      </c>
      <c r="O6" s="2453" t="str">
        <f t="shared" ref="O6:Q21" si="0">IFERROR(K6*100/G6,"-")</f>
        <v>-</v>
      </c>
      <c r="P6" s="2453" t="str">
        <f t="shared" si="0"/>
        <v>-</v>
      </c>
      <c r="Q6" s="2454" t="str">
        <f>IFERROR(M6*100/I6,"-")</f>
        <v>-</v>
      </c>
      <c r="R6" s="771">
        <f>IFERROR(J6-F6,"-")</f>
        <v>0</v>
      </c>
      <c r="S6" s="773">
        <f t="shared" ref="S6:U21" si="1">IFERROR(K6-G6,"-")</f>
        <v>0</v>
      </c>
      <c r="T6" s="773">
        <f t="shared" si="1"/>
        <v>0</v>
      </c>
      <c r="U6" s="772">
        <f t="shared" si="1"/>
        <v>0</v>
      </c>
      <c r="V6" s="771">
        <f>J6-B6</f>
        <v>0</v>
      </c>
      <c r="W6" s="771">
        <f t="shared" ref="W6:Y21" si="2">K6-C6</f>
        <v>0</v>
      </c>
      <c r="X6" s="771">
        <f t="shared" si="2"/>
        <v>0</v>
      </c>
      <c r="Y6" s="772">
        <f t="shared" si="2"/>
        <v>0</v>
      </c>
      <c r="AA6" s="121">
        <f>واردات!AA6</f>
        <v>0</v>
      </c>
      <c r="AB6" s="48"/>
    </row>
    <row r="7" spans="1:28" ht="24" hidden="1">
      <c r="A7" s="2459" t="s">
        <v>3120</v>
      </c>
      <c r="B7" s="2444"/>
      <c r="C7" s="2445"/>
      <c r="D7" s="2445"/>
      <c r="E7" s="2446"/>
      <c r="F7" s="2444"/>
      <c r="G7" s="2445"/>
      <c r="H7" s="2445"/>
      <c r="I7" s="2446"/>
      <c r="J7" s="2447"/>
      <c r="K7" s="2448"/>
      <c r="L7" s="2448"/>
      <c r="M7" s="2449"/>
      <c r="N7" s="2453" t="str">
        <f t="shared" ref="N7:Q47" si="3">IFERROR(J7*100/F7,"-")</f>
        <v>-</v>
      </c>
      <c r="O7" s="2455" t="str">
        <f t="shared" si="0"/>
        <v>-</v>
      </c>
      <c r="P7" s="2456" t="str">
        <f t="shared" si="0"/>
        <v>-</v>
      </c>
      <c r="Q7" s="2457" t="str">
        <f t="shared" si="0"/>
        <v>-</v>
      </c>
      <c r="R7" s="771">
        <f t="shared" ref="R7:U47" si="4">IFERROR(J7-F7,"-")</f>
        <v>0</v>
      </c>
      <c r="S7" s="773">
        <f t="shared" si="1"/>
        <v>0</v>
      </c>
      <c r="T7" s="774">
        <f t="shared" si="1"/>
        <v>0</v>
      </c>
      <c r="U7" s="775">
        <f t="shared" si="1"/>
        <v>0</v>
      </c>
      <c r="V7" s="771">
        <f t="shared" ref="V7:Y47" si="5">J7-B7</f>
        <v>0</v>
      </c>
      <c r="W7" s="773">
        <f t="shared" si="2"/>
        <v>0</v>
      </c>
      <c r="X7" s="774">
        <f t="shared" si="2"/>
        <v>0</v>
      </c>
      <c r="Y7" s="775">
        <f t="shared" si="2"/>
        <v>0</v>
      </c>
      <c r="AA7" s="121">
        <f>واردات!AA7</f>
        <v>0</v>
      </c>
      <c r="AB7" s="48"/>
    </row>
    <row r="8" spans="1:28" ht="24" hidden="1">
      <c r="A8" s="2459" t="s">
        <v>3121</v>
      </c>
      <c r="B8" s="2444"/>
      <c r="C8" s="2445"/>
      <c r="D8" s="2445"/>
      <c r="E8" s="2446"/>
      <c r="F8" s="2444"/>
      <c r="G8" s="2445"/>
      <c r="H8" s="2445"/>
      <c r="I8" s="2446"/>
      <c r="J8" s="2447"/>
      <c r="K8" s="2448"/>
      <c r="L8" s="2448"/>
      <c r="M8" s="2449"/>
      <c r="N8" s="2453" t="str">
        <f t="shared" si="3"/>
        <v>-</v>
      </c>
      <c r="O8" s="2455" t="str">
        <f t="shared" si="0"/>
        <v>-</v>
      </c>
      <c r="P8" s="2456" t="str">
        <f t="shared" si="0"/>
        <v>-</v>
      </c>
      <c r="Q8" s="2457" t="str">
        <f t="shared" si="0"/>
        <v>-</v>
      </c>
      <c r="R8" s="771">
        <f t="shared" si="4"/>
        <v>0</v>
      </c>
      <c r="S8" s="773">
        <f t="shared" si="1"/>
        <v>0</v>
      </c>
      <c r="T8" s="774">
        <f t="shared" si="1"/>
        <v>0</v>
      </c>
      <c r="U8" s="775">
        <f t="shared" si="1"/>
        <v>0</v>
      </c>
      <c r="V8" s="771">
        <f t="shared" si="5"/>
        <v>0</v>
      </c>
      <c r="W8" s="773">
        <f t="shared" si="2"/>
        <v>0</v>
      </c>
      <c r="X8" s="774">
        <f t="shared" si="2"/>
        <v>0</v>
      </c>
      <c r="Y8" s="775">
        <f t="shared" si="2"/>
        <v>0</v>
      </c>
      <c r="AA8" s="121">
        <f>واردات!AA8</f>
        <v>0</v>
      </c>
      <c r="AB8" s="48"/>
    </row>
    <row r="9" spans="1:28" ht="24" hidden="1">
      <c r="A9" s="2459" t="s">
        <v>3122</v>
      </c>
      <c r="B9" s="2444"/>
      <c r="C9" s="2445"/>
      <c r="D9" s="2445"/>
      <c r="E9" s="2446"/>
      <c r="F9" s="2444"/>
      <c r="G9" s="2445"/>
      <c r="H9" s="2445"/>
      <c r="I9" s="2446"/>
      <c r="J9" s="2447"/>
      <c r="K9" s="2448"/>
      <c r="L9" s="2448"/>
      <c r="M9" s="2449"/>
      <c r="N9" s="2453" t="str">
        <f t="shared" si="3"/>
        <v>-</v>
      </c>
      <c r="O9" s="2455" t="str">
        <f t="shared" si="0"/>
        <v>-</v>
      </c>
      <c r="P9" s="2456" t="str">
        <f t="shared" si="0"/>
        <v>-</v>
      </c>
      <c r="Q9" s="2457" t="str">
        <f t="shared" si="0"/>
        <v>-</v>
      </c>
      <c r="R9" s="771">
        <f t="shared" si="4"/>
        <v>0</v>
      </c>
      <c r="S9" s="773">
        <f t="shared" si="1"/>
        <v>0</v>
      </c>
      <c r="T9" s="774">
        <f t="shared" si="1"/>
        <v>0</v>
      </c>
      <c r="U9" s="775">
        <f t="shared" si="1"/>
        <v>0</v>
      </c>
      <c r="V9" s="771">
        <f t="shared" si="5"/>
        <v>0</v>
      </c>
      <c r="W9" s="773">
        <f t="shared" si="2"/>
        <v>0</v>
      </c>
      <c r="X9" s="774">
        <f t="shared" si="2"/>
        <v>0</v>
      </c>
      <c r="Y9" s="775">
        <f t="shared" si="2"/>
        <v>0</v>
      </c>
      <c r="AA9" s="121">
        <f>واردات!AA9</f>
        <v>0</v>
      </c>
      <c r="AB9" s="48"/>
    </row>
    <row r="10" spans="1:28" ht="24" hidden="1">
      <c r="A10" s="2459" t="s">
        <v>3123</v>
      </c>
      <c r="B10" s="2444"/>
      <c r="C10" s="2445"/>
      <c r="D10" s="2445"/>
      <c r="E10" s="2446"/>
      <c r="F10" s="2444"/>
      <c r="G10" s="2445"/>
      <c r="H10" s="2445"/>
      <c r="I10" s="2446"/>
      <c r="J10" s="2447"/>
      <c r="K10" s="2448"/>
      <c r="L10" s="2448"/>
      <c r="M10" s="2449"/>
      <c r="N10" s="2453" t="str">
        <f t="shared" si="3"/>
        <v>-</v>
      </c>
      <c r="O10" s="2455" t="str">
        <f t="shared" si="0"/>
        <v>-</v>
      </c>
      <c r="P10" s="2456" t="str">
        <f t="shared" si="0"/>
        <v>-</v>
      </c>
      <c r="Q10" s="2457" t="str">
        <f t="shared" si="0"/>
        <v>-</v>
      </c>
      <c r="R10" s="771">
        <f t="shared" si="4"/>
        <v>0</v>
      </c>
      <c r="S10" s="773">
        <f t="shared" si="1"/>
        <v>0</v>
      </c>
      <c r="T10" s="774">
        <f t="shared" si="1"/>
        <v>0</v>
      </c>
      <c r="U10" s="775">
        <f t="shared" si="1"/>
        <v>0</v>
      </c>
      <c r="V10" s="771">
        <f t="shared" si="5"/>
        <v>0</v>
      </c>
      <c r="W10" s="773">
        <f t="shared" si="2"/>
        <v>0</v>
      </c>
      <c r="X10" s="774">
        <f t="shared" si="2"/>
        <v>0</v>
      </c>
      <c r="Y10" s="775">
        <f t="shared" si="2"/>
        <v>0</v>
      </c>
      <c r="AA10" s="121">
        <f>واردات!AA10</f>
        <v>0</v>
      </c>
      <c r="AB10" s="48"/>
    </row>
    <row r="11" spans="1:28" ht="24" hidden="1">
      <c r="A11" s="2459" t="s">
        <v>3124</v>
      </c>
      <c r="B11" s="2444"/>
      <c r="C11" s="2445"/>
      <c r="D11" s="2445"/>
      <c r="E11" s="2446"/>
      <c r="F11" s="2444"/>
      <c r="G11" s="2445"/>
      <c r="H11" s="2445"/>
      <c r="I11" s="2446"/>
      <c r="J11" s="2447"/>
      <c r="K11" s="2448"/>
      <c r="L11" s="2448"/>
      <c r="M11" s="2449"/>
      <c r="N11" s="2453" t="str">
        <f t="shared" si="3"/>
        <v>-</v>
      </c>
      <c r="O11" s="2455" t="str">
        <f t="shared" si="0"/>
        <v>-</v>
      </c>
      <c r="P11" s="2456" t="str">
        <f t="shared" si="0"/>
        <v>-</v>
      </c>
      <c r="Q11" s="2457" t="str">
        <f t="shared" si="0"/>
        <v>-</v>
      </c>
      <c r="R11" s="771">
        <f t="shared" si="4"/>
        <v>0</v>
      </c>
      <c r="S11" s="773">
        <f t="shared" si="1"/>
        <v>0</v>
      </c>
      <c r="T11" s="774">
        <f t="shared" si="1"/>
        <v>0</v>
      </c>
      <c r="U11" s="775">
        <f t="shared" si="1"/>
        <v>0</v>
      </c>
      <c r="V11" s="771">
        <f t="shared" si="5"/>
        <v>0</v>
      </c>
      <c r="W11" s="773">
        <f t="shared" si="2"/>
        <v>0</v>
      </c>
      <c r="X11" s="774">
        <f t="shared" si="2"/>
        <v>0</v>
      </c>
      <c r="Y11" s="775">
        <f t="shared" si="2"/>
        <v>0</v>
      </c>
      <c r="AA11" s="121">
        <f>واردات!AA11</f>
        <v>0</v>
      </c>
      <c r="AB11" s="48"/>
    </row>
    <row r="12" spans="1:28" ht="24" hidden="1">
      <c r="A12" s="2459" t="s">
        <v>3125</v>
      </c>
      <c r="B12" s="2444"/>
      <c r="C12" s="2445"/>
      <c r="D12" s="2445"/>
      <c r="E12" s="2446"/>
      <c r="F12" s="2444"/>
      <c r="G12" s="2445"/>
      <c r="H12" s="2445"/>
      <c r="I12" s="2446"/>
      <c r="J12" s="2447"/>
      <c r="K12" s="2448"/>
      <c r="L12" s="2448"/>
      <c r="M12" s="2449"/>
      <c r="N12" s="2453" t="str">
        <f t="shared" si="3"/>
        <v>-</v>
      </c>
      <c r="O12" s="2455" t="str">
        <f t="shared" si="0"/>
        <v>-</v>
      </c>
      <c r="P12" s="2456" t="str">
        <f t="shared" si="0"/>
        <v>-</v>
      </c>
      <c r="Q12" s="2457" t="str">
        <f t="shared" si="0"/>
        <v>-</v>
      </c>
      <c r="R12" s="771">
        <f t="shared" si="4"/>
        <v>0</v>
      </c>
      <c r="S12" s="773">
        <f t="shared" si="1"/>
        <v>0</v>
      </c>
      <c r="T12" s="774">
        <f t="shared" si="1"/>
        <v>0</v>
      </c>
      <c r="U12" s="775">
        <f t="shared" si="1"/>
        <v>0</v>
      </c>
      <c r="V12" s="771">
        <f t="shared" si="5"/>
        <v>0</v>
      </c>
      <c r="W12" s="774">
        <f t="shared" si="2"/>
        <v>0</v>
      </c>
      <c r="X12" s="774">
        <f t="shared" si="2"/>
        <v>0</v>
      </c>
      <c r="Y12" s="775">
        <f t="shared" si="2"/>
        <v>0</v>
      </c>
      <c r="AA12" s="121">
        <f>واردات!AA12</f>
        <v>0</v>
      </c>
      <c r="AB12" s="48"/>
    </row>
    <row r="13" spans="1:28" ht="24" hidden="1">
      <c r="A13" s="2459" t="s">
        <v>3126</v>
      </c>
      <c r="B13" s="2444"/>
      <c r="C13" s="2445"/>
      <c r="D13" s="2445"/>
      <c r="E13" s="2446"/>
      <c r="F13" s="2444"/>
      <c r="G13" s="2445"/>
      <c r="H13" s="2445"/>
      <c r="I13" s="2446"/>
      <c r="J13" s="2447"/>
      <c r="K13" s="2448"/>
      <c r="L13" s="2448"/>
      <c r="M13" s="2449"/>
      <c r="N13" s="2453" t="str">
        <f t="shared" si="3"/>
        <v>-</v>
      </c>
      <c r="O13" s="2455" t="str">
        <f t="shared" si="0"/>
        <v>-</v>
      </c>
      <c r="P13" s="2456" t="str">
        <f t="shared" si="0"/>
        <v>-</v>
      </c>
      <c r="Q13" s="2457" t="str">
        <f t="shared" si="0"/>
        <v>-</v>
      </c>
      <c r="R13" s="771">
        <f t="shared" si="4"/>
        <v>0</v>
      </c>
      <c r="S13" s="773">
        <f t="shared" si="1"/>
        <v>0</v>
      </c>
      <c r="T13" s="774">
        <f t="shared" si="1"/>
        <v>0</v>
      </c>
      <c r="U13" s="775">
        <f t="shared" si="1"/>
        <v>0</v>
      </c>
      <c r="V13" s="771">
        <f t="shared" si="5"/>
        <v>0</v>
      </c>
      <c r="W13" s="774">
        <f t="shared" si="2"/>
        <v>0</v>
      </c>
      <c r="X13" s="774">
        <f t="shared" si="2"/>
        <v>0</v>
      </c>
      <c r="Y13" s="775">
        <f t="shared" si="2"/>
        <v>0</v>
      </c>
      <c r="AA13" s="121">
        <f>واردات!AA13</f>
        <v>0</v>
      </c>
      <c r="AB13" s="48"/>
    </row>
    <row r="14" spans="1:28" ht="24.75" hidden="1" thickBot="1">
      <c r="A14" s="2460" t="s">
        <v>3127</v>
      </c>
      <c r="B14" s="2444"/>
      <c r="C14" s="2445"/>
      <c r="D14" s="2445"/>
      <c r="E14" s="2446"/>
      <c r="F14" s="2444"/>
      <c r="G14" s="2445"/>
      <c r="H14" s="2445"/>
      <c r="I14" s="2446"/>
      <c r="J14" s="2447"/>
      <c r="K14" s="2448"/>
      <c r="L14" s="2448"/>
      <c r="M14" s="2449"/>
      <c r="N14" s="2453" t="str">
        <f t="shared" si="3"/>
        <v>-</v>
      </c>
      <c r="O14" s="2455" t="str">
        <f t="shared" si="0"/>
        <v>-</v>
      </c>
      <c r="P14" s="2456" t="str">
        <f t="shared" si="0"/>
        <v>-</v>
      </c>
      <c r="Q14" s="2457" t="str">
        <f t="shared" si="0"/>
        <v>-</v>
      </c>
      <c r="R14" s="771">
        <f t="shared" si="4"/>
        <v>0</v>
      </c>
      <c r="S14" s="773">
        <f t="shared" si="1"/>
        <v>0</v>
      </c>
      <c r="T14" s="774">
        <f t="shared" si="1"/>
        <v>0</v>
      </c>
      <c r="U14" s="775">
        <f t="shared" si="1"/>
        <v>0</v>
      </c>
      <c r="V14" s="771">
        <f t="shared" si="5"/>
        <v>0</v>
      </c>
      <c r="W14" s="773">
        <f t="shared" si="2"/>
        <v>0</v>
      </c>
      <c r="X14" s="774">
        <f t="shared" si="2"/>
        <v>0</v>
      </c>
      <c r="Y14" s="775">
        <f t="shared" si="2"/>
        <v>0</v>
      </c>
      <c r="AA14" s="121">
        <f>واردات!AA14</f>
        <v>0</v>
      </c>
      <c r="AB14" s="48"/>
    </row>
    <row r="15" spans="1:28" ht="24" hidden="1">
      <c r="A15" s="2461" t="s">
        <v>3128</v>
      </c>
      <c r="B15" s="2444"/>
      <c r="C15" s="2445"/>
      <c r="D15" s="2445"/>
      <c r="E15" s="2446"/>
      <c r="F15" s="2444"/>
      <c r="G15" s="2445"/>
      <c r="H15" s="2445"/>
      <c r="I15" s="2446"/>
      <c r="J15" s="2447"/>
      <c r="K15" s="2448"/>
      <c r="L15" s="2448"/>
      <c r="M15" s="2449"/>
      <c r="N15" s="2453" t="str">
        <f t="shared" si="3"/>
        <v>-</v>
      </c>
      <c r="O15" s="2455" t="str">
        <f t="shared" si="0"/>
        <v>-</v>
      </c>
      <c r="P15" s="2456" t="str">
        <f t="shared" si="0"/>
        <v>-</v>
      </c>
      <c r="Q15" s="2457" t="str">
        <f t="shared" si="0"/>
        <v>-</v>
      </c>
      <c r="R15" s="771">
        <f t="shared" si="4"/>
        <v>0</v>
      </c>
      <c r="S15" s="773">
        <f t="shared" si="1"/>
        <v>0</v>
      </c>
      <c r="T15" s="774">
        <f t="shared" si="1"/>
        <v>0</v>
      </c>
      <c r="U15" s="775">
        <f t="shared" si="1"/>
        <v>0</v>
      </c>
      <c r="V15" s="771">
        <f t="shared" si="5"/>
        <v>0</v>
      </c>
      <c r="W15" s="773">
        <f t="shared" si="2"/>
        <v>0</v>
      </c>
      <c r="X15" s="774">
        <f t="shared" si="2"/>
        <v>0</v>
      </c>
      <c r="Y15" s="775">
        <f t="shared" si="2"/>
        <v>0</v>
      </c>
      <c r="AA15" s="121">
        <f>واردات!AA15</f>
        <v>0</v>
      </c>
      <c r="AB15" s="48"/>
    </row>
    <row r="16" spans="1:28" ht="24" hidden="1">
      <c r="A16" s="2462" t="s">
        <v>3129</v>
      </c>
      <c r="B16" s="2444"/>
      <c r="C16" s="2445"/>
      <c r="D16" s="2445"/>
      <c r="E16" s="2446"/>
      <c r="F16" s="2444"/>
      <c r="G16" s="2445"/>
      <c r="H16" s="2445"/>
      <c r="I16" s="2446"/>
      <c r="J16" s="2447"/>
      <c r="K16" s="2448"/>
      <c r="L16" s="2448"/>
      <c r="M16" s="2449"/>
      <c r="N16" s="2453" t="str">
        <f t="shared" si="3"/>
        <v>-</v>
      </c>
      <c r="O16" s="2455" t="str">
        <f t="shared" si="0"/>
        <v>-</v>
      </c>
      <c r="P16" s="2456" t="str">
        <f t="shared" si="0"/>
        <v>-</v>
      </c>
      <c r="Q16" s="2457" t="str">
        <f t="shared" si="0"/>
        <v>-</v>
      </c>
      <c r="R16" s="771">
        <f t="shared" si="4"/>
        <v>0</v>
      </c>
      <c r="S16" s="773">
        <f t="shared" si="1"/>
        <v>0</v>
      </c>
      <c r="T16" s="774">
        <f t="shared" si="1"/>
        <v>0</v>
      </c>
      <c r="U16" s="775">
        <f t="shared" si="1"/>
        <v>0</v>
      </c>
      <c r="V16" s="771">
        <f t="shared" si="5"/>
        <v>0</v>
      </c>
      <c r="W16" s="774">
        <f t="shared" si="2"/>
        <v>0</v>
      </c>
      <c r="X16" s="774">
        <f t="shared" si="2"/>
        <v>0</v>
      </c>
      <c r="Y16" s="775">
        <f t="shared" si="2"/>
        <v>0</v>
      </c>
      <c r="AA16" s="121">
        <f>واردات!AA16</f>
        <v>0</v>
      </c>
      <c r="AB16" s="48"/>
    </row>
    <row r="17" spans="1:28" ht="24" hidden="1">
      <c r="A17" s="2462" t="s">
        <v>3130</v>
      </c>
      <c r="B17" s="2444"/>
      <c r="C17" s="2445"/>
      <c r="D17" s="2445"/>
      <c r="E17" s="2446"/>
      <c r="F17" s="2444"/>
      <c r="G17" s="2445"/>
      <c r="H17" s="2445"/>
      <c r="I17" s="2446"/>
      <c r="J17" s="2447"/>
      <c r="K17" s="2448"/>
      <c r="L17" s="2448"/>
      <c r="M17" s="2449"/>
      <c r="N17" s="2453" t="str">
        <f t="shared" si="3"/>
        <v>-</v>
      </c>
      <c r="O17" s="2455" t="str">
        <f t="shared" si="0"/>
        <v>-</v>
      </c>
      <c r="P17" s="2456" t="str">
        <f t="shared" si="0"/>
        <v>-</v>
      </c>
      <c r="Q17" s="2457" t="str">
        <f t="shared" si="0"/>
        <v>-</v>
      </c>
      <c r="R17" s="771">
        <f t="shared" si="4"/>
        <v>0</v>
      </c>
      <c r="S17" s="773">
        <f t="shared" si="1"/>
        <v>0</v>
      </c>
      <c r="T17" s="774">
        <f t="shared" si="1"/>
        <v>0</v>
      </c>
      <c r="U17" s="775">
        <f t="shared" si="1"/>
        <v>0</v>
      </c>
      <c r="V17" s="771">
        <f t="shared" si="5"/>
        <v>0</v>
      </c>
      <c r="W17" s="773">
        <f t="shared" si="2"/>
        <v>0</v>
      </c>
      <c r="X17" s="774">
        <f t="shared" si="2"/>
        <v>0</v>
      </c>
      <c r="Y17" s="775">
        <f t="shared" si="2"/>
        <v>0</v>
      </c>
      <c r="AA17" s="121">
        <f>واردات!AA17</f>
        <v>0</v>
      </c>
      <c r="AB17" s="48"/>
    </row>
    <row r="18" spans="1:28" ht="24" hidden="1">
      <c r="A18" s="2462" t="s">
        <v>3131</v>
      </c>
      <c r="B18" s="2444"/>
      <c r="C18" s="2445"/>
      <c r="D18" s="2445"/>
      <c r="E18" s="2446"/>
      <c r="F18" s="2444"/>
      <c r="G18" s="2445"/>
      <c r="H18" s="2445"/>
      <c r="I18" s="2446"/>
      <c r="J18" s="2447"/>
      <c r="K18" s="2448"/>
      <c r="L18" s="2448"/>
      <c r="M18" s="2449"/>
      <c r="N18" s="2453" t="str">
        <f t="shared" si="3"/>
        <v>-</v>
      </c>
      <c r="O18" s="2455" t="str">
        <f t="shared" si="0"/>
        <v>-</v>
      </c>
      <c r="P18" s="2456" t="str">
        <f t="shared" si="0"/>
        <v>-</v>
      </c>
      <c r="Q18" s="2457" t="str">
        <f t="shared" si="0"/>
        <v>-</v>
      </c>
      <c r="R18" s="771">
        <f t="shared" si="4"/>
        <v>0</v>
      </c>
      <c r="S18" s="773">
        <f t="shared" si="1"/>
        <v>0</v>
      </c>
      <c r="T18" s="774">
        <f t="shared" si="1"/>
        <v>0</v>
      </c>
      <c r="U18" s="775">
        <f t="shared" si="1"/>
        <v>0</v>
      </c>
      <c r="V18" s="771">
        <f t="shared" si="5"/>
        <v>0</v>
      </c>
      <c r="W18" s="773">
        <f t="shared" si="2"/>
        <v>0</v>
      </c>
      <c r="X18" s="774">
        <f t="shared" si="2"/>
        <v>0</v>
      </c>
      <c r="Y18" s="775">
        <f t="shared" si="2"/>
        <v>0</v>
      </c>
      <c r="AA18" s="121">
        <f>واردات!AA18</f>
        <v>0</v>
      </c>
      <c r="AB18" s="48"/>
    </row>
    <row r="19" spans="1:28" ht="24" hidden="1">
      <c r="A19" s="2462" t="s">
        <v>3132</v>
      </c>
      <c r="B19" s="2444"/>
      <c r="C19" s="2445"/>
      <c r="D19" s="2445"/>
      <c r="E19" s="2446"/>
      <c r="F19" s="2444"/>
      <c r="G19" s="2445"/>
      <c r="H19" s="2445"/>
      <c r="I19" s="2446"/>
      <c r="J19" s="2447"/>
      <c r="K19" s="2448"/>
      <c r="L19" s="2448"/>
      <c r="M19" s="2449"/>
      <c r="N19" s="2453" t="str">
        <f t="shared" si="3"/>
        <v>-</v>
      </c>
      <c r="O19" s="2455" t="str">
        <f t="shared" si="0"/>
        <v>-</v>
      </c>
      <c r="P19" s="2456" t="str">
        <f t="shared" si="0"/>
        <v>-</v>
      </c>
      <c r="Q19" s="2457" t="str">
        <f t="shared" si="0"/>
        <v>-</v>
      </c>
      <c r="R19" s="771">
        <f t="shared" si="4"/>
        <v>0</v>
      </c>
      <c r="S19" s="773">
        <f t="shared" si="1"/>
        <v>0</v>
      </c>
      <c r="T19" s="774">
        <f t="shared" si="1"/>
        <v>0</v>
      </c>
      <c r="U19" s="775">
        <f t="shared" si="1"/>
        <v>0</v>
      </c>
      <c r="V19" s="771">
        <f t="shared" si="5"/>
        <v>0</v>
      </c>
      <c r="W19" s="774">
        <f t="shared" si="2"/>
        <v>0</v>
      </c>
      <c r="X19" s="774">
        <f t="shared" si="2"/>
        <v>0</v>
      </c>
      <c r="Y19" s="775">
        <f t="shared" si="2"/>
        <v>0</v>
      </c>
      <c r="AA19" s="121">
        <f>واردات!AA19</f>
        <v>0</v>
      </c>
      <c r="AB19" s="48"/>
    </row>
    <row r="20" spans="1:28" ht="24" hidden="1">
      <c r="A20" s="2462" t="s">
        <v>3133</v>
      </c>
      <c r="B20" s="2444"/>
      <c r="C20" s="2445"/>
      <c r="D20" s="2445"/>
      <c r="E20" s="2446"/>
      <c r="F20" s="2444"/>
      <c r="G20" s="2445"/>
      <c r="H20" s="2445"/>
      <c r="I20" s="2446"/>
      <c r="J20" s="2447"/>
      <c r="K20" s="2448"/>
      <c r="L20" s="2448"/>
      <c r="M20" s="2449"/>
      <c r="N20" s="2453" t="str">
        <f t="shared" si="3"/>
        <v>-</v>
      </c>
      <c r="O20" s="2455" t="str">
        <f t="shared" si="0"/>
        <v>-</v>
      </c>
      <c r="P20" s="2456" t="str">
        <f t="shared" si="0"/>
        <v>-</v>
      </c>
      <c r="Q20" s="2457" t="str">
        <f t="shared" si="0"/>
        <v>-</v>
      </c>
      <c r="R20" s="771">
        <f t="shared" si="4"/>
        <v>0</v>
      </c>
      <c r="S20" s="773">
        <f t="shared" si="1"/>
        <v>0</v>
      </c>
      <c r="T20" s="774">
        <f t="shared" si="1"/>
        <v>0</v>
      </c>
      <c r="U20" s="775">
        <f t="shared" si="1"/>
        <v>0</v>
      </c>
      <c r="V20" s="771">
        <f t="shared" si="5"/>
        <v>0</v>
      </c>
      <c r="W20" s="774">
        <f t="shared" si="2"/>
        <v>0</v>
      </c>
      <c r="X20" s="774">
        <f t="shared" si="2"/>
        <v>0</v>
      </c>
      <c r="Y20" s="775">
        <f t="shared" si="2"/>
        <v>0</v>
      </c>
      <c r="AA20" s="121">
        <f>واردات!AA20</f>
        <v>0</v>
      </c>
      <c r="AB20" s="48"/>
    </row>
    <row r="21" spans="1:28" ht="24" hidden="1">
      <c r="A21" s="2462" t="s">
        <v>3134</v>
      </c>
      <c r="B21" s="2444"/>
      <c r="C21" s="2445"/>
      <c r="D21" s="2445"/>
      <c r="E21" s="2446"/>
      <c r="F21" s="2444"/>
      <c r="G21" s="2445"/>
      <c r="H21" s="2445"/>
      <c r="I21" s="2446"/>
      <c r="J21" s="2447"/>
      <c r="K21" s="2448"/>
      <c r="L21" s="2448"/>
      <c r="M21" s="2449"/>
      <c r="N21" s="2453" t="str">
        <f t="shared" si="3"/>
        <v>-</v>
      </c>
      <c r="O21" s="2455" t="str">
        <f t="shared" si="0"/>
        <v>-</v>
      </c>
      <c r="P21" s="2456" t="str">
        <f t="shared" si="0"/>
        <v>-</v>
      </c>
      <c r="Q21" s="2457" t="str">
        <f t="shared" si="0"/>
        <v>-</v>
      </c>
      <c r="R21" s="771">
        <f t="shared" si="4"/>
        <v>0</v>
      </c>
      <c r="S21" s="773">
        <f t="shared" si="1"/>
        <v>0</v>
      </c>
      <c r="T21" s="774">
        <f t="shared" si="1"/>
        <v>0</v>
      </c>
      <c r="U21" s="775">
        <f t="shared" si="1"/>
        <v>0</v>
      </c>
      <c r="V21" s="771">
        <f t="shared" si="5"/>
        <v>0</v>
      </c>
      <c r="W21" s="773">
        <f t="shared" si="2"/>
        <v>0</v>
      </c>
      <c r="X21" s="774">
        <f t="shared" si="2"/>
        <v>0</v>
      </c>
      <c r="Y21" s="775">
        <f t="shared" si="2"/>
        <v>0</v>
      </c>
      <c r="AA21" s="121">
        <f>واردات!AA21</f>
        <v>0</v>
      </c>
      <c r="AB21" s="48"/>
    </row>
    <row r="22" spans="1:28" ht="24" hidden="1">
      <c r="A22" s="2462" t="s">
        <v>3135</v>
      </c>
      <c r="B22" s="2444"/>
      <c r="C22" s="2445"/>
      <c r="D22" s="2445"/>
      <c r="E22" s="2446"/>
      <c r="F22" s="2444"/>
      <c r="G22" s="2445"/>
      <c r="H22" s="2445"/>
      <c r="I22" s="2446"/>
      <c r="J22" s="2447"/>
      <c r="K22" s="2448"/>
      <c r="L22" s="2448"/>
      <c r="M22" s="2449"/>
      <c r="N22" s="2453" t="str">
        <f t="shared" si="3"/>
        <v>-</v>
      </c>
      <c r="O22" s="2455" t="str">
        <f t="shared" si="3"/>
        <v>-</v>
      </c>
      <c r="P22" s="2456" t="str">
        <f t="shared" si="3"/>
        <v>-</v>
      </c>
      <c r="Q22" s="2457" t="str">
        <f t="shared" si="3"/>
        <v>-</v>
      </c>
      <c r="R22" s="771">
        <f t="shared" si="4"/>
        <v>0</v>
      </c>
      <c r="S22" s="773">
        <f t="shared" si="4"/>
        <v>0</v>
      </c>
      <c r="T22" s="774">
        <f t="shared" si="4"/>
        <v>0</v>
      </c>
      <c r="U22" s="775">
        <f t="shared" si="4"/>
        <v>0</v>
      </c>
      <c r="V22" s="771">
        <f t="shared" si="5"/>
        <v>0</v>
      </c>
      <c r="W22" s="774">
        <f t="shared" si="5"/>
        <v>0</v>
      </c>
      <c r="X22" s="774">
        <f t="shared" si="5"/>
        <v>0</v>
      </c>
      <c r="Y22" s="775">
        <f t="shared" si="5"/>
        <v>0</v>
      </c>
      <c r="AA22" s="121">
        <f>واردات!AA22</f>
        <v>0</v>
      </c>
      <c r="AB22" s="48"/>
    </row>
    <row r="23" spans="1:28" ht="24" hidden="1">
      <c r="A23" s="2462" t="s">
        <v>3136</v>
      </c>
      <c r="B23" s="2444"/>
      <c r="C23" s="2445"/>
      <c r="D23" s="2445"/>
      <c r="E23" s="2446"/>
      <c r="F23" s="2444"/>
      <c r="G23" s="2445"/>
      <c r="H23" s="2445"/>
      <c r="I23" s="2446"/>
      <c r="J23" s="2447"/>
      <c r="K23" s="2448"/>
      <c r="L23" s="2448"/>
      <c r="M23" s="2449"/>
      <c r="N23" s="2453" t="str">
        <f t="shared" si="3"/>
        <v>-</v>
      </c>
      <c r="O23" s="2455" t="str">
        <f t="shared" si="3"/>
        <v>-</v>
      </c>
      <c r="P23" s="2456" t="str">
        <f t="shared" si="3"/>
        <v>-</v>
      </c>
      <c r="Q23" s="2457" t="str">
        <f t="shared" si="3"/>
        <v>-</v>
      </c>
      <c r="R23" s="771">
        <f t="shared" si="4"/>
        <v>0</v>
      </c>
      <c r="S23" s="773">
        <f t="shared" si="4"/>
        <v>0</v>
      </c>
      <c r="T23" s="774">
        <f t="shared" si="4"/>
        <v>0</v>
      </c>
      <c r="U23" s="775">
        <f t="shared" si="4"/>
        <v>0</v>
      </c>
      <c r="V23" s="771">
        <f t="shared" si="5"/>
        <v>0</v>
      </c>
      <c r="W23" s="774">
        <f t="shared" si="5"/>
        <v>0</v>
      </c>
      <c r="X23" s="774">
        <f t="shared" si="5"/>
        <v>0</v>
      </c>
      <c r="Y23" s="775">
        <f t="shared" si="5"/>
        <v>0</v>
      </c>
      <c r="AA23" s="121">
        <f>واردات!AA23</f>
        <v>0</v>
      </c>
      <c r="AB23" s="48"/>
    </row>
    <row r="24" spans="1:28" ht="24" hidden="1">
      <c r="A24" s="2462" t="s">
        <v>3137</v>
      </c>
      <c r="B24" s="2444"/>
      <c r="C24" s="2445"/>
      <c r="D24" s="2445"/>
      <c r="E24" s="2446"/>
      <c r="F24" s="2444"/>
      <c r="G24" s="2445"/>
      <c r="H24" s="2445"/>
      <c r="I24" s="2446"/>
      <c r="J24" s="2447"/>
      <c r="K24" s="2448"/>
      <c r="L24" s="2448"/>
      <c r="M24" s="2449"/>
      <c r="N24" s="2453" t="str">
        <f t="shared" si="3"/>
        <v>-</v>
      </c>
      <c r="O24" s="2455" t="str">
        <f t="shared" si="3"/>
        <v>-</v>
      </c>
      <c r="P24" s="2456" t="str">
        <f t="shared" si="3"/>
        <v>-</v>
      </c>
      <c r="Q24" s="2457" t="str">
        <f t="shared" si="3"/>
        <v>-</v>
      </c>
      <c r="R24" s="771">
        <f t="shared" si="4"/>
        <v>0</v>
      </c>
      <c r="S24" s="773">
        <f t="shared" si="4"/>
        <v>0</v>
      </c>
      <c r="T24" s="774">
        <f t="shared" si="4"/>
        <v>0</v>
      </c>
      <c r="U24" s="775">
        <f t="shared" si="4"/>
        <v>0</v>
      </c>
      <c r="V24" s="771">
        <f t="shared" si="5"/>
        <v>0</v>
      </c>
      <c r="W24" s="774">
        <f t="shared" si="5"/>
        <v>0</v>
      </c>
      <c r="X24" s="774">
        <f t="shared" si="5"/>
        <v>0</v>
      </c>
      <c r="Y24" s="775">
        <f t="shared" si="5"/>
        <v>0</v>
      </c>
      <c r="AA24" s="121">
        <f>واردات!AA24</f>
        <v>0</v>
      </c>
      <c r="AB24" s="48"/>
    </row>
    <row r="25" spans="1:28" s="121" customFormat="1" ht="24" hidden="1">
      <c r="A25" s="2462" t="s">
        <v>3138</v>
      </c>
      <c r="B25" s="2444"/>
      <c r="C25" s="2445"/>
      <c r="D25" s="2445"/>
      <c r="E25" s="2446"/>
      <c r="F25" s="2444"/>
      <c r="G25" s="2445"/>
      <c r="H25" s="2445"/>
      <c r="I25" s="2446"/>
      <c r="J25" s="2447"/>
      <c r="K25" s="2448"/>
      <c r="L25" s="2448"/>
      <c r="M25" s="2449"/>
      <c r="N25" s="2453" t="str">
        <f t="shared" si="3"/>
        <v>-</v>
      </c>
      <c r="O25" s="2455" t="str">
        <f t="shared" si="3"/>
        <v>-</v>
      </c>
      <c r="P25" s="2456" t="str">
        <f t="shared" si="3"/>
        <v>-</v>
      </c>
      <c r="Q25" s="2457" t="str">
        <f t="shared" si="3"/>
        <v>-</v>
      </c>
      <c r="R25" s="771">
        <f t="shared" si="4"/>
        <v>0</v>
      </c>
      <c r="S25" s="773">
        <f t="shared" si="4"/>
        <v>0</v>
      </c>
      <c r="T25" s="774">
        <f t="shared" si="4"/>
        <v>0</v>
      </c>
      <c r="U25" s="775">
        <f t="shared" si="4"/>
        <v>0</v>
      </c>
      <c r="V25" s="771">
        <f t="shared" si="5"/>
        <v>0</v>
      </c>
      <c r="W25" s="774">
        <f t="shared" si="5"/>
        <v>0</v>
      </c>
      <c r="X25" s="774">
        <f t="shared" si="5"/>
        <v>0</v>
      </c>
      <c r="Y25" s="775">
        <f t="shared" si="5"/>
        <v>0</v>
      </c>
      <c r="AA25" s="121">
        <f>واردات!AA25</f>
        <v>0</v>
      </c>
      <c r="AB25" s="48"/>
    </row>
    <row r="26" spans="1:28" s="121" customFormat="1" ht="24" hidden="1">
      <c r="A26" s="2462" t="s">
        <v>3139</v>
      </c>
      <c r="B26" s="2444"/>
      <c r="C26" s="2445"/>
      <c r="D26" s="2445"/>
      <c r="E26" s="2446"/>
      <c r="F26" s="2444"/>
      <c r="G26" s="2445"/>
      <c r="H26" s="2445"/>
      <c r="I26" s="2446"/>
      <c r="J26" s="2447"/>
      <c r="K26" s="2448"/>
      <c r="L26" s="2448"/>
      <c r="M26" s="2449"/>
      <c r="N26" s="2453" t="str">
        <f t="shared" si="3"/>
        <v>-</v>
      </c>
      <c r="O26" s="2455" t="str">
        <f t="shared" si="3"/>
        <v>-</v>
      </c>
      <c r="P26" s="2456" t="str">
        <f t="shared" si="3"/>
        <v>-</v>
      </c>
      <c r="Q26" s="2457" t="str">
        <f t="shared" si="3"/>
        <v>-</v>
      </c>
      <c r="R26" s="771">
        <f t="shared" si="4"/>
        <v>0</v>
      </c>
      <c r="S26" s="773">
        <f t="shared" si="4"/>
        <v>0</v>
      </c>
      <c r="T26" s="774">
        <f t="shared" si="4"/>
        <v>0</v>
      </c>
      <c r="U26" s="775">
        <f t="shared" si="4"/>
        <v>0</v>
      </c>
      <c r="V26" s="771">
        <f t="shared" si="5"/>
        <v>0</v>
      </c>
      <c r="W26" s="774">
        <f t="shared" si="5"/>
        <v>0</v>
      </c>
      <c r="X26" s="774">
        <f t="shared" si="5"/>
        <v>0</v>
      </c>
      <c r="Y26" s="775">
        <f t="shared" si="5"/>
        <v>0</v>
      </c>
      <c r="AA26" s="121">
        <f>واردات!AA26</f>
        <v>0</v>
      </c>
      <c r="AB26" s="48"/>
    </row>
    <row r="27" spans="1:28" s="121" customFormat="1" ht="24" hidden="1">
      <c r="A27" s="2462" t="s">
        <v>3140</v>
      </c>
      <c r="B27" s="2444"/>
      <c r="C27" s="2445"/>
      <c r="D27" s="2445"/>
      <c r="E27" s="2446"/>
      <c r="F27" s="2444"/>
      <c r="G27" s="2445"/>
      <c r="H27" s="2445"/>
      <c r="I27" s="2446"/>
      <c r="J27" s="2447"/>
      <c r="K27" s="2448"/>
      <c r="L27" s="2448"/>
      <c r="M27" s="2449"/>
      <c r="N27" s="2453" t="str">
        <f t="shared" si="3"/>
        <v>-</v>
      </c>
      <c r="O27" s="2455" t="str">
        <f t="shared" si="3"/>
        <v>-</v>
      </c>
      <c r="P27" s="2456" t="str">
        <f t="shared" si="3"/>
        <v>-</v>
      </c>
      <c r="Q27" s="2457" t="str">
        <f t="shared" si="3"/>
        <v>-</v>
      </c>
      <c r="R27" s="771">
        <f t="shared" si="4"/>
        <v>0</v>
      </c>
      <c r="S27" s="773">
        <f t="shared" si="4"/>
        <v>0</v>
      </c>
      <c r="T27" s="774">
        <f t="shared" si="4"/>
        <v>0</v>
      </c>
      <c r="U27" s="775">
        <f t="shared" si="4"/>
        <v>0</v>
      </c>
      <c r="V27" s="771">
        <f t="shared" si="5"/>
        <v>0</v>
      </c>
      <c r="W27" s="774">
        <f t="shared" si="5"/>
        <v>0</v>
      </c>
      <c r="X27" s="774">
        <f t="shared" si="5"/>
        <v>0</v>
      </c>
      <c r="Y27" s="775">
        <f t="shared" si="5"/>
        <v>0</v>
      </c>
      <c r="AA27" s="121">
        <f>واردات!AA27</f>
        <v>0</v>
      </c>
      <c r="AB27" s="48"/>
    </row>
    <row r="28" spans="1:28" s="121" customFormat="1" ht="24" hidden="1">
      <c r="A28" s="2462" t="s">
        <v>3141</v>
      </c>
      <c r="B28" s="2444"/>
      <c r="C28" s="2445"/>
      <c r="D28" s="2445"/>
      <c r="E28" s="2446"/>
      <c r="F28" s="2444"/>
      <c r="G28" s="2445"/>
      <c r="H28" s="2445"/>
      <c r="I28" s="2446"/>
      <c r="J28" s="2447"/>
      <c r="K28" s="2448"/>
      <c r="L28" s="2448"/>
      <c r="M28" s="2449"/>
      <c r="N28" s="2453" t="str">
        <f t="shared" si="3"/>
        <v>-</v>
      </c>
      <c r="O28" s="2455" t="str">
        <f t="shared" si="3"/>
        <v>-</v>
      </c>
      <c r="P28" s="2456" t="str">
        <f t="shared" si="3"/>
        <v>-</v>
      </c>
      <c r="Q28" s="2457" t="str">
        <f t="shared" si="3"/>
        <v>-</v>
      </c>
      <c r="R28" s="771">
        <f t="shared" si="4"/>
        <v>0</v>
      </c>
      <c r="S28" s="773">
        <f t="shared" si="4"/>
        <v>0</v>
      </c>
      <c r="T28" s="774">
        <f t="shared" si="4"/>
        <v>0</v>
      </c>
      <c r="U28" s="775">
        <f t="shared" si="4"/>
        <v>0</v>
      </c>
      <c r="V28" s="771">
        <f t="shared" si="5"/>
        <v>0</v>
      </c>
      <c r="W28" s="774">
        <f t="shared" si="5"/>
        <v>0</v>
      </c>
      <c r="X28" s="774">
        <f t="shared" si="5"/>
        <v>0</v>
      </c>
      <c r="Y28" s="775">
        <f t="shared" si="5"/>
        <v>0</v>
      </c>
      <c r="AA28" s="121">
        <f>واردات!AA28</f>
        <v>0</v>
      </c>
      <c r="AB28" s="48"/>
    </row>
    <row r="29" spans="1:28" s="121" customFormat="1" ht="24" hidden="1">
      <c r="A29" s="2462" t="s">
        <v>3142</v>
      </c>
      <c r="B29" s="2444"/>
      <c r="C29" s="2445"/>
      <c r="D29" s="2445"/>
      <c r="E29" s="2446"/>
      <c r="F29" s="2444"/>
      <c r="G29" s="2445"/>
      <c r="H29" s="2445"/>
      <c r="I29" s="2446"/>
      <c r="J29" s="2447"/>
      <c r="K29" s="2448"/>
      <c r="L29" s="2448"/>
      <c r="M29" s="2449"/>
      <c r="N29" s="2453" t="str">
        <f t="shared" si="3"/>
        <v>-</v>
      </c>
      <c r="O29" s="2455" t="str">
        <f t="shared" si="3"/>
        <v>-</v>
      </c>
      <c r="P29" s="2456" t="str">
        <f t="shared" si="3"/>
        <v>-</v>
      </c>
      <c r="Q29" s="2457" t="str">
        <f t="shared" si="3"/>
        <v>-</v>
      </c>
      <c r="R29" s="771">
        <f t="shared" si="4"/>
        <v>0</v>
      </c>
      <c r="S29" s="773">
        <f t="shared" si="4"/>
        <v>0</v>
      </c>
      <c r="T29" s="774">
        <f t="shared" si="4"/>
        <v>0</v>
      </c>
      <c r="U29" s="775">
        <f t="shared" si="4"/>
        <v>0</v>
      </c>
      <c r="V29" s="771">
        <f t="shared" si="5"/>
        <v>0</v>
      </c>
      <c r="W29" s="773">
        <f t="shared" si="5"/>
        <v>0</v>
      </c>
      <c r="X29" s="774">
        <f t="shared" si="5"/>
        <v>0</v>
      </c>
      <c r="Y29" s="775">
        <f t="shared" si="5"/>
        <v>0</v>
      </c>
      <c r="AA29" s="121">
        <f>واردات!AA29</f>
        <v>0</v>
      </c>
      <c r="AB29" s="48"/>
    </row>
    <row r="30" spans="1:28" s="121" customFormat="1" ht="24" hidden="1">
      <c r="A30" s="2462" t="s">
        <v>3143</v>
      </c>
      <c r="B30" s="2444"/>
      <c r="C30" s="2445"/>
      <c r="D30" s="2445"/>
      <c r="E30" s="2446"/>
      <c r="F30" s="2444"/>
      <c r="G30" s="2445"/>
      <c r="H30" s="2445"/>
      <c r="I30" s="2446"/>
      <c r="J30" s="2447"/>
      <c r="K30" s="2448"/>
      <c r="L30" s="2448"/>
      <c r="M30" s="2449"/>
      <c r="N30" s="2456" t="str">
        <f t="shared" si="3"/>
        <v>-</v>
      </c>
      <c r="O30" s="2456" t="str">
        <f t="shared" si="3"/>
        <v>-</v>
      </c>
      <c r="P30" s="2456" t="str">
        <f t="shared" si="3"/>
        <v>-</v>
      </c>
      <c r="Q30" s="2457" t="str">
        <f t="shared" si="3"/>
        <v>-</v>
      </c>
      <c r="R30" s="774">
        <f t="shared" si="4"/>
        <v>0</v>
      </c>
      <c r="S30" s="774">
        <f t="shared" si="4"/>
        <v>0</v>
      </c>
      <c r="T30" s="774">
        <f t="shared" si="4"/>
        <v>0</v>
      </c>
      <c r="U30" s="775">
        <f t="shared" si="4"/>
        <v>0</v>
      </c>
      <c r="V30" s="774">
        <f t="shared" si="5"/>
        <v>0</v>
      </c>
      <c r="W30" s="774">
        <f t="shared" si="5"/>
        <v>0</v>
      </c>
      <c r="X30" s="774">
        <f t="shared" si="5"/>
        <v>0</v>
      </c>
      <c r="Y30" s="775">
        <f t="shared" si="5"/>
        <v>0</v>
      </c>
      <c r="AA30" s="121">
        <f>واردات!AA30</f>
        <v>0</v>
      </c>
      <c r="AB30" s="48"/>
    </row>
    <row r="31" spans="1:28" s="121" customFormat="1" ht="24" hidden="1">
      <c r="A31" s="2462" t="s">
        <v>3144</v>
      </c>
      <c r="B31" s="2444"/>
      <c r="C31" s="2445"/>
      <c r="D31" s="2445"/>
      <c r="E31" s="2446"/>
      <c r="F31" s="2444"/>
      <c r="G31" s="2445"/>
      <c r="H31" s="2445"/>
      <c r="I31" s="2446"/>
      <c r="J31" s="2447"/>
      <c r="K31" s="2448"/>
      <c r="L31" s="2448"/>
      <c r="M31" s="2449"/>
      <c r="N31" s="2456" t="str">
        <f t="shared" si="3"/>
        <v>-</v>
      </c>
      <c r="O31" s="2456" t="str">
        <f t="shared" si="3"/>
        <v>-</v>
      </c>
      <c r="P31" s="2456" t="str">
        <f t="shared" si="3"/>
        <v>-</v>
      </c>
      <c r="Q31" s="2457" t="str">
        <f t="shared" si="3"/>
        <v>-</v>
      </c>
      <c r="R31" s="774">
        <f t="shared" si="4"/>
        <v>0</v>
      </c>
      <c r="S31" s="774">
        <f t="shared" si="4"/>
        <v>0</v>
      </c>
      <c r="T31" s="774">
        <f t="shared" si="4"/>
        <v>0</v>
      </c>
      <c r="U31" s="775">
        <f t="shared" si="4"/>
        <v>0</v>
      </c>
      <c r="V31" s="774">
        <f t="shared" si="5"/>
        <v>0</v>
      </c>
      <c r="W31" s="774">
        <f t="shared" si="5"/>
        <v>0</v>
      </c>
      <c r="X31" s="774">
        <f t="shared" si="5"/>
        <v>0</v>
      </c>
      <c r="Y31" s="775">
        <f t="shared" si="5"/>
        <v>0</v>
      </c>
      <c r="AA31" s="121">
        <f>واردات!AA31</f>
        <v>0</v>
      </c>
      <c r="AB31" s="48"/>
    </row>
    <row r="32" spans="1:28" s="121" customFormat="1" ht="24.75" hidden="1" thickBot="1">
      <c r="A32" s="2463" t="s">
        <v>3145</v>
      </c>
      <c r="B32" s="2444"/>
      <c r="C32" s="2445"/>
      <c r="D32" s="2445"/>
      <c r="E32" s="2446"/>
      <c r="F32" s="2444"/>
      <c r="G32" s="2445"/>
      <c r="H32" s="2445"/>
      <c r="I32" s="2446"/>
      <c r="J32" s="2447"/>
      <c r="K32" s="2448"/>
      <c r="L32" s="2448"/>
      <c r="M32" s="2449"/>
      <c r="N32" s="2456" t="str">
        <f t="shared" si="3"/>
        <v>-</v>
      </c>
      <c r="O32" s="2456" t="str">
        <f t="shared" si="3"/>
        <v>-</v>
      </c>
      <c r="P32" s="2456" t="str">
        <f t="shared" si="3"/>
        <v>-</v>
      </c>
      <c r="Q32" s="2457" t="str">
        <f t="shared" si="3"/>
        <v>-</v>
      </c>
      <c r="R32" s="774">
        <f t="shared" si="4"/>
        <v>0</v>
      </c>
      <c r="S32" s="774">
        <f t="shared" si="4"/>
        <v>0</v>
      </c>
      <c r="T32" s="774">
        <f t="shared" si="4"/>
        <v>0</v>
      </c>
      <c r="U32" s="775">
        <f t="shared" si="4"/>
        <v>0</v>
      </c>
      <c r="V32" s="774">
        <f t="shared" si="5"/>
        <v>0</v>
      </c>
      <c r="W32" s="774">
        <f t="shared" si="5"/>
        <v>0</v>
      </c>
      <c r="X32" s="774">
        <f t="shared" si="5"/>
        <v>0</v>
      </c>
      <c r="Y32" s="775">
        <f t="shared" si="5"/>
        <v>0</v>
      </c>
      <c r="AA32" s="121">
        <f>واردات!AA32</f>
        <v>0</v>
      </c>
      <c r="AB32" s="48"/>
    </row>
    <row r="33" spans="1:28" s="121" customFormat="1" ht="24" hidden="1">
      <c r="A33" s="2464" t="s">
        <v>3146</v>
      </c>
      <c r="B33" s="2444"/>
      <c r="C33" s="2445"/>
      <c r="D33" s="2445"/>
      <c r="E33" s="2446"/>
      <c r="F33" s="2444"/>
      <c r="G33" s="2445"/>
      <c r="H33" s="2445"/>
      <c r="I33" s="2446"/>
      <c r="J33" s="2447"/>
      <c r="K33" s="2448"/>
      <c r="L33" s="2448"/>
      <c r="M33" s="2449"/>
      <c r="N33" s="2456" t="str">
        <f t="shared" si="3"/>
        <v>-</v>
      </c>
      <c r="O33" s="2456" t="str">
        <f t="shared" si="3"/>
        <v>-</v>
      </c>
      <c r="P33" s="2456" t="str">
        <f t="shared" si="3"/>
        <v>-</v>
      </c>
      <c r="Q33" s="2457" t="str">
        <f t="shared" si="3"/>
        <v>-</v>
      </c>
      <c r="R33" s="774">
        <f t="shared" si="4"/>
        <v>0</v>
      </c>
      <c r="S33" s="774">
        <f t="shared" si="4"/>
        <v>0</v>
      </c>
      <c r="T33" s="774">
        <f t="shared" si="4"/>
        <v>0</v>
      </c>
      <c r="U33" s="775">
        <f t="shared" si="4"/>
        <v>0</v>
      </c>
      <c r="V33" s="774">
        <f t="shared" si="5"/>
        <v>0</v>
      </c>
      <c r="W33" s="774">
        <f t="shared" si="5"/>
        <v>0</v>
      </c>
      <c r="X33" s="774">
        <f t="shared" si="5"/>
        <v>0</v>
      </c>
      <c r="Y33" s="775">
        <f t="shared" si="5"/>
        <v>0</v>
      </c>
      <c r="AA33" s="121">
        <f>واردات!AA33</f>
        <v>0</v>
      </c>
      <c r="AB33" s="48"/>
    </row>
    <row r="34" spans="1:28" s="121" customFormat="1" ht="24" hidden="1">
      <c r="A34" s="2465" t="s">
        <v>3147</v>
      </c>
      <c r="B34" s="2444"/>
      <c r="C34" s="2445"/>
      <c r="D34" s="2445"/>
      <c r="E34" s="2446"/>
      <c r="F34" s="2444"/>
      <c r="G34" s="2445"/>
      <c r="H34" s="2445"/>
      <c r="I34" s="2446"/>
      <c r="J34" s="2447"/>
      <c r="K34" s="2448"/>
      <c r="L34" s="2448"/>
      <c r="M34" s="2449"/>
      <c r="N34" s="2456" t="str">
        <f t="shared" si="3"/>
        <v>-</v>
      </c>
      <c r="O34" s="2456" t="str">
        <f t="shared" si="3"/>
        <v>-</v>
      </c>
      <c r="P34" s="2456" t="str">
        <f t="shared" si="3"/>
        <v>-</v>
      </c>
      <c r="Q34" s="2457" t="str">
        <f t="shared" si="3"/>
        <v>-</v>
      </c>
      <c r="R34" s="774">
        <f t="shared" si="4"/>
        <v>0</v>
      </c>
      <c r="S34" s="774">
        <f t="shared" si="4"/>
        <v>0</v>
      </c>
      <c r="T34" s="774">
        <f t="shared" si="4"/>
        <v>0</v>
      </c>
      <c r="U34" s="775">
        <f t="shared" si="4"/>
        <v>0</v>
      </c>
      <c r="V34" s="774">
        <f t="shared" si="5"/>
        <v>0</v>
      </c>
      <c r="W34" s="774">
        <f t="shared" si="5"/>
        <v>0</v>
      </c>
      <c r="X34" s="774">
        <f t="shared" si="5"/>
        <v>0</v>
      </c>
      <c r="Y34" s="775">
        <f t="shared" si="5"/>
        <v>0</v>
      </c>
      <c r="AA34" s="121">
        <f>واردات!AA34</f>
        <v>0</v>
      </c>
      <c r="AB34" s="48"/>
    </row>
    <row r="35" spans="1:28" s="121" customFormat="1" ht="24" hidden="1">
      <c r="A35" s="2465" t="s">
        <v>3148</v>
      </c>
      <c r="B35" s="2444"/>
      <c r="C35" s="2445"/>
      <c r="D35" s="2445"/>
      <c r="E35" s="2446"/>
      <c r="F35" s="2444"/>
      <c r="G35" s="2445"/>
      <c r="H35" s="2445"/>
      <c r="I35" s="2446"/>
      <c r="J35" s="2447"/>
      <c r="K35" s="2448"/>
      <c r="L35" s="2448"/>
      <c r="M35" s="2449"/>
      <c r="N35" s="2456" t="str">
        <f t="shared" si="3"/>
        <v>-</v>
      </c>
      <c r="O35" s="2456" t="str">
        <f t="shared" si="3"/>
        <v>-</v>
      </c>
      <c r="P35" s="2456" t="str">
        <f t="shared" si="3"/>
        <v>-</v>
      </c>
      <c r="Q35" s="2457" t="str">
        <f t="shared" si="3"/>
        <v>-</v>
      </c>
      <c r="R35" s="774">
        <f t="shared" si="4"/>
        <v>0</v>
      </c>
      <c r="S35" s="774">
        <f t="shared" si="4"/>
        <v>0</v>
      </c>
      <c r="T35" s="774">
        <f t="shared" si="4"/>
        <v>0</v>
      </c>
      <c r="U35" s="775">
        <f t="shared" si="4"/>
        <v>0</v>
      </c>
      <c r="V35" s="774">
        <f t="shared" si="5"/>
        <v>0</v>
      </c>
      <c r="W35" s="774">
        <f t="shared" si="5"/>
        <v>0</v>
      </c>
      <c r="X35" s="774">
        <f t="shared" si="5"/>
        <v>0</v>
      </c>
      <c r="Y35" s="775">
        <f t="shared" si="5"/>
        <v>0</v>
      </c>
      <c r="AA35" s="121">
        <f>واردات!AA35</f>
        <v>0</v>
      </c>
      <c r="AB35" s="48"/>
    </row>
    <row r="36" spans="1:28" s="121" customFormat="1" ht="24" hidden="1">
      <c r="A36" s="2465" t="s">
        <v>3149</v>
      </c>
      <c r="B36" s="2444"/>
      <c r="C36" s="2445"/>
      <c r="D36" s="2445"/>
      <c r="E36" s="2446"/>
      <c r="F36" s="2444"/>
      <c r="G36" s="2445"/>
      <c r="H36" s="2445"/>
      <c r="I36" s="2446"/>
      <c r="J36" s="2447"/>
      <c r="K36" s="2448"/>
      <c r="L36" s="2448"/>
      <c r="M36" s="2449"/>
      <c r="N36" s="2456" t="str">
        <f t="shared" si="3"/>
        <v>-</v>
      </c>
      <c r="O36" s="2456" t="str">
        <f t="shared" si="3"/>
        <v>-</v>
      </c>
      <c r="P36" s="2456" t="str">
        <f t="shared" si="3"/>
        <v>-</v>
      </c>
      <c r="Q36" s="2457" t="str">
        <f t="shared" si="3"/>
        <v>-</v>
      </c>
      <c r="R36" s="774">
        <f t="shared" si="4"/>
        <v>0</v>
      </c>
      <c r="S36" s="774">
        <f t="shared" si="4"/>
        <v>0</v>
      </c>
      <c r="T36" s="774">
        <f t="shared" si="4"/>
        <v>0</v>
      </c>
      <c r="U36" s="775">
        <f t="shared" si="4"/>
        <v>0</v>
      </c>
      <c r="V36" s="774">
        <f t="shared" si="5"/>
        <v>0</v>
      </c>
      <c r="W36" s="774">
        <f t="shared" si="5"/>
        <v>0</v>
      </c>
      <c r="X36" s="774">
        <f t="shared" si="5"/>
        <v>0</v>
      </c>
      <c r="Y36" s="775">
        <f t="shared" si="5"/>
        <v>0</v>
      </c>
      <c r="AA36" s="121">
        <f>واردات!AA36</f>
        <v>0</v>
      </c>
      <c r="AB36" s="48"/>
    </row>
    <row r="37" spans="1:28" s="121" customFormat="1" ht="24" hidden="1">
      <c r="A37" s="2465" t="s">
        <v>3150</v>
      </c>
      <c r="B37" s="2444"/>
      <c r="C37" s="2445"/>
      <c r="D37" s="2445"/>
      <c r="E37" s="2446"/>
      <c r="F37" s="2444"/>
      <c r="G37" s="2445"/>
      <c r="H37" s="2445"/>
      <c r="I37" s="2446"/>
      <c r="J37" s="2447"/>
      <c r="K37" s="2448"/>
      <c r="L37" s="2448"/>
      <c r="M37" s="2449"/>
      <c r="N37" s="2456" t="str">
        <f t="shared" si="3"/>
        <v>-</v>
      </c>
      <c r="O37" s="2456" t="str">
        <f t="shared" si="3"/>
        <v>-</v>
      </c>
      <c r="P37" s="2456" t="str">
        <f t="shared" si="3"/>
        <v>-</v>
      </c>
      <c r="Q37" s="2457" t="str">
        <f t="shared" si="3"/>
        <v>-</v>
      </c>
      <c r="R37" s="774">
        <f t="shared" si="4"/>
        <v>0</v>
      </c>
      <c r="S37" s="774">
        <f t="shared" si="4"/>
        <v>0</v>
      </c>
      <c r="T37" s="774">
        <f t="shared" si="4"/>
        <v>0</v>
      </c>
      <c r="U37" s="775">
        <f t="shared" si="4"/>
        <v>0</v>
      </c>
      <c r="V37" s="774">
        <f t="shared" si="5"/>
        <v>0</v>
      </c>
      <c r="W37" s="774">
        <f t="shared" si="5"/>
        <v>0</v>
      </c>
      <c r="X37" s="774">
        <f t="shared" si="5"/>
        <v>0</v>
      </c>
      <c r="Y37" s="775">
        <f t="shared" si="5"/>
        <v>0</v>
      </c>
      <c r="AA37" s="121">
        <f>واردات!AA37</f>
        <v>0</v>
      </c>
      <c r="AB37" s="48"/>
    </row>
    <row r="38" spans="1:28" s="121" customFormat="1" ht="24" hidden="1">
      <c r="A38" s="2465" t="s">
        <v>3151</v>
      </c>
      <c r="B38" s="2444"/>
      <c r="C38" s="2445"/>
      <c r="D38" s="2445"/>
      <c r="E38" s="2446"/>
      <c r="F38" s="2444"/>
      <c r="G38" s="2445"/>
      <c r="H38" s="2445"/>
      <c r="I38" s="2446"/>
      <c r="J38" s="2447"/>
      <c r="K38" s="2448"/>
      <c r="L38" s="2448"/>
      <c r="M38" s="2449"/>
      <c r="N38" s="2456" t="str">
        <f t="shared" si="3"/>
        <v>-</v>
      </c>
      <c r="O38" s="2456" t="str">
        <f t="shared" si="3"/>
        <v>-</v>
      </c>
      <c r="P38" s="2456" t="str">
        <f t="shared" si="3"/>
        <v>-</v>
      </c>
      <c r="Q38" s="2457" t="str">
        <f t="shared" si="3"/>
        <v>-</v>
      </c>
      <c r="R38" s="774">
        <f t="shared" si="4"/>
        <v>0</v>
      </c>
      <c r="S38" s="774">
        <f t="shared" si="4"/>
        <v>0</v>
      </c>
      <c r="T38" s="774">
        <f t="shared" si="4"/>
        <v>0</v>
      </c>
      <c r="U38" s="775">
        <f t="shared" si="4"/>
        <v>0</v>
      </c>
      <c r="V38" s="774">
        <f t="shared" si="5"/>
        <v>0</v>
      </c>
      <c r="W38" s="774">
        <f t="shared" si="5"/>
        <v>0</v>
      </c>
      <c r="X38" s="774">
        <f t="shared" si="5"/>
        <v>0</v>
      </c>
      <c r="Y38" s="775">
        <f t="shared" si="5"/>
        <v>0</v>
      </c>
      <c r="AA38" s="121">
        <f>واردات!AA38</f>
        <v>0</v>
      </c>
      <c r="AB38" s="48"/>
    </row>
    <row r="39" spans="1:28" s="121" customFormat="1" ht="24" hidden="1">
      <c r="A39" s="2465" t="s">
        <v>3152</v>
      </c>
      <c r="B39" s="2444"/>
      <c r="C39" s="2445"/>
      <c r="D39" s="2445"/>
      <c r="E39" s="2446"/>
      <c r="F39" s="2444"/>
      <c r="G39" s="2445"/>
      <c r="H39" s="2445"/>
      <c r="I39" s="2446"/>
      <c r="J39" s="2447"/>
      <c r="K39" s="2448"/>
      <c r="L39" s="2448"/>
      <c r="M39" s="2449"/>
      <c r="N39" s="2456" t="str">
        <f t="shared" si="3"/>
        <v>-</v>
      </c>
      <c r="O39" s="2456" t="str">
        <f t="shared" si="3"/>
        <v>-</v>
      </c>
      <c r="P39" s="2456" t="str">
        <f t="shared" si="3"/>
        <v>-</v>
      </c>
      <c r="Q39" s="2457" t="str">
        <f t="shared" si="3"/>
        <v>-</v>
      </c>
      <c r="R39" s="774">
        <f t="shared" si="4"/>
        <v>0</v>
      </c>
      <c r="S39" s="774">
        <f t="shared" si="4"/>
        <v>0</v>
      </c>
      <c r="T39" s="774">
        <f t="shared" si="4"/>
        <v>0</v>
      </c>
      <c r="U39" s="775">
        <f t="shared" si="4"/>
        <v>0</v>
      </c>
      <c r="V39" s="774">
        <f t="shared" si="5"/>
        <v>0</v>
      </c>
      <c r="W39" s="774">
        <f t="shared" si="5"/>
        <v>0</v>
      </c>
      <c r="X39" s="774">
        <f t="shared" si="5"/>
        <v>0</v>
      </c>
      <c r="Y39" s="775">
        <f t="shared" si="5"/>
        <v>0</v>
      </c>
      <c r="AA39" s="121">
        <f>واردات!AA39</f>
        <v>0</v>
      </c>
      <c r="AB39" s="48"/>
    </row>
    <row r="40" spans="1:28" s="121" customFormat="1" ht="24" hidden="1">
      <c r="A40" s="2466" t="s">
        <v>3153</v>
      </c>
      <c r="B40" s="2444"/>
      <c r="C40" s="2445"/>
      <c r="D40" s="2445"/>
      <c r="E40" s="2446"/>
      <c r="F40" s="2444"/>
      <c r="G40" s="2445"/>
      <c r="H40" s="2445"/>
      <c r="I40" s="2446"/>
      <c r="J40" s="2447"/>
      <c r="K40" s="2448"/>
      <c r="L40" s="2448"/>
      <c r="M40" s="2449"/>
      <c r="N40" s="2456" t="str">
        <f t="shared" si="3"/>
        <v>-</v>
      </c>
      <c r="O40" s="2456" t="str">
        <f t="shared" si="3"/>
        <v>-</v>
      </c>
      <c r="P40" s="2456" t="str">
        <f t="shared" si="3"/>
        <v>-</v>
      </c>
      <c r="Q40" s="2457" t="str">
        <f t="shared" si="3"/>
        <v>-</v>
      </c>
      <c r="R40" s="774">
        <f t="shared" si="4"/>
        <v>0</v>
      </c>
      <c r="S40" s="774">
        <f t="shared" si="4"/>
        <v>0</v>
      </c>
      <c r="T40" s="774">
        <f t="shared" si="4"/>
        <v>0</v>
      </c>
      <c r="U40" s="775">
        <f t="shared" si="4"/>
        <v>0</v>
      </c>
      <c r="V40" s="774">
        <f t="shared" si="5"/>
        <v>0</v>
      </c>
      <c r="W40" s="774">
        <f t="shared" si="5"/>
        <v>0</v>
      </c>
      <c r="X40" s="774">
        <f t="shared" si="5"/>
        <v>0</v>
      </c>
      <c r="Y40" s="775">
        <f t="shared" si="5"/>
        <v>0</v>
      </c>
      <c r="AA40" s="121">
        <f>واردات!AA40</f>
        <v>0</v>
      </c>
      <c r="AB40" s="48"/>
    </row>
    <row r="41" spans="1:28" s="121" customFormat="1" ht="24.75" hidden="1" thickBot="1">
      <c r="A41" s="2467" t="s">
        <v>3154</v>
      </c>
      <c r="B41" s="2444"/>
      <c r="C41" s="2445"/>
      <c r="D41" s="2445"/>
      <c r="E41" s="2446"/>
      <c r="F41" s="2444"/>
      <c r="G41" s="2445"/>
      <c r="H41" s="2445"/>
      <c r="I41" s="2446"/>
      <c r="J41" s="2447"/>
      <c r="K41" s="2448"/>
      <c r="L41" s="2448"/>
      <c r="M41" s="2449"/>
      <c r="N41" s="2456" t="str">
        <f t="shared" si="3"/>
        <v>-</v>
      </c>
      <c r="O41" s="2456" t="str">
        <f t="shared" si="3"/>
        <v>-</v>
      </c>
      <c r="P41" s="2456" t="str">
        <f t="shared" si="3"/>
        <v>-</v>
      </c>
      <c r="Q41" s="2457" t="str">
        <f t="shared" si="3"/>
        <v>-</v>
      </c>
      <c r="R41" s="774">
        <f t="shared" si="4"/>
        <v>0</v>
      </c>
      <c r="S41" s="774">
        <f t="shared" si="4"/>
        <v>0</v>
      </c>
      <c r="T41" s="774">
        <f t="shared" si="4"/>
        <v>0</v>
      </c>
      <c r="U41" s="775">
        <f t="shared" si="4"/>
        <v>0</v>
      </c>
      <c r="V41" s="774">
        <f t="shared" si="5"/>
        <v>0</v>
      </c>
      <c r="W41" s="774">
        <f t="shared" si="5"/>
        <v>0</v>
      </c>
      <c r="X41" s="774">
        <f t="shared" si="5"/>
        <v>0</v>
      </c>
      <c r="Y41" s="775">
        <f t="shared" si="5"/>
        <v>0</v>
      </c>
      <c r="AA41" s="121">
        <f>واردات!AA41</f>
        <v>0</v>
      </c>
      <c r="AB41" s="48"/>
    </row>
    <row r="42" spans="1:28" s="121" customFormat="1" ht="24">
      <c r="A42" s="2468" t="s">
        <v>3183</v>
      </c>
      <c r="B42" s="2444">
        <v>43</v>
      </c>
      <c r="C42" s="2445">
        <v>18</v>
      </c>
      <c r="D42" s="2445">
        <v>19</v>
      </c>
      <c r="E42" s="2446"/>
      <c r="F42" s="2631">
        <v>137.81566360052562</v>
      </c>
      <c r="G42" s="2632">
        <v>26.040173755656109</v>
      </c>
      <c r="H42" s="2632">
        <v>112.61888509670081</v>
      </c>
      <c r="I42" s="2633">
        <v>0</v>
      </c>
      <c r="J42" s="2447">
        <v>2</v>
      </c>
      <c r="K42" s="2448"/>
      <c r="L42" s="2448">
        <v>1</v>
      </c>
      <c r="M42" s="2449"/>
      <c r="N42" s="2456">
        <f t="shared" si="3"/>
        <v>1.4512138517122608</v>
      </c>
      <c r="O42" s="2456">
        <f t="shared" si="3"/>
        <v>0</v>
      </c>
      <c r="P42" s="2456">
        <f t="shared" si="3"/>
        <v>0.88795054145789554</v>
      </c>
      <c r="Q42" s="2457" t="str">
        <f t="shared" si="3"/>
        <v>-</v>
      </c>
      <c r="R42" s="774">
        <f t="shared" si="4"/>
        <v>-135.81566360052562</v>
      </c>
      <c r="S42" s="774">
        <f t="shared" si="4"/>
        <v>-26.040173755656109</v>
      </c>
      <c r="T42" s="774">
        <f t="shared" si="4"/>
        <v>-111.61888509670081</v>
      </c>
      <c r="U42" s="775">
        <f t="shared" si="4"/>
        <v>0</v>
      </c>
      <c r="V42" s="774">
        <f t="shared" si="5"/>
        <v>-41</v>
      </c>
      <c r="W42" s="774">
        <f t="shared" si="5"/>
        <v>-18</v>
      </c>
      <c r="X42" s="774">
        <f t="shared" si="5"/>
        <v>-18</v>
      </c>
      <c r="Y42" s="775">
        <f t="shared" si="5"/>
        <v>0</v>
      </c>
      <c r="AA42" s="121" t="str">
        <f>واردات!AA42</f>
        <v>شهید کاوه</v>
      </c>
      <c r="AB42" s="48"/>
    </row>
    <row r="43" spans="1:28" s="121" customFormat="1" ht="24">
      <c r="A43" s="2469" t="s">
        <v>3184</v>
      </c>
      <c r="B43" s="2444">
        <v>16869</v>
      </c>
      <c r="C43" s="2445"/>
      <c r="D43" s="2445">
        <v>17690</v>
      </c>
      <c r="E43" s="2446">
        <v>351651</v>
      </c>
      <c r="F43" s="2631">
        <v>28802.219391109105</v>
      </c>
      <c r="G43" s="2632">
        <v>0</v>
      </c>
      <c r="H43" s="2632">
        <v>30771.37165329645</v>
      </c>
      <c r="I43" s="2633">
        <v>481483.01708012598</v>
      </c>
      <c r="J43" s="2447">
        <v>30635</v>
      </c>
      <c r="K43" s="2448"/>
      <c r="L43" s="2448">
        <v>29701</v>
      </c>
      <c r="M43" s="2449">
        <v>433194</v>
      </c>
      <c r="N43" s="2456">
        <f t="shared" si="3"/>
        <v>106.36333118640383</v>
      </c>
      <c r="O43" s="2456" t="str">
        <f t="shared" si="3"/>
        <v>-</v>
      </c>
      <c r="P43" s="2456">
        <f t="shared" si="3"/>
        <v>96.521534154029879</v>
      </c>
      <c r="Q43" s="2457">
        <f t="shared" si="3"/>
        <v>89.970774592847178</v>
      </c>
      <c r="R43" s="774">
        <f t="shared" si="4"/>
        <v>1832.7806088908947</v>
      </c>
      <c r="S43" s="774">
        <f t="shared" si="4"/>
        <v>0</v>
      </c>
      <c r="T43" s="774">
        <f t="shared" si="4"/>
        <v>-1070.3716532964499</v>
      </c>
      <c r="U43" s="775">
        <f t="shared" si="4"/>
        <v>-48289.017080125981</v>
      </c>
      <c r="V43" s="774">
        <f t="shared" si="5"/>
        <v>13766</v>
      </c>
      <c r="W43" s="774">
        <f t="shared" si="5"/>
        <v>0</v>
      </c>
      <c r="X43" s="774">
        <f t="shared" si="5"/>
        <v>12011</v>
      </c>
      <c r="Y43" s="775">
        <f t="shared" si="5"/>
        <v>81543</v>
      </c>
      <c r="AA43" s="121" t="str">
        <f>واردات!AA43</f>
        <v>مطهری</v>
      </c>
      <c r="AB43" s="48"/>
    </row>
    <row r="44" spans="1:28" s="121" customFormat="1" ht="24">
      <c r="A44" s="2469" t="s">
        <v>3185</v>
      </c>
      <c r="B44" s="2444">
        <v>5281</v>
      </c>
      <c r="C44" s="2445"/>
      <c r="D44" s="2445">
        <v>5146</v>
      </c>
      <c r="E44" s="2446">
        <v>27099</v>
      </c>
      <c r="F44" s="2631">
        <v>2693.7184912603493</v>
      </c>
      <c r="G44" s="2632">
        <v>0</v>
      </c>
      <c r="H44" s="2632">
        <v>2959.1333333333341</v>
      </c>
      <c r="I44" s="2633">
        <v>31668.177283157791</v>
      </c>
      <c r="J44" s="2447">
        <v>7067</v>
      </c>
      <c r="K44" s="2448"/>
      <c r="L44" s="2448">
        <v>7010</v>
      </c>
      <c r="M44" s="2449">
        <v>34359</v>
      </c>
      <c r="N44" s="2456">
        <f t="shared" si="3"/>
        <v>262.35109655773493</v>
      </c>
      <c r="O44" s="2456" t="str">
        <f t="shared" si="3"/>
        <v>-</v>
      </c>
      <c r="P44" s="2456">
        <f t="shared" si="3"/>
        <v>236.89368508797614</v>
      </c>
      <c r="Q44" s="2457">
        <f t="shared" si="3"/>
        <v>108.49692956049378</v>
      </c>
      <c r="R44" s="774">
        <f t="shared" si="4"/>
        <v>4373.2815087396502</v>
      </c>
      <c r="S44" s="774">
        <f t="shared" si="4"/>
        <v>0</v>
      </c>
      <c r="T44" s="774">
        <f t="shared" si="4"/>
        <v>4050.8666666666659</v>
      </c>
      <c r="U44" s="775">
        <f t="shared" si="4"/>
        <v>2690.822716842209</v>
      </c>
      <c r="V44" s="774">
        <f t="shared" si="5"/>
        <v>1786</v>
      </c>
      <c r="W44" s="774">
        <f t="shared" si="5"/>
        <v>0</v>
      </c>
      <c r="X44" s="774">
        <f t="shared" si="5"/>
        <v>1864</v>
      </c>
      <c r="Y44" s="775">
        <f t="shared" si="5"/>
        <v>7260</v>
      </c>
      <c r="AA44" s="121" t="str">
        <f>واردات!AA44</f>
        <v>سرخس</v>
      </c>
      <c r="AB44" s="48"/>
    </row>
    <row r="45" spans="1:28" s="121" customFormat="1" ht="24">
      <c r="A45" s="2469" t="s">
        <v>3186</v>
      </c>
      <c r="B45" s="2444">
        <v>1095</v>
      </c>
      <c r="C45" s="2445"/>
      <c r="D45" s="2445">
        <v>996</v>
      </c>
      <c r="E45" s="2446"/>
      <c r="F45" s="2631">
        <v>1300.7617014788839</v>
      </c>
      <c r="G45" s="2632">
        <v>0</v>
      </c>
      <c r="H45" s="2632">
        <v>1708.8143120829191</v>
      </c>
      <c r="I45" s="2633">
        <v>0</v>
      </c>
      <c r="J45" s="2447">
        <v>4305</v>
      </c>
      <c r="K45" s="2448"/>
      <c r="L45" s="2448">
        <v>4561</v>
      </c>
      <c r="M45" s="2449"/>
      <c r="N45" s="2456">
        <f t="shared" si="3"/>
        <v>330.95992871757272</v>
      </c>
      <c r="O45" s="2456" t="str">
        <f t="shared" si="3"/>
        <v>-</v>
      </c>
      <c r="P45" s="2456">
        <f t="shared" si="3"/>
        <v>266.9102176725379</v>
      </c>
      <c r="Q45" s="2457" t="str">
        <f t="shared" si="3"/>
        <v>-</v>
      </c>
      <c r="R45" s="774">
        <f t="shared" si="4"/>
        <v>3004.2382985211161</v>
      </c>
      <c r="S45" s="774">
        <f t="shared" si="4"/>
        <v>0</v>
      </c>
      <c r="T45" s="774">
        <f t="shared" si="4"/>
        <v>2852.1856879170809</v>
      </c>
      <c r="U45" s="775">
        <f t="shared" si="4"/>
        <v>0</v>
      </c>
      <c r="V45" s="774">
        <f t="shared" si="5"/>
        <v>3210</v>
      </c>
      <c r="W45" s="774">
        <f t="shared" si="5"/>
        <v>0</v>
      </c>
      <c r="X45" s="774">
        <f t="shared" si="5"/>
        <v>3565</v>
      </c>
      <c r="Y45" s="775">
        <f t="shared" si="5"/>
        <v>0</v>
      </c>
      <c r="AA45" s="121" t="str">
        <f>واردات!AA45</f>
        <v>لطف آباد</v>
      </c>
      <c r="AB45" s="48"/>
    </row>
    <row r="46" spans="1:28" s="121" customFormat="1" ht="24">
      <c r="A46" s="2469" t="s">
        <v>3187</v>
      </c>
      <c r="B46" s="2444"/>
      <c r="C46" s="2445"/>
      <c r="D46" s="2445"/>
      <c r="E46" s="2446"/>
      <c r="F46" s="2631">
        <v>0</v>
      </c>
      <c r="G46" s="2632">
        <v>0</v>
      </c>
      <c r="H46" s="2632">
        <v>0</v>
      </c>
      <c r="I46" s="2633">
        <v>0</v>
      </c>
      <c r="J46" s="2447"/>
      <c r="K46" s="2448"/>
      <c r="L46" s="2448"/>
      <c r="M46" s="2449"/>
      <c r="N46" s="2456" t="str">
        <f t="shared" si="3"/>
        <v>-</v>
      </c>
      <c r="O46" s="2456" t="str">
        <f t="shared" si="3"/>
        <v>-</v>
      </c>
      <c r="P46" s="2456" t="str">
        <f t="shared" si="3"/>
        <v>-</v>
      </c>
      <c r="Q46" s="2457" t="str">
        <f t="shared" si="3"/>
        <v>-</v>
      </c>
      <c r="R46" s="774">
        <f t="shared" si="4"/>
        <v>0</v>
      </c>
      <c r="S46" s="774">
        <f t="shared" si="4"/>
        <v>0</v>
      </c>
      <c r="T46" s="774">
        <f t="shared" si="4"/>
        <v>0</v>
      </c>
      <c r="U46" s="775">
        <f t="shared" si="4"/>
        <v>0</v>
      </c>
      <c r="V46" s="774">
        <f t="shared" si="5"/>
        <v>0</v>
      </c>
      <c r="W46" s="774">
        <f t="shared" si="5"/>
        <v>0</v>
      </c>
      <c r="X46" s="774">
        <f t="shared" si="5"/>
        <v>0</v>
      </c>
      <c r="Y46" s="775">
        <f t="shared" si="5"/>
        <v>0</v>
      </c>
      <c r="AA46" s="121" t="str">
        <f>واردات!AA46</f>
        <v>نیشابور</v>
      </c>
      <c r="AB46" s="48"/>
    </row>
    <row r="47" spans="1:28" s="121" customFormat="1" ht="24">
      <c r="A47" s="2469" t="s">
        <v>3188</v>
      </c>
      <c r="B47" s="2444">
        <v>1271</v>
      </c>
      <c r="C47" s="2445"/>
      <c r="D47" s="2445">
        <v>2086</v>
      </c>
      <c r="E47" s="2446"/>
      <c r="F47" s="2631">
        <v>560.17159763313612</v>
      </c>
      <c r="G47" s="2632">
        <v>0</v>
      </c>
      <c r="H47" s="2632">
        <v>895.96023497514682</v>
      </c>
      <c r="I47" s="2633">
        <v>0</v>
      </c>
      <c r="J47" s="2448">
        <v>547</v>
      </c>
      <c r="K47" s="2448"/>
      <c r="L47" s="2448">
        <v>924</v>
      </c>
      <c r="M47" s="2449"/>
      <c r="N47" s="2456">
        <f t="shared" si="3"/>
        <v>97.648649505117831</v>
      </c>
      <c r="O47" s="2456" t="str">
        <f t="shared" si="3"/>
        <v>-</v>
      </c>
      <c r="P47" s="2456">
        <f t="shared" si="3"/>
        <v>103.12957695333778</v>
      </c>
      <c r="Q47" s="2457" t="str">
        <f t="shared" si="3"/>
        <v>-</v>
      </c>
      <c r="R47" s="774">
        <f t="shared" si="4"/>
        <v>-13.171597633136116</v>
      </c>
      <c r="S47" s="774">
        <f t="shared" si="4"/>
        <v>0</v>
      </c>
      <c r="T47" s="774">
        <f t="shared" si="4"/>
        <v>28.039765024853182</v>
      </c>
      <c r="U47" s="775">
        <f t="shared" si="4"/>
        <v>0</v>
      </c>
      <c r="V47" s="774">
        <f t="shared" si="5"/>
        <v>-724</v>
      </c>
      <c r="W47" s="774">
        <f t="shared" si="5"/>
        <v>0</v>
      </c>
      <c r="X47" s="774">
        <f t="shared" si="5"/>
        <v>-1162</v>
      </c>
      <c r="Y47" s="775">
        <f t="shared" si="5"/>
        <v>0</v>
      </c>
      <c r="AA47" s="121" t="str">
        <f>واردات!AA47</f>
        <v>ماهیرود</v>
      </c>
      <c r="AB47" s="48"/>
    </row>
    <row r="48" spans="1:28" s="121" customFormat="1" ht="24">
      <c r="A48" s="2469" t="s">
        <v>3189</v>
      </c>
      <c r="B48" s="2444">
        <v>402</v>
      </c>
      <c r="C48" s="2445"/>
      <c r="D48" s="2445">
        <v>419</v>
      </c>
      <c r="E48" s="2446"/>
      <c r="F48" s="2631">
        <v>158.36289068024325</v>
      </c>
      <c r="G48" s="2632">
        <v>0</v>
      </c>
      <c r="H48" s="2632">
        <v>205.47551329154962</v>
      </c>
      <c r="I48" s="2633">
        <v>0</v>
      </c>
      <c r="J48" s="2447">
        <v>196</v>
      </c>
      <c r="K48" s="2448"/>
      <c r="L48" s="2448">
        <v>311</v>
      </c>
      <c r="M48" s="2449"/>
      <c r="N48" s="2456">
        <f t="shared" ref="N48:N71" si="6">IFERROR(J48*100/F48,"-")</f>
        <v>123.76636922835118</v>
      </c>
      <c r="O48" s="2456" t="str">
        <f t="shared" ref="O48:O71" si="7">IFERROR(K48*100/G48,"-")</f>
        <v>-</v>
      </c>
      <c r="P48" s="2456">
        <f t="shared" ref="P48:P71" si="8">IFERROR(L48*100/H48,"-")</f>
        <v>151.35623462768601</v>
      </c>
      <c r="Q48" s="2457" t="str">
        <f t="shared" ref="Q48:Q71" si="9">IFERROR(M48*100/I48,"-")</f>
        <v>-</v>
      </c>
      <c r="R48" s="774">
        <f t="shared" ref="R48:R71" si="10">IFERROR(J48-F48,"-")</f>
        <v>37.637109319756746</v>
      </c>
      <c r="S48" s="774">
        <f t="shared" ref="S48:S71" si="11">IFERROR(K48-G48,"-")</f>
        <v>0</v>
      </c>
      <c r="T48" s="774">
        <f t="shared" ref="T48:T71" si="12">IFERROR(L48-H48,"-")</f>
        <v>105.52448670845038</v>
      </c>
      <c r="U48" s="775">
        <f t="shared" ref="U48:U71" si="13">IFERROR(M48-I48,"-")</f>
        <v>0</v>
      </c>
      <c r="V48" s="774">
        <f t="shared" ref="V48:V71" si="14">J48-B48</f>
        <v>-206</v>
      </c>
      <c r="W48" s="774">
        <f t="shared" ref="W48:W71" si="15">K48-C48</f>
        <v>0</v>
      </c>
      <c r="X48" s="774">
        <f t="shared" ref="X48:X71" si="16">L48-D48</f>
        <v>-108</v>
      </c>
      <c r="Y48" s="775">
        <f t="shared" ref="Y48:Y71" si="17">M48-E48</f>
        <v>0</v>
      </c>
      <c r="AA48" s="121" t="str">
        <f>واردات!AA48</f>
        <v>دوغارون</v>
      </c>
      <c r="AB48" s="48"/>
    </row>
    <row r="49" spans="1:28" s="121" customFormat="1" ht="24">
      <c r="A49" s="2469" t="s">
        <v>3190</v>
      </c>
      <c r="B49" s="2444"/>
      <c r="C49" s="2445"/>
      <c r="D49" s="2445"/>
      <c r="E49" s="2446"/>
      <c r="F49" s="2444"/>
      <c r="G49" s="2445"/>
      <c r="H49" s="2445"/>
      <c r="I49" s="2446"/>
      <c r="J49" s="2447"/>
      <c r="K49" s="2448"/>
      <c r="L49" s="2448"/>
      <c r="M49" s="2449"/>
      <c r="N49" s="2456" t="str">
        <f t="shared" si="6"/>
        <v>-</v>
      </c>
      <c r="O49" s="2456" t="str">
        <f t="shared" si="7"/>
        <v>-</v>
      </c>
      <c r="P49" s="2456" t="str">
        <f t="shared" si="8"/>
        <v>-</v>
      </c>
      <c r="Q49" s="2457" t="str">
        <f t="shared" si="9"/>
        <v>-</v>
      </c>
      <c r="R49" s="774">
        <f t="shared" si="10"/>
        <v>0</v>
      </c>
      <c r="S49" s="774">
        <f t="shared" si="11"/>
        <v>0</v>
      </c>
      <c r="T49" s="774">
        <f t="shared" si="12"/>
        <v>0</v>
      </c>
      <c r="U49" s="775">
        <f t="shared" si="13"/>
        <v>0</v>
      </c>
      <c r="V49" s="774">
        <f t="shared" si="14"/>
        <v>0</v>
      </c>
      <c r="W49" s="774">
        <f t="shared" si="15"/>
        <v>0</v>
      </c>
      <c r="X49" s="774">
        <f t="shared" si="16"/>
        <v>0</v>
      </c>
      <c r="Y49" s="775">
        <f t="shared" si="17"/>
        <v>0</v>
      </c>
      <c r="AA49" s="121" t="str">
        <f>واردات!AA49</f>
        <v>بجنورد</v>
      </c>
      <c r="AB49" s="48"/>
    </row>
    <row r="50" spans="1:28" s="121" customFormat="1" ht="24">
      <c r="A50" s="2470" t="s">
        <v>3191</v>
      </c>
      <c r="B50" s="2444"/>
      <c r="C50" s="2445"/>
      <c r="D50" s="2445"/>
      <c r="E50" s="2446"/>
      <c r="F50" s="2444"/>
      <c r="G50" s="2445"/>
      <c r="H50" s="2445"/>
      <c r="I50" s="2446"/>
      <c r="J50" s="2447"/>
      <c r="K50" s="2448"/>
      <c r="L50" s="2448">
        <v>8</v>
      </c>
      <c r="M50" s="2449"/>
      <c r="N50" s="2456" t="str">
        <f t="shared" si="6"/>
        <v>-</v>
      </c>
      <c r="O50" s="2456" t="str">
        <f t="shared" si="7"/>
        <v>-</v>
      </c>
      <c r="P50" s="2456" t="str">
        <f t="shared" si="8"/>
        <v>-</v>
      </c>
      <c r="Q50" s="2457" t="str">
        <f t="shared" si="9"/>
        <v>-</v>
      </c>
      <c r="R50" s="774">
        <f t="shared" si="10"/>
        <v>0</v>
      </c>
      <c r="S50" s="774">
        <f t="shared" si="11"/>
        <v>0</v>
      </c>
      <c r="T50" s="774">
        <f t="shared" si="12"/>
        <v>8</v>
      </c>
      <c r="U50" s="775">
        <f t="shared" si="13"/>
        <v>0</v>
      </c>
      <c r="V50" s="774">
        <f t="shared" si="14"/>
        <v>0</v>
      </c>
      <c r="W50" s="774">
        <f t="shared" si="15"/>
        <v>0</v>
      </c>
      <c r="X50" s="774">
        <f t="shared" si="16"/>
        <v>8</v>
      </c>
      <c r="Y50" s="775">
        <f t="shared" si="17"/>
        <v>0</v>
      </c>
      <c r="AA50" s="121" t="str">
        <f>واردات!AA50</f>
        <v>بیرجند</v>
      </c>
      <c r="AB50" s="48"/>
    </row>
    <row r="51" spans="1:28" s="121" customFormat="1" ht="24.75" thickBot="1">
      <c r="A51" s="2468" t="s">
        <v>3192</v>
      </c>
      <c r="B51" s="2444"/>
      <c r="C51" s="2445"/>
      <c r="D51" s="2445"/>
      <c r="E51" s="2446"/>
      <c r="F51" s="2444"/>
      <c r="G51" s="2445"/>
      <c r="H51" s="2445"/>
      <c r="I51" s="2446"/>
      <c r="J51" s="2447">
        <v>1205</v>
      </c>
      <c r="K51" s="2448"/>
      <c r="L51" s="2448">
        <v>953</v>
      </c>
      <c r="M51" s="2449"/>
      <c r="N51" s="2456" t="str">
        <f t="shared" si="6"/>
        <v>-</v>
      </c>
      <c r="O51" s="2456" t="str">
        <f t="shared" si="7"/>
        <v>-</v>
      </c>
      <c r="P51" s="2456" t="str">
        <f t="shared" si="8"/>
        <v>-</v>
      </c>
      <c r="Q51" s="2457" t="str">
        <f t="shared" si="9"/>
        <v>-</v>
      </c>
      <c r="R51" s="774">
        <f t="shared" si="10"/>
        <v>1205</v>
      </c>
      <c r="S51" s="774">
        <f t="shared" si="11"/>
        <v>0</v>
      </c>
      <c r="T51" s="774">
        <f t="shared" si="12"/>
        <v>953</v>
      </c>
      <c r="U51" s="775">
        <f t="shared" si="13"/>
        <v>0</v>
      </c>
      <c r="V51" s="774">
        <f t="shared" si="14"/>
        <v>1205</v>
      </c>
      <c r="W51" s="774">
        <f t="shared" si="15"/>
        <v>0</v>
      </c>
      <c r="X51" s="774">
        <f t="shared" si="16"/>
        <v>953</v>
      </c>
      <c r="Y51" s="775">
        <f t="shared" si="17"/>
        <v>0</v>
      </c>
      <c r="AA51" s="121" t="str">
        <f>واردات!AA51</f>
        <v>باجگیران</v>
      </c>
      <c r="AB51" s="48"/>
    </row>
    <row r="52" spans="1:28" s="121" customFormat="1" ht="24" hidden="1">
      <c r="A52" s="2471" t="s">
        <v>3165</v>
      </c>
      <c r="B52" s="2444"/>
      <c r="C52" s="2445"/>
      <c r="D52" s="2445"/>
      <c r="E52" s="2446"/>
      <c r="F52" s="2444"/>
      <c r="G52" s="2445"/>
      <c r="H52" s="2445"/>
      <c r="I52" s="2446"/>
      <c r="J52" s="2447"/>
      <c r="K52" s="2448"/>
      <c r="L52" s="2448"/>
      <c r="M52" s="2449"/>
      <c r="N52" s="2456" t="str">
        <f t="shared" si="6"/>
        <v>-</v>
      </c>
      <c r="O52" s="2456" t="str">
        <f t="shared" si="7"/>
        <v>-</v>
      </c>
      <c r="P52" s="2456" t="str">
        <f t="shared" si="8"/>
        <v>-</v>
      </c>
      <c r="Q52" s="2457" t="str">
        <f t="shared" si="9"/>
        <v>-</v>
      </c>
      <c r="R52" s="774">
        <f t="shared" si="10"/>
        <v>0</v>
      </c>
      <c r="S52" s="774">
        <f t="shared" si="11"/>
        <v>0</v>
      </c>
      <c r="T52" s="774">
        <f t="shared" si="12"/>
        <v>0</v>
      </c>
      <c r="U52" s="775">
        <f t="shared" si="13"/>
        <v>0</v>
      </c>
      <c r="V52" s="774">
        <f t="shared" si="14"/>
        <v>0</v>
      </c>
      <c r="W52" s="774">
        <f t="shared" si="15"/>
        <v>0</v>
      </c>
      <c r="X52" s="774">
        <f t="shared" si="16"/>
        <v>0</v>
      </c>
      <c r="Y52" s="775">
        <f t="shared" si="17"/>
        <v>0</v>
      </c>
      <c r="AA52" s="121">
        <f>واردات!AA52</f>
        <v>0</v>
      </c>
      <c r="AB52" s="48"/>
    </row>
    <row r="53" spans="1:28" s="121" customFormat="1" ht="24.75" hidden="1" thickBot="1">
      <c r="A53" s="2472" t="s">
        <v>3166</v>
      </c>
      <c r="B53" s="2444"/>
      <c r="C53" s="2445"/>
      <c r="D53" s="2445"/>
      <c r="E53" s="2446"/>
      <c r="F53" s="2444"/>
      <c r="G53" s="2445"/>
      <c r="H53" s="2445"/>
      <c r="I53" s="2446"/>
      <c r="J53" s="2447"/>
      <c r="K53" s="2448"/>
      <c r="L53" s="2448"/>
      <c r="M53" s="2449"/>
      <c r="N53" s="2456" t="str">
        <f t="shared" si="6"/>
        <v>-</v>
      </c>
      <c r="O53" s="2456" t="str">
        <f t="shared" si="7"/>
        <v>-</v>
      </c>
      <c r="P53" s="2456" t="str">
        <f t="shared" si="8"/>
        <v>-</v>
      </c>
      <c r="Q53" s="2457" t="str">
        <f t="shared" si="9"/>
        <v>-</v>
      </c>
      <c r="R53" s="774">
        <f t="shared" si="10"/>
        <v>0</v>
      </c>
      <c r="S53" s="774">
        <f t="shared" si="11"/>
        <v>0</v>
      </c>
      <c r="T53" s="774">
        <f t="shared" si="12"/>
        <v>0</v>
      </c>
      <c r="U53" s="775">
        <f t="shared" si="13"/>
        <v>0</v>
      </c>
      <c r="V53" s="774">
        <f t="shared" si="14"/>
        <v>0</v>
      </c>
      <c r="W53" s="774">
        <f t="shared" si="15"/>
        <v>0</v>
      </c>
      <c r="X53" s="774">
        <f t="shared" si="16"/>
        <v>0</v>
      </c>
      <c r="Y53" s="775">
        <f t="shared" si="17"/>
        <v>0</v>
      </c>
      <c r="AA53" s="121">
        <f>واردات!AA53</f>
        <v>0</v>
      </c>
      <c r="AB53" s="48"/>
    </row>
    <row r="54" spans="1:28" s="121" customFormat="1" ht="24" hidden="1">
      <c r="A54" s="2473" t="s">
        <v>3167</v>
      </c>
      <c r="B54" s="2444"/>
      <c r="C54" s="2445"/>
      <c r="D54" s="2445"/>
      <c r="E54" s="2446"/>
      <c r="F54" s="2444"/>
      <c r="G54" s="2445"/>
      <c r="H54" s="2445"/>
      <c r="I54" s="2446"/>
      <c r="J54" s="2447"/>
      <c r="K54" s="2448"/>
      <c r="L54" s="2448"/>
      <c r="M54" s="2449"/>
      <c r="N54" s="2456" t="str">
        <f t="shared" si="6"/>
        <v>-</v>
      </c>
      <c r="O54" s="2456" t="str">
        <f t="shared" si="7"/>
        <v>-</v>
      </c>
      <c r="P54" s="2456" t="str">
        <f t="shared" si="8"/>
        <v>-</v>
      </c>
      <c r="Q54" s="2457" t="str">
        <f t="shared" si="9"/>
        <v>-</v>
      </c>
      <c r="R54" s="774">
        <f t="shared" si="10"/>
        <v>0</v>
      </c>
      <c r="S54" s="774">
        <f t="shared" si="11"/>
        <v>0</v>
      </c>
      <c r="T54" s="774">
        <f t="shared" si="12"/>
        <v>0</v>
      </c>
      <c r="U54" s="775">
        <f t="shared" si="13"/>
        <v>0</v>
      </c>
      <c r="V54" s="774">
        <f t="shared" si="14"/>
        <v>0</v>
      </c>
      <c r="W54" s="774">
        <f t="shared" si="15"/>
        <v>0</v>
      </c>
      <c r="X54" s="774">
        <f t="shared" si="16"/>
        <v>0</v>
      </c>
      <c r="Y54" s="775">
        <f t="shared" si="17"/>
        <v>0</v>
      </c>
      <c r="AA54" s="121">
        <f>واردات!AA54</f>
        <v>0</v>
      </c>
      <c r="AB54" s="48"/>
    </row>
    <row r="55" spans="1:28" s="121" customFormat="1" ht="24" hidden="1">
      <c r="A55" s="2474" t="s">
        <v>3168</v>
      </c>
      <c r="B55" s="2444"/>
      <c r="C55" s="2445"/>
      <c r="D55" s="2445"/>
      <c r="E55" s="2446"/>
      <c r="F55" s="2444"/>
      <c r="G55" s="2445"/>
      <c r="H55" s="2445"/>
      <c r="I55" s="2446"/>
      <c r="J55" s="2447"/>
      <c r="K55" s="2448"/>
      <c r="L55" s="2448"/>
      <c r="M55" s="2449"/>
      <c r="N55" s="2456" t="str">
        <f t="shared" si="6"/>
        <v>-</v>
      </c>
      <c r="O55" s="2456" t="str">
        <f t="shared" si="7"/>
        <v>-</v>
      </c>
      <c r="P55" s="2456" t="str">
        <f t="shared" si="8"/>
        <v>-</v>
      </c>
      <c r="Q55" s="2457" t="str">
        <f t="shared" si="9"/>
        <v>-</v>
      </c>
      <c r="R55" s="774">
        <f t="shared" si="10"/>
        <v>0</v>
      </c>
      <c r="S55" s="774">
        <f t="shared" si="11"/>
        <v>0</v>
      </c>
      <c r="T55" s="774">
        <f t="shared" si="12"/>
        <v>0</v>
      </c>
      <c r="U55" s="775">
        <f t="shared" si="13"/>
        <v>0</v>
      </c>
      <c r="V55" s="774">
        <f t="shared" si="14"/>
        <v>0</v>
      </c>
      <c r="W55" s="774">
        <f t="shared" si="15"/>
        <v>0</v>
      </c>
      <c r="X55" s="774">
        <f t="shared" si="16"/>
        <v>0</v>
      </c>
      <c r="Y55" s="775">
        <f t="shared" si="17"/>
        <v>0</v>
      </c>
      <c r="AA55" s="121">
        <f>واردات!AA55</f>
        <v>0</v>
      </c>
      <c r="AB55" s="48"/>
    </row>
    <row r="56" spans="1:28" s="121" customFormat="1" ht="24" hidden="1">
      <c r="A56" s="2474" t="s">
        <v>3169</v>
      </c>
      <c r="B56" s="2444"/>
      <c r="C56" s="2445"/>
      <c r="D56" s="2445"/>
      <c r="E56" s="2446"/>
      <c r="F56" s="2444"/>
      <c r="G56" s="2445"/>
      <c r="H56" s="2445"/>
      <c r="I56" s="2446"/>
      <c r="J56" s="2447"/>
      <c r="K56" s="2448"/>
      <c r="L56" s="2448"/>
      <c r="M56" s="2449"/>
      <c r="N56" s="2456" t="str">
        <f t="shared" si="6"/>
        <v>-</v>
      </c>
      <c r="O56" s="2456" t="str">
        <f t="shared" si="7"/>
        <v>-</v>
      </c>
      <c r="P56" s="2456" t="str">
        <f t="shared" si="8"/>
        <v>-</v>
      </c>
      <c r="Q56" s="2457" t="str">
        <f t="shared" si="9"/>
        <v>-</v>
      </c>
      <c r="R56" s="774">
        <f t="shared" si="10"/>
        <v>0</v>
      </c>
      <c r="S56" s="774">
        <f t="shared" si="11"/>
        <v>0</v>
      </c>
      <c r="T56" s="774">
        <f t="shared" si="12"/>
        <v>0</v>
      </c>
      <c r="U56" s="775">
        <f t="shared" si="13"/>
        <v>0</v>
      </c>
      <c r="V56" s="774">
        <f t="shared" si="14"/>
        <v>0</v>
      </c>
      <c r="W56" s="774">
        <f t="shared" si="15"/>
        <v>0</v>
      </c>
      <c r="X56" s="774">
        <f t="shared" si="16"/>
        <v>0</v>
      </c>
      <c r="Y56" s="775">
        <f t="shared" si="17"/>
        <v>0</v>
      </c>
      <c r="AA56" s="121">
        <f>واردات!AA56</f>
        <v>0</v>
      </c>
      <c r="AB56" s="48"/>
    </row>
    <row r="57" spans="1:28" s="121" customFormat="1" ht="24" hidden="1">
      <c r="A57" s="2474" t="s">
        <v>3170</v>
      </c>
      <c r="B57" s="2444"/>
      <c r="C57" s="2445"/>
      <c r="D57" s="2445"/>
      <c r="E57" s="2446"/>
      <c r="F57" s="2444"/>
      <c r="G57" s="2445"/>
      <c r="H57" s="2445"/>
      <c r="I57" s="2446"/>
      <c r="J57" s="2447"/>
      <c r="K57" s="2448"/>
      <c r="L57" s="2448"/>
      <c r="M57" s="2449"/>
      <c r="N57" s="2456" t="str">
        <f t="shared" si="6"/>
        <v>-</v>
      </c>
      <c r="O57" s="2456" t="str">
        <f t="shared" si="7"/>
        <v>-</v>
      </c>
      <c r="P57" s="2456" t="str">
        <f t="shared" si="8"/>
        <v>-</v>
      </c>
      <c r="Q57" s="2457" t="str">
        <f t="shared" si="9"/>
        <v>-</v>
      </c>
      <c r="R57" s="774">
        <f t="shared" si="10"/>
        <v>0</v>
      </c>
      <c r="S57" s="774">
        <f t="shared" si="11"/>
        <v>0</v>
      </c>
      <c r="T57" s="774">
        <f t="shared" si="12"/>
        <v>0</v>
      </c>
      <c r="U57" s="775">
        <f t="shared" si="13"/>
        <v>0</v>
      </c>
      <c r="V57" s="774">
        <f t="shared" si="14"/>
        <v>0</v>
      </c>
      <c r="W57" s="774">
        <f t="shared" si="15"/>
        <v>0</v>
      </c>
      <c r="X57" s="774">
        <f t="shared" si="16"/>
        <v>0</v>
      </c>
      <c r="Y57" s="775">
        <f t="shared" si="17"/>
        <v>0</v>
      </c>
      <c r="AA57" s="121">
        <f>واردات!AA57</f>
        <v>0</v>
      </c>
      <c r="AB57" s="48"/>
    </row>
    <row r="58" spans="1:28" s="121" customFormat="1" ht="24" hidden="1">
      <c r="A58" s="2474" t="s">
        <v>3171</v>
      </c>
      <c r="B58" s="2444"/>
      <c r="C58" s="2445"/>
      <c r="D58" s="2445"/>
      <c r="E58" s="2446"/>
      <c r="F58" s="2444"/>
      <c r="G58" s="2445"/>
      <c r="H58" s="2445"/>
      <c r="I58" s="2446"/>
      <c r="J58" s="2447"/>
      <c r="K58" s="2448"/>
      <c r="L58" s="2448"/>
      <c r="M58" s="2449"/>
      <c r="N58" s="2456" t="str">
        <f t="shared" si="6"/>
        <v>-</v>
      </c>
      <c r="O58" s="2456" t="str">
        <f t="shared" si="7"/>
        <v>-</v>
      </c>
      <c r="P58" s="2456" t="str">
        <f t="shared" si="8"/>
        <v>-</v>
      </c>
      <c r="Q58" s="2457" t="str">
        <f t="shared" si="9"/>
        <v>-</v>
      </c>
      <c r="R58" s="774">
        <f t="shared" si="10"/>
        <v>0</v>
      </c>
      <c r="S58" s="774">
        <f t="shared" si="11"/>
        <v>0</v>
      </c>
      <c r="T58" s="774">
        <f t="shared" si="12"/>
        <v>0</v>
      </c>
      <c r="U58" s="775">
        <f t="shared" si="13"/>
        <v>0</v>
      </c>
      <c r="V58" s="774">
        <f t="shared" si="14"/>
        <v>0</v>
      </c>
      <c r="W58" s="774">
        <f t="shared" si="15"/>
        <v>0</v>
      </c>
      <c r="X58" s="774">
        <f t="shared" si="16"/>
        <v>0</v>
      </c>
      <c r="Y58" s="775">
        <f t="shared" si="17"/>
        <v>0</v>
      </c>
      <c r="AA58" s="121">
        <f>واردات!AA58</f>
        <v>0</v>
      </c>
      <c r="AB58" s="48"/>
    </row>
    <row r="59" spans="1:28" s="121" customFormat="1" ht="24" hidden="1">
      <c r="A59" s="2474" t="s">
        <v>3172</v>
      </c>
      <c r="B59" s="2444"/>
      <c r="C59" s="2445"/>
      <c r="D59" s="2445"/>
      <c r="E59" s="2446"/>
      <c r="F59" s="2444"/>
      <c r="G59" s="2445"/>
      <c r="H59" s="2445"/>
      <c r="I59" s="2446"/>
      <c r="J59" s="2447"/>
      <c r="K59" s="2448"/>
      <c r="L59" s="2448"/>
      <c r="M59" s="2449"/>
      <c r="N59" s="2456" t="str">
        <f t="shared" si="6"/>
        <v>-</v>
      </c>
      <c r="O59" s="2456" t="str">
        <f t="shared" si="7"/>
        <v>-</v>
      </c>
      <c r="P59" s="2456" t="str">
        <f t="shared" si="8"/>
        <v>-</v>
      </c>
      <c r="Q59" s="2457" t="str">
        <f t="shared" si="9"/>
        <v>-</v>
      </c>
      <c r="R59" s="774">
        <f t="shared" si="10"/>
        <v>0</v>
      </c>
      <c r="S59" s="774">
        <f t="shared" si="11"/>
        <v>0</v>
      </c>
      <c r="T59" s="774">
        <f t="shared" si="12"/>
        <v>0</v>
      </c>
      <c r="U59" s="775">
        <f t="shared" si="13"/>
        <v>0</v>
      </c>
      <c r="V59" s="774">
        <f t="shared" si="14"/>
        <v>0</v>
      </c>
      <c r="W59" s="774">
        <f t="shared" si="15"/>
        <v>0</v>
      </c>
      <c r="X59" s="774">
        <f t="shared" si="16"/>
        <v>0</v>
      </c>
      <c r="Y59" s="775">
        <f t="shared" si="17"/>
        <v>0</v>
      </c>
      <c r="AA59" s="121">
        <f>واردات!AA59</f>
        <v>0</v>
      </c>
      <c r="AB59" s="48"/>
    </row>
    <row r="60" spans="1:28" s="121" customFormat="1" ht="24" hidden="1">
      <c r="A60" s="2474" t="s">
        <v>3173</v>
      </c>
      <c r="B60" s="2444"/>
      <c r="C60" s="2445"/>
      <c r="D60" s="2445"/>
      <c r="E60" s="2446"/>
      <c r="F60" s="2444"/>
      <c r="G60" s="2445"/>
      <c r="H60" s="2445"/>
      <c r="I60" s="2446"/>
      <c r="J60" s="2447"/>
      <c r="K60" s="2448"/>
      <c r="L60" s="2448"/>
      <c r="M60" s="2449"/>
      <c r="N60" s="2456" t="str">
        <f t="shared" si="6"/>
        <v>-</v>
      </c>
      <c r="O60" s="2456" t="str">
        <f t="shared" si="7"/>
        <v>-</v>
      </c>
      <c r="P60" s="2456" t="str">
        <f t="shared" si="8"/>
        <v>-</v>
      </c>
      <c r="Q60" s="2457" t="str">
        <f t="shared" si="9"/>
        <v>-</v>
      </c>
      <c r="R60" s="774">
        <f t="shared" si="10"/>
        <v>0</v>
      </c>
      <c r="S60" s="774">
        <f t="shared" si="11"/>
        <v>0</v>
      </c>
      <c r="T60" s="774">
        <f t="shared" si="12"/>
        <v>0</v>
      </c>
      <c r="U60" s="775">
        <f t="shared" si="13"/>
        <v>0</v>
      </c>
      <c r="V60" s="774">
        <f t="shared" si="14"/>
        <v>0</v>
      </c>
      <c r="W60" s="774">
        <f t="shared" si="15"/>
        <v>0</v>
      </c>
      <c r="X60" s="774">
        <f t="shared" si="16"/>
        <v>0</v>
      </c>
      <c r="Y60" s="775">
        <f t="shared" si="17"/>
        <v>0</v>
      </c>
      <c r="AA60" s="121">
        <f>واردات!AA60</f>
        <v>0</v>
      </c>
      <c r="AB60" s="48"/>
    </row>
    <row r="61" spans="1:28" s="121" customFormat="1" ht="24.75" hidden="1" thickBot="1">
      <c r="A61" s="2474" t="s">
        <v>3174</v>
      </c>
      <c r="B61" s="2444"/>
      <c r="C61" s="2445"/>
      <c r="D61" s="2445"/>
      <c r="E61" s="2446"/>
      <c r="F61" s="2444"/>
      <c r="G61" s="2445"/>
      <c r="H61" s="2445"/>
      <c r="I61" s="2446"/>
      <c r="J61" s="2447"/>
      <c r="K61" s="2448"/>
      <c r="L61" s="2448"/>
      <c r="M61" s="2449"/>
      <c r="N61" s="2456" t="str">
        <f t="shared" si="6"/>
        <v>-</v>
      </c>
      <c r="O61" s="2456" t="str">
        <f t="shared" si="7"/>
        <v>-</v>
      </c>
      <c r="P61" s="2456" t="str">
        <f t="shared" si="8"/>
        <v>-</v>
      </c>
      <c r="Q61" s="2457" t="str">
        <f t="shared" si="9"/>
        <v>-</v>
      </c>
      <c r="R61" s="774">
        <f t="shared" si="10"/>
        <v>0</v>
      </c>
      <c r="S61" s="774">
        <f t="shared" si="11"/>
        <v>0</v>
      </c>
      <c r="T61" s="774">
        <f t="shared" si="12"/>
        <v>0</v>
      </c>
      <c r="U61" s="775">
        <f t="shared" si="13"/>
        <v>0</v>
      </c>
      <c r="V61" s="774">
        <f t="shared" si="14"/>
        <v>0</v>
      </c>
      <c r="W61" s="774">
        <f t="shared" si="15"/>
        <v>0</v>
      </c>
      <c r="X61" s="774">
        <f t="shared" si="16"/>
        <v>0</v>
      </c>
      <c r="Y61" s="775">
        <f t="shared" si="17"/>
        <v>0</v>
      </c>
      <c r="AA61" s="121">
        <f>واردات!AA61</f>
        <v>0</v>
      </c>
      <c r="AB61" s="48"/>
    </row>
    <row r="62" spans="1:28" s="121" customFormat="1" ht="24" hidden="1">
      <c r="A62" s="2475" t="s">
        <v>3175</v>
      </c>
      <c r="B62" s="2444"/>
      <c r="C62" s="2445"/>
      <c r="D62" s="2445"/>
      <c r="E62" s="2446"/>
      <c r="F62" s="2444"/>
      <c r="G62" s="2445"/>
      <c r="H62" s="2445"/>
      <c r="I62" s="2446"/>
      <c r="J62" s="2447"/>
      <c r="K62" s="2448"/>
      <c r="L62" s="2448"/>
      <c r="M62" s="2449"/>
      <c r="N62" s="2456" t="str">
        <f t="shared" si="6"/>
        <v>-</v>
      </c>
      <c r="O62" s="2456" t="str">
        <f t="shared" si="7"/>
        <v>-</v>
      </c>
      <c r="P62" s="2456" t="str">
        <f t="shared" si="8"/>
        <v>-</v>
      </c>
      <c r="Q62" s="2457" t="str">
        <f t="shared" si="9"/>
        <v>-</v>
      </c>
      <c r="R62" s="774">
        <f t="shared" si="10"/>
        <v>0</v>
      </c>
      <c r="S62" s="774">
        <f t="shared" si="11"/>
        <v>0</v>
      </c>
      <c r="T62" s="774">
        <f t="shared" si="12"/>
        <v>0</v>
      </c>
      <c r="U62" s="775">
        <f t="shared" si="13"/>
        <v>0</v>
      </c>
      <c r="V62" s="774">
        <f t="shared" si="14"/>
        <v>0</v>
      </c>
      <c r="W62" s="774">
        <f t="shared" si="15"/>
        <v>0</v>
      </c>
      <c r="X62" s="774">
        <f t="shared" si="16"/>
        <v>0</v>
      </c>
      <c r="Y62" s="775">
        <f t="shared" si="17"/>
        <v>0</v>
      </c>
      <c r="AA62" s="121">
        <f>واردات!AA62</f>
        <v>0</v>
      </c>
      <c r="AB62" s="48"/>
    </row>
    <row r="63" spans="1:28" s="121" customFormat="1" ht="24.75" hidden="1" thickBot="1">
      <c r="A63" s="2476" t="s">
        <v>3176</v>
      </c>
      <c r="B63" s="2444"/>
      <c r="C63" s="2445"/>
      <c r="D63" s="2445"/>
      <c r="E63" s="2446"/>
      <c r="F63" s="2444"/>
      <c r="G63" s="2445"/>
      <c r="H63" s="2445"/>
      <c r="I63" s="2446"/>
      <c r="J63" s="2447"/>
      <c r="K63" s="2448"/>
      <c r="L63" s="2448"/>
      <c r="M63" s="2449"/>
      <c r="N63" s="2456" t="str">
        <f t="shared" si="6"/>
        <v>-</v>
      </c>
      <c r="O63" s="2456" t="str">
        <f t="shared" si="7"/>
        <v>-</v>
      </c>
      <c r="P63" s="2456" t="str">
        <f t="shared" si="8"/>
        <v>-</v>
      </c>
      <c r="Q63" s="2457" t="str">
        <f t="shared" si="9"/>
        <v>-</v>
      </c>
      <c r="R63" s="774">
        <f t="shared" si="10"/>
        <v>0</v>
      </c>
      <c r="S63" s="774">
        <f t="shared" si="11"/>
        <v>0</v>
      </c>
      <c r="T63" s="774">
        <f t="shared" si="12"/>
        <v>0</v>
      </c>
      <c r="U63" s="775">
        <f t="shared" si="13"/>
        <v>0</v>
      </c>
      <c r="V63" s="774">
        <f t="shared" si="14"/>
        <v>0</v>
      </c>
      <c r="W63" s="774">
        <f t="shared" si="15"/>
        <v>0</v>
      </c>
      <c r="X63" s="774">
        <f t="shared" si="16"/>
        <v>0</v>
      </c>
      <c r="Y63" s="775">
        <f t="shared" si="17"/>
        <v>0</v>
      </c>
      <c r="AA63" s="121">
        <f>واردات!AA63</f>
        <v>0</v>
      </c>
      <c r="AB63" s="48"/>
    </row>
    <row r="64" spans="1:28" s="121" customFormat="1" ht="24" hidden="1">
      <c r="A64" s="2477" t="s">
        <v>3177</v>
      </c>
      <c r="B64" s="2444"/>
      <c r="C64" s="2445"/>
      <c r="D64" s="2445"/>
      <c r="E64" s="2446"/>
      <c r="F64" s="2444"/>
      <c r="G64" s="2445"/>
      <c r="H64" s="2445"/>
      <c r="I64" s="2446"/>
      <c r="J64" s="2447"/>
      <c r="K64" s="2448"/>
      <c r="L64" s="2448"/>
      <c r="M64" s="2449"/>
      <c r="N64" s="2456" t="str">
        <f t="shared" si="6"/>
        <v>-</v>
      </c>
      <c r="O64" s="2456" t="str">
        <f t="shared" si="7"/>
        <v>-</v>
      </c>
      <c r="P64" s="2456" t="str">
        <f t="shared" si="8"/>
        <v>-</v>
      </c>
      <c r="Q64" s="2457" t="str">
        <f t="shared" si="9"/>
        <v>-</v>
      </c>
      <c r="R64" s="774">
        <f t="shared" si="10"/>
        <v>0</v>
      </c>
      <c r="S64" s="774">
        <f t="shared" si="11"/>
        <v>0</v>
      </c>
      <c r="T64" s="774">
        <f t="shared" si="12"/>
        <v>0</v>
      </c>
      <c r="U64" s="775">
        <f t="shared" si="13"/>
        <v>0</v>
      </c>
      <c r="V64" s="774">
        <f t="shared" si="14"/>
        <v>0</v>
      </c>
      <c r="W64" s="774">
        <f t="shared" si="15"/>
        <v>0</v>
      </c>
      <c r="X64" s="774">
        <f t="shared" si="16"/>
        <v>0</v>
      </c>
      <c r="Y64" s="775">
        <f t="shared" si="17"/>
        <v>0</v>
      </c>
      <c r="AA64" s="121">
        <f>واردات!AA64</f>
        <v>0</v>
      </c>
      <c r="AB64" s="48"/>
    </row>
    <row r="65" spans="1:28" s="121" customFormat="1" ht="24" hidden="1">
      <c r="A65" s="2478" t="s">
        <v>3178</v>
      </c>
      <c r="B65" s="2444"/>
      <c r="C65" s="2445"/>
      <c r="D65" s="2445"/>
      <c r="E65" s="2446"/>
      <c r="F65" s="2444"/>
      <c r="G65" s="2445"/>
      <c r="H65" s="2445"/>
      <c r="I65" s="2446"/>
      <c r="J65" s="2447"/>
      <c r="K65" s="2448"/>
      <c r="L65" s="2448"/>
      <c r="M65" s="2449"/>
      <c r="N65" s="2456" t="str">
        <f t="shared" si="6"/>
        <v>-</v>
      </c>
      <c r="O65" s="2456" t="str">
        <f t="shared" si="7"/>
        <v>-</v>
      </c>
      <c r="P65" s="2456" t="str">
        <f t="shared" si="8"/>
        <v>-</v>
      </c>
      <c r="Q65" s="2457" t="str">
        <f t="shared" si="9"/>
        <v>-</v>
      </c>
      <c r="R65" s="774">
        <f t="shared" si="10"/>
        <v>0</v>
      </c>
      <c r="S65" s="774">
        <f t="shared" si="11"/>
        <v>0</v>
      </c>
      <c r="T65" s="774">
        <f t="shared" si="12"/>
        <v>0</v>
      </c>
      <c r="U65" s="775">
        <f t="shared" si="13"/>
        <v>0</v>
      </c>
      <c r="V65" s="774">
        <f t="shared" si="14"/>
        <v>0</v>
      </c>
      <c r="W65" s="774">
        <f t="shared" si="15"/>
        <v>0</v>
      </c>
      <c r="X65" s="774">
        <f t="shared" si="16"/>
        <v>0</v>
      </c>
      <c r="Y65" s="775">
        <f t="shared" si="17"/>
        <v>0</v>
      </c>
      <c r="AA65" s="121">
        <f>واردات!AA65</f>
        <v>0</v>
      </c>
      <c r="AB65" s="48"/>
    </row>
    <row r="66" spans="1:28" s="121" customFormat="1" ht="24" hidden="1">
      <c r="A66" s="2478" t="s">
        <v>3179</v>
      </c>
      <c r="B66" s="2444"/>
      <c r="C66" s="2445"/>
      <c r="D66" s="2445"/>
      <c r="E66" s="2446"/>
      <c r="F66" s="2444"/>
      <c r="G66" s="2445"/>
      <c r="H66" s="2445"/>
      <c r="I66" s="2446"/>
      <c r="J66" s="2447"/>
      <c r="K66" s="2448"/>
      <c r="L66" s="2448"/>
      <c r="M66" s="2449"/>
      <c r="N66" s="2456" t="str">
        <f t="shared" si="6"/>
        <v>-</v>
      </c>
      <c r="O66" s="2456" t="str">
        <f t="shared" si="7"/>
        <v>-</v>
      </c>
      <c r="P66" s="2456" t="str">
        <f t="shared" si="8"/>
        <v>-</v>
      </c>
      <c r="Q66" s="2457" t="str">
        <f t="shared" si="9"/>
        <v>-</v>
      </c>
      <c r="R66" s="774">
        <f t="shared" si="10"/>
        <v>0</v>
      </c>
      <c r="S66" s="774">
        <f t="shared" si="11"/>
        <v>0</v>
      </c>
      <c r="T66" s="774">
        <f t="shared" si="12"/>
        <v>0</v>
      </c>
      <c r="U66" s="775">
        <f t="shared" si="13"/>
        <v>0</v>
      </c>
      <c r="V66" s="774">
        <f t="shared" si="14"/>
        <v>0</v>
      </c>
      <c r="W66" s="774">
        <f t="shared" si="15"/>
        <v>0</v>
      </c>
      <c r="X66" s="774">
        <f t="shared" si="16"/>
        <v>0</v>
      </c>
      <c r="Y66" s="775">
        <f t="shared" si="17"/>
        <v>0</v>
      </c>
      <c r="AA66" s="121">
        <f>واردات!AA66</f>
        <v>0</v>
      </c>
      <c r="AB66" s="48"/>
    </row>
    <row r="67" spans="1:28" s="121" customFormat="1" ht="24.75" hidden="1" thickBot="1">
      <c r="A67" s="2478" t="s">
        <v>3180</v>
      </c>
      <c r="B67" s="2444"/>
      <c r="C67" s="2445"/>
      <c r="D67" s="2445"/>
      <c r="E67" s="2446"/>
      <c r="F67" s="2444"/>
      <c r="G67" s="2445"/>
      <c r="H67" s="2445"/>
      <c r="I67" s="2446"/>
      <c r="J67" s="2447"/>
      <c r="K67" s="2448"/>
      <c r="L67" s="2448"/>
      <c r="M67" s="2449"/>
      <c r="N67" s="2456" t="str">
        <f t="shared" si="6"/>
        <v>-</v>
      </c>
      <c r="O67" s="2456" t="str">
        <f t="shared" si="7"/>
        <v>-</v>
      </c>
      <c r="P67" s="2456" t="str">
        <f t="shared" si="8"/>
        <v>-</v>
      </c>
      <c r="Q67" s="2457" t="str">
        <f t="shared" si="9"/>
        <v>-</v>
      </c>
      <c r="R67" s="774">
        <f t="shared" si="10"/>
        <v>0</v>
      </c>
      <c r="S67" s="774">
        <f t="shared" si="11"/>
        <v>0</v>
      </c>
      <c r="T67" s="774">
        <f t="shared" si="12"/>
        <v>0</v>
      </c>
      <c r="U67" s="775">
        <f t="shared" si="13"/>
        <v>0</v>
      </c>
      <c r="V67" s="774">
        <f t="shared" si="14"/>
        <v>0</v>
      </c>
      <c r="W67" s="774">
        <f t="shared" si="15"/>
        <v>0</v>
      </c>
      <c r="X67" s="774">
        <f t="shared" si="16"/>
        <v>0</v>
      </c>
      <c r="Y67" s="775">
        <f t="shared" si="17"/>
        <v>0</v>
      </c>
      <c r="AA67" s="121">
        <f>واردات!AA67</f>
        <v>0</v>
      </c>
      <c r="AB67" s="48"/>
    </row>
    <row r="68" spans="1:28" s="121" customFormat="1" ht="24.75" hidden="1" thickBot="1">
      <c r="A68" s="2479" t="s">
        <v>3181</v>
      </c>
      <c r="B68" s="2444"/>
      <c r="C68" s="2445"/>
      <c r="D68" s="2445"/>
      <c r="E68" s="2446"/>
      <c r="F68" s="2444"/>
      <c r="G68" s="2445"/>
      <c r="H68" s="2445"/>
      <c r="I68" s="2446"/>
      <c r="J68" s="2447"/>
      <c r="K68" s="2448"/>
      <c r="L68" s="2448"/>
      <c r="M68" s="2449"/>
      <c r="N68" s="2456" t="str">
        <f t="shared" si="6"/>
        <v>-</v>
      </c>
      <c r="O68" s="2456" t="str">
        <f t="shared" si="7"/>
        <v>-</v>
      </c>
      <c r="P68" s="2456" t="str">
        <f t="shared" si="8"/>
        <v>-</v>
      </c>
      <c r="Q68" s="2457" t="str">
        <f t="shared" si="9"/>
        <v>-</v>
      </c>
      <c r="R68" s="774">
        <f t="shared" si="10"/>
        <v>0</v>
      </c>
      <c r="S68" s="774">
        <f t="shared" si="11"/>
        <v>0</v>
      </c>
      <c r="T68" s="774">
        <f t="shared" si="12"/>
        <v>0</v>
      </c>
      <c r="U68" s="775">
        <f t="shared" si="13"/>
        <v>0</v>
      </c>
      <c r="V68" s="774">
        <f t="shared" si="14"/>
        <v>0</v>
      </c>
      <c r="W68" s="774">
        <f t="shared" si="15"/>
        <v>0</v>
      </c>
      <c r="X68" s="774">
        <f t="shared" si="16"/>
        <v>0</v>
      </c>
      <c r="Y68" s="775">
        <f t="shared" si="17"/>
        <v>0</v>
      </c>
      <c r="AA68" s="121">
        <f>واردات!AA68</f>
        <v>0</v>
      </c>
      <c r="AB68" s="48"/>
    </row>
    <row r="69" spans="1:28" s="121" customFormat="1" ht="24.75" hidden="1" thickBot="1">
      <c r="A69" s="2480" t="s">
        <v>3182</v>
      </c>
      <c r="B69" s="2444"/>
      <c r="C69" s="2445"/>
      <c r="D69" s="2445"/>
      <c r="E69" s="2446"/>
      <c r="F69" s="2444"/>
      <c r="G69" s="2445"/>
      <c r="H69" s="2445"/>
      <c r="I69" s="2446"/>
      <c r="J69" s="2447"/>
      <c r="K69" s="2448"/>
      <c r="L69" s="2448"/>
      <c r="M69" s="2449"/>
      <c r="N69" s="2456" t="str">
        <f t="shared" si="6"/>
        <v>-</v>
      </c>
      <c r="O69" s="2456" t="str">
        <f t="shared" si="7"/>
        <v>-</v>
      </c>
      <c r="P69" s="2456" t="str">
        <f t="shared" si="8"/>
        <v>-</v>
      </c>
      <c r="Q69" s="2457" t="str">
        <f t="shared" si="9"/>
        <v>-</v>
      </c>
      <c r="R69" s="774">
        <f t="shared" si="10"/>
        <v>0</v>
      </c>
      <c r="S69" s="774">
        <f t="shared" si="11"/>
        <v>0</v>
      </c>
      <c r="T69" s="774">
        <f t="shared" si="12"/>
        <v>0</v>
      </c>
      <c r="U69" s="775">
        <f t="shared" si="13"/>
        <v>0</v>
      </c>
      <c r="V69" s="774">
        <f t="shared" si="14"/>
        <v>0</v>
      </c>
      <c r="W69" s="774">
        <f t="shared" si="15"/>
        <v>0</v>
      </c>
      <c r="X69" s="774">
        <f t="shared" si="16"/>
        <v>0</v>
      </c>
      <c r="Y69" s="775">
        <f t="shared" si="17"/>
        <v>0</v>
      </c>
      <c r="AA69" s="121">
        <f>واردات!AA69</f>
        <v>0</v>
      </c>
      <c r="AB69" s="48"/>
    </row>
    <row r="70" spans="1:28" s="121" customFormat="1" ht="24.75" hidden="1" thickBot="1">
      <c r="A70" s="1111"/>
      <c r="B70" s="2444"/>
      <c r="C70" s="2445"/>
      <c r="D70" s="2445"/>
      <c r="E70" s="2446"/>
      <c r="F70" s="2444"/>
      <c r="G70" s="2445"/>
      <c r="H70" s="2445"/>
      <c r="I70" s="2446"/>
      <c r="J70" s="2447"/>
      <c r="K70" s="2448"/>
      <c r="L70" s="2448"/>
      <c r="M70" s="2449"/>
      <c r="N70" s="2456" t="str">
        <f t="shared" si="6"/>
        <v>-</v>
      </c>
      <c r="O70" s="2456" t="str">
        <f t="shared" si="7"/>
        <v>-</v>
      </c>
      <c r="P70" s="2456" t="str">
        <f t="shared" si="8"/>
        <v>-</v>
      </c>
      <c r="Q70" s="2457" t="str">
        <f t="shared" si="9"/>
        <v>-</v>
      </c>
      <c r="R70" s="774">
        <f t="shared" si="10"/>
        <v>0</v>
      </c>
      <c r="S70" s="774">
        <f t="shared" si="11"/>
        <v>0</v>
      </c>
      <c r="T70" s="774">
        <f t="shared" si="12"/>
        <v>0</v>
      </c>
      <c r="U70" s="775">
        <f t="shared" si="13"/>
        <v>0</v>
      </c>
      <c r="V70" s="774">
        <f t="shared" si="14"/>
        <v>0</v>
      </c>
      <c r="W70" s="774">
        <f t="shared" si="15"/>
        <v>0</v>
      </c>
      <c r="X70" s="774">
        <f t="shared" si="16"/>
        <v>0</v>
      </c>
      <c r="Y70" s="775">
        <f t="shared" si="17"/>
        <v>0</v>
      </c>
      <c r="AA70" s="121">
        <f>واردات!AA70</f>
        <v>0</v>
      </c>
      <c r="AB70" s="48"/>
    </row>
    <row r="71" spans="1:28" s="121" customFormat="1" ht="24.75" thickBot="1">
      <c r="A71" s="134" t="s">
        <v>456</v>
      </c>
      <c r="B71" s="2450">
        <f>SUM(B42:B51)</f>
        <v>24961</v>
      </c>
      <c r="C71" s="2451">
        <f t="shared" ref="C71:M71" si="18">SUM(C42:C51)</f>
        <v>18</v>
      </c>
      <c r="D71" s="2451">
        <f t="shared" si="18"/>
        <v>26356</v>
      </c>
      <c r="E71" s="2452">
        <f t="shared" si="18"/>
        <v>378750</v>
      </c>
      <c r="F71" s="2428">
        <f t="shared" si="18"/>
        <v>33653.049735762244</v>
      </c>
      <c r="G71" s="2429">
        <f t="shared" si="18"/>
        <v>26.040173755656109</v>
      </c>
      <c r="H71" s="2429">
        <f t="shared" si="18"/>
        <v>36653.373932076101</v>
      </c>
      <c r="I71" s="2430">
        <f t="shared" si="18"/>
        <v>513151.19436328375</v>
      </c>
      <c r="J71" s="2450">
        <f t="shared" si="18"/>
        <v>43957</v>
      </c>
      <c r="K71" s="2451">
        <f t="shared" si="18"/>
        <v>0</v>
      </c>
      <c r="L71" s="2451">
        <f t="shared" si="18"/>
        <v>43469</v>
      </c>
      <c r="M71" s="2452">
        <f t="shared" si="18"/>
        <v>467553</v>
      </c>
      <c r="N71" s="2428">
        <f t="shared" si="6"/>
        <v>130.61817679272025</v>
      </c>
      <c r="O71" s="2429">
        <f t="shared" si="7"/>
        <v>0</v>
      </c>
      <c r="P71" s="2429">
        <f t="shared" si="8"/>
        <v>118.59481225535805</v>
      </c>
      <c r="Q71" s="2430">
        <f t="shared" si="9"/>
        <v>91.114081996854395</v>
      </c>
      <c r="R71" s="768">
        <f t="shared" si="10"/>
        <v>10303.950264237756</v>
      </c>
      <c r="S71" s="769">
        <f t="shared" si="11"/>
        <v>-26.040173755656109</v>
      </c>
      <c r="T71" s="769">
        <f t="shared" si="12"/>
        <v>6815.6260679238985</v>
      </c>
      <c r="U71" s="770">
        <f t="shared" si="13"/>
        <v>-45598.19436328375</v>
      </c>
      <c r="V71" s="768">
        <f t="shared" si="14"/>
        <v>18996</v>
      </c>
      <c r="W71" s="769">
        <f t="shared" si="15"/>
        <v>-18</v>
      </c>
      <c r="X71" s="769">
        <f t="shared" si="16"/>
        <v>17113</v>
      </c>
      <c r="Y71" s="770">
        <f t="shared" si="17"/>
        <v>88803</v>
      </c>
    </row>
    <row r="72" spans="1:28" s="121" customFormat="1"/>
    <row r="73" spans="1:28" s="121" customFormat="1" ht="33.75">
      <c r="A73" s="2787" t="s">
        <v>465</v>
      </c>
      <c r="B73" s="2787"/>
      <c r="C73" s="2787"/>
      <c r="D73" s="2787"/>
      <c r="E73" s="2787"/>
      <c r="F73" s="2788"/>
      <c r="G73" s="2788"/>
      <c r="H73" s="2788"/>
      <c r="I73" s="2788"/>
      <c r="J73" s="2788"/>
      <c r="K73" s="2788"/>
      <c r="L73" s="2788"/>
      <c r="M73" s="2788"/>
      <c r="N73" s="2788"/>
      <c r="O73" s="2788"/>
      <c r="P73" s="2788"/>
      <c r="Q73" s="2788"/>
      <c r="R73" s="2788"/>
      <c r="S73" s="2788"/>
      <c r="T73" s="2788"/>
      <c r="U73" s="2788"/>
      <c r="V73" s="2788"/>
      <c r="W73" s="2788"/>
      <c r="X73" s="2788"/>
      <c r="Y73" s="2788"/>
    </row>
    <row r="74" spans="1:28" ht="15.75" thickBot="1">
      <c r="A74"/>
      <c r="B74"/>
      <c r="C74"/>
      <c r="D74"/>
      <c r="E74"/>
      <c r="F74"/>
      <c r="G74"/>
      <c r="H74"/>
      <c r="I74"/>
      <c r="J74"/>
      <c r="K74"/>
      <c r="L74"/>
      <c r="M74"/>
      <c r="N74"/>
      <c r="O74"/>
      <c r="P74"/>
      <c r="Q74"/>
      <c r="R74"/>
      <c r="S74"/>
      <c r="T74"/>
      <c r="U74"/>
      <c r="V74"/>
      <c r="W74"/>
      <c r="X74"/>
      <c r="Y74"/>
    </row>
    <row r="75" spans="1:28" ht="68.25" customHeight="1">
      <c r="A75" s="2771" t="s">
        <v>458</v>
      </c>
      <c r="B75" s="2773" t="s">
        <v>488</v>
      </c>
      <c r="C75" s="2775" t="s">
        <v>186</v>
      </c>
      <c r="D75" s="2776"/>
      <c r="E75" s="2775" t="s">
        <v>218</v>
      </c>
      <c r="F75" s="2776"/>
      <c r="G75" s="2773" t="s">
        <v>489</v>
      </c>
      <c r="H75" s="2773"/>
      <c r="I75" s="2781" t="s">
        <v>490</v>
      </c>
      <c r="J75" s="2782"/>
      <c r="K75"/>
      <c r="L75"/>
      <c r="M75"/>
      <c r="N75"/>
      <c r="O75"/>
      <c r="P75"/>
      <c r="Q75"/>
      <c r="R75"/>
      <c r="S75"/>
      <c r="T75"/>
      <c r="U75"/>
      <c r="V75"/>
      <c r="W75"/>
      <c r="X75"/>
      <c r="Y75"/>
      <c r="AA75" s="121"/>
    </row>
    <row r="76" spans="1:28" ht="60" customHeight="1">
      <c r="A76" s="2772"/>
      <c r="B76" s="2774"/>
      <c r="C76" s="2777"/>
      <c r="D76" s="2778"/>
      <c r="E76" s="2777"/>
      <c r="F76" s="2778"/>
      <c r="G76" s="777" t="s">
        <v>459</v>
      </c>
      <c r="H76" s="777" t="s">
        <v>460</v>
      </c>
      <c r="I76" s="777" t="s">
        <v>459</v>
      </c>
      <c r="J76" s="778" t="s">
        <v>461</v>
      </c>
      <c r="K76"/>
      <c r="L76"/>
      <c r="M76"/>
      <c r="N76"/>
      <c r="O76"/>
      <c r="P76"/>
      <c r="Q76"/>
      <c r="R76"/>
      <c r="S76"/>
      <c r="T76"/>
      <c r="U76"/>
      <c r="V76"/>
      <c r="W76"/>
      <c r="X76"/>
      <c r="Y76"/>
      <c r="AA76" s="121"/>
    </row>
    <row r="77" spans="1:28" ht="24">
      <c r="A77" s="122" t="s">
        <v>452</v>
      </c>
      <c r="B77" s="780">
        <f>B71</f>
        <v>24961</v>
      </c>
      <c r="C77" s="2779">
        <f>F71</f>
        <v>33653.049735762244</v>
      </c>
      <c r="D77" s="2780"/>
      <c r="E77" s="2779">
        <f>J71</f>
        <v>43957</v>
      </c>
      <c r="F77" s="2780"/>
      <c r="G77" s="780">
        <f>E77-B77</f>
        <v>18996</v>
      </c>
      <c r="H77" s="780">
        <f>IFERROR((E77-B77)*100/B77,"-")</f>
        <v>76.102720243579981</v>
      </c>
      <c r="I77" s="780">
        <f>E77-C77</f>
        <v>10303.950264237756</v>
      </c>
      <c r="J77" s="781">
        <f>IFERROR(E77*100/C77,"-")</f>
        <v>130.61817679272025</v>
      </c>
      <c r="AA77" s="121"/>
    </row>
    <row r="78" spans="1:28" ht="24">
      <c r="A78" s="122" t="s">
        <v>453</v>
      </c>
      <c r="B78" s="780">
        <f>C71</f>
        <v>18</v>
      </c>
      <c r="C78" s="2779">
        <f>G71</f>
        <v>26.040173755656109</v>
      </c>
      <c r="D78" s="2780"/>
      <c r="E78" s="2779">
        <f>K71</f>
        <v>0</v>
      </c>
      <c r="F78" s="2780"/>
      <c r="G78" s="780">
        <f>E78-B78</f>
        <v>-18</v>
      </c>
      <c r="H78" s="780">
        <f>IFERROR((E78-B78)*100/B78,"-")</f>
        <v>-100</v>
      </c>
      <c r="I78" s="780">
        <f>E78-C78</f>
        <v>-26.040173755656109</v>
      </c>
      <c r="J78" s="781">
        <f>IFERROR(E78*100/C78,"-")</f>
        <v>0</v>
      </c>
      <c r="AA78" s="121"/>
    </row>
    <row r="79" spans="1:28" ht="24">
      <c r="A79" s="122" t="s">
        <v>454</v>
      </c>
      <c r="B79" s="780">
        <f>D71</f>
        <v>26356</v>
      </c>
      <c r="C79" s="2779">
        <f>H71</f>
        <v>36653.373932076101</v>
      </c>
      <c r="D79" s="2780"/>
      <c r="E79" s="2779">
        <f>L71</f>
        <v>43469</v>
      </c>
      <c r="F79" s="2780"/>
      <c r="G79" s="780">
        <f>E79-B79</f>
        <v>17113</v>
      </c>
      <c r="H79" s="780">
        <f>IFERROR((E79-B79)*100/B79,"-")</f>
        <v>64.930186674760961</v>
      </c>
      <c r="I79" s="780">
        <f>E79-C79</f>
        <v>6815.6260679238985</v>
      </c>
      <c r="J79" s="781">
        <f>IFERROR(E79*100/C79,"-")</f>
        <v>118.59481225535805</v>
      </c>
      <c r="AA79" s="121"/>
    </row>
    <row r="80" spans="1:28" ht="24.75" thickBot="1">
      <c r="A80" s="123" t="s">
        <v>455</v>
      </c>
      <c r="B80" s="783">
        <f>E71</f>
        <v>378750</v>
      </c>
      <c r="C80" s="2785">
        <f>I71</f>
        <v>513151.19436328375</v>
      </c>
      <c r="D80" s="2786"/>
      <c r="E80" s="2785">
        <f>M71</f>
        <v>467553</v>
      </c>
      <c r="F80" s="2786"/>
      <c r="G80" s="783">
        <f>E80-B80</f>
        <v>88803</v>
      </c>
      <c r="H80" s="783">
        <f>IFERROR((E80-B80)*100/B80,"-")</f>
        <v>23.446336633663368</v>
      </c>
      <c r="I80" s="783">
        <f>E80-C80</f>
        <v>-45598.19436328375</v>
      </c>
      <c r="J80" s="784">
        <f>IFERROR(E80*100/C80,"-")</f>
        <v>91.114081996854395</v>
      </c>
      <c r="AA80" s="121"/>
    </row>
    <row r="81" spans="1:27" ht="7.5" customHeight="1" thickBot="1">
      <c r="F81" s="124"/>
    </row>
    <row r="82" spans="1:27" ht="15.75" hidden="1" thickBot="1"/>
    <row r="83" spans="1:27" ht="15.75" hidden="1" thickBot="1"/>
    <row r="84" spans="1:27" ht="15.75" hidden="1" thickBot="1"/>
    <row r="85" spans="1:27" ht="15.75" hidden="1" thickBot="1"/>
    <row r="86" spans="1:27" ht="54" customHeight="1">
      <c r="A86" s="2771" t="s">
        <v>458</v>
      </c>
      <c r="B86" s="2773" t="s">
        <v>488</v>
      </c>
      <c r="C86" s="2775" t="s">
        <v>186</v>
      </c>
      <c r="D86" s="2776"/>
      <c r="E86" s="2775" t="s">
        <v>439</v>
      </c>
      <c r="F86" s="2776"/>
      <c r="G86" s="2773" t="s">
        <v>489</v>
      </c>
      <c r="H86" s="2773"/>
      <c r="I86" s="2781" t="s">
        <v>490</v>
      </c>
      <c r="J86" s="2782"/>
      <c r="AA86" s="121"/>
    </row>
    <row r="87" spans="1:27" ht="48">
      <c r="A87" s="2772"/>
      <c r="B87" s="2774"/>
      <c r="C87" s="2777"/>
      <c r="D87" s="2778"/>
      <c r="E87" s="2777"/>
      <c r="F87" s="2778"/>
      <c r="G87" s="777" t="s">
        <v>459</v>
      </c>
      <c r="H87" s="777" t="s">
        <v>460</v>
      </c>
      <c r="I87" s="777" t="s">
        <v>459</v>
      </c>
      <c r="J87" s="778" t="s">
        <v>461</v>
      </c>
      <c r="AA87" s="121"/>
    </row>
    <row r="88" spans="1:27" ht="24">
      <c r="A88" s="122" t="s">
        <v>462</v>
      </c>
      <c r="B88" s="125"/>
      <c r="C88" s="2783"/>
      <c r="D88" s="2784"/>
      <c r="E88" s="2783"/>
      <c r="F88" s="2784"/>
      <c r="G88" s="786">
        <f>E88-B88</f>
        <v>0</v>
      </c>
      <c r="H88" s="787" t="str">
        <f>IFERROR((E88-B88)*100/B88,"-")</f>
        <v>-</v>
      </c>
      <c r="I88" s="786">
        <f>E88-C88</f>
        <v>0</v>
      </c>
      <c r="J88" s="788" t="str">
        <f>IFERROR(E88*100/C88,"-")</f>
        <v>-</v>
      </c>
      <c r="AA88" s="121"/>
    </row>
    <row r="89" spans="1:27" ht="24">
      <c r="A89" s="122" t="s">
        <v>463</v>
      </c>
      <c r="B89" s="125"/>
      <c r="C89" s="2783"/>
      <c r="D89" s="2784"/>
      <c r="E89" s="2783"/>
      <c r="F89" s="2784"/>
      <c r="G89" s="786">
        <f>E89-B89</f>
        <v>0</v>
      </c>
      <c r="H89" s="787" t="str">
        <f>IFERROR((E89-B89)*100/B89,"-")</f>
        <v>-</v>
      </c>
      <c r="I89" s="786">
        <f>E89-C89</f>
        <v>0</v>
      </c>
      <c r="J89" s="788" t="str">
        <f>IFERROR(E89*100/C89,"-")</f>
        <v>-</v>
      </c>
      <c r="AA89" s="121"/>
    </row>
    <row r="90" spans="1:27" ht="24">
      <c r="A90" s="122" t="s">
        <v>464</v>
      </c>
      <c r="B90" s="125"/>
      <c r="C90" s="2783"/>
      <c r="D90" s="2784"/>
      <c r="E90" s="2783"/>
      <c r="F90" s="2784"/>
      <c r="G90" s="786">
        <f>E90-B90</f>
        <v>0</v>
      </c>
      <c r="H90" s="787" t="str">
        <f>IFERROR((E90-B90)*100/B90,"-")</f>
        <v>-</v>
      </c>
      <c r="I90" s="786">
        <f>E90-C90</f>
        <v>0</v>
      </c>
      <c r="J90" s="788" t="str">
        <f>IFERROR(E90*100/C90,"-")</f>
        <v>-</v>
      </c>
      <c r="AA90" s="121"/>
    </row>
    <row r="91" spans="1:27" ht="24.75" thickBot="1">
      <c r="A91" s="792" t="s">
        <v>1</v>
      </c>
      <c r="B91" s="790">
        <f>SUM(B88:B90)</f>
        <v>0</v>
      </c>
      <c r="C91" s="2789">
        <f>SUM(C88:D90)</f>
        <v>0</v>
      </c>
      <c r="D91" s="2790"/>
      <c r="E91" s="2789">
        <f>SUM(E88:F90)</f>
        <v>0</v>
      </c>
      <c r="F91" s="2790"/>
      <c r="G91" s="786">
        <f>E91-B91</f>
        <v>0</v>
      </c>
      <c r="H91" s="789" t="str">
        <f>IFERROR((E91-B91)*100/B91,"-")</f>
        <v>-</v>
      </c>
      <c r="I91" s="790">
        <f>E91-C91</f>
        <v>0</v>
      </c>
      <c r="J91" s="791" t="str">
        <f>IFERROR(E91*100/C91,"-")</f>
        <v>-</v>
      </c>
      <c r="AA91" s="121"/>
    </row>
    <row r="97" spans="3:6">
      <c r="C97" s="126"/>
    </row>
    <row r="102" spans="3:6">
      <c r="F102" s="126"/>
    </row>
  </sheetData>
  <mergeCells count="31">
    <mergeCell ref="C90:D90"/>
    <mergeCell ref="E90:F90"/>
    <mergeCell ref="C91:D91"/>
    <mergeCell ref="E91:F91"/>
    <mergeCell ref="G86:H86"/>
    <mergeCell ref="I86:J86"/>
    <mergeCell ref="C88:D88"/>
    <mergeCell ref="E88:F88"/>
    <mergeCell ref="C89:D89"/>
    <mergeCell ref="E89:F89"/>
    <mergeCell ref="C80:D80"/>
    <mergeCell ref="E80:F80"/>
    <mergeCell ref="A86:A87"/>
    <mergeCell ref="B86:B87"/>
    <mergeCell ref="C86:D87"/>
    <mergeCell ref="E86:F87"/>
    <mergeCell ref="C77:D77"/>
    <mergeCell ref="E77:F77"/>
    <mergeCell ref="C78:D78"/>
    <mergeCell ref="E78:F78"/>
    <mergeCell ref="C79:D79"/>
    <mergeCell ref="E79:F79"/>
    <mergeCell ref="A1:Y1"/>
    <mergeCell ref="A3:A5"/>
    <mergeCell ref="A73:Y73"/>
    <mergeCell ref="A75:A76"/>
    <mergeCell ref="B75:B76"/>
    <mergeCell ref="C75:D76"/>
    <mergeCell ref="E75:F76"/>
    <mergeCell ref="G75:H75"/>
    <mergeCell ref="I75:J75"/>
  </mergeCells>
  <conditionalFormatting sqref="F35:M37 I32:M34">
    <cfRule type="cellIs" dxfId="631" priority="11" operator="equal">
      <formula>0</formula>
    </cfRule>
  </conditionalFormatting>
  <conditionalFormatting sqref="F39:M39">
    <cfRule type="cellIs" dxfId="630" priority="10" operator="equal">
      <formula>0</formula>
    </cfRule>
  </conditionalFormatting>
  <conditionalFormatting sqref="F40:M40">
    <cfRule type="cellIs" dxfId="629" priority="9" operator="equal">
      <formula>0</formula>
    </cfRule>
  </conditionalFormatting>
  <conditionalFormatting sqref="B35:E37 E32:E34">
    <cfRule type="cellIs" dxfId="628" priority="8" operator="equal">
      <formula>0</formula>
    </cfRule>
  </conditionalFormatting>
  <conditionalFormatting sqref="B39:E39">
    <cfRule type="cellIs" dxfId="627" priority="7" operator="equal">
      <formula>0</formula>
    </cfRule>
  </conditionalFormatting>
  <conditionalFormatting sqref="B40:E40">
    <cfRule type="cellIs" dxfId="626" priority="6" operator="equal">
      <formula>0</formula>
    </cfRule>
  </conditionalFormatting>
  <conditionalFormatting sqref="A1:XFD41 A49:XFD1048576 A42:E48 J42:XFD48">
    <cfRule type="cellIs" dxfId="625" priority="4" operator="lessThan">
      <formula>0</formula>
    </cfRule>
    <cfRule type="cellIs" dxfId="624" priority="5" operator="equal">
      <formula>0</formula>
    </cfRule>
  </conditionalFormatting>
  <conditionalFormatting sqref="F42:I48">
    <cfRule type="cellIs" dxfId="623" priority="2" operator="lessThan">
      <formula>0</formula>
    </cfRule>
    <cfRule type="cellIs" dxfId="622" priority="3" operator="equal">
      <formula>0</formula>
    </cfRule>
  </conditionalFormatting>
  <conditionalFormatting sqref="F42:I48">
    <cfRule type="cellIs" dxfId="621" priority="1" operator="lessThan">
      <formula>0</formula>
    </cfRule>
  </conditionalFormatting>
  <printOptions horizontalCentered="1"/>
  <pageMargins left="0.19685039370078741" right="0.19685039370078741" top="0.59055118110236227" bottom="0.78740157480314965" header="0.19685039370078741" footer="0.19685039370078741"/>
  <pageSetup paperSize="9" scale="3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3">
    <pageSetUpPr fitToPage="1"/>
  </sheetPr>
  <dimension ref="A1:W17"/>
  <sheetViews>
    <sheetView rightToLeft="1" workbookViewId="0">
      <selection sqref="A1:F1"/>
    </sheetView>
  </sheetViews>
  <sheetFormatPr defaultColWidth="9" defaultRowHeight="15"/>
  <cols>
    <col min="1" max="1" width="8.5703125" style="5" customWidth="1"/>
    <col min="2" max="2" width="29.5703125" style="5" customWidth="1"/>
    <col min="3" max="3" width="9" style="5"/>
    <col min="4" max="4" width="10.5703125" style="5" customWidth="1"/>
    <col min="5" max="5" width="11.42578125" style="5" bestFit="1" customWidth="1"/>
    <col min="6" max="6" width="12.5703125" style="5" customWidth="1"/>
    <col min="7" max="8" width="11.5703125" style="5" customWidth="1"/>
    <col min="9" max="9" width="12.5703125" style="5" customWidth="1"/>
    <col min="10" max="11" width="11.5703125" style="5" customWidth="1"/>
    <col min="12" max="12" width="12.5703125" style="5" customWidth="1"/>
    <col min="13" max="18" width="9.5703125" style="5" customWidth="1"/>
    <col min="19" max="19" width="9" style="5" customWidth="1"/>
    <col min="20" max="20" width="9" style="79" hidden="1" customWidth="1"/>
    <col min="21" max="21" width="9.140625" style="79" hidden="1" customWidth="1"/>
    <col min="22" max="23" width="0" style="79" hidden="1" customWidth="1"/>
    <col min="24" max="16384" width="9" style="5"/>
  </cols>
  <sheetData>
    <row r="1" spans="1:22" ht="15.75" customHeight="1">
      <c r="A1" s="2759"/>
      <c r="B1" s="2759"/>
      <c r="C1" s="2759"/>
      <c r="D1" s="2759"/>
      <c r="E1" s="2759"/>
      <c r="F1" s="2759"/>
      <c r="G1" s="407"/>
      <c r="H1" s="407"/>
      <c r="I1" s="407"/>
      <c r="J1" s="407"/>
      <c r="K1" s="407"/>
      <c r="L1" s="407"/>
      <c r="M1" s="407"/>
      <c r="N1" s="407"/>
      <c r="O1" s="407"/>
      <c r="P1" s="407"/>
      <c r="Q1" s="407"/>
      <c r="R1" s="407"/>
      <c r="S1" s="9"/>
      <c r="T1" s="80"/>
    </row>
    <row r="2" spans="1:22" ht="24">
      <c r="A2" s="2685" t="str">
        <f>'صورتخلاصه درآمد'!A1:F1</f>
        <v>انبارهای عمومی و خدمات گمرکی ایران</v>
      </c>
      <c r="B2" s="2685"/>
      <c r="C2" s="2685"/>
      <c r="D2" s="2685"/>
      <c r="E2" s="2685"/>
      <c r="F2" s="2685"/>
      <c r="G2" s="2685"/>
      <c r="H2" s="2685"/>
      <c r="I2" s="2685"/>
      <c r="J2" s="2685"/>
      <c r="K2" s="2685"/>
      <c r="L2" s="2685"/>
      <c r="M2" s="2685"/>
      <c r="N2" s="2685"/>
      <c r="O2" s="2685"/>
      <c r="P2" s="2685"/>
      <c r="Q2" s="2685"/>
      <c r="R2" s="2685"/>
    </row>
    <row r="3" spans="1:22" ht="20.25" customHeight="1">
      <c r="A3" s="396"/>
      <c r="B3" s="396"/>
      <c r="C3" s="396"/>
      <c r="D3" s="396"/>
      <c r="E3" s="396"/>
      <c r="F3" s="396"/>
      <c r="G3" s="396"/>
      <c r="H3" s="396"/>
      <c r="I3" s="396"/>
      <c r="J3" s="396"/>
      <c r="K3" s="396"/>
      <c r="L3" s="396"/>
      <c r="M3" s="396"/>
      <c r="N3" s="396"/>
      <c r="O3" s="396"/>
      <c r="P3" s="396"/>
      <c r="Q3" s="396"/>
      <c r="R3" s="396"/>
    </row>
    <row r="4" spans="1:22" ht="24" customHeight="1">
      <c r="A4" s="1110" t="s">
        <v>1268</v>
      </c>
      <c r="B4" s="1110"/>
      <c r="C4" s="1110"/>
      <c r="D4" s="1110"/>
      <c r="E4" s="1110"/>
      <c r="F4" s="1110"/>
      <c r="G4" s="1110"/>
      <c r="H4" s="1110"/>
      <c r="I4" s="1110"/>
      <c r="J4" s="1110"/>
      <c r="K4" s="1110"/>
      <c r="L4" s="1110"/>
      <c r="M4" s="1110"/>
      <c r="N4" s="1110"/>
      <c r="O4" s="1088" t="s">
        <v>1246</v>
      </c>
      <c r="P4" s="1089" t="str">
        <f>روکش!$F$9</f>
        <v>شش ماهه</v>
      </c>
      <c r="Q4" s="1089" t="s">
        <v>379</v>
      </c>
      <c r="R4" s="1088">
        <f>روکش!$D$9</f>
        <v>1405</v>
      </c>
      <c r="S4" s="740"/>
      <c r="T4" s="741"/>
    </row>
    <row r="5" spans="1:22" ht="24.75">
      <c r="A5" s="408"/>
      <c r="B5" s="408"/>
      <c r="C5" s="408"/>
      <c r="D5" s="409"/>
      <c r="E5" s="410"/>
      <c r="F5" s="410"/>
      <c r="G5" s="411"/>
      <c r="H5" s="411"/>
      <c r="I5" s="411"/>
      <c r="J5" s="411"/>
      <c r="K5"/>
      <c r="L5"/>
      <c r="M5" s="704"/>
      <c r="N5" s="704"/>
      <c r="O5" s="2760" t="s">
        <v>3</v>
      </c>
      <c r="P5" s="2760"/>
      <c r="Q5" s="2761" t="s">
        <v>4</v>
      </c>
      <c r="R5" s="2761"/>
      <c r="S5" s="742"/>
      <c r="T5" s="743"/>
    </row>
    <row r="6" spans="1:22" ht="1.5" customHeight="1" thickBot="1">
      <c r="A6" s="408"/>
      <c r="B6" s="408"/>
      <c r="C6" s="408"/>
      <c r="D6" s="409"/>
      <c r="E6" s="410"/>
      <c r="F6" s="410"/>
      <c r="G6" s="411"/>
      <c r="H6" s="411"/>
      <c r="I6" s="411"/>
      <c r="J6" s="411"/>
      <c r="K6" s="704"/>
      <c r="L6" s="704"/>
      <c r="M6" s="704"/>
      <c r="N6" s="704"/>
      <c r="O6" s="704"/>
      <c r="P6" s="704"/>
      <c r="Q6" s="706"/>
      <c r="R6" s="706"/>
      <c r="S6" s="742"/>
      <c r="T6" s="743"/>
    </row>
    <row r="7" spans="1:22" ht="24.75" thickBot="1">
      <c r="A7" s="2733" t="s">
        <v>5</v>
      </c>
      <c r="B7" s="2740" t="s">
        <v>219</v>
      </c>
      <c r="C7" s="2743" t="s">
        <v>7</v>
      </c>
      <c r="D7" s="2756" t="s">
        <v>639</v>
      </c>
      <c r="E7" s="2757"/>
      <c r="F7" s="2758"/>
      <c r="G7" s="2756" t="s">
        <v>642</v>
      </c>
      <c r="H7" s="2757"/>
      <c r="I7" s="2757"/>
      <c r="J7" s="2757"/>
      <c r="K7" s="2757"/>
      <c r="L7" s="2757"/>
      <c r="M7" s="2757"/>
      <c r="N7" s="2757"/>
      <c r="O7" s="2757"/>
      <c r="P7" s="2757"/>
      <c r="Q7" s="2757"/>
      <c r="R7" s="2758"/>
      <c r="S7" s="37"/>
      <c r="T7" s="82"/>
    </row>
    <row r="8" spans="1:22" ht="24" customHeight="1">
      <c r="A8" s="2734"/>
      <c r="B8" s="2741"/>
      <c r="C8" s="2744"/>
      <c r="D8" s="2733" t="s">
        <v>8</v>
      </c>
      <c r="E8" s="2740" t="s">
        <v>9</v>
      </c>
      <c r="F8" s="2731" t="s">
        <v>10</v>
      </c>
      <c r="G8" s="2753" t="s">
        <v>217</v>
      </c>
      <c r="H8" s="2754"/>
      <c r="I8" s="2755"/>
      <c r="J8" s="2753" t="s">
        <v>216</v>
      </c>
      <c r="K8" s="2754"/>
      <c r="L8" s="2755"/>
      <c r="M8" s="2762" t="s">
        <v>793</v>
      </c>
      <c r="N8" s="2754"/>
      <c r="O8" s="2755"/>
      <c r="P8" s="2753" t="s">
        <v>643</v>
      </c>
      <c r="Q8" s="2754"/>
      <c r="R8" s="2755"/>
      <c r="S8" s="37"/>
      <c r="T8" s="82"/>
    </row>
    <row r="9" spans="1:22" ht="60" customHeight="1" thickBot="1">
      <c r="A9" s="2735"/>
      <c r="B9" s="2742"/>
      <c r="C9" s="2745"/>
      <c r="D9" s="2735"/>
      <c r="E9" s="2742"/>
      <c r="F9" s="2732"/>
      <c r="G9" s="703" t="s">
        <v>11</v>
      </c>
      <c r="H9" s="705" t="s">
        <v>9</v>
      </c>
      <c r="I9" s="412" t="s">
        <v>12</v>
      </c>
      <c r="J9" s="703" t="s">
        <v>11</v>
      </c>
      <c r="K9" s="705" t="s">
        <v>9</v>
      </c>
      <c r="L9" s="412" t="s">
        <v>12</v>
      </c>
      <c r="M9" s="703" t="s">
        <v>11</v>
      </c>
      <c r="N9" s="705" t="s">
        <v>9</v>
      </c>
      <c r="O9" s="412" t="s">
        <v>12</v>
      </c>
      <c r="P9" s="703" t="s">
        <v>11</v>
      </c>
      <c r="Q9" s="705" t="s">
        <v>9</v>
      </c>
      <c r="R9" s="412" t="s">
        <v>12</v>
      </c>
      <c r="S9" s="139"/>
      <c r="T9" s="82"/>
      <c r="U9" s="210" t="s">
        <v>784</v>
      </c>
      <c r="V9" s="210" t="s">
        <v>784</v>
      </c>
    </row>
    <row r="10" spans="1:22" ht="35.1" customHeight="1">
      <c r="A10" s="424">
        <v>1</v>
      </c>
      <c r="B10" s="752">
        <f>'مقادیر خدمات آزادراهی'!B10</f>
        <v>0</v>
      </c>
      <c r="C10" s="753">
        <f>'مقادیر خدمات آزادراهی'!C10</f>
        <v>0</v>
      </c>
      <c r="D10" s="215"/>
      <c r="E10" s="216"/>
      <c r="F10" s="749">
        <f>IFERROR(E10*D10/1000000,"")</f>
        <v>0</v>
      </c>
      <c r="G10" s="215"/>
      <c r="H10" s="216"/>
      <c r="I10" s="413">
        <f>IFERROR(H10*G10/1000000,"")</f>
        <v>0</v>
      </c>
      <c r="J10" s="215"/>
      <c r="K10" s="216"/>
      <c r="L10" s="413">
        <f>K10*J10/1000000</f>
        <v>0</v>
      </c>
      <c r="M10" s="402" t="str">
        <f>IFERROR((J10-D10)*100/D10,"-")</f>
        <v>-</v>
      </c>
      <c r="N10" s="414" t="str">
        <f t="shared" ref="N10:O14" si="0">IFERROR((K10-E10)*100/E10,"-")</f>
        <v>-</v>
      </c>
      <c r="O10" s="415" t="str">
        <f t="shared" si="0"/>
        <v>-</v>
      </c>
      <c r="P10" s="402" t="str">
        <f>IFERROR(J10*100/G10,"-")</f>
        <v>-</v>
      </c>
      <c r="Q10" s="414" t="str">
        <f t="shared" ref="Q10:R14" si="1">IFERROR(K10*100/H10,"-")</f>
        <v>-</v>
      </c>
      <c r="R10" s="415" t="str">
        <f t="shared" si="1"/>
        <v>-</v>
      </c>
      <c r="S10" s="37"/>
      <c r="T10" s="82"/>
      <c r="U10" s="210" t="str">
        <f>IF(AND(G10=0,J10&gt;0),100,IFERROR(ABS(P10-100),"-"))</f>
        <v>-</v>
      </c>
      <c r="V10" s="210" t="str">
        <f>IF(AND(H10=0,K10&gt;0),100,IFERROR(ABS(Q10-100),"-"))</f>
        <v>-</v>
      </c>
    </row>
    <row r="11" spans="1:22" ht="35.1" customHeight="1">
      <c r="A11" s="425">
        <v>2</v>
      </c>
      <c r="B11" s="756">
        <f>'مقادیر خدمات آزادراهی'!B11</f>
        <v>0</v>
      </c>
      <c r="C11" s="757">
        <f>'مقادیر خدمات آزادراهی'!C11</f>
        <v>0</v>
      </c>
      <c r="D11" s="217"/>
      <c r="E11" s="218"/>
      <c r="F11" s="750">
        <f>IFERROR(E11*D11/1000000,"")</f>
        <v>0</v>
      </c>
      <c r="G11" s="217"/>
      <c r="H11" s="218"/>
      <c r="I11" s="416">
        <f>IFERROR(H11*G11/1000000,"")</f>
        <v>0</v>
      </c>
      <c r="J11" s="217"/>
      <c r="K11" s="218"/>
      <c r="L11" s="416">
        <f>K11*J11/1000000</f>
        <v>0</v>
      </c>
      <c r="M11" s="406" t="str">
        <f>IFERROR((J11-D11)*100/D11,"-")</f>
        <v>-</v>
      </c>
      <c r="N11" s="417" t="str">
        <f t="shared" si="0"/>
        <v>-</v>
      </c>
      <c r="O11" s="418" t="str">
        <f t="shared" si="0"/>
        <v>-</v>
      </c>
      <c r="P11" s="406" t="str">
        <f>IFERROR(J11*100/G11,"-")</f>
        <v>-</v>
      </c>
      <c r="Q11" s="417" t="str">
        <f t="shared" si="1"/>
        <v>-</v>
      </c>
      <c r="R11" s="418" t="str">
        <f t="shared" si="1"/>
        <v>-</v>
      </c>
      <c r="S11" s="37"/>
      <c r="T11" s="82"/>
      <c r="U11" s="210" t="str">
        <f t="shared" ref="U11:V14" si="2">IF(AND(G11=0,J11&gt;0),100,IFERROR(ABS(P11-100),"-"))</f>
        <v>-</v>
      </c>
      <c r="V11" s="210" t="str">
        <f t="shared" si="2"/>
        <v>-</v>
      </c>
    </row>
    <row r="12" spans="1:22" ht="35.1" customHeight="1">
      <c r="A12" s="425">
        <v>3</v>
      </c>
      <c r="B12" s="756">
        <f>'مقادیر خدمات آزادراهی'!B12</f>
        <v>0</v>
      </c>
      <c r="C12" s="757">
        <f>'مقادیر خدمات آزادراهی'!C12</f>
        <v>0</v>
      </c>
      <c r="D12" s="217"/>
      <c r="E12" s="218"/>
      <c r="F12" s="750">
        <f>IFERROR(E12*D12/1000000,"")</f>
        <v>0</v>
      </c>
      <c r="G12" s="217"/>
      <c r="H12" s="218"/>
      <c r="I12" s="416">
        <f>IFERROR(H12*G12/1000000,"")</f>
        <v>0</v>
      </c>
      <c r="J12" s="217"/>
      <c r="K12" s="218"/>
      <c r="L12" s="416">
        <f>K12*J12/1000000</f>
        <v>0</v>
      </c>
      <c r="M12" s="406" t="str">
        <f>IFERROR((J12-D12)*100/D12,"-")</f>
        <v>-</v>
      </c>
      <c r="N12" s="417" t="str">
        <f t="shared" si="0"/>
        <v>-</v>
      </c>
      <c r="O12" s="418" t="str">
        <f t="shared" si="0"/>
        <v>-</v>
      </c>
      <c r="P12" s="406" t="str">
        <f>IFERROR(J12*100/G12,"-")</f>
        <v>-</v>
      </c>
      <c r="Q12" s="417" t="str">
        <f t="shared" si="1"/>
        <v>-</v>
      </c>
      <c r="R12" s="418" t="str">
        <f t="shared" si="1"/>
        <v>-</v>
      </c>
      <c r="S12" s="37"/>
      <c r="T12" s="82"/>
      <c r="U12" s="210" t="str">
        <f t="shared" si="2"/>
        <v>-</v>
      </c>
      <c r="V12" s="210" t="str">
        <f t="shared" si="2"/>
        <v>-</v>
      </c>
    </row>
    <row r="13" spans="1:22" ht="35.1" customHeight="1">
      <c r="A13" s="425">
        <v>4</v>
      </c>
      <c r="B13" s="756">
        <f>'مقادیر خدمات آزادراهی'!B13</f>
        <v>0</v>
      </c>
      <c r="C13" s="757">
        <f>'مقادیر خدمات آزادراهی'!C13</f>
        <v>0</v>
      </c>
      <c r="D13" s="217"/>
      <c r="E13" s="218"/>
      <c r="F13" s="750">
        <f>IFERROR(E13*D13/1000000,"")</f>
        <v>0</v>
      </c>
      <c r="G13" s="217"/>
      <c r="H13" s="218"/>
      <c r="I13" s="416">
        <f>IFERROR(H13*G13/1000000,"")</f>
        <v>0</v>
      </c>
      <c r="J13" s="217"/>
      <c r="K13" s="218"/>
      <c r="L13" s="416">
        <f>K13*J13/1000000</f>
        <v>0</v>
      </c>
      <c r="M13" s="406" t="str">
        <f>IFERROR((J13-D13)*100/D13,"-")</f>
        <v>-</v>
      </c>
      <c r="N13" s="417" t="str">
        <f t="shared" si="0"/>
        <v>-</v>
      </c>
      <c r="O13" s="418" t="str">
        <f t="shared" si="0"/>
        <v>-</v>
      </c>
      <c r="P13" s="406" t="str">
        <f>IFERROR(J13*100/G13,"-")</f>
        <v>-</v>
      </c>
      <c r="Q13" s="417" t="str">
        <f t="shared" si="1"/>
        <v>-</v>
      </c>
      <c r="R13" s="418" t="str">
        <f t="shared" si="1"/>
        <v>-</v>
      </c>
      <c r="S13" s="37"/>
      <c r="T13" s="82"/>
      <c r="U13" s="210" t="str">
        <f t="shared" si="2"/>
        <v>-</v>
      </c>
      <c r="V13" s="210" t="str">
        <f t="shared" si="2"/>
        <v>-</v>
      </c>
    </row>
    <row r="14" spans="1:22" ht="35.1" customHeight="1" thickBot="1">
      <c r="A14" s="425">
        <v>5</v>
      </c>
      <c r="B14" s="756">
        <f>'مقادیر خدمات آزادراهی'!B14</f>
        <v>0</v>
      </c>
      <c r="C14" s="757">
        <f>'مقادیر خدمات آزادراهی'!C14</f>
        <v>0</v>
      </c>
      <c r="D14" s="217"/>
      <c r="E14" s="218"/>
      <c r="F14" s="750">
        <f>IFERROR(E14*D14/1000000,"")</f>
        <v>0</v>
      </c>
      <c r="G14" s="217"/>
      <c r="H14" s="218"/>
      <c r="I14" s="416">
        <f>IFERROR(H14*G14/1000000,"")</f>
        <v>0</v>
      </c>
      <c r="J14" s="217"/>
      <c r="K14" s="218"/>
      <c r="L14" s="416">
        <f>K14*J14/1000000</f>
        <v>0</v>
      </c>
      <c r="M14" s="406" t="str">
        <f>IFERROR((J14-D14)*100/D14,"-")</f>
        <v>-</v>
      </c>
      <c r="N14" s="417" t="str">
        <f t="shared" si="0"/>
        <v>-</v>
      </c>
      <c r="O14" s="418" t="str">
        <f t="shared" si="0"/>
        <v>-</v>
      </c>
      <c r="P14" s="406" t="str">
        <f>IFERROR(J14*100/G14,"-")</f>
        <v>-</v>
      </c>
      <c r="Q14" s="417" t="str">
        <f t="shared" si="1"/>
        <v>-</v>
      </c>
      <c r="R14" s="418" t="str">
        <f t="shared" si="1"/>
        <v>-</v>
      </c>
      <c r="S14" s="37"/>
      <c r="T14" s="82"/>
      <c r="U14" s="210" t="str">
        <f t="shared" si="2"/>
        <v>-</v>
      </c>
      <c r="V14" s="210" t="str">
        <f t="shared" si="2"/>
        <v>-</v>
      </c>
    </row>
    <row r="15" spans="1:22" ht="35.1" customHeight="1" thickBot="1">
      <c r="A15" s="2749" t="s">
        <v>13</v>
      </c>
      <c r="B15" s="2750"/>
      <c r="C15" s="2751"/>
      <c r="D15" s="423"/>
      <c r="E15" s="423"/>
      <c r="F15" s="422">
        <f>SUM(F10:F14)</f>
        <v>0</v>
      </c>
      <c r="G15" s="423"/>
      <c r="H15" s="423"/>
      <c r="I15" s="422">
        <f>SUM(I10:I14)</f>
        <v>0</v>
      </c>
      <c r="J15" s="423"/>
      <c r="K15" s="423"/>
      <c r="L15" s="422">
        <f>SUM(L10:L14)</f>
        <v>0</v>
      </c>
      <c r="M15" s="427"/>
      <c r="N15" s="427"/>
      <c r="O15" s="428" t="str">
        <f>IFERROR((L15-F15)*100/F15,"-")</f>
        <v>-</v>
      </c>
      <c r="P15" s="427"/>
      <c r="Q15" s="427"/>
      <c r="R15" s="428" t="str">
        <f>IFERROR(L15*100/I15,"-")</f>
        <v>-</v>
      </c>
      <c r="S15" s="37"/>
      <c r="T15" s="82"/>
    </row>
    <row r="16" spans="1:22" ht="12.75" customHeight="1" thickTop="1">
      <c r="A16" s="746"/>
      <c r="B16" s="747"/>
      <c r="C16" s="747"/>
      <c r="D16" s="747"/>
      <c r="E16" s="747"/>
      <c r="F16" s="747"/>
      <c r="G16" s="747"/>
      <c r="H16" s="747"/>
      <c r="I16" s="747"/>
      <c r="J16" s="747"/>
      <c r="K16" s="747"/>
      <c r="L16" s="747"/>
      <c r="M16" s="747"/>
      <c r="N16" s="747"/>
      <c r="O16" s="747"/>
      <c r="P16" s="747"/>
      <c r="Q16" s="747"/>
      <c r="R16" s="747"/>
      <c r="S16" s="27"/>
      <c r="T16" s="748"/>
    </row>
    <row r="17" spans="1:14" ht="21">
      <c r="A17" s="8"/>
      <c r="B17" s="8"/>
      <c r="C17" s="9"/>
      <c r="E17" s="9"/>
      <c r="F17" s="9"/>
      <c r="G17" s="2752"/>
      <c r="H17" s="2752"/>
      <c r="I17" s="9"/>
      <c r="N17" s="720"/>
    </row>
  </sheetData>
  <mergeCells count="18">
    <mergeCell ref="A15:C15"/>
    <mergeCell ref="G17:H17"/>
    <mergeCell ref="D8:D9"/>
    <mergeCell ref="E8:E9"/>
    <mergeCell ref="F8:F9"/>
    <mergeCell ref="G8:I8"/>
    <mergeCell ref="A7:A9"/>
    <mergeCell ref="B7:B9"/>
    <mergeCell ref="C7:C9"/>
    <mergeCell ref="D7:F7"/>
    <mergeCell ref="G7:R7"/>
    <mergeCell ref="A1:F1"/>
    <mergeCell ref="A2:R2"/>
    <mergeCell ref="O5:P5"/>
    <mergeCell ref="Q5:R5"/>
    <mergeCell ref="P8:R8"/>
    <mergeCell ref="J8:L8"/>
    <mergeCell ref="M8:O8"/>
  </mergeCells>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8">
    <tabColor rgb="FF458B74"/>
    <pageSetUpPr fitToPage="1"/>
  </sheetPr>
  <dimension ref="A1:FT31"/>
  <sheetViews>
    <sheetView showGridLines="0" rightToLeft="1" tabSelected="1" topLeftCell="FC1" zoomScale="80" zoomScaleNormal="80" workbookViewId="0">
      <selection activeCell="EO28" sqref="EO28:FC28"/>
    </sheetView>
  </sheetViews>
  <sheetFormatPr defaultColWidth="9.140625" defaultRowHeight="21"/>
  <cols>
    <col min="1" max="1" width="7.5703125" style="2503" customWidth="1"/>
    <col min="2" max="2" width="28" style="2503" customWidth="1"/>
    <col min="3" max="15" width="18.5703125" style="2503" customWidth="1"/>
    <col min="16" max="16" width="9.140625" style="2503"/>
    <col min="17" max="17" width="6" style="2503" bestFit="1" customWidth="1"/>
    <col min="18" max="19" width="22.140625" style="2503" customWidth="1"/>
    <col min="20" max="31" width="18.5703125" style="2503" customWidth="1"/>
    <col min="32" max="32" width="9.140625" style="2503"/>
    <col min="33" max="33" width="6" style="2503" bestFit="1" customWidth="1"/>
    <col min="34" max="35" width="22.140625" style="2503" customWidth="1"/>
    <col min="36" max="47" width="18.5703125" style="2503" customWidth="1"/>
    <col min="48" max="48" width="9.140625" style="2503"/>
    <col min="49" max="49" width="6" style="2503" bestFit="1" customWidth="1"/>
    <col min="50" max="51" width="22.140625" style="2503" customWidth="1"/>
    <col min="52" max="63" width="18.5703125" style="2503" customWidth="1"/>
    <col min="64" max="64" width="9.140625" style="2503"/>
    <col min="65" max="65" width="6" style="2503" bestFit="1" customWidth="1"/>
    <col min="66" max="67" width="22.140625" style="2503" customWidth="1"/>
    <col min="68" max="79" width="18.5703125" style="2503" customWidth="1"/>
    <col min="80" max="80" width="9.140625" style="2503"/>
    <col min="81" max="81" width="6" style="2503" bestFit="1" customWidth="1"/>
    <col min="82" max="83" width="22.140625" style="2503" customWidth="1"/>
    <col min="84" max="95" width="18.5703125" style="2503" customWidth="1"/>
    <col min="96" max="96" width="9.140625" style="2503"/>
    <col min="97" max="97" width="6" style="2503" bestFit="1" customWidth="1"/>
    <col min="98" max="99" width="22.140625" style="2503" customWidth="1"/>
    <col min="100" max="111" width="18.5703125" style="2503" customWidth="1"/>
    <col min="112" max="112" width="9.140625" style="2503"/>
    <col min="113" max="113" width="6" style="2503" bestFit="1" customWidth="1"/>
    <col min="114" max="115" width="22.140625" style="2503" customWidth="1"/>
    <col min="116" max="127" width="18.5703125" style="2503" customWidth="1"/>
    <col min="128" max="128" width="9.140625" style="2503"/>
    <col min="129" max="129" width="6" style="2503" bestFit="1" customWidth="1"/>
    <col min="130" max="131" width="22.140625" style="2503" customWidth="1"/>
    <col min="132" max="143" width="18.5703125" style="2503" customWidth="1"/>
    <col min="144" max="144" width="9.140625" style="2503"/>
    <col min="145" max="145" width="6" style="2503" bestFit="1" customWidth="1"/>
    <col min="146" max="147" width="22.140625" style="2503" customWidth="1"/>
    <col min="148" max="159" width="18.5703125" style="2503" customWidth="1"/>
    <col min="160" max="160" width="9.140625" style="2503"/>
    <col min="161" max="161" width="6" style="2503" bestFit="1" customWidth="1"/>
    <col min="162" max="163" width="22.140625" style="2503" customWidth="1"/>
    <col min="164" max="175" width="18.5703125" style="2503" customWidth="1"/>
    <col min="176" max="16384" width="9.140625" style="2503"/>
  </cols>
  <sheetData>
    <row r="1" spans="1:176" s="48" customFormat="1" ht="24" customHeight="1">
      <c r="A1" s="2791" t="str">
        <f>صادرات!A1</f>
        <v>انبارهای عمومی و خدمات گمرکی ایران</v>
      </c>
      <c r="B1" s="2791"/>
      <c r="C1" s="2791"/>
      <c r="D1" s="2791"/>
      <c r="E1" s="2791"/>
      <c r="F1" s="2791"/>
      <c r="G1" s="2791"/>
      <c r="H1" s="2791"/>
      <c r="I1" s="2791"/>
      <c r="J1" s="2791"/>
      <c r="K1" s="2791"/>
      <c r="L1" s="2791"/>
      <c r="M1" s="2791"/>
      <c r="N1" s="2791"/>
      <c r="O1" s="2791"/>
      <c r="P1" s="2495"/>
      <c r="Q1" s="2495"/>
      <c r="R1" s="2495"/>
      <c r="S1" s="2495"/>
      <c r="T1" s="2495"/>
      <c r="U1" s="2599" t="str">
        <f>AF2</f>
        <v>شهید کاوه</v>
      </c>
      <c r="V1" s="2599"/>
      <c r="W1" s="2599" t="str">
        <f>U1</f>
        <v>شهید کاوه</v>
      </c>
      <c r="X1" s="2599"/>
      <c r="Y1" s="2599"/>
      <c r="Z1" s="2600" t="str">
        <f>W1</f>
        <v>شهید کاوه</v>
      </c>
      <c r="AG1" s="2495"/>
      <c r="AH1" s="2495"/>
      <c r="AI1" s="2495"/>
      <c r="AJ1" s="2495"/>
      <c r="AK1" s="2599" t="str">
        <f>AV2</f>
        <v>مطهری</v>
      </c>
      <c r="AL1" s="2599"/>
      <c r="AM1" s="2599" t="str">
        <f>AK1</f>
        <v>مطهری</v>
      </c>
      <c r="AN1" s="2599"/>
      <c r="AO1" s="2599"/>
      <c r="AP1" s="2600" t="str">
        <f>AM1</f>
        <v>مطهری</v>
      </c>
      <c r="AW1" s="2495"/>
      <c r="AX1" s="2495"/>
      <c r="AY1" s="2495"/>
      <c r="AZ1" s="2495"/>
      <c r="BA1" s="2599" t="str">
        <f>BL2</f>
        <v>سرخس</v>
      </c>
      <c r="BB1" s="2599"/>
      <c r="BC1" s="2599" t="str">
        <f>BA1</f>
        <v>سرخس</v>
      </c>
      <c r="BD1" s="2599"/>
      <c r="BE1" s="2599"/>
      <c r="BF1" s="2600" t="str">
        <f>BC1</f>
        <v>سرخس</v>
      </c>
      <c r="BM1" s="2495"/>
      <c r="BN1" s="2495"/>
      <c r="BO1" s="2495"/>
      <c r="BP1" s="2495"/>
      <c r="BQ1" s="2599" t="str">
        <f>CB2</f>
        <v>لطف آباد</v>
      </c>
      <c r="BR1" s="2599"/>
      <c r="BS1" s="2599" t="str">
        <f>BQ1</f>
        <v>لطف آباد</v>
      </c>
      <c r="BT1" s="2599"/>
      <c r="BU1" s="2599"/>
      <c r="BV1" s="2600" t="str">
        <f>BS1</f>
        <v>لطف آباد</v>
      </c>
      <c r="CC1" s="2495"/>
      <c r="CD1" s="2495"/>
      <c r="CE1" s="2495"/>
      <c r="CF1" s="2495"/>
      <c r="CG1" s="2599" t="str">
        <f>CR2</f>
        <v>نیشابور</v>
      </c>
      <c r="CH1" s="2599"/>
      <c r="CI1" s="2599" t="str">
        <f>CG1</f>
        <v>نیشابور</v>
      </c>
      <c r="CJ1" s="2599"/>
      <c r="CK1" s="2599"/>
      <c r="CL1" s="2600" t="str">
        <f>CI1</f>
        <v>نیشابور</v>
      </c>
      <c r="CS1" s="2495"/>
      <c r="CT1" s="2495"/>
      <c r="CU1" s="2495"/>
      <c r="CV1" s="2495"/>
      <c r="CW1" s="2599" t="str">
        <f>DH2</f>
        <v>ماهیرود</v>
      </c>
      <c r="CX1" s="2599"/>
      <c r="CY1" s="2599" t="str">
        <f>CW1</f>
        <v>ماهیرود</v>
      </c>
      <c r="CZ1" s="2599"/>
      <c r="DA1" s="2599"/>
      <c r="DB1" s="2600" t="str">
        <f>CY1</f>
        <v>ماهیرود</v>
      </c>
      <c r="DI1" s="2495"/>
      <c r="DJ1" s="2495"/>
      <c r="DK1" s="2495"/>
      <c r="DL1" s="2495"/>
      <c r="DM1" s="2599" t="str">
        <f>DX2</f>
        <v>دوغارون</v>
      </c>
      <c r="DN1" s="2599"/>
      <c r="DO1" s="2599" t="str">
        <f>DM1</f>
        <v>دوغارون</v>
      </c>
      <c r="DP1" s="2599"/>
      <c r="DQ1" s="2599"/>
      <c r="DR1" s="2600" t="str">
        <f>DO1</f>
        <v>دوغارون</v>
      </c>
      <c r="DY1" s="2495"/>
      <c r="DZ1" s="2495"/>
      <c r="EA1" s="2495"/>
      <c r="EB1" s="2495"/>
      <c r="EC1" s="2599" t="str">
        <f>EN2</f>
        <v>بجنورد</v>
      </c>
      <c r="ED1" s="2599"/>
      <c r="EE1" s="2599" t="str">
        <f>EC1</f>
        <v>بجنورد</v>
      </c>
      <c r="EF1" s="2599"/>
      <c r="EG1" s="2599"/>
      <c r="EH1" s="2600" t="str">
        <f>EE1</f>
        <v>بجنورد</v>
      </c>
      <c r="EO1" s="2495"/>
      <c r="EP1" s="2495"/>
      <c r="EQ1" s="2495"/>
      <c r="ER1" s="2495"/>
      <c r="ES1" s="2599" t="str">
        <f>FD2</f>
        <v>بیرجند</v>
      </c>
      <c r="ET1" s="2599"/>
      <c r="EU1" s="2599" t="str">
        <f>ES1</f>
        <v>بیرجند</v>
      </c>
      <c r="EV1" s="2599"/>
      <c r="EW1" s="2599"/>
      <c r="EX1" s="2600" t="str">
        <f>EU1</f>
        <v>بیرجند</v>
      </c>
      <c r="FE1" s="2495"/>
      <c r="FF1" s="2495"/>
      <c r="FG1" s="2495"/>
      <c r="FH1" s="2495"/>
      <c r="FI1" s="2599" t="str">
        <f>FT2</f>
        <v>باجگیران</v>
      </c>
      <c r="FJ1" s="2599"/>
      <c r="FK1" s="2599" t="str">
        <f>FI1</f>
        <v>باجگیران</v>
      </c>
      <c r="FL1" s="2599"/>
      <c r="FM1" s="2599"/>
      <c r="FN1" s="2600" t="str">
        <f>FK1</f>
        <v>باجگیران</v>
      </c>
    </row>
    <row r="2" spans="1:176" s="48" customFormat="1" ht="28.5" customHeight="1" thickBot="1">
      <c r="A2" s="2496" t="str">
        <f xml:space="preserve"> "جدول فروش خدمات در دوره " &amp; روکش!$F$9 &amp; " سال " &amp; روکش!$D$9&amp;"- مجتمع خراسان"</f>
        <v>جدول فروش خدمات در دوره شش ماهه سال 1405- مجتمع خراسان</v>
      </c>
      <c r="B2" s="2496"/>
      <c r="C2" s="2496"/>
      <c r="D2" s="2496"/>
      <c r="E2" s="2496"/>
      <c r="F2" s="2496"/>
      <c r="G2" s="2496"/>
      <c r="H2" s="2496"/>
      <c r="I2" s="2496"/>
      <c r="J2" s="2496"/>
      <c r="K2" s="2496"/>
      <c r="L2" s="2497"/>
      <c r="M2" s="2497"/>
      <c r="N2" s="2497"/>
      <c r="O2" s="2497"/>
      <c r="P2" s="2498"/>
      <c r="Q2" s="2830" t="str">
        <f xml:space="preserve"> "جدول فروش خدمات در دوره " &amp; روکش!$F$9 &amp; " سال " &amp; روکش!$D$9&amp;"- مجتمع خراسان/ شعبه "&amp;AF$2</f>
        <v>جدول فروش خدمات در دوره شش ماهه سال 1405- مجتمع خراسان/ شعبه شهید کاوه</v>
      </c>
      <c r="R2" s="2830"/>
      <c r="S2" s="2830"/>
      <c r="T2" s="2830"/>
      <c r="U2" s="2830"/>
      <c r="V2" s="2830"/>
      <c r="W2" s="2830"/>
      <c r="X2" s="2830"/>
      <c r="Y2" s="2830"/>
      <c r="Z2" s="2830"/>
      <c r="AA2" s="2830"/>
      <c r="AB2" s="2830"/>
      <c r="AC2" s="2830"/>
      <c r="AD2" s="2830"/>
      <c r="AE2" s="2830"/>
      <c r="AF2" s="2499" t="str">
        <f>واردات!$AA$42</f>
        <v>شهید کاوه</v>
      </c>
      <c r="AG2" s="2830" t="str">
        <f xml:space="preserve"> "جدول فروش خدمات در دوره " &amp; روکش!$F$9 &amp; " سال " &amp; روکش!$D$9&amp;"- مجتمع خراسان/ شعبه "&amp;AV$2</f>
        <v>جدول فروش خدمات در دوره شش ماهه سال 1405- مجتمع خراسان/ شعبه مطهری</v>
      </c>
      <c r="AH2" s="2830"/>
      <c r="AI2" s="2830"/>
      <c r="AJ2" s="2830"/>
      <c r="AK2" s="2830"/>
      <c r="AL2" s="2830"/>
      <c r="AM2" s="2830"/>
      <c r="AN2" s="2830"/>
      <c r="AO2" s="2830"/>
      <c r="AP2" s="2830"/>
      <c r="AQ2" s="2830"/>
      <c r="AR2" s="2830"/>
      <c r="AS2" s="2830"/>
      <c r="AT2" s="2830"/>
      <c r="AU2" s="2830"/>
      <c r="AV2" s="2499" t="str">
        <f>واردات!$AA$43</f>
        <v>مطهری</v>
      </c>
      <c r="AW2" s="2830" t="str">
        <f xml:space="preserve"> "جدول فروش خدمات در دوره " &amp; روکش!$F$9 &amp; " سال " &amp; روکش!$D$9&amp;"- مجتمع خراسان/ شعبه "&amp;BL$2</f>
        <v>جدول فروش خدمات در دوره شش ماهه سال 1405- مجتمع خراسان/ شعبه سرخس</v>
      </c>
      <c r="AX2" s="2830"/>
      <c r="AY2" s="2830"/>
      <c r="AZ2" s="2830"/>
      <c r="BA2" s="2830"/>
      <c r="BB2" s="2830"/>
      <c r="BC2" s="2830"/>
      <c r="BD2" s="2830"/>
      <c r="BE2" s="2830"/>
      <c r="BF2" s="2830"/>
      <c r="BG2" s="2830"/>
      <c r="BH2" s="2830"/>
      <c r="BI2" s="2830"/>
      <c r="BJ2" s="2830"/>
      <c r="BK2" s="2830"/>
      <c r="BL2" s="2499" t="str">
        <f>واردات!$AA$44</f>
        <v>سرخس</v>
      </c>
      <c r="BM2" s="2830" t="str">
        <f xml:space="preserve"> "جدول فروش خدمات در دوره " &amp; روکش!$F$9 &amp; " سال " &amp; روکش!$D$9&amp;"- مجتمع خراسان/ شعبه "&amp;CB$2</f>
        <v>جدول فروش خدمات در دوره شش ماهه سال 1405- مجتمع خراسان/ شعبه لطف آباد</v>
      </c>
      <c r="BN2" s="2830"/>
      <c r="BO2" s="2830"/>
      <c r="BP2" s="2830"/>
      <c r="BQ2" s="2830"/>
      <c r="BR2" s="2830"/>
      <c r="BS2" s="2830"/>
      <c r="BT2" s="2830"/>
      <c r="BU2" s="2830"/>
      <c r="BV2" s="2830"/>
      <c r="BW2" s="2830"/>
      <c r="BX2" s="2830"/>
      <c r="BY2" s="2830"/>
      <c r="BZ2" s="2830"/>
      <c r="CA2" s="2830"/>
      <c r="CB2" s="2499" t="str">
        <f>واردات!$AA$45</f>
        <v>لطف آباد</v>
      </c>
      <c r="CC2" s="2830" t="str">
        <f xml:space="preserve"> "جدول فروش خدمات در دوره " &amp; روکش!$F$9 &amp; " سال " &amp; روکش!$D$9&amp;"- مجتمع خراسان/ شعبه "&amp;CR$2</f>
        <v>جدول فروش خدمات در دوره شش ماهه سال 1405- مجتمع خراسان/ شعبه نیشابور</v>
      </c>
      <c r="CD2" s="2830"/>
      <c r="CE2" s="2830"/>
      <c r="CF2" s="2830"/>
      <c r="CG2" s="2830"/>
      <c r="CH2" s="2830"/>
      <c r="CI2" s="2830"/>
      <c r="CJ2" s="2830"/>
      <c r="CK2" s="2830"/>
      <c r="CL2" s="2830"/>
      <c r="CM2" s="2830"/>
      <c r="CN2" s="2830"/>
      <c r="CO2" s="2830"/>
      <c r="CP2" s="2830"/>
      <c r="CQ2" s="2830"/>
      <c r="CR2" s="2499" t="str">
        <f>واردات!$AA$46</f>
        <v>نیشابور</v>
      </c>
      <c r="CS2" s="2830" t="str">
        <f xml:space="preserve"> "جدول فروش خدمات در دوره " &amp; روکش!$F$9 &amp; " سال " &amp; روکش!$D$9&amp;"- مجتمع خراسان/ شعبه "&amp;DH$2</f>
        <v>جدول فروش خدمات در دوره شش ماهه سال 1405- مجتمع خراسان/ شعبه ماهیرود</v>
      </c>
      <c r="CT2" s="2830"/>
      <c r="CU2" s="2830"/>
      <c r="CV2" s="2830"/>
      <c r="CW2" s="2830"/>
      <c r="CX2" s="2830"/>
      <c r="CY2" s="2830"/>
      <c r="CZ2" s="2830"/>
      <c r="DA2" s="2830"/>
      <c r="DB2" s="2830"/>
      <c r="DC2" s="2830"/>
      <c r="DD2" s="2830"/>
      <c r="DE2" s="2830"/>
      <c r="DF2" s="2830"/>
      <c r="DG2" s="2830"/>
      <c r="DH2" s="2499" t="str">
        <f>واردات!$AA$47</f>
        <v>ماهیرود</v>
      </c>
      <c r="DI2" s="2830" t="str">
        <f xml:space="preserve"> "جدول فروش خدمات در دوره " &amp; روکش!$F$9 &amp; " سال " &amp; روکش!$D$9&amp;"- مجتمع خراسان/ شعبه "&amp;DX$2</f>
        <v>جدول فروش خدمات در دوره شش ماهه سال 1405- مجتمع خراسان/ شعبه دوغارون</v>
      </c>
      <c r="DJ2" s="2830"/>
      <c r="DK2" s="2830"/>
      <c r="DL2" s="2830"/>
      <c r="DM2" s="2830"/>
      <c r="DN2" s="2830"/>
      <c r="DO2" s="2830"/>
      <c r="DP2" s="2830"/>
      <c r="DQ2" s="2830"/>
      <c r="DR2" s="2830"/>
      <c r="DS2" s="2830"/>
      <c r="DT2" s="2830"/>
      <c r="DU2" s="2830"/>
      <c r="DV2" s="2830"/>
      <c r="DW2" s="2830"/>
      <c r="DX2" s="2499" t="str">
        <f>واردات!$AA$48</f>
        <v>دوغارون</v>
      </c>
      <c r="DY2" s="2830" t="str">
        <f xml:space="preserve"> "جدول فروش خدمات در دوره " &amp; روکش!$F$9 &amp; " سال " &amp; روکش!$D$9&amp;"- مجتمع خراسان/ شعبه "&amp;EN$2</f>
        <v>جدول فروش خدمات در دوره شش ماهه سال 1405- مجتمع خراسان/ شعبه بجنورد</v>
      </c>
      <c r="DZ2" s="2830"/>
      <c r="EA2" s="2830"/>
      <c r="EB2" s="2830"/>
      <c r="EC2" s="2830"/>
      <c r="ED2" s="2830"/>
      <c r="EE2" s="2830"/>
      <c r="EF2" s="2830"/>
      <c r="EG2" s="2830"/>
      <c r="EH2" s="2830"/>
      <c r="EI2" s="2830"/>
      <c r="EJ2" s="2830"/>
      <c r="EK2" s="2830"/>
      <c r="EL2" s="2830"/>
      <c r="EM2" s="2830"/>
      <c r="EN2" s="2499" t="str">
        <f>واردات!$AA$49</f>
        <v>بجنورد</v>
      </c>
      <c r="EO2" s="2830" t="str">
        <f xml:space="preserve"> "جدول فروش خدمات در دوره " &amp; روکش!$F$9 &amp; " سال " &amp; روکش!$D$9&amp;"- مجتمع خراسان/ شعبه "&amp;FD$2</f>
        <v>جدول فروش خدمات در دوره شش ماهه سال 1405- مجتمع خراسان/ شعبه بیرجند</v>
      </c>
      <c r="EP2" s="2830"/>
      <c r="EQ2" s="2830"/>
      <c r="ER2" s="2830"/>
      <c r="ES2" s="2830"/>
      <c r="ET2" s="2830"/>
      <c r="EU2" s="2830"/>
      <c r="EV2" s="2830"/>
      <c r="EW2" s="2830"/>
      <c r="EX2" s="2830"/>
      <c r="EY2" s="2830"/>
      <c r="EZ2" s="2830"/>
      <c r="FA2" s="2830"/>
      <c r="FB2" s="2830"/>
      <c r="FC2" s="2830"/>
      <c r="FD2" s="2499" t="str">
        <f>واردات!$AA$50</f>
        <v>بیرجند</v>
      </c>
      <c r="FE2" s="2830" t="str">
        <f xml:space="preserve"> "جدول فروش خدمات در دوره " &amp; روکش!$F$9 &amp; " سال " &amp; روکش!$D$9&amp;"- مجتمع خراسان/ شعبه "&amp;FT$2</f>
        <v>جدول فروش خدمات در دوره شش ماهه سال 1405- مجتمع خراسان/ شعبه باجگیران</v>
      </c>
      <c r="FF2" s="2830"/>
      <c r="FG2" s="2830"/>
      <c r="FH2" s="2830"/>
      <c r="FI2" s="2830"/>
      <c r="FJ2" s="2830"/>
      <c r="FK2" s="2830"/>
      <c r="FL2" s="2830"/>
      <c r="FM2" s="2830"/>
      <c r="FN2" s="2830"/>
      <c r="FO2" s="2830"/>
      <c r="FP2" s="2830"/>
      <c r="FQ2" s="2830"/>
      <c r="FR2" s="2830"/>
      <c r="FS2" s="2830"/>
      <c r="FT2" s="2499" t="str">
        <f>واردات!$AA$51</f>
        <v>باجگیران</v>
      </c>
    </row>
    <row r="3" spans="1:176" ht="63" customHeight="1">
      <c r="A3" s="2792" t="s">
        <v>466</v>
      </c>
      <c r="B3" s="2794" t="s">
        <v>467</v>
      </c>
      <c r="C3" s="2796" t="s">
        <v>16</v>
      </c>
      <c r="D3" s="2500" t="s">
        <v>193</v>
      </c>
      <c r="E3" s="2501"/>
      <c r="F3" s="2500" t="s">
        <v>677</v>
      </c>
      <c r="G3" s="2501"/>
      <c r="H3" s="2502" t="s">
        <v>678</v>
      </c>
      <c r="I3" s="2500"/>
      <c r="J3" s="2500"/>
      <c r="K3" s="2501"/>
      <c r="L3" s="2500" t="s">
        <v>493</v>
      </c>
      <c r="M3" s="2501"/>
      <c r="N3" s="2500" t="s">
        <v>494</v>
      </c>
      <c r="O3" s="2501"/>
      <c r="Q3" s="2792" t="str">
        <f>$A$3</f>
        <v>بخش</v>
      </c>
      <c r="R3" s="2794" t="str">
        <f>$B$3</f>
        <v xml:space="preserve">شرح خدمات  </v>
      </c>
      <c r="S3" s="2796" t="str">
        <f>$C$3</f>
        <v xml:space="preserve">واحد سنجش </v>
      </c>
      <c r="T3" s="2500" t="str">
        <f>$D$3</f>
        <v>عملکرد سال قبل</v>
      </c>
      <c r="U3" s="2501"/>
      <c r="V3" s="2500" t="str">
        <f>$F$3</f>
        <v>بودجه دوره رسیدگی سال جاری</v>
      </c>
      <c r="W3" s="2501"/>
      <c r="X3" s="2502" t="str">
        <f>$H$3</f>
        <v>عملکرد دوره رسیدگی سال جاری</v>
      </c>
      <c r="Y3" s="2500"/>
      <c r="Z3" s="2500"/>
      <c r="AA3" s="2501"/>
      <c r="AB3" s="2500" t="str">
        <f>$L$3</f>
        <v>تغییرات مقداری سال جاری و سال قبل</v>
      </c>
      <c r="AC3" s="2501"/>
      <c r="AD3" s="2500" t="str">
        <f>$N$3</f>
        <v>تغییرات درصدی سال جاری و سال قبل</v>
      </c>
      <c r="AE3" s="2501"/>
      <c r="AG3" s="2792" t="str">
        <f>$A$3</f>
        <v>بخش</v>
      </c>
      <c r="AH3" s="2794" t="str">
        <f>$B$3</f>
        <v xml:space="preserve">شرح خدمات  </v>
      </c>
      <c r="AI3" s="2796" t="str">
        <f>$C$3</f>
        <v xml:space="preserve">واحد سنجش </v>
      </c>
      <c r="AJ3" s="2500" t="str">
        <f>$D$3</f>
        <v>عملکرد سال قبل</v>
      </c>
      <c r="AK3" s="2501"/>
      <c r="AL3" s="2500" t="str">
        <f>$F$3</f>
        <v>بودجه دوره رسیدگی سال جاری</v>
      </c>
      <c r="AM3" s="2501"/>
      <c r="AN3" s="2502" t="str">
        <f>$H$3</f>
        <v>عملکرد دوره رسیدگی سال جاری</v>
      </c>
      <c r="AO3" s="2500"/>
      <c r="AP3" s="2500"/>
      <c r="AQ3" s="2501"/>
      <c r="AR3" s="2500" t="str">
        <f>$L$3</f>
        <v>تغییرات مقداری سال جاری و سال قبل</v>
      </c>
      <c r="AS3" s="2501"/>
      <c r="AT3" s="2500" t="str">
        <f>$N$3</f>
        <v>تغییرات درصدی سال جاری و سال قبل</v>
      </c>
      <c r="AU3" s="2501"/>
      <c r="AW3" s="2792" t="str">
        <f>$A$3</f>
        <v>بخش</v>
      </c>
      <c r="AX3" s="2794" t="str">
        <f>$B$3</f>
        <v xml:space="preserve">شرح خدمات  </v>
      </c>
      <c r="AY3" s="2796" t="str">
        <f>$C$3</f>
        <v xml:space="preserve">واحد سنجش </v>
      </c>
      <c r="AZ3" s="2500" t="str">
        <f>$D$3</f>
        <v>عملکرد سال قبل</v>
      </c>
      <c r="BA3" s="2501"/>
      <c r="BB3" s="2500" t="str">
        <f>$F$3</f>
        <v>بودجه دوره رسیدگی سال جاری</v>
      </c>
      <c r="BC3" s="2501"/>
      <c r="BD3" s="2502" t="str">
        <f>$H$3</f>
        <v>عملکرد دوره رسیدگی سال جاری</v>
      </c>
      <c r="BE3" s="2500"/>
      <c r="BF3" s="2500"/>
      <c r="BG3" s="2501"/>
      <c r="BH3" s="2500" t="str">
        <f>$L$3</f>
        <v>تغییرات مقداری سال جاری و سال قبل</v>
      </c>
      <c r="BI3" s="2501"/>
      <c r="BJ3" s="2500" t="str">
        <f>$N$3</f>
        <v>تغییرات درصدی سال جاری و سال قبل</v>
      </c>
      <c r="BK3" s="2501"/>
      <c r="BM3" s="2792" t="str">
        <f>$A$3</f>
        <v>بخش</v>
      </c>
      <c r="BN3" s="2794" t="str">
        <f>$B$3</f>
        <v xml:space="preserve">شرح خدمات  </v>
      </c>
      <c r="BO3" s="2796" t="str">
        <f>$C$3</f>
        <v xml:space="preserve">واحد سنجش </v>
      </c>
      <c r="BP3" s="2500" t="str">
        <f>$D$3</f>
        <v>عملکرد سال قبل</v>
      </c>
      <c r="BQ3" s="2501"/>
      <c r="BR3" s="2500" t="str">
        <f>$F$3</f>
        <v>بودجه دوره رسیدگی سال جاری</v>
      </c>
      <c r="BS3" s="2501"/>
      <c r="BT3" s="2502" t="str">
        <f>$H$3</f>
        <v>عملکرد دوره رسیدگی سال جاری</v>
      </c>
      <c r="BU3" s="2500"/>
      <c r="BV3" s="2500"/>
      <c r="BW3" s="2501"/>
      <c r="BX3" s="2500" t="str">
        <f>$L$3</f>
        <v>تغییرات مقداری سال جاری و سال قبل</v>
      </c>
      <c r="BY3" s="2501"/>
      <c r="BZ3" s="2500" t="str">
        <f>$N$3</f>
        <v>تغییرات درصدی سال جاری و سال قبل</v>
      </c>
      <c r="CA3" s="2501"/>
      <c r="CC3" s="2792" t="str">
        <f>$A$3</f>
        <v>بخش</v>
      </c>
      <c r="CD3" s="2794" t="str">
        <f>$B$3</f>
        <v xml:space="preserve">شرح خدمات  </v>
      </c>
      <c r="CE3" s="2796" t="str">
        <f>$C$3</f>
        <v xml:space="preserve">واحد سنجش </v>
      </c>
      <c r="CF3" s="2500" t="str">
        <f>$D$3</f>
        <v>عملکرد سال قبل</v>
      </c>
      <c r="CG3" s="2501"/>
      <c r="CH3" s="2500" t="str">
        <f>$F$3</f>
        <v>بودجه دوره رسیدگی سال جاری</v>
      </c>
      <c r="CI3" s="2501"/>
      <c r="CJ3" s="2502" t="str">
        <f>$H$3</f>
        <v>عملکرد دوره رسیدگی سال جاری</v>
      </c>
      <c r="CK3" s="2500"/>
      <c r="CL3" s="2500"/>
      <c r="CM3" s="2501"/>
      <c r="CN3" s="2500" t="str">
        <f>$L$3</f>
        <v>تغییرات مقداری سال جاری و سال قبل</v>
      </c>
      <c r="CO3" s="2501"/>
      <c r="CP3" s="2500" t="str">
        <f>$N$3</f>
        <v>تغییرات درصدی سال جاری و سال قبل</v>
      </c>
      <c r="CQ3" s="2501"/>
      <c r="CS3" s="2792" t="str">
        <f>$A$3</f>
        <v>بخش</v>
      </c>
      <c r="CT3" s="2794" t="str">
        <f>$B$3</f>
        <v xml:space="preserve">شرح خدمات  </v>
      </c>
      <c r="CU3" s="2796" t="str">
        <f>$C$3</f>
        <v xml:space="preserve">واحد سنجش </v>
      </c>
      <c r="CV3" s="2500" t="str">
        <f>$D$3</f>
        <v>عملکرد سال قبل</v>
      </c>
      <c r="CW3" s="2501"/>
      <c r="CX3" s="2500" t="str">
        <f>$F$3</f>
        <v>بودجه دوره رسیدگی سال جاری</v>
      </c>
      <c r="CY3" s="2501"/>
      <c r="CZ3" s="2502" t="str">
        <f>$H$3</f>
        <v>عملکرد دوره رسیدگی سال جاری</v>
      </c>
      <c r="DA3" s="2500"/>
      <c r="DB3" s="2500"/>
      <c r="DC3" s="2501"/>
      <c r="DD3" s="2500" t="str">
        <f>$L$3</f>
        <v>تغییرات مقداری سال جاری و سال قبل</v>
      </c>
      <c r="DE3" s="2501"/>
      <c r="DF3" s="2500" t="str">
        <f>$N$3</f>
        <v>تغییرات درصدی سال جاری و سال قبل</v>
      </c>
      <c r="DG3" s="2501"/>
      <c r="DI3" s="2792" t="str">
        <f>$A$3</f>
        <v>بخش</v>
      </c>
      <c r="DJ3" s="2794" t="str">
        <f>$B$3</f>
        <v xml:space="preserve">شرح خدمات  </v>
      </c>
      <c r="DK3" s="2796" t="str">
        <f>$C$3</f>
        <v xml:space="preserve">واحد سنجش </v>
      </c>
      <c r="DL3" s="2500" t="str">
        <f>$D$3</f>
        <v>عملکرد سال قبل</v>
      </c>
      <c r="DM3" s="2501"/>
      <c r="DN3" s="2500" t="str">
        <f>$F$3</f>
        <v>بودجه دوره رسیدگی سال جاری</v>
      </c>
      <c r="DO3" s="2501"/>
      <c r="DP3" s="2502" t="str">
        <f>$H$3</f>
        <v>عملکرد دوره رسیدگی سال جاری</v>
      </c>
      <c r="DQ3" s="2500"/>
      <c r="DR3" s="2500"/>
      <c r="DS3" s="2501"/>
      <c r="DT3" s="2500" t="str">
        <f>$L$3</f>
        <v>تغییرات مقداری سال جاری و سال قبل</v>
      </c>
      <c r="DU3" s="2501"/>
      <c r="DV3" s="2500" t="str">
        <f>$N$3</f>
        <v>تغییرات درصدی سال جاری و سال قبل</v>
      </c>
      <c r="DW3" s="2501"/>
      <c r="DY3" s="2792" t="str">
        <f>$A$3</f>
        <v>بخش</v>
      </c>
      <c r="DZ3" s="2794" t="str">
        <f>$B$3</f>
        <v xml:space="preserve">شرح خدمات  </v>
      </c>
      <c r="EA3" s="2796" t="str">
        <f>$C$3</f>
        <v xml:space="preserve">واحد سنجش </v>
      </c>
      <c r="EB3" s="2500" t="str">
        <f>$D$3</f>
        <v>عملکرد سال قبل</v>
      </c>
      <c r="EC3" s="2501"/>
      <c r="ED3" s="2500" t="str">
        <f>$F$3</f>
        <v>بودجه دوره رسیدگی سال جاری</v>
      </c>
      <c r="EE3" s="2501"/>
      <c r="EF3" s="2502" t="str">
        <f>$H$3</f>
        <v>عملکرد دوره رسیدگی سال جاری</v>
      </c>
      <c r="EG3" s="2500"/>
      <c r="EH3" s="2500"/>
      <c r="EI3" s="2501"/>
      <c r="EJ3" s="2500" t="str">
        <f>$L$3</f>
        <v>تغییرات مقداری سال جاری و سال قبل</v>
      </c>
      <c r="EK3" s="2501"/>
      <c r="EL3" s="2500" t="str">
        <f>$N$3</f>
        <v>تغییرات درصدی سال جاری و سال قبل</v>
      </c>
      <c r="EM3" s="2501"/>
      <c r="EO3" s="2792" t="str">
        <f>$A$3</f>
        <v>بخش</v>
      </c>
      <c r="EP3" s="2794" t="str">
        <f>$B$3</f>
        <v xml:space="preserve">شرح خدمات  </v>
      </c>
      <c r="EQ3" s="2796" t="str">
        <f>$C$3</f>
        <v xml:space="preserve">واحد سنجش </v>
      </c>
      <c r="ER3" s="2500" t="str">
        <f>$D$3</f>
        <v>عملکرد سال قبل</v>
      </c>
      <c r="ES3" s="2501"/>
      <c r="ET3" s="2500" t="str">
        <f>$F$3</f>
        <v>بودجه دوره رسیدگی سال جاری</v>
      </c>
      <c r="EU3" s="2501"/>
      <c r="EV3" s="2502" t="str">
        <f>$H$3</f>
        <v>عملکرد دوره رسیدگی سال جاری</v>
      </c>
      <c r="EW3" s="2500"/>
      <c r="EX3" s="2500"/>
      <c r="EY3" s="2501"/>
      <c r="EZ3" s="2500" t="str">
        <f>$L$3</f>
        <v>تغییرات مقداری سال جاری و سال قبل</v>
      </c>
      <c r="FA3" s="2501"/>
      <c r="FB3" s="2500" t="str">
        <f>$N$3</f>
        <v>تغییرات درصدی سال جاری و سال قبل</v>
      </c>
      <c r="FC3" s="2501"/>
      <c r="FE3" s="2792" t="str">
        <f>$A$3</f>
        <v>بخش</v>
      </c>
      <c r="FF3" s="2794" t="str">
        <f>$B$3</f>
        <v xml:space="preserve">شرح خدمات  </v>
      </c>
      <c r="FG3" s="2796" t="str">
        <f>$C$3</f>
        <v xml:space="preserve">واحد سنجش </v>
      </c>
      <c r="FH3" s="2500" t="str">
        <f>$D$3</f>
        <v>عملکرد سال قبل</v>
      </c>
      <c r="FI3" s="2501"/>
      <c r="FJ3" s="2500" t="str">
        <f>$F$3</f>
        <v>بودجه دوره رسیدگی سال جاری</v>
      </c>
      <c r="FK3" s="2501"/>
      <c r="FL3" s="2502" t="str">
        <f>$H$3</f>
        <v>عملکرد دوره رسیدگی سال جاری</v>
      </c>
      <c r="FM3" s="2500"/>
      <c r="FN3" s="2500"/>
      <c r="FO3" s="2501"/>
      <c r="FP3" s="2500" t="str">
        <f>$L$3</f>
        <v>تغییرات مقداری سال جاری و سال قبل</v>
      </c>
      <c r="FQ3" s="2501"/>
      <c r="FR3" s="2500" t="str">
        <f>$N$3</f>
        <v>تغییرات درصدی سال جاری و سال قبل</v>
      </c>
      <c r="FS3" s="2501"/>
    </row>
    <row r="4" spans="1:176" ht="108" customHeight="1" thickBot="1">
      <c r="A4" s="2793"/>
      <c r="B4" s="2795"/>
      <c r="C4" s="2797"/>
      <c r="D4" s="2504" t="s">
        <v>468</v>
      </c>
      <c r="E4" s="2505" t="s">
        <v>469</v>
      </c>
      <c r="F4" s="2504" t="s">
        <v>470</v>
      </c>
      <c r="G4" s="2505" t="s">
        <v>469</v>
      </c>
      <c r="H4" s="2504" t="s">
        <v>468</v>
      </c>
      <c r="I4" s="2506" t="s">
        <v>471</v>
      </c>
      <c r="J4" s="2506" t="s">
        <v>469</v>
      </c>
      <c r="K4" s="2507" t="s">
        <v>472</v>
      </c>
      <c r="L4" s="2504" t="s">
        <v>468</v>
      </c>
      <c r="M4" s="2505" t="s">
        <v>469</v>
      </c>
      <c r="N4" s="2504" t="s">
        <v>468</v>
      </c>
      <c r="O4" s="2505" t="s">
        <v>469</v>
      </c>
      <c r="Q4" s="2793"/>
      <c r="R4" s="2795"/>
      <c r="S4" s="2797"/>
      <c r="T4" s="2504" t="str">
        <f>$D$4</f>
        <v>عملکرد عملیاتی</v>
      </c>
      <c r="U4" s="2505" t="str">
        <f>$E$4</f>
        <v>ارزش ریالی ارائه خدمات
(میلیون ریال)</v>
      </c>
      <c r="V4" s="2504" t="str">
        <f>$F$4</f>
        <v>بودجه عملیاتی</v>
      </c>
      <c r="W4" s="2505" t="str">
        <f>$G$4</f>
        <v>ارزش ریالی ارائه خدمات
(میلیون ریال)</v>
      </c>
      <c r="X4" s="2504" t="str">
        <f>$H$4</f>
        <v>عملکرد عملیاتی</v>
      </c>
      <c r="Y4" s="2506" t="str">
        <f>$I$4</f>
        <v>درصد تحقق بودجه
(عملیاتی)</v>
      </c>
      <c r="Z4" s="2506" t="str">
        <f>$J$4</f>
        <v>ارزش ریالی ارائه خدمات
(میلیون ریال)</v>
      </c>
      <c r="AA4" s="2507" t="str">
        <f>$K$4</f>
        <v>درصد تحقق بودجه
(ریالی)</v>
      </c>
      <c r="AB4" s="2504" t="str">
        <f>$L$4</f>
        <v>عملکرد عملیاتی</v>
      </c>
      <c r="AC4" s="2505" t="str">
        <f>$M$4</f>
        <v>ارزش ریالی ارائه خدمات
(میلیون ریال)</v>
      </c>
      <c r="AD4" s="2504" t="str">
        <f>$N$4</f>
        <v>عملکرد عملیاتی</v>
      </c>
      <c r="AE4" s="2505" t="str">
        <f>$O$4</f>
        <v>ارزش ریالی ارائه خدمات
(میلیون ریال)</v>
      </c>
      <c r="AG4" s="2793"/>
      <c r="AH4" s="2795"/>
      <c r="AI4" s="2797"/>
      <c r="AJ4" s="2504" t="str">
        <f>$D$4</f>
        <v>عملکرد عملیاتی</v>
      </c>
      <c r="AK4" s="2505" t="str">
        <f>$E$4</f>
        <v>ارزش ریالی ارائه خدمات
(میلیون ریال)</v>
      </c>
      <c r="AL4" s="2504" t="str">
        <f>$F$4</f>
        <v>بودجه عملیاتی</v>
      </c>
      <c r="AM4" s="2505" t="str">
        <f>$G$4</f>
        <v>ارزش ریالی ارائه خدمات
(میلیون ریال)</v>
      </c>
      <c r="AN4" s="2504" t="str">
        <f>$H$4</f>
        <v>عملکرد عملیاتی</v>
      </c>
      <c r="AO4" s="2506" t="str">
        <f>$I$4</f>
        <v>درصد تحقق بودجه
(عملیاتی)</v>
      </c>
      <c r="AP4" s="2506" t="str">
        <f>$J$4</f>
        <v>ارزش ریالی ارائه خدمات
(میلیون ریال)</v>
      </c>
      <c r="AQ4" s="2507" t="str">
        <f>$K$4</f>
        <v>درصد تحقق بودجه
(ریالی)</v>
      </c>
      <c r="AR4" s="2504" t="str">
        <f>$L$4</f>
        <v>عملکرد عملیاتی</v>
      </c>
      <c r="AS4" s="2505" t="str">
        <f>$M$4</f>
        <v>ارزش ریالی ارائه خدمات
(میلیون ریال)</v>
      </c>
      <c r="AT4" s="2504" t="str">
        <f>$N$4</f>
        <v>عملکرد عملیاتی</v>
      </c>
      <c r="AU4" s="2505" t="str">
        <f>$O$4</f>
        <v>ارزش ریالی ارائه خدمات
(میلیون ریال)</v>
      </c>
      <c r="AW4" s="2793"/>
      <c r="AX4" s="2795"/>
      <c r="AY4" s="2797"/>
      <c r="AZ4" s="2504" t="str">
        <f>$D$4</f>
        <v>عملکرد عملیاتی</v>
      </c>
      <c r="BA4" s="2505" t="str">
        <f>$E$4</f>
        <v>ارزش ریالی ارائه خدمات
(میلیون ریال)</v>
      </c>
      <c r="BB4" s="2504" t="str">
        <f>$F$4</f>
        <v>بودجه عملیاتی</v>
      </c>
      <c r="BC4" s="2505" t="str">
        <f>$G$4</f>
        <v>ارزش ریالی ارائه خدمات
(میلیون ریال)</v>
      </c>
      <c r="BD4" s="2504" t="str">
        <f>$H$4</f>
        <v>عملکرد عملیاتی</v>
      </c>
      <c r="BE4" s="2506" t="str">
        <f>$I$4</f>
        <v>درصد تحقق بودجه
(عملیاتی)</v>
      </c>
      <c r="BF4" s="2506" t="str">
        <f>$J$4</f>
        <v>ارزش ریالی ارائه خدمات
(میلیون ریال)</v>
      </c>
      <c r="BG4" s="2507" t="str">
        <f>$K$4</f>
        <v>درصد تحقق بودجه
(ریالی)</v>
      </c>
      <c r="BH4" s="2504" t="str">
        <f>$L$4</f>
        <v>عملکرد عملیاتی</v>
      </c>
      <c r="BI4" s="2505" t="str">
        <f>$M$4</f>
        <v>ارزش ریالی ارائه خدمات
(میلیون ریال)</v>
      </c>
      <c r="BJ4" s="2504" t="str">
        <f>$N$4</f>
        <v>عملکرد عملیاتی</v>
      </c>
      <c r="BK4" s="2505" t="str">
        <f>$O$4</f>
        <v>ارزش ریالی ارائه خدمات
(میلیون ریال)</v>
      </c>
      <c r="BM4" s="2793"/>
      <c r="BN4" s="2795"/>
      <c r="BO4" s="2797"/>
      <c r="BP4" s="2504" t="str">
        <f>$D$4</f>
        <v>عملکرد عملیاتی</v>
      </c>
      <c r="BQ4" s="2505" t="str">
        <f>$E$4</f>
        <v>ارزش ریالی ارائه خدمات
(میلیون ریال)</v>
      </c>
      <c r="BR4" s="2504" t="str">
        <f>$F$4</f>
        <v>بودجه عملیاتی</v>
      </c>
      <c r="BS4" s="2505" t="str">
        <f>$G$4</f>
        <v>ارزش ریالی ارائه خدمات
(میلیون ریال)</v>
      </c>
      <c r="BT4" s="2504" t="str">
        <f>$H$4</f>
        <v>عملکرد عملیاتی</v>
      </c>
      <c r="BU4" s="2506" t="str">
        <f>$I$4</f>
        <v>درصد تحقق بودجه
(عملیاتی)</v>
      </c>
      <c r="BV4" s="2506" t="str">
        <f>$J$4</f>
        <v>ارزش ریالی ارائه خدمات
(میلیون ریال)</v>
      </c>
      <c r="BW4" s="2507" t="str">
        <f>$K$4</f>
        <v>درصد تحقق بودجه
(ریالی)</v>
      </c>
      <c r="BX4" s="2504" t="str">
        <f>$L$4</f>
        <v>عملکرد عملیاتی</v>
      </c>
      <c r="BY4" s="2505" t="str">
        <f>$M$4</f>
        <v>ارزش ریالی ارائه خدمات
(میلیون ریال)</v>
      </c>
      <c r="BZ4" s="2504" t="str">
        <f>$N$4</f>
        <v>عملکرد عملیاتی</v>
      </c>
      <c r="CA4" s="2505" t="str">
        <f>$O$4</f>
        <v>ارزش ریالی ارائه خدمات
(میلیون ریال)</v>
      </c>
      <c r="CC4" s="2793"/>
      <c r="CD4" s="2795"/>
      <c r="CE4" s="2797"/>
      <c r="CF4" s="2504" t="str">
        <f>$D$4</f>
        <v>عملکرد عملیاتی</v>
      </c>
      <c r="CG4" s="2505" t="str">
        <f>$E$4</f>
        <v>ارزش ریالی ارائه خدمات
(میلیون ریال)</v>
      </c>
      <c r="CH4" s="2504" t="str">
        <f>$F$4</f>
        <v>بودجه عملیاتی</v>
      </c>
      <c r="CI4" s="2505" t="str">
        <f>$G$4</f>
        <v>ارزش ریالی ارائه خدمات
(میلیون ریال)</v>
      </c>
      <c r="CJ4" s="2504" t="str">
        <f>$H$4</f>
        <v>عملکرد عملیاتی</v>
      </c>
      <c r="CK4" s="2506" t="str">
        <f>$I$4</f>
        <v>درصد تحقق بودجه
(عملیاتی)</v>
      </c>
      <c r="CL4" s="2506" t="str">
        <f>$J$4</f>
        <v>ارزش ریالی ارائه خدمات
(میلیون ریال)</v>
      </c>
      <c r="CM4" s="2507" t="str">
        <f>$K$4</f>
        <v>درصد تحقق بودجه
(ریالی)</v>
      </c>
      <c r="CN4" s="2504" t="str">
        <f>$L$4</f>
        <v>عملکرد عملیاتی</v>
      </c>
      <c r="CO4" s="2505" t="str">
        <f>$M$4</f>
        <v>ارزش ریالی ارائه خدمات
(میلیون ریال)</v>
      </c>
      <c r="CP4" s="2504" t="str">
        <f>$N$4</f>
        <v>عملکرد عملیاتی</v>
      </c>
      <c r="CQ4" s="2505" t="str">
        <f>$O$4</f>
        <v>ارزش ریالی ارائه خدمات
(میلیون ریال)</v>
      </c>
      <c r="CS4" s="2793"/>
      <c r="CT4" s="2795"/>
      <c r="CU4" s="2797"/>
      <c r="CV4" s="2504" t="str">
        <f>$D$4</f>
        <v>عملکرد عملیاتی</v>
      </c>
      <c r="CW4" s="2505" t="str">
        <f>$E$4</f>
        <v>ارزش ریالی ارائه خدمات
(میلیون ریال)</v>
      </c>
      <c r="CX4" s="2504" t="str">
        <f>$F$4</f>
        <v>بودجه عملیاتی</v>
      </c>
      <c r="CY4" s="2505" t="str">
        <f>$G$4</f>
        <v>ارزش ریالی ارائه خدمات
(میلیون ریال)</v>
      </c>
      <c r="CZ4" s="2504" t="str">
        <f>$H$4</f>
        <v>عملکرد عملیاتی</v>
      </c>
      <c r="DA4" s="2506" t="str">
        <f>$I$4</f>
        <v>درصد تحقق بودجه
(عملیاتی)</v>
      </c>
      <c r="DB4" s="2506" t="str">
        <f>$J$4</f>
        <v>ارزش ریالی ارائه خدمات
(میلیون ریال)</v>
      </c>
      <c r="DC4" s="2507" t="str">
        <f>$K$4</f>
        <v>درصد تحقق بودجه
(ریالی)</v>
      </c>
      <c r="DD4" s="2504" t="str">
        <f>$L$4</f>
        <v>عملکرد عملیاتی</v>
      </c>
      <c r="DE4" s="2505" t="str">
        <f>$M$4</f>
        <v>ارزش ریالی ارائه خدمات
(میلیون ریال)</v>
      </c>
      <c r="DF4" s="2504" t="str">
        <f>$N$4</f>
        <v>عملکرد عملیاتی</v>
      </c>
      <c r="DG4" s="2505" t="str">
        <f>$O$4</f>
        <v>ارزش ریالی ارائه خدمات
(میلیون ریال)</v>
      </c>
      <c r="DI4" s="2793"/>
      <c r="DJ4" s="2795"/>
      <c r="DK4" s="2797"/>
      <c r="DL4" s="2504" t="str">
        <f>$D$4</f>
        <v>عملکرد عملیاتی</v>
      </c>
      <c r="DM4" s="2505" t="str">
        <f>$E$4</f>
        <v>ارزش ریالی ارائه خدمات
(میلیون ریال)</v>
      </c>
      <c r="DN4" s="2504" t="str">
        <f>$F$4</f>
        <v>بودجه عملیاتی</v>
      </c>
      <c r="DO4" s="2505" t="str">
        <f>$G$4</f>
        <v>ارزش ریالی ارائه خدمات
(میلیون ریال)</v>
      </c>
      <c r="DP4" s="2504" t="str">
        <f>$H$4</f>
        <v>عملکرد عملیاتی</v>
      </c>
      <c r="DQ4" s="2506" t="str">
        <f>$I$4</f>
        <v>درصد تحقق بودجه
(عملیاتی)</v>
      </c>
      <c r="DR4" s="2506" t="str">
        <f>$J$4</f>
        <v>ارزش ریالی ارائه خدمات
(میلیون ریال)</v>
      </c>
      <c r="DS4" s="2507" t="str">
        <f>$K$4</f>
        <v>درصد تحقق بودجه
(ریالی)</v>
      </c>
      <c r="DT4" s="2504" t="str">
        <f>$L$4</f>
        <v>عملکرد عملیاتی</v>
      </c>
      <c r="DU4" s="2505" t="str">
        <f>$M$4</f>
        <v>ارزش ریالی ارائه خدمات
(میلیون ریال)</v>
      </c>
      <c r="DV4" s="2504" t="str">
        <f>$N$4</f>
        <v>عملکرد عملیاتی</v>
      </c>
      <c r="DW4" s="2505" t="str">
        <f>$O$4</f>
        <v>ارزش ریالی ارائه خدمات
(میلیون ریال)</v>
      </c>
      <c r="DY4" s="2793"/>
      <c r="DZ4" s="2795"/>
      <c r="EA4" s="2797"/>
      <c r="EB4" s="2504" t="str">
        <f>$D$4</f>
        <v>عملکرد عملیاتی</v>
      </c>
      <c r="EC4" s="2505" t="str">
        <f>$E$4</f>
        <v>ارزش ریالی ارائه خدمات
(میلیون ریال)</v>
      </c>
      <c r="ED4" s="2504" t="str">
        <f>$F$4</f>
        <v>بودجه عملیاتی</v>
      </c>
      <c r="EE4" s="2505" t="str">
        <f>$G$4</f>
        <v>ارزش ریالی ارائه خدمات
(میلیون ریال)</v>
      </c>
      <c r="EF4" s="2504" t="str">
        <f>$H$4</f>
        <v>عملکرد عملیاتی</v>
      </c>
      <c r="EG4" s="2506" t="str">
        <f>$I$4</f>
        <v>درصد تحقق بودجه
(عملیاتی)</v>
      </c>
      <c r="EH4" s="2506" t="str">
        <f>$J$4</f>
        <v>ارزش ریالی ارائه خدمات
(میلیون ریال)</v>
      </c>
      <c r="EI4" s="2507" t="str">
        <f>$K$4</f>
        <v>درصد تحقق بودجه
(ریالی)</v>
      </c>
      <c r="EJ4" s="2504" t="str">
        <f>$L$4</f>
        <v>عملکرد عملیاتی</v>
      </c>
      <c r="EK4" s="2505" t="str">
        <f>$M$4</f>
        <v>ارزش ریالی ارائه خدمات
(میلیون ریال)</v>
      </c>
      <c r="EL4" s="2504" t="str">
        <f>$N$4</f>
        <v>عملکرد عملیاتی</v>
      </c>
      <c r="EM4" s="2505" t="str">
        <f>$O$4</f>
        <v>ارزش ریالی ارائه خدمات
(میلیون ریال)</v>
      </c>
      <c r="EO4" s="2793"/>
      <c r="EP4" s="2795"/>
      <c r="EQ4" s="2797"/>
      <c r="ER4" s="2504" t="str">
        <f>$D$4</f>
        <v>عملکرد عملیاتی</v>
      </c>
      <c r="ES4" s="2505" t="str">
        <f>$E$4</f>
        <v>ارزش ریالی ارائه خدمات
(میلیون ریال)</v>
      </c>
      <c r="ET4" s="2504" t="str">
        <f>$F$4</f>
        <v>بودجه عملیاتی</v>
      </c>
      <c r="EU4" s="2505" t="str">
        <f>$G$4</f>
        <v>ارزش ریالی ارائه خدمات
(میلیون ریال)</v>
      </c>
      <c r="EV4" s="2504" t="str">
        <f>$H$4</f>
        <v>عملکرد عملیاتی</v>
      </c>
      <c r="EW4" s="2506" t="str">
        <f>$I$4</f>
        <v>درصد تحقق بودجه
(عملیاتی)</v>
      </c>
      <c r="EX4" s="2506" t="str">
        <f>$J$4</f>
        <v>ارزش ریالی ارائه خدمات
(میلیون ریال)</v>
      </c>
      <c r="EY4" s="2507" t="str">
        <f>$K$4</f>
        <v>درصد تحقق بودجه
(ریالی)</v>
      </c>
      <c r="EZ4" s="2504" t="str">
        <f>$L$4</f>
        <v>عملکرد عملیاتی</v>
      </c>
      <c r="FA4" s="2505" t="str">
        <f>$M$4</f>
        <v>ارزش ریالی ارائه خدمات
(میلیون ریال)</v>
      </c>
      <c r="FB4" s="2504" t="str">
        <f>$N$4</f>
        <v>عملکرد عملیاتی</v>
      </c>
      <c r="FC4" s="2505" t="str">
        <f>$O$4</f>
        <v>ارزش ریالی ارائه خدمات
(میلیون ریال)</v>
      </c>
      <c r="FE4" s="2793"/>
      <c r="FF4" s="2795"/>
      <c r="FG4" s="2797"/>
      <c r="FH4" s="2504" t="str">
        <f>$D$4</f>
        <v>عملکرد عملیاتی</v>
      </c>
      <c r="FI4" s="2505" t="str">
        <f>$E$4</f>
        <v>ارزش ریالی ارائه خدمات
(میلیون ریال)</v>
      </c>
      <c r="FJ4" s="2504" t="str">
        <f>$F$4</f>
        <v>بودجه عملیاتی</v>
      </c>
      <c r="FK4" s="2505" t="str">
        <f>$G$4</f>
        <v>ارزش ریالی ارائه خدمات
(میلیون ریال)</v>
      </c>
      <c r="FL4" s="2504" t="str">
        <f>$H$4</f>
        <v>عملکرد عملیاتی</v>
      </c>
      <c r="FM4" s="2506" t="str">
        <f>$I$4</f>
        <v>درصد تحقق بودجه
(عملیاتی)</v>
      </c>
      <c r="FN4" s="2506" t="str">
        <f>$J$4</f>
        <v>ارزش ریالی ارائه خدمات
(میلیون ریال)</v>
      </c>
      <c r="FO4" s="2507" t="str">
        <f>$K$4</f>
        <v>درصد تحقق بودجه
(ریالی)</v>
      </c>
      <c r="FP4" s="2504" t="str">
        <f>$L$4</f>
        <v>عملکرد عملیاتی</v>
      </c>
      <c r="FQ4" s="2505" t="str">
        <f>$M$4</f>
        <v>ارزش ریالی ارائه خدمات
(میلیون ریال)</v>
      </c>
      <c r="FR4" s="2504" t="str">
        <f>$N$4</f>
        <v>عملکرد عملیاتی</v>
      </c>
      <c r="FS4" s="2505" t="str">
        <f>$O$4</f>
        <v>ارزش ریالی ارائه خدمات
(میلیون ریال)</v>
      </c>
    </row>
    <row r="5" spans="1:176" ht="30" customHeight="1">
      <c r="A5" s="2803" t="s">
        <v>473</v>
      </c>
      <c r="B5" s="793" t="s">
        <v>474</v>
      </c>
      <c r="C5" s="794" t="s">
        <v>475</v>
      </c>
      <c r="D5" s="2508">
        <f>SUM(T5,AJ5,AZ5,BP5,CF5,CV5,DL5,EB5,ER5,FH5)</f>
        <v>113724</v>
      </c>
      <c r="E5" s="2805">
        <f>SUM(U5,AK5,BA5,BQ5,CG5,CW5,DM5,EC5,ES5,FI5)</f>
        <v>331775</v>
      </c>
      <c r="F5" s="2508">
        <f>SUM(V5,AL5,BB5,BR5,CH5,CX5,DN5,ED5,ET5,FJ5)</f>
        <v>152262.27588707619</v>
      </c>
      <c r="G5" s="2805">
        <f>SUM(W5,AM5,BC5,BS5,CI5,CY5,DO5,EE5,EU5,FK5)</f>
        <v>615444</v>
      </c>
      <c r="H5" s="2548">
        <f>SUM(X5,AN5,BD5,BT5,CJ5,CZ5,DP5,EF5,EV5,FL5)</f>
        <v>145726</v>
      </c>
      <c r="I5" s="818">
        <f>IFERROR(H5*100/F5,"")</f>
        <v>95.707225674254502</v>
      </c>
      <c r="J5" s="2808">
        <f>SUM(Z5,AP5,BF5,BV5,CL5,DB5,DR5,EH5,EX5,FN5)</f>
        <v>528593</v>
      </c>
      <c r="K5" s="2801">
        <f>IFERROR(J5*100/G5,"")</f>
        <v>85.88807430082997</v>
      </c>
      <c r="L5" s="2509">
        <f>IFERROR(H5-D5,"")</f>
        <v>32002</v>
      </c>
      <c r="M5" s="2800">
        <f>IFERROR(J5-E5,"")</f>
        <v>196818</v>
      </c>
      <c r="N5" s="2510">
        <f>IFERROR((H5-D5)*100/D5,"")</f>
        <v>28.140058386971969</v>
      </c>
      <c r="O5" s="2798">
        <f>IFERROR((J5-E5)*100/E5,"")</f>
        <v>59.322733780423476</v>
      </c>
      <c r="P5" s="2545">
        <v>1</v>
      </c>
      <c r="Q5" s="2803" t="str">
        <f>$A$5</f>
        <v>واردات</v>
      </c>
      <c r="R5" s="793" t="str">
        <f>$B5</f>
        <v>انبارداری</v>
      </c>
      <c r="S5" s="794" t="str">
        <f>$C5</f>
        <v>تن</v>
      </c>
      <c r="T5" s="2487">
        <f>SUMIFS(واردات!$D$42:$D$51,واردات!$AA$42:$AA$51,AF2)</f>
        <v>11125</v>
      </c>
      <c r="U5" s="2825">
        <f>65097-10422</f>
        <v>54675</v>
      </c>
      <c r="V5" s="2487">
        <f>SUMIFS(واردات!$H$42:$H$51,واردات!$AA$42:$AA$51,AF2)</f>
        <v>38497.26561103703</v>
      </c>
      <c r="W5" s="2828">
        <v>210259</v>
      </c>
      <c r="X5" s="2487">
        <f>SUMIFS(واردات!$L$42:$L$51,واردات!$AA$42:$AA$51,AF2)</f>
        <v>2891</v>
      </c>
      <c r="Y5" s="820">
        <f>IFERROR(X5*100/V5,"")</f>
        <v>7.5096242658106096</v>
      </c>
      <c r="Z5" s="2808">
        <v>33548</v>
      </c>
      <c r="AA5" s="2801">
        <f>IFERROR(Z5*100/W5,"")</f>
        <v>15.95555957176625</v>
      </c>
      <c r="AB5" s="2602">
        <f t="shared" ref="AB5:AB10" si="0">X5-T5</f>
        <v>-8234</v>
      </c>
      <c r="AC5" s="3381">
        <f>Z5-U5</f>
        <v>-21127</v>
      </c>
      <c r="AD5" s="2510">
        <f>IFERROR((X5-T5)*100/T5,"")</f>
        <v>-74.013483146067415</v>
      </c>
      <c r="AE5" s="2798">
        <f>IFERROR((Z5-U5)*100/U5,"")</f>
        <v>-38.641060813900317</v>
      </c>
      <c r="AF5" s="2511"/>
      <c r="AG5" s="2803" t="str">
        <f>$A$5</f>
        <v>واردات</v>
      </c>
      <c r="AH5" s="793" t="str">
        <f>$B5</f>
        <v>انبارداری</v>
      </c>
      <c r="AI5" s="794" t="str">
        <f>$C5</f>
        <v>تن</v>
      </c>
      <c r="AJ5" s="2487">
        <f>SUMIFS(واردات!$D$42:$D$51,واردات!$AA$42:$AA$51,AV2)</f>
        <v>9899</v>
      </c>
      <c r="AK5" s="2825">
        <f>37012-5940</f>
        <v>31072</v>
      </c>
      <c r="AL5" s="2487">
        <f>SUMIFS(واردات!$H$42:$H$51,واردات!$AA$42:$AA$51,AV2)</f>
        <v>16320.389275384978</v>
      </c>
      <c r="AM5" s="2828">
        <v>58398</v>
      </c>
      <c r="AN5" s="2487">
        <f>SUMIFS(واردات!$L$42:$L$51,واردات!$AA$42:$AA$51,AV2)</f>
        <v>6309</v>
      </c>
      <c r="AO5" s="820">
        <f>IFERROR(AN5*100/AL5,"")</f>
        <v>38.65716615911527</v>
      </c>
      <c r="AP5" s="2808">
        <v>39017</v>
      </c>
      <c r="AQ5" s="2801">
        <f>IFERROR(AP5*100/AM5,"")</f>
        <v>66.812219596561519</v>
      </c>
      <c r="AR5" s="2602">
        <f t="shared" ref="AR5:AR10" si="1">AN5-AJ5</f>
        <v>-3590</v>
      </c>
      <c r="AS5" s="2800">
        <f>AP5-AK5</f>
        <v>7945</v>
      </c>
      <c r="AT5" s="2510">
        <f>IFERROR((AN5-AJ5)*100/AJ5,"")</f>
        <v>-36.266289524194363</v>
      </c>
      <c r="AU5" s="2798">
        <f>IFERROR((AP5-AK5)*100/AK5,"")</f>
        <v>25.569644696189496</v>
      </c>
      <c r="AV5" s="2511"/>
      <c r="AW5" s="2803" t="str">
        <f>$A$5</f>
        <v>واردات</v>
      </c>
      <c r="AX5" s="793" t="str">
        <f>$B5</f>
        <v>انبارداری</v>
      </c>
      <c r="AY5" s="794" t="str">
        <f>$C5</f>
        <v>تن</v>
      </c>
      <c r="AZ5" s="2487">
        <f>SUMIFS(واردات!$D$42:$D$51,واردات!$AA$42:$AA$51,BL2)</f>
        <v>7882</v>
      </c>
      <c r="BA5" s="2825">
        <f>28179-2256</f>
        <v>25923</v>
      </c>
      <c r="BB5" s="2487">
        <f>SUMIFS(واردات!$H$42:$H$51,واردات!$AA$42:$AA$51,BL2)</f>
        <v>9271.6113885696359</v>
      </c>
      <c r="BC5" s="2828">
        <v>45500</v>
      </c>
      <c r="BD5" s="2487">
        <f>SUMIFS(واردات!$L$42:$L$51,واردات!$AA$42:$AA$51,BL2)</f>
        <v>6778</v>
      </c>
      <c r="BE5" s="820">
        <f>IFERROR(BD5*100/BB5,"")</f>
        <v>73.104875904917165</v>
      </c>
      <c r="BF5" s="2808">
        <v>26869</v>
      </c>
      <c r="BG5" s="2801">
        <f>IFERROR(BF5*100/BC5,"")</f>
        <v>59.052747252747253</v>
      </c>
      <c r="BH5" s="2602">
        <f>BD5-AZ5</f>
        <v>-1104</v>
      </c>
      <c r="BI5" s="2800">
        <f>BF5-BA5</f>
        <v>946</v>
      </c>
      <c r="BJ5" s="2510">
        <f>IFERROR((BD5-AZ5)*100/AZ5,"")</f>
        <v>-14.006597310327328</v>
      </c>
      <c r="BK5" s="2798">
        <f>IFERROR((BF5-BA5)*100/BA5,"")</f>
        <v>3.6492689889287506</v>
      </c>
      <c r="BL5" s="2511"/>
      <c r="BM5" s="2803" t="str">
        <f>$A$5</f>
        <v>واردات</v>
      </c>
      <c r="BN5" s="793" t="str">
        <f>$B5</f>
        <v>انبارداری</v>
      </c>
      <c r="BO5" s="794" t="str">
        <f>$C5</f>
        <v>تن</v>
      </c>
      <c r="BP5" s="2487">
        <f>SUMIFS(واردات!$D$42:$D$51,واردات!$AA$42:$AA$51,CB2)</f>
        <v>40280</v>
      </c>
      <c r="BQ5" s="2825">
        <f>39079-6826</f>
        <v>32253</v>
      </c>
      <c r="BR5" s="2487">
        <f>SUMIFS(واردات!$H$42:$H$51,واردات!$AA$42:$AA$51,CB2)</f>
        <v>37960.714858659485</v>
      </c>
      <c r="BS5" s="2828">
        <v>57420</v>
      </c>
      <c r="BT5" s="2487">
        <f>SUMIFS(واردات!$L$42:$L$51,واردات!$AA$42:$AA$51,CB2)</f>
        <v>62858</v>
      </c>
      <c r="BU5" s="820">
        <f>IFERROR(BT5*100/BR5,"")</f>
        <v>165.58697652044088</v>
      </c>
      <c r="BV5" s="2808">
        <v>115432</v>
      </c>
      <c r="BW5" s="2801">
        <f>IFERROR(BV5*100/BS5,"")</f>
        <v>201.03099965168931</v>
      </c>
      <c r="BX5" s="2661">
        <f t="shared" ref="BX5:BX10" si="2">BT5-BP5</f>
        <v>22578</v>
      </c>
      <c r="BY5" s="2800">
        <f>BV5-BQ5</f>
        <v>83179</v>
      </c>
      <c r="BZ5" s="2510">
        <f>IFERROR((BT5-BP5)*100/BP5,"")</f>
        <v>56.05263157894737</v>
      </c>
      <c r="CA5" s="2798">
        <f>IFERROR((BV5-BQ5)*100/BQ5,"")</f>
        <v>257.89538957616344</v>
      </c>
      <c r="CB5" s="2511"/>
      <c r="CC5" s="2803" t="str">
        <f>$A$5</f>
        <v>واردات</v>
      </c>
      <c r="CD5" s="793" t="str">
        <f>$B5</f>
        <v>انبارداری</v>
      </c>
      <c r="CE5" s="794" t="str">
        <f>$C5</f>
        <v>تن</v>
      </c>
      <c r="CF5" s="2487">
        <f>SUMIFS(واردات!$D$42:$D$51,واردات!$AA$42:$AA$51,CR2)</f>
        <v>10826</v>
      </c>
      <c r="CG5" s="2825">
        <f>100918-10695</f>
        <v>90223</v>
      </c>
      <c r="CH5" s="2487">
        <f>SUMIFS(واردات!$H$42:$H$51,واردات!$AA$42:$AA$51,CR2)</f>
        <v>5774.4347436758444</v>
      </c>
      <c r="CI5" s="2828">
        <v>78185</v>
      </c>
      <c r="CJ5" s="2487">
        <f>SUMIFS(واردات!$L$42:$L$51,واردات!$AA$42:$AA$51,CR2)</f>
        <v>6401</v>
      </c>
      <c r="CK5" s="820">
        <f>IFERROR(CJ5*100/CH5,"")</f>
        <v>110.85067689110817</v>
      </c>
      <c r="CL5" s="2808">
        <v>147424</v>
      </c>
      <c r="CM5" s="2801">
        <f>IFERROR(CL5*100/CI5,"")</f>
        <v>188.55790752701924</v>
      </c>
      <c r="CN5" s="2602">
        <f t="shared" ref="CN5:CN10" si="3">CJ5-CF5</f>
        <v>-4425</v>
      </c>
      <c r="CO5" s="2800">
        <f>CL5-CG5</f>
        <v>57201</v>
      </c>
      <c r="CP5" s="2510">
        <f>IFERROR((CJ5-CF5)*100/CF5,"")</f>
        <v>-40.873822279697023</v>
      </c>
      <c r="CQ5" s="2798">
        <f>IFERROR((CL5-CG5)*100/CG5,"")</f>
        <v>63.399576604635179</v>
      </c>
      <c r="CR5" s="2511"/>
      <c r="CS5" s="2803" t="str">
        <f>$A$5</f>
        <v>واردات</v>
      </c>
      <c r="CT5" s="793" t="str">
        <f>$B5</f>
        <v>انبارداری</v>
      </c>
      <c r="CU5" s="794" t="str">
        <f>$C5</f>
        <v>تن</v>
      </c>
      <c r="CV5" s="2487">
        <f>SUMIFS(واردات!$D$42:$D$51,واردات!$AA$42:$AA$51,DH2)</f>
        <v>20</v>
      </c>
      <c r="CW5" s="2825">
        <f>398-89</f>
        <v>309</v>
      </c>
      <c r="CX5" s="2487">
        <f>SUMIFS(واردات!$H$42:$H$51,واردات!$AA$42:$AA$51,DH2)</f>
        <v>33.470577777777777</v>
      </c>
      <c r="CY5" s="2828">
        <v>465</v>
      </c>
      <c r="CZ5" s="2487">
        <f>SUMIFS(واردات!$L$42:$L$51,واردات!$AA$42:$AA$51,DH2)</f>
        <v>1952</v>
      </c>
      <c r="DA5" s="820">
        <f>IFERROR(CZ5*100/CX5,"")</f>
        <v>5831.9877623863349</v>
      </c>
      <c r="DB5" s="2808">
        <v>19113</v>
      </c>
      <c r="DC5" s="2801">
        <f>IFERROR(DB5*100/CY5,"")</f>
        <v>4110.322580645161</v>
      </c>
      <c r="DD5" s="2661">
        <f t="shared" ref="DD5:DD10" si="4">CZ5-CV5</f>
        <v>1932</v>
      </c>
      <c r="DE5" s="2800">
        <f>DB5-CW5</f>
        <v>18804</v>
      </c>
      <c r="DF5" s="2510">
        <f>IFERROR((CZ5-CV5)*100/CV5,"")</f>
        <v>9660</v>
      </c>
      <c r="DG5" s="2798">
        <f>IFERROR((DB5-CW5)*100/CW5,"")</f>
        <v>6085.4368932038833</v>
      </c>
      <c r="DH5" s="2511"/>
      <c r="DI5" s="2803" t="str">
        <f>$A$5</f>
        <v>واردات</v>
      </c>
      <c r="DJ5" s="793" t="str">
        <f>$B5</f>
        <v>انبارداری</v>
      </c>
      <c r="DK5" s="794" t="str">
        <f>$C5</f>
        <v>تن</v>
      </c>
      <c r="DL5" s="2487">
        <f>SUMIFS(واردات!$D$42:$D$51,واردات!$AA$42:$AA$51,DX2)</f>
        <v>32693</v>
      </c>
      <c r="DM5" s="2825">
        <f>104022-14133</f>
        <v>89889</v>
      </c>
      <c r="DN5" s="2487">
        <f>SUMIFS(واردات!$H$42:$H$51,واردات!$AA$42:$AA$51,DX2)</f>
        <v>37898.876855284332</v>
      </c>
      <c r="DO5" s="2828">
        <v>128943</v>
      </c>
      <c r="DP5" s="2487">
        <f>SUMIFS(واردات!$L$42:$L$51,واردات!$AA$42:$AA$51,DX2)</f>
        <v>51694</v>
      </c>
      <c r="DQ5" s="820">
        <f>IFERROR(DP5*100/DN5,"")</f>
        <v>136.39982049439595</v>
      </c>
      <c r="DR5" s="2808">
        <v>131601</v>
      </c>
      <c r="DS5" s="2801">
        <f>IFERROR(DR5*100/DO5,"")</f>
        <v>102.06137595681813</v>
      </c>
      <c r="DT5" s="2661">
        <f t="shared" ref="DT5:DT10" si="5">DP5-DL5</f>
        <v>19001</v>
      </c>
      <c r="DU5" s="2800">
        <f>DR5-DM5</f>
        <v>41712</v>
      </c>
      <c r="DV5" s="2510">
        <f>IFERROR((DP5-DL5)*100/DL5,"")</f>
        <v>58.119475116997521</v>
      </c>
      <c r="DW5" s="2798">
        <f>IFERROR((DR5-DM5)*100/DM5,"")</f>
        <v>46.403898141040614</v>
      </c>
      <c r="DX5" s="2511"/>
      <c r="DY5" s="2803" t="str">
        <f>$A$5</f>
        <v>واردات</v>
      </c>
      <c r="DZ5" s="793" t="str">
        <f>$B5</f>
        <v>انبارداری</v>
      </c>
      <c r="EA5" s="794" t="str">
        <f>$C5</f>
        <v>تن</v>
      </c>
      <c r="EB5" s="2487">
        <f>SUMIFS(واردات!$D$42:$D$51,واردات!$AA$42:$AA$51,EN2)</f>
        <v>373</v>
      </c>
      <c r="EC5" s="2825">
        <v>5089</v>
      </c>
      <c r="ED5" s="2487">
        <f>SUMIFS(واردات!$H$42:$H$51,واردات!$AA$42:$AA$51,EN2)</f>
        <v>3069.1125766871169</v>
      </c>
      <c r="EE5" s="2828">
        <v>26217</v>
      </c>
      <c r="EF5" s="2487">
        <f>SUMIFS(واردات!$L$42:$L$51,واردات!$AA$42:$AA$51,EN2)</f>
        <v>96</v>
      </c>
      <c r="EG5" s="820">
        <f>IFERROR(EF5*100/ED5,"")</f>
        <v>3.1279400022408104</v>
      </c>
      <c r="EH5" s="2808">
        <v>195</v>
      </c>
      <c r="EI5" s="2801">
        <f>IFERROR(EH5*100/EE5,"")</f>
        <v>0.74379219590342149</v>
      </c>
      <c r="EJ5" s="2602">
        <f t="shared" ref="EJ5:EJ10" si="6">EF5-EB5</f>
        <v>-277</v>
      </c>
      <c r="EK5" s="3381">
        <f>EH5-EC5</f>
        <v>-4894</v>
      </c>
      <c r="EL5" s="2510">
        <f>IFERROR((EF5-EB5)*100/EB5,"")</f>
        <v>-74.262734584450399</v>
      </c>
      <c r="EM5" s="2798">
        <f>IFERROR((EH5-EC5)*100/EC5,"")</f>
        <v>-96.168205934368245</v>
      </c>
      <c r="EN5" s="2511"/>
      <c r="EO5" s="2803" t="str">
        <f>$A$5</f>
        <v>واردات</v>
      </c>
      <c r="EP5" s="793" t="str">
        <f>$B5</f>
        <v>انبارداری</v>
      </c>
      <c r="EQ5" s="794" t="str">
        <f>$C5</f>
        <v>تن</v>
      </c>
      <c r="ER5" s="2487">
        <f>SUMIFS(واردات!$D$42:$D$51,واردات!$AA$42:$AA$51,FD2)</f>
        <v>626</v>
      </c>
      <c r="ES5" s="2825">
        <v>2342</v>
      </c>
      <c r="ET5" s="2487">
        <f>SUMIFS(واردات!$H$42:$H$51,واردات!$AA$42:$AA$51,FD2)</f>
        <v>3436.3999999999996</v>
      </c>
      <c r="EU5" s="2828">
        <v>10057</v>
      </c>
      <c r="EV5" s="2487">
        <f>SUMIFS(واردات!$L$42:$L$51,واردات!$AA$42:$AA$51,FD2)</f>
        <v>6747</v>
      </c>
      <c r="EW5" s="820">
        <f>IFERROR(EV5*100/ET5,"")</f>
        <v>196.33919217786058</v>
      </c>
      <c r="EX5" s="2808">
        <v>15394</v>
      </c>
      <c r="EY5" s="2801">
        <f>IFERROR(EX5*100/EU5,"")</f>
        <v>153.06751516356766</v>
      </c>
      <c r="EZ5" s="2661">
        <f t="shared" ref="EZ5:EZ10" si="7">EV5-ER5</f>
        <v>6121</v>
      </c>
      <c r="FA5" s="2800">
        <f>EX5-ES5</f>
        <v>13052</v>
      </c>
      <c r="FB5" s="2510">
        <f>IFERROR((EV5-ER5)*100/ER5,"")</f>
        <v>977.7955271565495</v>
      </c>
      <c r="FC5" s="2798">
        <f>IFERROR((EX5-ES5)*100/ES5,"")</f>
        <v>557.30145175064047</v>
      </c>
      <c r="FD5" s="2511"/>
      <c r="FE5" s="2803" t="str">
        <f>$A$5</f>
        <v>واردات</v>
      </c>
      <c r="FF5" s="793" t="str">
        <f>$B5</f>
        <v>انبارداری</v>
      </c>
      <c r="FG5" s="794" t="str">
        <f>$C5</f>
        <v>تن</v>
      </c>
      <c r="FH5" s="2487">
        <f>SUMIFS(واردات!$D$42:$D$51,واردات!$AA$42:$AA$51,FT2)</f>
        <v>0</v>
      </c>
      <c r="FI5" s="2825"/>
      <c r="FJ5" s="2487">
        <f>SUMIFS(واردات!$H$42:$H$51,واردات!$AA$42:$AA$51,FT2)</f>
        <v>0</v>
      </c>
      <c r="FK5" s="2828"/>
      <c r="FL5" s="2487">
        <f>SUMIFS(واردات!$L$42:$L$51,واردات!$AA$42:$AA$51,FT2)</f>
        <v>0</v>
      </c>
      <c r="FM5" s="820" t="str">
        <f>IFERROR(FL5*100/FJ5,"")</f>
        <v/>
      </c>
      <c r="FN5" s="2808"/>
      <c r="FO5" s="2801" t="str">
        <f>IFERROR(FN5*100/FK5,"")</f>
        <v/>
      </c>
      <c r="FP5" s="2509">
        <f t="shared" ref="FP5:FP10" si="8">FL5-FH5</f>
        <v>0</v>
      </c>
      <c r="FQ5" s="2800">
        <f>FN5-FI5</f>
        <v>0</v>
      </c>
      <c r="FR5" s="2510" t="str">
        <f>IFERROR((FL5-FH5)*100/FH5,"")</f>
        <v/>
      </c>
      <c r="FS5" s="2798" t="str">
        <f>IFERROR((FN5-FI5)*100/FI5,"")</f>
        <v/>
      </c>
      <c r="FT5" s="2511"/>
    </row>
    <row r="6" spans="1:176" ht="35.25" customHeight="1">
      <c r="A6" s="2803"/>
      <c r="B6" s="795" t="s">
        <v>476</v>
      </c>
      <c r="C6" s="796" t="s">
        <v>477</v>
      </c>
      <c r="D6" s="807">
        <f>IFERROR(D7/D5,"")</f>
        <v>29.692210966902326</v>
      </c>
      <c r="E6" s="2806"/>
      <c r="F6" s="807">
        <f>IFERROR(F7/F5,"")</f>
        <v>52.017422634240198</v>
      </c>
      <c r="G6" s="2806"/>
      <c r="H6" s="819">
        <f>IFERROR(H7/H5,"")</f>
        <v>25.251259212494681</v>
      </c>
      <c r="I6" s="808">
        <f t="shared" ref="I6:I10" si="9">IFERROR(H6*100/F6,"")</f>
        <v>48.543849221535957</v>
      </c>
      <c r="J6" s="2808"/>
      <c r="K6" s="2801"/>
      <c r="L6" s="2512">
        <f t="shared" ref="L6:L10" si="10">IFERROR(H6-D6,"")</f>
        <v>-4.4409517544076458</v>
      </c>
      <c r="M6" s="2801"/>
      <c r="N6" s="2512">
        <f t="shared" ref="N6:N10" si="11">IFERROR((H6-D6)*100/D6,"")</f>
        <v>-14.956621988702491</v>
      </c>
      <c r="O6" s="2799" t="str">
        <f t="shared" ref="O6:O24" si="12">IFERROR((J6-E6)*100/E6,"-")</f>
        <v>-</v>
      </c>
      <c r="P6" s="2545">
        <v>1</v>
      </c>
      <c r="Q6" s="2803"/>
      <c r="R6" s="795" t="str">
        <f t="shared" ref="R6:R20" si="13">$B6</f>
        <v>میانگین مدت ماندگاری کالا</v>
      </c>
      <c r="S6" s="796" t="str">
        <f t="shared" ref="S6:S20" si="14">$C6</f>
        <v>روز</v>
      </c>
      <c r="T6" s="819">
        <v>60</v>
      </c>
      <c r="U6" s="2826"/>
      <c r="V6" s="2417">
        <v>60</v>
      </c>
      <c r="W6" s="2828"/>
      <c r="X6" s="819">
        <v>78</v>
      </c>
      <c r="Y6" s="808">
        <f t="shared" ref="Y6:Y10" si="15">IFERROR(X6*100/V6,"")</f>
        <v>130</v>
      </c>
      <c r="Z6" s="2808"/>
      <c r="AA6" s="2801"/>
      <c r="AB6" s="2512">
        <f t="shared" si="0"/>
        <v>18</v>
      </c>
      <c r="AC6" s="3382"/>
      <c r="AD6" s="2512">
        <f t="shared" ref="AD6:AD10" si="16">IFERROR((X6-T6)*100/T6,"")</f>
        <v>30</v>
      </c>
      <c r="AE6" s="2799" t="str">
        <f t="shared" ref="AE6:AE7" si="17">IFERROR((Z6-U6)*100/U6,"-")</f>
        <v>-</v>
      </c>
      <c r="AF6" s="2511"/>
      <c r="AG6" s="2803"/>
      <c r="AH6" s="795" t="str">
        <f t="shared" ref="AH6:AH20" si="18">$B6</f>
        <v>میانگین مدت ماندگاری کالا</v>
      </c>
      <c r="AI6" s="796" t="str">
        <f t="shared" ref="AI6:AI20" si="19">$C6</f>
        <v>روز</v>
      </c>
      <c r="AJ6" s="819">
        <v>50</v>
      </c>
      <c r="AK6" s="2826"/>
      <c r="AL6" s="2417">
        <v>50</v>
      </c>
      <c r="AM6" s="2828"/>
      <c r="AN6" s="819">
        <v>52</v>
      </c>
      <c r="AO6" s="808">
        <f t="shared" ref="AO6:AO10" si="20">IFERROR(AN6*100/AL6,"")</f>
        <v>104</v>
      </c>
      <c r="AP6" s="2808"/>
      <c r="AQ6" s="2801"/>
      <c r="AR6" s="2512">
        <f t="shared" si="1"/>
        <v>2</v>
      </c>
      <c r="AS6" s="2801"/>
      <c r="AT6" s="2512">
        <f t="shared" ref="AT6:AT10" si="21">IFERROR((AN6-AJ6)*100/AJ6,"")</f>
        <v>4</v>
      </c>
      <c r="AU6" s="2799" t="str">
        <f t="shared" ref="AU6:AU7" si="22">IFERROR((AP6-AK6)*100/AK6,"-")</f>
        <v>-</v>
      </c>
      <c r="AV6" s="2511"/>
      <c r="AW6" s="2803"/>
      <c r="AX6" s="795" t="str">
        <f t="shared" ref="AX6:AX20" si="23">$B6</f>
        <v>میانگین مدت ماندگاری کالا</v>
      </c>
      <c r="AY6" s="796" t="str">
        <f t="shared" ref="AY6:AY20" si="24">$C6</f>
        <v>روز</v>
      </c>
      <c r="AZ6" s="819">
        <v>25</v>
      </c>
      <c r="BA6" s="2826"/>
      <c r="BB6" s="2417">
        <v>25</v>
      </c>
      <c r="BC6" s="2828"/>
      <c r="BD6" s="819">
        <v>42</v>
      </c>
      <c r="BE6" s="808">
        <f t="shared" ref="BE6:BE10" si="25">IFERROR(BD6*100/BB6,"")</f>
        <v>168</v>
      </c>
      <c r="BF6" s="2808"/>
      <c r="BG6" s="2801"/>
      <c r="BH6" s="2512">
        <f t="shared" ref="BH6:BH10" si="26">BD6-AZ6</f>
        <v>17</v>
      </c>
      <c r="BI6" s="2801"/>
      <c r="BJ6" s="2512">
        <f t="shared" ref="BJ6:BJ10" si="27">IFERROR((BD6-AZ6)*100/AZ6,"")</f>
        <v>68</v>
      </c>
      <c r="BK6" s="2799" t="str">
        <f t="shared" ref="BK6:BK7" si="28">IFERROR((BF6-BA6)*100/BA6,"-")</f>
        <v>-</v>
      </c>
      <c r="BL6" s="2511"/>
      <c r="BM6" s="2803"/>
      <c r="BN6" s="795" t="str">
        <f t="shared" ref="BN6:BN20" si="29">$B6</f>
        <v>میانگین مدت ماندگاری کالا</v>
      </c>
      <c r="BO6" s="796" t="str">
        <f t="shared" ref="BO6:BO20" si="30">$C6</f>
        <v>روز</v>
      </c>
      <c r="BP6" s="819">
        <v>8</v>
      </c>
      <c r="BQ6" s="2826"/>
      <c r="BR6" s="2417">
        <v>9</v>
      </c>
      <c r="BS6" s="2828"/>
      <c r="BT6" s="819">
        <v>14</v>
      </c>
      <c r="BU6" s="808">
        <f t="shared" ref="BU6:BU10" si="31">IFERROR(BT6*100/BR6,"")</f>
        <v>155.55555555555554</v>
      </c>
      <c r="BV6" s="2808"/>
      <c r="BW6" s="2801"/>
      <c r="BX6" s="2512">
        <f t="shared" si="2"/>
        <v>6</v>
      </c>
      <c r="BY6" s="2801"/>
      <c r="BZ6" s="2512">
        <f t="shared" ref="BZ6:BZ10" si="32">IFERROR((BT6-BP6)*100/BP6,"")</f>
        <v>75</v>
      </c>
      <c r="CA6" s="2799" t="str">
        <f t="shared" ref="CA6:CA7" si="33">IFERROR((BV6-BQ6)*100/BQ6,"-")</f>
        <v>-</v>
      </c>
      <c r="CB6" s="2511"/>
      <c r="CC6" s="2803"/>
      <c r="CD6" s="795" t="str">
        <f t="shared" ref="CD6:CD20" si="34">$B6</f>
        <v>میانگین مدت ماندگاری کالا</v>
      </c>
      <c r="CE6" s="796" t="str">
        <f t="shared" ref="CE6:CE20" si="35">$C6</f>
        <v>روز</v>
      </c>
      <c r="CF6" s="819">
        <v>62</v>
      </c>
      <c r="CG6" s="2826"/>
      <c r="CH6" s="2417">
        <v>63</v>
      </c>
      <c r="CI6" s="2828"/>
      <c r="CJ6" s="819">
        <v>96</v>
      </c>
      <c r="CK6" s="808">
        <f t="shared" ref="CK6:CK10" si="36">IFERROR(CJ6*100/CH6,"")</f>
        <v>152.38095238095238</v>
      </c>
      <c r="CL6" s="2808"/>
      <c r="CM6" s="2801"/>
      <c r="CN6" s="2512">
        <f t="shared" si="3"/>
        <v>34</v>
      </c>
      <c r="CO6" s="2801"/>
      <c r="CP6" s="2512">
        <f t="shared" ref="CP6:CP10" si="37">IFERROR((CJ6-CF6)*100/CF6,"")</f>
        <v>54.838709677419352</v>
      </c>
      <c r="CQ6" s="2799" t="str">
        <f t="shared" ref="CQ6:CQ7" si="38">IFERROR((CL6-CG6)*100/CG6,"-")</f>
        <v>-</v>
      </c>
      <c r="CR6" s="2511"/>
      <c r="CS6" s="2803"/>
      <c r="CT6" s="795" t="str">
        <f t="shared" ref="CT6:CT20" si="39">$B6</f>
        <v>میانگین مدت ماندگاری کالا</v>
      </c>
      <c r="CU6" s="796" t="str">
        <f t="shared" ref="CU6:CU20" si="40">$C6</f>
        <v>روز</v>
      </c>
      <c r="CV6" s="819">
        <v>55</v>
      </c>
      <c r="CW6" s="2826"/>
      <c r="CX6" s="2417">
        <v>51</v>
      </c>
      <c r="CY6" s="2828"/>
      <c r="CZ6" s="819">
        <v>59</v>
      </c>
      <c r="DA6" s="808">
        <f t="shared" ref="DA6:DA10" si="41">IFERROR(CZ6*100/CX6,"")</f>
        <v>115.68627450980392</v>
      </c>
      <c r="DB6" s="2808"/>
      <c r="DC6" s="2801"/>
      <c r="DD6" s="2512">
        <f t="shared" si="4"/>
        <v>4</v>
      </c>
      <c r="DE6" s="2801"/>
      <c r="DF6" s="2512">
        <f t="shared" ref="DF6:DF10" si="42">IFERROR((CZ6-CV6)*100/CV6,"")</f>
        <v>7.2727272727272725</v>
      </c>
      <c r="DG6" s="2799" t="str">
        <f t="shared" ref="DG6:DG7" si="43">IFERROR((DB6-CW6)*100/CW6,"-")</f>
        <v>-</v>
      </c>
      <c r="DH6" s="2511"/>
      <c r="DI6" s="2803"/>
      <c r="DJ6" s="795" t="str">
        <f t="shared" ref="DJ6:DJ20" si="44">$B6</f>
        <v>میانگین مدت ماندگاری کالا</v>
      </c>
      <c r="DK6" s="796" t="str">
        <f t="shared" ref="DK6:DK20" si="45">$C6</f>
        <v>روز</v>
      </c>
      <c r="DL6" s="819">
        <v>29</v>
      </c>
      <c r="DM6" s="2826"/>
      <c r="DN6" s="2417">
        <v>90</v>
      </c>
      <c r="DO6" s="2828"/>
      <c r="DP6" s="819">
        <v>20</v>
      </c>
      <c r="DQ6" s="808">
        <f t="shared" ref="DQ6:DQ10" si="46">IFERROR(DP6*100/DN6,"")</f>
        <v>22.222222222222221</v>
      </c>
      <c r="DR6" s="2808"/>
      <c r="DS6" s="2801"/>
      <c r="DT6" s="2663">
        <f t="shared" si="5"/>
        <v>-9</v>
      </c>
      <c r="DU6" s="2801"/>
      <c r="DV6" s="2512">
        <f t="shared" ref="DV6:DV10" si="47">IFERROR((DP6-DL6)*100/DL6,"")</f>
        <v>-31.03448275862069</v>
      </c>
      <c r="DW6" s="2799" t="str">
        <f t="shared" ref="DW6:DW7" si="48">IFERROR((DR6-DM6)*100/DM6,"-")</f>
        <v>-</v>
      </c>
      <c r="DX6" s="2511"/>
      <c r="DY6" s="2803"/>
      <c r="DZ6" s="795" t="str">
        <f t="shared" ref="DZ6:DZ20" si="49">$B6</f>
        <v>میانگین مدت ماندگاری کالا</v>
      </c>
      <c r="EA6" s="796" t="str">
        <f t="shared" ref="EA6:EA20" si="50">$C6</f>
        <v>روز</v>
      </c>
      <c r="EB6" s="819">
        <v>116</v>
      </c>
      <c r="EC6" s="2826"/>
      <c r="ED6" s="2417">
        <v>90</v>
      </c>
      <c r="EE6" s="2828"/>
      <c r="EF6" s="819">
        <v>24</v>
      </c>
      <c r="EG6" s="808">
        <f t="shared" ref="EG6:EG10" si="51">IFERROR(EF6*100/ED6,"")</f>
        <v>26.666666666666668</v>
      </c>
      <c r="EH6" s="2808"/>
      <c r="EI6" s="2801"/>
      <c r="EJ6" s="2663">
        <f t="shared" si="6"/>
        <v>-92</v>
      </c>
      <c r="EK6" s="3382"/>
      <c r="EL6" s="2512">
        <f t="shared" ref="EL6:EL10" si="52">IFERROR((EF6-EB6)*100/EB6,"")</f>
        <v>-79.310344827586206</v>
      </c>
      <c r="EM6" s="2799" t="str">
        <f t="shared" ref="EM6:EM7" si="53">IFERROR((EH6-EC6)*100/EC6,"-")</f>
        <v>-</v>
      </c>
      <c r="EN6" s="2511"/>
      <c r="EO6" s="2803"/>
      <c r="EP6" s="795" t="str">
        <f t="shared" ref="EP6:EP20" si="54">$B6</f>
        <v>میانگین مدت ماندگاری کالا</v>
      </c>
      <c r="EQ6" s="796" t="str">
        <f t="shared" ref="EQ6:EQ20" si="55">$C6</f>
        <v>روز</v>
      </c>
      <c r="ER6" s="819">
        <v>50</v>
      </c>
      <c r="ES6" s="2826"/>
      <c r="ET6" s="2417">
        <v>49</v>
      </c>
      <c r="EU6" s="2828"/>
      <c r="EV6" s="819">
        <v>29</v>
      </c>
      <c r="EW6" s="808">
        <f t="shared" ref="EW6:EW10" si="56">IFERROR(EV6*100/ET6,"")</f>
        <v>59.183673469387756</v>
      </c>
      <c r="EX6" s="2808"/>
      <c r="EY6" s="2801"/>
      <c r="EZ6" s="2663">
        <f t="shared" si="7"/>
        <v>-21</v>
      </c>
      <c r="FA6" s="2801"/>
      <c r="FB6" s="2512">
        <f t="shared" ref="FB6:FB10" si="57">IFERROR((EV6-ER6)*100/ER6,"")</f>
        <v>-42</v>
      </c>
      <c r="FC6" s="2799" t="str">
        <f t="shared" ref="FC6:FC7" si="58">IFERROR((EX6-ES6)*100/ES6,"-")</f>
        <v>-</v>
      </c>
      <c r="FD6" s="2511"/>
      <c r="FE6" s="2803"/>
      <c r="FF6" s="795" t="str">
        <f t="shared" ref="FF6:FF20" si="59">$B6</f>
        <v>میانگین مدت ماندگاری کالا</v>
      </c>
      <c r="FG6" s="796" t="str">
        <f t="shared" ref="FG6:FG20" si="60">$C6</f>
        <v>روز</v>
      </c>
      <c r="FH6" s="819"/>
      <c r="FI6" s="2826"/>
      <c r="FJ6" s="2417"/>
      <c r="FK6" s="2828"/>
      <c r="FL6" s="819"/>
      <c r="FM6" s="808" t="str">
        <f t="shared" ref="FM6:FM10" si="61">IFERROR(FL6*100/FJ6,"")</f>
        <v/>
      </c>
      <c r="FN6" s="2808"/>
      <c r="FO6" s="2801"/>
      <c r="FP6" s="2512">
        <f t="shared" si="8"/>
        <v>0</v>
      </c>
      <c r="FQ6" s="2801"/>
      <c r="FR6" s="2512" t="str">
        <f t="shared" ref="FR6:FR10" si="62">IFERROR((FL6-FH6)*100/FH6,"")</f>
        <v/>
      </c>
      <c r="FS6" s="2799" t="str">
        <f t="shared" ref="FS6:FS7" si="63">IFERROR((FN6-FI6)*100/FI6,"-")</f>
        <v>-</v>
      </c>
      <c r="FT6" s="2511"/>
    </row>
    <row r="7" spans="1:176" ht="30" customHeight="1">
      <c r="A7" s="2803"/>
      <c r="B7" s="795" t="s">
        <v>474</v>
      </c>
      <c r="C7" s="797" t="s">
        <v>478</v>
      </c>
      <c r="D7" s="2488">
        <f t="shared" ref="D7:H10" si="64">SUM(T7,AJ7,AZ7,BP7,CF7,CV7,DL7,EB7,ER7,FH7)</f>
        <v>3376717</v>
      </c>
      <c r="E7" s="2807"/>
      <c r="F7" s="2488">
        <f t="shared" si="64"/>
        <v>7920291.1560693225</v>
      </c>
      <c r="G7" s="2807"/>
      <c r="H7" s="2488">
        <f t="shared" si="64"/>
        <v>3679765</v>
      </c>
      <c r="I7" s="818">
        <f t="shared" si="9"/>
        <v>46.459971325425258</v>
      </c>
      <c r="J7" s="2809"/>
      <c r="K7" s="2802"/>
      <c r="L7" s="2514">
        <f t="shared" si="10"/>
        <v>303048</v>
      </c>
      <c r="M7" s="2802"/>
      <c r="N7" s="2509">
        <f t="shared" si="11"/>
        <v>8.9746342379299175</v>
      </c>
      <c r="O7" s="2799" t="str">
        <f t="shared" si="12"/>
        <v>-</v>
      </c>
      <c r="P7" s="2545">
        <v>1</v>
      </c>
      <c r="Q7" s="2803"/>
      <c r="R7" s="795" t="str">
        <f t="shared" si="13"/>
        <v>انبارداری</v>
      </c>
      <c r="S7" s="797" t="str">
        <f t="shared" si="14"/>
        <v>تن روز</v>
      </c>
      <c r="T7" s="2488">
        <f>IFERROR(T5*T6,"")</f>
        <v>667500</v>
      </c>
      <c r="U7" s="2827"/>
      <c r="V7" s="2488">
        <f>IFERROR(V5*V6,"")</f>
        <v>2309835.9366622218</v>
      </c>
      <c r="W7" s="2829"/>
      <c r="X7" s="2488">
        <f>IFERROR(X5*X6,"")</f>
        <v>225498</v>
      </c>
      <c r="Y7" s="818">
        <f t="shared" si="15"/>
        <v>9.7625115455537923</v>
      </c>
      <c r="Z7" s="2809"/>
      <c r="AA7" s="2802"/>
      <c r="AB7" s="3377">
        <f t="shared" si="0"/>
        <v>-442002</v>
      </c>
      <c r="AC7" s="3383"/>
      <c r="AD7" s="2509">
        <f t="shared" si="16"/>
        <v>-66.217528089887637</v>
      </c>
      <c r="AE7" s="2799" t="str">
        <f t="shared" si="17"/>
        <v>-</v>
      </c>
      <c r="AF7" s="2511"/>
      <c r="AG7" s="2803"/>
      <c r="AH7" s="795" t="str">
        <f t="shared" si="18"/>
        <v>انبارداری</v>
      </c>
      <c r="AI7" s="797" t="str">
        <f t="shared" si="19"/>
        <v>تن روز</v>
      </c>
      <c r="AJ7" s="2488">
        <f>IFERROR(AJ5*AJ6,"")</f>
        <v>494950</v>
      </c>
      <c r="AK7" s="2827"/>
      <c r="AL7" s="2488">
        <f>IFERROR(AL5*AL6,"")</f>
        <v>816019.46376924892</v>
      </c>
      <c r="AM7" s="2829"/>
      <c r="AN7" s="2488">
        <f>IFERROR(AN5*AN6,"")</f>
        <v>328068</v>
      </c>
      <c r="AO7" s="818">
        <f t="shared" si="20"/>
        <v>40.203452805479884</v>
      </c>
      <c r="AP7" s="2809"/>
      <c r="AQ7" s="2802"/>
      <c r="AR7" s="3377">
        <f t="shared" si="1"/>
        <v>-166882</v>
      </c>
      <c r="AS7" s="2802"/>
      <c r="AT7" s="2509">
        <f t="shared" si="21"/>
        <v>-33.716941105162135</v>
      </c>
      <c r="AU7" s="2799" t="str">
        <f t="shared" si="22"/>
        <v>-</v>
      </c>
      <c r="AV7" s="2511"/>
      <c r="AW7" s="2803"/>
      <c r="AX7" s="795" t="str">
        <f t="shared" si="23"/>
        <v>انبارداری</v>
      </c>
      <c r="AY7" s="797" t="str">
        <f t="shared" si="24"/>
        <v>تن روز</v>
      </c>
      <c r="AZ7" s="2488">
        <f>IFERROR(AZ5*AZ6,"")</f>
        <v>197050</v>
      </c>
      <c r="BA7" s="2827"/>
      <c r="BB7" s="2488">
        <f>IFERROR(BB5*BB6,"")</f>
        <v>231790.2847142409</v>
      </c>
      <c r="BC7" s="2829"/>
      <c r="BD7" s="2488">
        <f>IFERROR(BD5*BD6,"")</f>
        <v>284676</v>
      </c>
      <c r="BE7" s="818">
        <f t="shared" si="25"/>
        <v>122.81619152026084</v>
      </c>
      <c r="BF7" s="2809"/>
      <c r="BG7" s="2802"/>
      <c r="BH7" s="2514">
        <f t="shared" si="26"/>
        <v>87626</v>
      </c>
      <c r="BI7" s="2802"/>
      <c r="BJ7" s="2509">
        <f t="shared" si="27"/>
        <v>44.46891651865009</v>
      </c>
      <c r="BK7" s="2799" t="str">
        <f t="shared" si="28"/>
        <v>-</v>
      </c>
      <c r="BL7" s="2511"/>
      <c r="BM7" s="2803"/>
      <c r="BN7" s="795" t="str">
        <f t="shared" si="29"/>
        <v>انبارداری</v>
      </c>
      <c r="BO7" s="797" t="str">
        <f t="shared" si="30"/>
        <v>تن روز</v>
      </c>
      <c r="BP7" s="2488">
        <f>IFERROR(BP5*BP6,"")</f>
        <v>322240</v>
      </c>
      <c r="BQ7" s="2827"/>
      <c r="BR7" s="2488">
        <f>IFERROR(BR5*BR6,"")</f>
        <v>341646.43372793536</v>
      </c>
      <c r="BS7" s="2829"/>
      <c r="BT7" s="2488">
        <f>IFERROR(BT5*BT6,"")</f>
        <v>880012</v>
      </c>
      <c r="BU7" s="818">
        <f t="shared" si="31"/>
        <v>257.57974125401915</v>
      </c>
      <c r="BV7" s="2809"/>
      <c r="BW7" s="2802"/>
      <c r="BX7" s="2514">
        <f t="shared" si="2"/>
        <v>557772</v>
      </c>
      <c r="BY7" s="2802"/>
      <c r="BZ7" s="2509">
        <f t="shared" si="32"/>
        <v>173.09210526315789</v>
      </c>
      <c r="CA7" s="2799" t="str">
        <f t="shared" si="33"/>
        <v>-</v>
      </c>
      <c r="CB7" s="2511"/>
      <c r="CC7" s="2803"/>
      <c r="CD7" s="795" t="str">
        <f t="shared" si="34"/>
        <v>انبارداری</v>
      </c>
      <c r="CE7" s="797" t="str">
        <f t="shared" si="35"/>
        <v>تن روز</v>
      </c>
      <c r="CF7" s="2488">
        <f>IFERROR(CF5*CF6,"")</f>
        <v>671212</v>
      </c>
      <c r="CG7" s="2827"/>
      <c r="CH7" s="2488">
        <f>IFERROR(CH5*CH6,"")</f>
        <v>363789.38885157817</v>
      </c>
      <c r="CI7" s="2829"/>
      <c r="CJ7" s="2488">
        <f>IFERROR(CJ5*CJ6,"")</f>
        <v>614496</v>
      </c>
      <c r="CK7" s="818">
        <f t="shared" si="36"/>
        <v>168.91531716740292</v>
      </c>
      <c r="CL7" s="2809"/>
      <c r="CM7" s="2802"/>
      <c r="CN7" s="3377">
        <f t="shared" si="3"/>
        <v>-56716</v>
      </c>
      <c r="CO7" s="2802"/>
      <c r="CP7" s="2509">
        <f t="shared" si="37"/>
        <v>-8.4497893363050718</v>
      </c>
      <c r="CQ7" s="2799" t="str">
        <f t="shared" si="38"/>
        <v>-</v>
      </c>
      <c r="CR7" s="2511"/>
      <c r="CS7" s="2803"/>
      <c r="CT7" s="795" t="str">
        <f t="shared" si="39"/>
        <v>انبارداری</v>
      </c>
      <c r="CU7" s="797" t="str">
        <f t="shared" si="40"/>
        <v>تن روز</v>
      </c>
      <c r="CV7" s="2488">
        <f>IFERROR(CV5*CV6,"")</f>
        <v>1100</v>
      </c>
      <c r="CW7" s="2827"/>
      <c r="CX7" s="2488">
        <f>IFERROR(CX5*CX6,"")</f>
        <v>1706.9994666666666</v>
      </c>
      <c r="CY7" s="2829"/>
      <c r="CZ7" s="2488">
        <f>IFERROR(CZ5*CZ6,"")</f>
        <v>115168</v>
      </c>
      <c r="DA7" s="818">
        <f t="shared" si="41"/>
        <v>6746.8093721724263</v>
      </c>
      <c r="DB7" s="2809"/>
      <c r="DC7" s="2802"/>
      <c r="DD7" s="2514">
        <f t="shared" si="4"/>
        <v>114068</v>
      </c>
      <c r="DE7" s="2802"/>
      <c r="DF7" s="2509">
        <f t="shared" si="42"/>
        <v>10369.818181818182</v>
      </c>
      <c r="DG7" s="2799" t="str">
        <f t="shared" si="43"/>
        <v>-</v>
      </c>
      <c r="DH7" s="2511"/>
      <c r="DI7" s="2803"/>
      <c r="DJ7" s="795" t="str">
        <f t="shared" si="44"/>
        <v>انبارداری</v>
      </c>
      <c r="DK7" s="797" t="str">
        <f t="shared" si="45"/>
        <v>تن روز</v>
      </c>
      <c r="DL7" s="2488">
        <f>IFERROR(DL5*DL6,"")</f>
        <v>948097</v>
      </c>
      <c r="DM7" s="2827"/>
      <c r="DN7" s="2488">
        <f>IFERROR(DN5*DN6,"")</f>
        <v>3410898.9169755899</v>
      </c>
      <c r="DO7" s="2829"/>
      <c r="DP7" s="2488">
        <f>IFERROR(DP5*DP6,"")</f>
        <v>1033880</v>
      </c>
      <c r="DQ7" s="818">
        <f t="shared" si="46"/>
        <v>30.311071220976878</v>
      </c>
      <c r="DR7" s="2809"/>
      <c r="DS7" s="2802"/>
      <c r="DT7" s="2514">
        <f t="shared" si="5"/>
        <v>85783</v>
      </c>
      <c r="DU7" s="2802"/>
      <c r="DV7" s="2509">
        <f t="shared" si="47"/>
        <v>9.0479138737913942</v>
      </c>
      <c r="DW7" s="2799" t="str">
        <f t="shared" si="48"/>
        <v>-</v>
      </c>
      <c r="DX7" s="2511"/>
      <c r="DY7" s="2803"/>
      <c r="DZ7" s="795" t="str">
        <f t="shared" si="49"/>
        <v>انبارداری</v>
      </c>
      <c r="EA7" s="797" t="str">
        <f t="shared" si="50"/>
        <v>تن روز</v>
      </c>
      <c r="EB7" s="2488">
        <f>IFERROR(EB5*EB6,"")</f>
        <v>43268</v>
      </c>
      <c r="EC7" s="2827"/>
      <c r="ED7" s="2488">
        <f>IFERROR(ED5*ED6,"")</f>
        <v>276220.1319018405</v>
      </c>
      <c r="EE7" s="2829"/>
      <c r="EF7" s="2488">
        <f>IFERROR(EF5*EF6,"")</f>
        <v>2304</v>
      </c>
      <c r="EG7" s="818">
        <f t="shared" si="51"/>
        <v>0.83411733393088283</v>
      </c>
      <c r="EH7" s="2809"/>
      <c r="EI7" s="2802"/>
      <c r="EJ7" s="3377">
        <f t="shared" si="6"/>
        <v>-40964</v>
      </c>
      <c r="EK7" s="3383"/>
      <c r="EL7" s="2509">
        <f t="shared" si="52"/>
        <v>-94.675048534713881</v>
      </c>
      <c r="EM7" s="2799" t="str">
        <f t="shared" si="53"/>
        <v>-</v>
      </c>
      <c r="EN7" s="2511"/>
      <c r="EO7" s="2803"/>
      <c r="EP7" s="795" t="str">
        <f t="shared" si="54"/>
        <v>انبارداری</v>
      </c>
      <c r="EQ7" s="797" t="str">
        <f t="shared" si="55"/>
        <v>تن روز</v>
      </c>
      <c r="ER7" s="2488">
        <f>IFERROR(ER5*ER6,"")</f>
        <v>31300</v>
      </c>
      <c r="ES7" s="2827"/>
      <c r="ET7" s="2488">
        <f>IFERROR(ET5*ET6,"")</f>
        <v>168383.59999999998</v>
      </c>
      <c r="EU7" s="2829"/>
      <c r="EV7" s="2488">
        <f>IFERROR(EV5*EV6,"")</f>
        <v>195663</v>
      </c>
      <c r="EW7" s="818">
        <f t="shared" si="56"/>
        <v>116.20074639097871</v>
      </c>
      <c r="EX7" s="2809"/>
      <c r="EY7" s="2802"/>
      <c r="EZ7" s="2514">
        <f t="shared" si="7"/>
        <v>164363</v>
      </c>
      <c r="FA7" s="2802"/>
      <c r="FB7" s="2509">
        <f t="shared" si="57"/>
        <v>525.12140575079877</v>
      </c>
      <c r="FC7" s="2799" t="str">
        <f t="shared" si="58"/>
        <v>-</v>
      </c>
      <c r="FD7" s="2511"/>
      <c r="FE7" s="2803"/>
      <c r="FF7" s="795" t="str">
        <f t="shared" si="59"/>
        <v>انبارداری</v>
      </c>
      <c r="FG7" s="797" t="str">
        <f t="shared" si="60"/>
        <v>تن روز</v>
      </c>
      <c r="FH7" s="2488">
        <f>IFERROR(FH5*FH6,"")</f>
        <v>0</v>
      </c>
      <c r="FI7" s="2827"/>
      <c r="FJ7" s="2488">
        <f>IFERROR(FJ5*FJ6,"")</f>
        <v>0</v>
      </c>
      <c r="FK7" s="2829"/>
      <c r="FL7" s="2488">
        <f>IFERROR(FL5*FL6,"")</f>
        <v>0</v>
      </c>
      <c r="FM7" s="818" t="str">
        <f t="shared" si="61"/>
        <v/>
      </c>
      <c r="FN7" s="2809"/>
      <c r="FO7" s="2802"/>
      <c r="FP7" s="2514">
        <f t="shared" si="8"/>
        <v>0</v>
      </c>
      <c r="FQ7" s="2802"/>
      <c r="FR7" s="2509" t="str">
        <f t="shared" si="62"/>
        <v/>
      </c>
      <c r="FS7" s="2799" t="str">
        <f t="shared" si="63"/>
        <v>-</v>
      </c>
      <c r="FT7" s="2511"/>
    </row>
    <row r="8" spans="1:176" ht="30" customHeight="1">
      <c r="A8" s="2803"/>
      <c r="B8" s="798" t="s">
        <v>479</v>
      </c>
      <c r="C8" s="799" t="s">
        <v>475</v>
      </c>
      <c r="D8" s="2489">
        <f t="shared" si="64"/>
        <v>227448</v>
      </c>
      <c r="E8" s="2427">
        <f>SUM(U8,AK8,BA8,BQ8,CG8,CW8,DM8,EC8,ES8,FI8)</f>
        <v>465998</v>
      </c>
      <c r="F8" s="2489">
        <f t="shared" si="64"/>
        <v>304524.55177415238</v>
      </c>
      <c r="G8" s="2427">
        <f>SUM(W8,AM8,BC8,BS8,CI8,CY8,DO8,EE8,EU8,FK8)</f>
        <v>690927</v>
      </c>
      <c r="H8" s="2489">
        <f t="shared" si="64"/>
        <v>291452</v>
      </c>
      <c r="I8" s="818">
        <f t="shared" si="9"/>
        <v>95.707225674254502</v>
      </c>
      <c r="J8" s="826">
        <f>SUM(Z8,AP8,BF8,BV8,CL8,DB8,DR8,EH8,EX8,FN8)</f>
        <v>808273</v>
      </c>
      <c r="K8" s="221">
        <f>IFERROR(J8*100/G8,"")</f>
        <v>116.98384923443432</v>
      </c>
      <c r="L8" s="2515">
        <f t="shared" si="10"/>
        <v>64004</v>
      </c>
      <c r="M8" s="221">
        <f>IFERROR(J8-E8,"")</f>
        <v>342275</v>
      </c>
      <c r="N8" s="2516">
        <f t="shared" si="11"/>
        <v>28.140058386971969</v>
      </c>
      <c r="O8" s="221">
        <f>IFERROR((J8-E8)*100/E8,"")</f>
        <v>73.449886051013095</v>
      </c>
      <c r="P8" s="2545">
        <v>1</v>
      </c>
      <c r="Q8" s="2803"/>
      <c r="R8" s="798" t="str">
        <f t="shared" si="13"/>
        <v>باربری</v>
      </c>
      <c r="S8" s="799" t="str">
        <f t="shared" si="14"/>
        <v>تن</v>
      </c>
      <c r="T8" s="2489">
        <f>IFERROR(2*T5,"")</f>
        <v>22250</v>
      </c>
      <c r="U8" s="2404">
        <v>40772</v>
      </c>
      <c r="V8" s="2489">
        <f>IFERROR(2*V5,"")</f>
        <v>76994.53122207406</v>
      </c>
      <c r="W8" s="2408">
        <v>138874</v>
      </c>
      <c r="X8" s="2489">
        <f>IFERROR(2*X5,"")</f>
        <v>5782</v>
      </c>
      <c r="Y8" s="820">
        <f t="shared" si="15"/>
        <v>7.5096242658106096</v>
      </c>
      <c r="Z8" s="826">
        <v>14688</v>
      </c>
      <c r="AA8" s="221">
        <f>IFERROR(Z8*100/W8,"")</f>
        <v>10.576493800135374</v>
      </c>
      <c r="AB8" s="2603">
        <f t="shared" si="0"/>
        <v>-16468</v>
      </c>
      <c r="AC8" s="3378">
        <f t="shared" ref="AC8:AC25" si="65">Z8-U8</f>
        <v>-26084</v>
      </c>
      <c r="AD8" s="2516">
        <f t="shared" si="16"/>
        <v>-74.013483146067415</v>
      </c>
      <c r="AE8" s="221">
        <f>IFERROR((Z8-U8)*100/U8,"")</f>
        <v>-63.975277150985974</v>
      </c>
      <c r="AF8" s="2511"/>
      <c r="AG8" s="2803"/>
      <c r="AH8" s="798" t="str">
        <f t="shared" si="18"/>
        <v>باربری</v>
      </c>
      <c r="AI8" s="799" t="str">
        <f t="shared" si="19"/>
        <v>تن</v>
      </c>
      <c r="AJ8" s="2489">
        <f>IFERROR(2*AJ5,"")</f>
        <v>19798</v>
      </c>
      <c r="AK8" s="2404">
        <v>9720</v>
      </c>
      <c r="AL8" s="2489">
        <f>IFERROR(2*AL5,"")</f>
        <v>32640.778550769955</v>
      </c>
      <c r="AM8" s="2408">
        <v>16351</v>
      </c>
      <c r="AN8" s="2489">
        <f>IFERROR(2*AN5,"")</f>
        <v>12618</v>
      </c>
      <c r="AO8" s="820">
        <f t="shared" si="20"/>
        <v>38.65716615911527</v>
      </c>
      <c r="AP8" s="826">
        <v>25516</v>
      </c>
      <c r="AQ8" s="221">
        <f>IFERROR(AP8*100/AM8,"")</f>
        <v>156.05161763806495</v>
      </c>
      <c r="AR8" s="2603">
        <f t="shared" si="1"/>
        <v>-7180</v>
      </c>
      <c r="AS8" s="221">
        <f t="shared" ref="AS8:AS25" si="66">AP8-AK8</f>
        <v>15796</v>
      </c>
      <c r="AT8" s="2516">
        <f t="shared" si="21"/>
        <v>-36.266289524194363</v>
      </c>
      <c r="AU8" s="221">
        <f>IFERROR((AP8-AK8)*100/AK8,"")</f>
        <v>162.51028806584361</v>
      </c>
      <c r="AV8" s="2511"/>
      <c r="AW8" s="2803"/>
      <c r="AX8" s="798" t="str">
        <f t="shared" si="23"/>
        <v>باربری</v>
      </c>
      <c r="AY8" s="799" t="str">
        <f t="shared" si="24"/>
        <v>تن</v>
      </c>
      <c r="AZ8" s="2489">
        <f>IFERROR(2*AZ5,"")</f>
        <v>15764</v>
      </c>
      <c r="BA8" s="2404">
        <v>32643</v>
      </c>
      <c r="BB8" s="2489">
        <f>IFERROR(2*BB5,"")</f>
        <v>18543.222777139272</v>
      </c>
      <c r="BC8" s="2408">
        <v>57439</v>
      </c>
      <c r="BD8" s="2489">
        <f>IFERROR(2*BD5,"")</f>
        <v>13556</v>
      </c>
      <c r="BE8" s="820">
        <f t="shared" si="25"/>
        <v>73.104875904917165</v>
      </c>
      <c r="BF8" s="826">
        <v>43718</v>
      </c>
      <c r="BG8" s="221">
        <f>IFERROR(BF8*100/BC8,"")</f>
        <v>76.112049304479541</v>
      </c>
      <c r="BH8" s="2603">
        <f t="shared" si="26"/>
        <v>-2208</v>
      </c>
      <c r="BI8" s="221">
        <f t="shared" ref="BI8:BI25" si="67">BF8-BA8</f>
        <v>11075</v>
      </c>
      <c r="BJ8" s="2516">
        <f t="shared" si="27"/>
        <v>-14.006597310327328</v>
      </c>
      <c r="BK8" s="221">
        <f>IFERROR((BF8-BA8)*100/BA8,"")</f>
        <v>33.927641454523176</v>
      </c>
      <c r="BL8" s="2511"/>
      <c r="BM8" s="2803"/>
      <c r="BN8" s="798" t="str">
        <f t="shared" si="29"/>
        <v>باربری</v>
      </c>
      <c r="BO8" s="799" t="str">
        <f t="shared" si="30"/>
        <v>تن</v>
      </c>
      <c r="BP8" s="2489">
        <f>IFERROR(2*BP5,"")</f>
        <v>80560</v>
      </c>
      <c r="BQ8" s="2404">
        <v>311287</v>
      </c>
      <c r="BR8" s="2489">
        <f>IFERROR(2*BR5,"")</f>
        <v>75921.42971731897</v>
      </c>
      <c r="BS8" s="2408">
        <v>385608</v>
      </c>
      <c r="BT8" s="2489">
        <f>IFERROR(2*BT5,"")</f>
        <v>125716</v>
      </c>
      <c r="BU8" s="820">
        <f t="shared" si="31"/>
        <v>165.58697652044088</v>
      </c>
      <c r="BV8" s="826">
        <v>515378</v>
      </c>
      <c r="BW8" s="221">
        <f>IFERROR(BV8*100/BS8,"")</f>
        <v>133.65334744092445</v>
      </c>
      <c r="BX8" s="2660">
        <f t="shared" si="2"/>
        <v>45156</v>
      </c>
      <c r="BY8" s="221">
        <f t="shared" ref="BY8:BY25" si="68">BV8-BQ8</f>
        <v>204091</v>
      </c>
      <c r="BZ8" s="2516">
        <f t="shared" si="32"/>
        <v>56.05263157894737</v>
      </c>
      <c r="CA8" s="221">
        <f>IFERROR((BV8-BQ8)*100/BQ8,"")</f>
        <v>65.563611715233847</v>
      </c>
      <c r="CB8" s="2511"/>
      <c r="CC8" s="2803"/>
      <c r="CD8" s="798" t="str">
        <f t="shared" si="34"/>
        <v>باربری</v>
      </c>
      <c r="CE8" s="799" t="str">
        <f t="shared" si="35"/>
        <v>تن</v>
      </c>
      <c r="CF8" s="2489">
        <f>IFERROR(2*CF5,"")</f>
        <v>21652</v>
      </c>
      <c r="CG8" s="2404">
        <v>24587</v>
      </c>
      <c r="CH8" s="2489">
        <f>IFERROR(2*CH5,"")</f>
        <v>11548.869487351689</v>
      </c>
      <c r="CI8" s="2408">
        <v>18793</v>
      </c>
      <c r="CJ8" s="2489">
        <f>IFERROR(2*CJ5,"")</f>
        <v>12802</v>
      </c>
      <c r="CK8" s="820">
        <f t="shared" si="36"/>
        <v>110.85067689110817</v>
      </c>
      <c r="CL8" s="826">
        <v>21518</v>
      </c>
      <c r="CM8" s="221">
        <f>IFERROR(CL8*100/CI8,"")</f>
        <v>114.50007981695312</v>
      </c>
      <c r="CN8" s="2603">
        <f t="shared" si="3"/>
        <v>-8850</v>
      </c>
      <c r="CO8" s="3378">
        <f t="shared" ref="CO8:CO25" si="69">CL8-CG8</f>
        <v>-3069</v>
      </c>
      <c r="CP8" s="2516">
        <f t="shared" si="37"/>
        <v>-40.873822279697023</v>
      </c>
      <c r="CQ8" s="221">
        <f>IFERROR((CL8-CG8)*100/CG8,"")</f>
        <v>-12.482206043844307</v>
      </c>
      <c r="CR8" s="2511"/>
      <c r="CS8" s="2803"/>
      <c r="CT8" s="798" t="str">
        <f t="shared" si="39"/>
        <v>باربری</v>
      </c>
      <c r="CU8" s="799" t="str">
        <f t="shared" si="40"/>
        <v>تن</v>
      </c>
      <c r="CV8" s="2489">
        <f>IFERROR(2*CV5,"")</f>
        <v>40</v>
      </c>
      <c r="CW8" s="2404">
        <v>53</v>
      </c>
      <c r="CX8" s="2489">
        <f>IFERROR(2*CX5,"")</f>
        <v>66.941155555555554</v>
      </c>
      <c r="CY8" s="2408">
        <v>60</v>
      </c>
      <c r="CZ8" s="2489">
        <f>IFERROR(2*CZ5,"")</f>
        <v>3904</v>
      </c>
      <c r="DA8" s="820">
        <f t="shared" si="41"/>
        <v>5831.9877623863349</v>
      </c>
      <c r="DB8" s="826">
        <v>2362</v>
      </c>
      <c r="DC8" s="221">
        <f>IFERROR(DB8*100/CY8,"")</f>
        <v>3936.6666666666665</v>
      </c>
      <c r="DD8" s="2660">
        <f t="shared" si="4"/>
        <v>3864</v>
      </c>
      <c r="DE8" s="221">
        <f t="shared" ref="DE8:DE25" si="70">DB8-CW8</f>
        <v>2309</v>
      </c>
      <c r="DF8" s="2516">
        <f t="shared" si="42"/>
        <v>9660</v>
      </c>
      <c r="DG8" s="221">
        <f>IFERROR((DB8-CW8)*100/CW8,"")</f>
        <v>4356.6037735849059</v>
      </c>
      <c r="DH8" s="2511"/>
      <c r="DI8" s="2803"/>
      <c r="DJ8" s="798" t="str">
        <f t="shared" si="44"/>
        <v>باربری</v>
      </c>
      <c r="DK8" s="799" t="str">
        <f t="shared" si="45"/>
        <v>تن</v>
      </c>
      <c r="DL8" s="2489">
        <f>IFERROR(2*DL5,"")</f>
        <v>65386</v>
      </c>
      <c r="DM8" s="2404">
        <v>46190</v>
      </c>
      <c r="DN8" s="2489">
        <f>IFERROR(2*DN5,"")</f>
        <v>75797.753710568664</v>
      </c>
      <c r="DO8" s="2408">
        <v>69943</v>
      </c>
      <c r="DP8" s="2489">
        <f>IFERROR(2*DP5,"")</f>
        <v>103388</v>
      </c>
      <c r="DQ8" s="820">
        <f t="shared" si="46"/>
        <v>136.39982049439595</v>
      </c>
      <c r="DR8" s="826">
        <v>163436</v>
      </c>
      <c r="DS8" s="221">
        <f>IFERROR(DR8*100/DO8,"")</f>
        <v>233.67027436626967</v>
      </c>
      <c r="DT8" s="2660">
        <f t="shared" si="5"/>
        <v>38002</v>
      </c>
      <c r="DU8" s="221">
        <f t="shared" ref="DU8:DU25" si="71">DR8-DM8</f>
        <v>117246</v>
      </c>
      <c r="DV8" s="2516">
        <f t="shared" si="47"/>
        <v>58.119475116997521</v>
      </c>
      <c r="DW8" s="221">
        <f>IFERROR((DR8-DM8)*100/DM8,"")</f>
        <v>253.83416323879626</v>
      </c>
      <c r="DX8" s="2511"/>
      <c r="DY8" s="2803"/>
      <c r="DZ8" s="798" t="str">
        <f t="shared" si="49"/>
        <v>باربری</v>
      </c>
      <c r="EA8" s="799" t="str">
        <f t="shared" si="50"/>
        <v>تن</v>
      </c>
      <c r="EB8" s="2489">
        <f>IFERROR(2*EB5,"")</f>
        <v>746</v>
      </c>
      <c r="EC8" s="2404">
        <v>215</v>
      </c>
      <c r="ED8" s="2489">
        <f>IFERROR(2*ED5,"")</f>
        <v>6138.2251533742337</v>
      </c>
      <c r="EE8" s="2408">
        <v>1417</v>
      </c>
      <c r="EF8" s="2489">
        <f>IFERROR(2*EF5,"")</f>
        <v>192</v>
      </c>
      <c r="EG8" s="820">
        <f t="shared" si="51"/>
        <v>3.1279400022408104</v>
      </c>
      <c r="EH8" s="826">
        <v>259</v>
      </c>
      <c r="EI8" s="221">
        <f>IFERROR(EH8*100/EE8,"")</f>
        <v>18.278052223006352</v>
      </c>
      <c r="EJ8" s="2603">
        <f t="shared" si="6"/>
        <v>-554</v>
      </c>
      <c r="EK8" s="221">
        <f t="shared" ref="EK8:EK25" si="72">EH8-EC8</f>
        <v>44</v>
      </c>
      <c r="EL8" s="2516">
        <f t="shared" si="52"/>
        <v>-74.262734584450399</v>
      </c>
      <c r="EM8" s="221">
        <f>IFERROR((EH8-EC8)*100/EC8,"")</f>
        <v>20.465116279069768</v>
      </c>
      <c r="EN8" s="2511"/>
      <c r="EO8" s="2803"/>
      <c r="EP8" s="798" t="str">
        <f t="shared" si="54"/>
        <v>باربری</v>
      </c>
      <c r="EQ8" s="799" t="str">
        <f t="shared" si="55"/>
        <v>تن</v>
      </c>
      <c r="ER8" s="2489">
        <f>IFERROR(2*ER5,"")</f>
        <v>1252</v>
      </c>
      <c r="ES8" s="2404">
        <v>531</v>
      </c>
      <c r="ET8" s="2489">
        <f>IFERROR(2*ET5,"")</f>
        <v>6872.7999999999993</v>
      </c>
      <c r="EU8" s="2408">
        <v>2442</v>
      </c>
      <c r="EV8" s="2489">
        <f>IFERROR(2*EV5,"")</f>
        <v>13494</v>
      </c>
      <c r="EW8" s="820">
        <f t="shared" si="56"/>
        <v>196.33919217786058</v>
      </c>
      <c r="EX8" s="826">
        <v>21398</v>
      </c>
      <c r="EY8" s="221">
        <f>IFERROR(EX8*100/EU8,"")</f>
        <v>876.24897624897631</v>
      </c>
      <c r="EZ8" s="2660">
        <f t="shared" si="7"/>
        <v>12242</v>
      </c>
      <c r="FA8" s="221">
        <f t="shared" ref="FA8:FA25" si="73">EX8-ES8</f>
        <v>20867</v>
      </c>
      <c r="FB8" s="2516">
        <f t="shared" si="57"/>
        <v>977.7955271565495</v>
      </c>
      <c r="FC8" s="221">
        <f>IFERROR((EX8-ES8)*100/ES8,"")</f>
        <v>3929.7551789077211</v>
      </c>
      <c r="FD8" s="2511"/>
      <c r="FE8" s="2803"/>
      <c r="FF8" s="798" t="str">
        <f t="shared" si="59"/>
        <v>باربری</v>
      </c>
      <c r="FG8" s="799" t="str">
        <f t="shared" si="60"/>
        <v>تن</v>
      </c>
      <c r="FH8" s="2489">
        <f>IFERROR(2*FH5,"")</f>
        <v>0</v>
      </c>
      <c r="FI8" s="2404"/>
      <c r="FJ8" s="2489">
        <f>IFERROR(2*FJ5,"")</f>
        <v>0</v>
      </c>
      <c r="FK8" s="2408"/>
      <c r="FL8" s="2489">
        <f>IFERROR(2*FL5,"")</f>
        <v>0</v>
      </c>
      <c r="FM8" s="820" t="str">
        <f t="shared" si="61"/>
        <v/>
      </c>
      <c r="FN8" s="826"/>
      <c r="FO8" s="221" t="str">
        <f>IFERROR(FN8*100/FK8,"")</f>
        <v/>
      </c>
      <c r="FP8" s="2515">
        <f t="shared" si="8"/>
        <v>0</v>
      </c>
      <c r="FQ8" s="221">
        <f t="shared" ref="FQ8:FQ25" si="74">FN8-FI8</f>
        <v>0</v>
      </c>
      <c r="FR8" s="2516" t="str">
        <f t="shared" si="62"/>
        <v/>
      </c>
      <c r="FS8" s="221" t="str">
        <f>IFERROR((FN8-FI8)*100/FI8,"")</f>
        <v/>
      </c>
      <c r="FT8" s="2511"/>
    </row>
    <row r="9" spans="1:176" ht="30" customHeight="1">
      <c r="A9" s="2803"/>
      <c r="B9" s="798" t="s">
        <v>480</v>
      </c>
      <c r="C9" s="799" t="s">
        <v>475</v>
      </c>
      <c r="D9" s="2513">
        <f t="shared" si="64"/>
        <v>3902</v>
      </c>
      <c r="E9" s="809">
        <f t="shared" ref="E9:G12" si="75">SUM(U9,AK9,BA9,BQ9,CG9,CW9,DM9,EC9,ES9,FI9)</f>
        <v>151</v>
      </c>
      <c r="F9" s="2513">
        <f t="shared" si="64"/>
        <v>9774.4184502281296</v>
      </c>
      <c r="G9" s="809">
        <f t="shared" si="75"/>
        <v>67</v>
      </c>
      <c r="H9" s="2513">
        <f t="shared" si="64"/>
        <v>657</v>
      </c>
      <c r="I9" s="808">
        <f t="shared" si="9"/>
        <v>6.7216275151865021</v>
      </c>
      <c r="J9" s="826">
        <f t="shared" ref="J9:J12" si="76">SUM(Z9,AP9,BF9,BV9,CL9,DB9,DR9,EH9,EX9,FN9)</f>
        <v>479</v>
      </c>
      <c r="K9" s="221">
        <f t="shared" ref="K9:K12" si="77">IFERROR(J9*100/G9,"")</f>
        <v>714.92537313432831</v>
      </c>
      <c r="L9" s="2515">
        <f t="shared" si="10"/>
        <v>-3245</v>
      </c>
      <c r="M9" s="221">
        <f t="shared" ref="M9:M12" si="78">IFERROR(J9-E9,"")</f>
        <v>328</v>
      </c>
      <c r="N9" s="222">
        <f t="shared" si="11"/>
        <v>-83.162480779087645</v>
      </c>
      <c r="O9" s="221">
        <f t="shared" ref="O9:O11" si="79">IFERROR((J9-E9)*100/E9,"")</f>
        <v>217.21854304635761</v>
      </c>
      <c r="P9" s="2545">
        <v>1</v>
      </c>
      <c r="Q9" s="2803"/>
      <c r="R9" s="798" t="str">
        <f t="shared" si="13"/>
        <v>حمل یکسره</v>
      </c>
      <c r="S9" s="799" t="str">
        <f t="shared" si="14"/>
        <v>تن</v>
      </c>
      <c r="T9" s="2489">
        <f>SUMIFS(واردات!$C$42:$C$51,واردات!$AA$42:$AA$51,AF2)</f>
        <v>3822</v>
      </c>
      <c r="U9" s="2404">
        <v>26</v>
      </c>
      <c r="V9" s="2489">
        <f>SUMIFS(واردات!$G$42:$G$51,واردات!$AA$42:$AA$51,AF2)</f>
        <v>9716.27363125185</v>
      </c>
      <c r="W9" s="2408">
        <v>67</v>
      </c>
      <c r="X9" s="2489">
        <f>SUMIFS(واردات!$K$42:$K$51,واردات!$AA$42:$AA$51,AF2)</f>
        <v>40</v>
      </c>
      <c r="Y9" s="821">
        <f t="shared" si="15"/>
        <v>0.41168046020587812</v>
      </c>
      <c r="Z9" s="826">
        <v>26</v>
      </c>
      <c r="AA9" s="221">
        <f>IFERROR(Z9*100/W9,"")</f>
        <v>38.805970149253731</v>
      </c>
      <c r="AB9" s="2603">
        <f t="shared" si="0"/>
        <v>-3782</v>
      </c>
      <c r="AC9" s="221">
        <f>Z9-U9</f>
        <v>0</v>
      </c>
      <c r="AD9" s="222">
        <f t="shared" si="16"/>
        <v>-98.953427524856096</v>
      </c>
      <c r="AE9" s="221">
        <f t="shared" ref="AE9:AE11" si="80">IFERROR((Z9-U9)*100/U9,"")</f>
        <v>0</v>
      </c>
      <c r="AF9" s="2511"/>
      <c r="AG9" s="2803"/>
      <c r="AH9" s="798" t="str">
        <f t="shared" si="18"/>
        <v>حمل یکسره</v>
      </c>
      <c r="AI9" s="799" t="str">
        <f t="shared" si="19"/>
        <v>تن</v>
      </c>
      <c r="AJ9" s="2489">
        <f>SUMIFS(واردات!$C$42:$C$51,واردات!$AA$42:$AA$51,AV2)</f>
        <v>0</v>
      </c>
      <c r="AK9" s="2404"/>
      <c r="AL9" s="2489">
        <f>SUMIFS(واردات!$G$42:$G$51,واردات!$AA$42:$AA$51,AV2)</f>
        <v>0</v>
      </c>
      <c r="AM9" s="2408"/>
      <c r="AN9" s="2489">
        <f>SUMIFS(واردات!$K$42:$K$51,واردات!$AA$42:$AA$51,AV2)</f>
        <v>493</v>
      </c>
      <c r="AO9" s="821" t="str">
        <f t="shared" si="20"/>
        <v/>
      </c>
      <c r="AP9" s="826">
        <v>292</v>
      </c>
      <c r="AQ9" s="221" t="str">
        <f>IFERROR(AP9*100/AM9,"")</f>
        <v/>
      </c>
      <c r="AR9" s="2515">
        <f t="shared" si="1"/>
        <v>493</v>
      </c>
      <c r="AS9" s="221">
        <f t="shared" si="66"/>
        <v>292</v>
      </c>
      <c r="AT9" s="222" t="str">
        <f t="shared" si="21"/>
        <v/>
      </c>
      <c r="AU9" s="221" t="str">
        <f t="shared" ref="AU9:AU11" si="81">IFERROR((AP9-AK9)*100/AK9,"")</f>
        <v/>
      </c>
      <c r="AV9" s="2511"/>
      <c r="AW9" s="2803"/>
      <c r="AX9" s="798" t="str">
        <f t="shared" si="23"/>
        <v>حمل یکسره</v>
      </c>
      <c r="AY9" s="799" t="str">
        <f t="shared" si="24"/>
        <v>تن</v>
      </c>
      <c r="AZ9" s="2489">
        <f>SUMIFS(واردات!$C$42:$C$51,واردات!$AA$42:$AA$51,BL2)</f>
        <v>0</v>
      </c>
      <c r="BA9" s="2404"/>
      <c r="BB9" s="2489">
        <f>SUMIFS(واردات!$G$42:$G$51,واردات!$AA$42:$AA$51,BL2)</f>
        <v>0</v>
      </c>
      <c r="BC9" s="2408"/>
      <c r="BD9" s="2489">
        <f>SUMIFS(واردات!$K$42:$K$51,واردات!$AA$42:$AA$51,BL2)</f>
        <v>0</v>
      </c>
      <c r="BE9" s="821" t="str">
        <f t="shared" si="25"/>
        <v/>
      </c>
      <c r="BF9" s="826"/>
      <c r="BG9" s="221" t="str">
        <f>IFERROR(BF9*100/BC9,"")</f>
        <v/>
      </c>
      <c r="BH9" s="2515">
        <f t="shared" si="26"/>
        <v>0</v>
      </c>
      <c r="BI9" s="221">
        <f t="shared" si="67"/>
        <v>0</v>
      </c>
      <c r="BJ9" s="222" t="str">
        <f t="shared" si="27"/>
        <v/>
      </c>
      <c r="BK9" s="221" t="str">
        <f t="shared" ref="BK9:BK11" si="82">IFERROR((BF9-BA9)*100/BA9,"")</f>
        <v/>
      </c>
      <c r="BL9" s="2511"/>
      <c r="BM9" s="2803"/>
      <c r="BN9" s="798" t="str">
        <f t="shared" si="29"/>
        <v>حمل یکسره</v>
      </c>
      <c r="BO9" s="799" t="str">
        <f t="shared" si="30"/>
        <v>تن</v>
      </c>
      <c r="BP9" s="2489">
        <f>SUMIFS(واردات!$C$42:$C$51,واردات!$AA$42:$AA$51,CB2)</f>
        <v>0</v>
      </c>
      <c r="BQ9" s="2404"/>
      <c r="BR9" s="2489">
        <f>SUMIFS(واردات!$G$42:$G$51,واردات!$AA$42:$AA$51,CB2)</f>
        <v>0</v>
      </c>
      <c r="BS9" s="2408"/>
      <c r="BT9" s="2489">
        <f>SUMIFS(واردات!$K$42:$K$51,واردات!$AA$42:$AA$51,CB2)</f>
        <v>0</v>
      </c>
      <c r="BU9" s="821" t="str">
        <f t="shared" si="31"/>
        <v/>
      </c>
      <c r="BV9" s="826"/>
      <c r="BW9" s="221" t="str">
        <f>IFERROR(BV9*100/BS9,"")</f>
        <v/>
      </c>
      <c r="BX9" s="2515">
        <f t="shared" si="2"/>
        <v>0</v>
      </c>
      <c r="BY9" s="221">
        <f t="shared" si="68"/>
        <v>0</v>
      </c>
      <c r="BZ9" s="222" t="str">
        <f t="shared" si="32"/>
        <v/>
      </c>
      <c r="CA9" s="221" t="str">
        <f t="shared" ref="CA9:CA11" si="83">IFERROR((BV9-BQ9)*100/BQ9,"")</f>
        <v/>
      </c>
      <c r="CB9" s="2511"/>
      <c r="CC9" s="2803"/>
      <c r="CD9" s="798" t="str">
        <f t="shared" si="34"/>
        <v>حمل یکسره</v>
      </c>
      <c r="CE9" s="799" t="str">
        <f t="shared" si="35"/>
        <v>تن</v>
      </c>
      <c r="CF9" s="2489">
        <f>SUMIFS(واردات!$C$42:$C$51,واردات!$AA$42:$AA$51,CR2)</f>
        <v>1</v>
      </c>
      <c r="CG9" s="2404"/>
      <c r="CH9" s="2489">
        <f>SUMIFS(واردات!$G$42:$G$51,واردات!$AA$42:$AA$51,CR2)</f>
        <v>0</v>
      </c>
      <c r="CI9" s="2408"/>
      <c r="CJ9" s="2489">
        <f>SUMIFS(واردات!$K$42:$K$51,واردات!$AA$42:$AA$51,CR2)</f>
        <v>0</v>
      </c>
      <c r="CK9" s="821" t="str">
        <f t="shared" si="36"/>
        <v/>
      </c>
      <c r="CL9" s="826"/>
      <c r="CM9" s="221" t="str">
        <f>IFERROR(CL9*100/CI9,"")</f>
        <v/>
      </c>
      <c r="CN9" s="2603">
        <f t="shared" si="3"/>
        <v>-1</v>
      </c>
      <c r="CO9" s="221">
        <f t="shared" si="69"/>
        <v>0</v>
      </c>
      <c r="CP9" s="222">
        <f t="shared" si="37"/>
        <v>-100</v>
      </c>
      <c r="CQ9" s="221" t="str">
        <f t="shared" ref="CQ9:CQ11" si="84">IFERROR((CL9-CG9)*100/CG9,"")</f>
        <v/>
      </c>
      <c r="CR9" s="2511"/>
      <c r="CS9" s="2803"/>
      <c r="CT9" s="798" t="str">
        <f t="shared" si="39"/>
        <v>حمل یکسره</v>
      </c>
      <c r="CU9" s="799" t="str">
        <f t="shared" si="40"/>
        <v>تن</v>
      </c>
      <c r="CV9" s="2489">
        <f>SUMIFS(واردات!$C$42:$C$51,واردات!$AA$42:$AA$51,DH2)</f>
        <v>0</v>
      </c>
      <c r="CW9" s="2404"/>
      <c r="CX9" s="2489">
        <f>SUMIFS(واردات!$G$42:$G$51,واردات!$AA$42:$AA$51,DH2)</f>
        <v>0</v>
      </c>
      <c r="CY9" s="2408"/>
      <c r="CZ9" s="2489">
        <f>SUMIFS(واردات!$K$42:$K$51,واردات!$AA$42:$AA$51,DH2)</f>
        <v>0</v>
      </c>
      <c r="DA9" s="821" t="str">
        <f t="shared" si="41"/>
        <v/>
      </c>
      <c r="DB9" s="826"/>
      <c r="DC9" s="221" t="str">
        <f>IFERROR(DB9*100/CY9,"")</f>
        <v/>
      </c>
      <c r="DD9" s="2515">
        <f t="shared" si="4"/>
        <v>0</v>
      </c>
      <c r="DE9" s="221">
        <f t="shared" si="70"/>
        <v>0</v>
      </c>
      <c r="DF9" s="222" t="str">
        <f t="shared" si="42"/>
        <v/>
      </c>
      <c r="DG9" s="221" t="str">
        <f t="shared" ref="DG9:DG11" si="85">IFERROR((DB9-CW9)*100/CW9,"")</f>
        <v/>
      </c>
      <c r="DH9" s="2511"/>
      <c r="DI9" s="2803"/>
      <c r="DJ9" s="798" t="str">
        <f t="shared" si="44"/>
        <v>حمل یکسره</v>
      </c>
      <c r="DK9" s="799" t="str">
        <f t="shared" si="45"/>
        <v>تن</v>
      </c>
      <c r="DL9" s="2489">
        <f>SUMIFS(واردات!$C$42:$C$51,واردات!$AA$42:$AA$51,DX2)</f>
        <v>50</v>
      </c>
      <c r="DM9" s="2404">
        <v>125</v>
      </c>
      <c r="DN9" s="2489">
        <f>SUMIFS(واردات!$G$42:$G$51,واردات!$AA$42:$AA$51,DX2)</f>
        <v>0</v>
      </c>
      <c r="DO9" s="2408"/>
      <c r="DP9" s="2489">
        <f>SUMIFS(واردات!$K$42:$K$51,واردات!$AA$42:$AA$51,DX2)</f>
        <v>86</v>
      </c>
      <c r="DQ9" s="821" t="str">
        <f t="shared" si="46"/>
        <v/>
      </c>
      <c r="DR9" s="826">
        <v>128</v>
      </c>
      <c r="DS9" s="221" t="str">
        <f>IFERROR(DR9*100/DO9,"")</f>
        <v/>
      </c>
      <c r="DT9" s="2660">
        <f t="shared" si="5"/>
        <v>36</v>
      </c>
      <c r="DU9" s="221">
        <f t="shared" si="71"/>
        <v>3</v>
      </c>
      <c r="DV9" s="222">
        <f t="shared" si="47"/>
        <v>72</v>
      </c>
      <c r="DW9" s="221">
        <f t="shared" ref="DW9:DW11" si="86">IFERROR((DR9-DM9)*100/DM9,"")</f>
        <v>2.4</v>
      </c>
      <c r="DX9" s="2511"/>
      <c r="DY9" s="2803"/>
      <c r="DZ9" s="798" t="str">
        <f t="shared" si="49"/>
        <v>حمل یکسره</v>
      </c>
      <c r="EA9" s="799" t="str">
        <f t="shared" si="50"/>
        <v>تن</v>
      </c>
      <c r="EB9" s="2489">
        <f>SUMIFS(واردات!$C$42:$C$51,واردات!$AA$42:$AA$51,EN2)</f>
        <v>29</v>
      </c>
      <c r="EC9" s="2404"/>
      <c r="ED9" s="2489">
        <f>SUMIFS(واردات!$G$42:$G$51,واردات!$AA$42:$AA$51,EN2)</f>
        <v>58.144818976279652</v>
      </c>
      <c r="EE9" s="2408"/>
      <c r="EF9" s="2489">
        <f>SUMIFS(واردات!$K$42:$K$51,واردات!$AA$42:$AA$51,EN2)</f>
        <v>38</v>
      </c>
      <c r="EG9" s="821">
        <f t="shared" si="51"/>
        <v>65.354060205264744</v>
      </c>
      <c r="EH9" s="826">
        <v>33</v>
      </c>
      <c r="EI9" s="221" t="str">
        <f>IFERROR(EH9*100/EE9,"")</f>
        <v/>
      </c>
      <c r="EJ9" s="2660">
        <f t="shared" si="6"/>
        <v>9</v>
      </c>
      <c r="EK9" s="221">
        <f t="shared" si="72"/>
        <v>33</v>
      </c>
      <c r="EL9" s="222">
        <f t="shared" si="52"/>
        <v>31.03448275862069</v>
      </c>
      <c r="EM9" s="221" t="str">
        <f t="shared" ref="EM9:EM11" si="87">IFERROR((EH9-EC9)*100/EC9,"")</f>
        <v/>
      </c>
      <c r="EN9" s="2511"/>
      <c r="EO9" s="2803"/>
      <c r="EP9" s="798" t="str">
        <f t="shared" si="54"/>
        <v>حمل یکسره</v>
      </c>
      <c r="EQ9" s="799" t="str">
        <f t="shared" si="55"/>
        <v>تن</v>
      </c>
      <c r="ER9" s="2489">
        <f>SUMIFS(واردات!$C$42:$C$51,واردات!$AA$42:$AA$51,FD2)</f>
        <v>0</v>
      </c>
      <c r="ES9" s="2404"/>
      <c r="ET9" s="2489">
        <f>SUMIFS(واردات!$G$42:$G$51,واردات!$AA$42:$AA$51,FD2)</f>
        <v>0</v>
      </c>
      <c r="EU9" s="2408"/>
      <c r="EV9" s="2489">
        <f>SUMIFS(واردات!$K$42:$K$51,واردات!$AA$42:$AA$51,FD2)</f>
        <v>0</v>
      </c>
      <c r="EW9" s="821" t="str">
        <f t="shared" si="56"/>
        <v/>
      </c>
      <c r="EX9" s="826"/>
      <c r="EY9" s="221" t="str">
        <f>IFERROR(EX9*100/EU9,"")</f>
        <v/>
      </c>
      <c r="EZ9" s="2515">
        <f t="shared" si="7"/>
        <v>0</v>
      </c>
      <c r="FA9" s="221">
        <f t="shared" si="73"/>
        <v>0</v>
      </c>
      <c r="FB9" s="222" t="str">
        <f t="shared" si="57"/>
        <v/>
      </c>
      <c r="FC9" s="221" t="str">
        <f t="shared" ref="FC9:FC11" si="88">IFERROR((EX9-ES9)*100/ES9,"")</f>
        <v/>
      </c>
      <c r="FD9" s="2511"/>
      <c r="FE9" s="2803"/>
      <c r="FF9" s="798" t="str">
        <f t="shared" si="59"/>
        <v>حمل یکسره</v>
      </c>
      <c r="FG9" s="799" t="str">
        <f t="shared" si="60"/>
        <v>تن</v>
      </c>
      <c r="FH9" s="2489">
        <f>SUMIFS(واردات!$C$42:$C$51,واردات!$AA$42:$AA$51,FT2)</f>
        <v>0</v>
      </c>
      <c r="FI9" s="2404"/>
      <c r="FJ9" s="2489">
        <f>SUMIFS(واردات!$G$42:$G$51,واردات!$AA$42:$AA$51,FT2)</f>
        <v>0</v>
      </c>
      <c r="FK9" s="2408"/>
      <c r="FL9" s="2489">
        <f>SUMIFS(واردات!$K$42:$K$51,واردات!$AA$42:$AA$51,FT2)</f>
        <v>0</v>
      </c>
      <c r="FM9" s="821" t="str">
        <f t="shared" si="61"/>
        <v/>
      </c>
      <c r="FN9" s="826"/>
      <c r="FO9" s="221" t="str">
        <f>IFERROR(FN9*100/FK9,"")</f>
        <v/>
      </c>
      <c r="FP9" s="2515">
        <f t="shared" si="8"/>
        <v>0</v>
      </c>
      <c r="FQ9" s="221">
        <f t="shared" si="74"/>
        <v>0</v>
      </c>
      <c r="FR9" s="222" t="str">
        <f t="shared" si="62"/>
        <v/>
      </c>
      <c r="FS9" s="221" t="str">
        <f t="shared" ref="FS9:FS11" si="89">IFERROR((FN9-FI9)*100/FI9,"")</f>
        <v/>
      </c>
      <c r="FT9" s="2511"/>
    </row>
    <row r="10" spans="1:176" ht="30" customHeight="1">
      <c r="A10" s="2803"/>
      <c r="B10" s="798" t="s">
        <v>455</v>
      </c>
      <c r="C10" s="799" t="s">
        <v>475</v>
      </c>
      <c r="D10" s="2517">
        <f t="shared" si="64"/>
        <v>498346</v>
      </c>
      <c r="E10" s="2426">
        <f t="shared" si="75"/>
        <v>95843</v>
      </c>
      <c r="F10" s="2517">
        <f t="shared" si="64"/>
        <v>509431.766219393</v>
      </c>
      <c r="G10" s="2426">
        <f t="shared" si="75"/>
        <v>146941</v>
      </c>
      <c r="H10" s="2517">
        <f t="shared" si="64"/>
        <v>641162</v>
      </c>
      <c r="I10" s="808">
        <f t="shared" si="9"/>
        <v>125.85826847002622</v>
      </c>
      <c r="J10" s="826">
        <f>SUM(Z10,AP10,BF10,BV10,CL10,DB10,DR10,EH10,EX10,FN10)</f>
        <v>164419</v>
      </c>
      <c r="K10" s="221">
        <f t="shared" si="77"/>
        <v>111.89456992942746</v>
      </c>
      <c r="L10" s="2515">
        <f t="shared" si="10"/>
        <v>142816</v>
      </c>
      <c r="M10" s="221">
        <f t="shared" si="78"/>
        <v>68576</v>
      </c>
      <c r="N10" s="222">
        <f t="shared" si="11"/>
        <v>28.658000666203801</v>
      </c>
      <c r="O10" s="221">
        <f t="shared" si="79"/>
        <v>71.550347964900936</v>
      </c>
      <c r="P10" s="2545">
        <v>1</v>
      </c>
      <c r="Q10" s="2803"/>
      <c r="R10" s="798" t="str">
        <f t="shared" si="13"/>
        <v>ترانشیپ</v>
      </c>
      <c r="S10" s="799" t="str">
        <f t="shared" si="14"/>
        <v>تن</v>
      </c>
      <c r="T10" s="2489">
        <f>SUMIFS(واردات!$E$42:$E$51,واردات!$AA$42:$AA$51,AF2)</f>
        <v>0</v>
      </c>
      <c r="U10" s="2404"/>
      <c r="V10" s="2489">
        <f>SUMIFS(واردات!$I$42:$I$51,واردات!$AA$42:$AA$51,AF2)</f>
        <v>0</v>
      </c>
      <c r="W10" s="2408"/>
      <c r="X10" s="2489">
        <f>SUMIFS(واردات!$M$42:$M$51,واردات!$AA$42:$AA$51,AF2)</f>
        <v>0</v>
      </c>
      <c r="Y10" s="821" t="str">
        <f t="shared" si="15"/>
        <v/>
      </c>
      <c r="Z10" s="826"/>
      <c r="AA10" s="221" t="str">
        <f t="shared" ref="AA10:AA12" si="90">IFERROR(Z10*100/W10,"")</f>
        <v/>
      </c>
      <c r="AB10" s="2515">
        <f t="shared" si="0"/>
        <v>0</v>
      </c>
      <c r="AC10" s="221">
        <f t="shared" si="65"/>
        <v>0</v>
      </c>
      <c r="AD10" s="222" t="str">
        <f t="shared" si="16"/>
        <v/>
      </c>
      <c r="AE10" s="221" t="str">
        <f t="shared" si="80"/>
        <v/>
      </c>
      <c r="AF10" s="2511"/>
      <c r="AG10" s="2803"/>
      <c r="AH10" s="798" t="str">
        <f t="shared" si="18"/>
        <v>ترانشیپ</v>
      </c>
      <c r="AI10" s="799" t="str">
        <f t="shared" si="19"/>
        <v>تن</v>
      </c>
      <c r="AJ10" s="2489">
        <f>SUMIFS(واردات!$E$42:$E$51,واردات!$AA$42:$AA$51,AV2)</f>
        <v>0</v>
      </c>
      <c r="AK10" s="2404"/>
      <c r="AL10" s="2489">
        <f>SUMIFS(واردات!$I$42:$I$51,واردات!$AA$42:$AA$51,AV2)</f>
        <v>0</v>
      </c>
      <c r="AM10" s="2408"/>
      <c r="AN10" s="2489">
        <f>SUMIFS(واردات!$M$42:$M$51,واردات!$AA$42:$AA$51,AV2)</f>
        <v>2207</v>
      </c>
      <c r="AO10" s="821" t="str">
        <f t="shared" si="20"/>
        <v/>
      </c>
      <c r="AP10" s="826">
        <v>1557</v>
      </c>
      <c r="AQ10" s="221" t="str">
        <f t="shared" ref="AQ10:AQ12" si="91">IFERROR(AP10*100/AM10,"")</f>
        <v/>
      </c>
      <c r="AR10" s="2515">
        <f t="shared" si="1"/>
        <v>2207</v>
      </c>
      <c r="AS10" s="221">
        <f t="shared" si="66"/>
        <v>1557</v>
      </c>
      <c r="AT10" s="222" t="str">
        <f t="shared" si="21"/>
        <v/>
      </c>
      <c r="AU10" s="221" t="str">
        <f t="shared" si="81"/>
        <v/>
      </c>
      <c r="AV10" s="2511"/>
      <c r="AW10" s="2803"/>
      <c r="AX10" s="798" t="str">
        <f t="shared" si="23"/>
        <v>ترانشیپ</v>
      </c>
      <c r="AY10" s="799" t="str">
        <f t="shared" si="24"/>
        <v>تن</v>
      </c>
      <c r="AZ10" s="2489">
        <f>SUMIFS(واردات!$E$42:$E$51,واردات!$AA$42:$AA$51,BL2)</f>
        <v>29637</v>
      </c>
      <c r="BA10" s="2404">
        <v>8883</v>
      </c>
      <c r="BB10" s="2489">
        <f>SUMIFS(واردات!$I$42:$I$51,واردات!$AA$42:$AA$51,BL2)</f>
        <v>35361.703312900892</v>
      </c>
      <c r="BC10" s="2408">
        <v>14281</v>
      </c>
      <c r="BD10" s="2489">
        <f>SUMIFS(واردات!$M$42:$M$51,واردات!$AA$42:$AA$51,BL2)</f>
        <v>24810</v>
      </c>
      <c r="BE10" s="821">
        <f t="shared" si="25"/>
        <v>70.160647467874242</v>
      </c>
      <c r="BF10" s="826">
        <v>7949</v>
      </c>
      <c r="BG10" s="221">
        <f t="shared" ref="BG10:BG12" si="92">IFERROR(BF10*100/BC10,"")</f>
        <v>55.661368251523001</v>
      </c>
      <c r="BH10" s="2603">
        <f t="shared" si="26"/>
        <v>-4827</v>
      </c>
      <c r="BI10" s="3378">
        <f t="shared" si="67"/>
        <v>-934</v>
      </c>
      <c r="BJ10" s="222">
        <f t="shared" si="27"/>
        <v>-16.287073590444376</v>
      </c>
      <c r="BK10" s="221">
        <f t="shared" si="82"/>
        <v>-10.51446583361477</v>
      </c>
      <c r="BL10" s="2511"/>
      <c r="BM10" s="2803"/>
      <c r="BN10" s="798" t="str">
        <f t="shared" si="29"/>
        <v>ترانشیپ</v>
      </c>
      <c r="BO10" s="799" t="str">
        <f t="shared" si="30"/>
        <v>تن</v>
      </c>
      <c r="BP10" s="2489">
        <f>SUMIFS(واردات!$E$42:$E$51,واردات!$AA$42:$AA$51,CB2)</f>
        <v>418170</v>
      </c>
      <c r="BQ10" s="2404">
        <v>75305</v>
      </c>
      <c r="BR10" s="2489">
        <f>SUMIFS(واردات!$I$42:$I$51,واردات!$AA$42:$AA$51,CB2)</f>
        <v>401431.40062814206</v>
      </c>
      <c r="BS10" s="2408">
        <v>107863</v>
      </c>
      <c r="BT10" s="2489">
        <f>SUMIFS(واردات!$M$42:$M$51,واردات!$AA$42:$AA$51,CB2)</f>
        <v>489014</v>
      </c>
      <c r="BU10" s="821">
        <f t="shared" si="31"/>
        <v>121.81757561436713</v>
      </c>
      <c r="BV10" s="826">
        <v>130124</v>
      </c>
      <c r="BW10" s="221">
        <f t="shared" ref="BW10:BW12" si="93">IFERROR(BV10*100/BS10,"")</f>
        <v>120.63821699748755</v>
      </c>
      <c r="BX10" s="2660">
        <f t="shared" si="2"/>
        <v>70844</v>
      </c>
      <c r="BY10" s="221">
        <f t="shared" si="68"/>
        <v>54819</v>
      </c>
      <c r="BZ10" s="222">
        <f t="shared" si="32"/>
        <v>16.941435301432431</v>
      </c>
      <c r="CA10" s="221">
        <f t="shared" si="83"/>
        <v>72.795963083460592</v>
      </c>
      <c r="CB10" s="2511"/>
      <c r="CC10" s="2803"/>
      <c r="CD10" s="798" t="str">
        <f t="shared" si="34"/>
        <v>ترانشیپ</v>
      </c>
      <c r="CE10" s="799" t="str">
        <f t="shared" si="35"/>
        <v>تن</v>
      </c>
      <c r="CF10" s="2489">
        <f>SUMIFS(واردات!$E$42:$E$51,واردات!$AA$42:$AA$51,CR2)</f>
        <v>0</v>
      </c>
      <c r="CG10" s="2404"/>
      <c r="CH10" s="2489">
        <f>SUMIFS(واردات!$I$42:$I$51,واردات!$AA$42:$AA$51,CR2)</f>
        <v>0</v>
      </c>
      <c r="CI10" s="2408"/>
      <c r="CJ10" s="2489">
        <f>SUMIFS(واردات!$M$42:$M$51,واردات!$AA$42:$AA$51,CR2)</f>
        <v>0</v>
      </c>
      <c r="CK10" s="821" t="str">
        <f t="shared" si="36"/>
        <v/>
      </c>
      <c r="CL10" s="826"/>
      <c r="CM10" s="221" t="str">
        <f t="shared" ref="CM10:CM12" si="94">IFERROR(CL10*100/CI10,"")</f>
        <v/>
      </c>
      <c r="CN10" s="2515">
        <f t="shared" si="3"/>
        <v>0</v>
      </c>
      <c r="CO10" s="221">
        <f t="shared" si="69"/>
        <v>0</v>
      </c>
      <c r="CP10" s="222" t="str">
        <f t="shared" si="37"/>
        <v/>
      </c>
      <c r="CQ10" s="221" t="str">
        <f t="shared" si="84"/>
        <v/>
      </c>
      <c r="CR10" s="2511"/>
      <c r="CS10" s="2803"/>
      <c r="CT10" s="798" t="str">
        <f t="shared" si="39"/>
        <v>ترانشیپ</v>
      </c>
      <c r="CU10" s="799" t="str">
        <f t="shared" si="40"/>
        <v>تن</v>
      </c>
      <c r="CV10" s="2489">
        <f>SUMIFS(واردات!$E$42:$E$51,واردات!$AA$42:$AA$51,DH2)</f>
        <v>0</v>
      </c>
      <c r="CW10" s="2404"/>
      <c r="CX10" s="2489">
        <f>SUMIFS(واردات!$I$42:$I$51,واردات!$AA$42:$AA$51,DH2)</f>
        <v>0</v>
      </c>
      <c r="CY10" s="2408"/>
      <c r="CZ10" s="2489">
        <f>SUMIFS(واردات!$M$42:$M$51,واردات!$AA$42:$AA$51,DH2)</f>
        <v>0</v>
      </c>
      <c r="DA10" s="821" t="str">
        <f t="shared" si="41"/>
        <v/>
      </c>
      <c r="DB10" s="826"/>
      <c r="DC10" s="221" t="str">
        <f t="shared" ref="DC10:DC12" si="95">IFERROR(DB10*100/CY10,"")</f>
        <v/>
      </c>
      <c r="DD10" s="2515">
        <f t="shared" si="4"/>
        <v>0</v>
      </c>
      <c r="DE10" s="221">
        <f t="shared" si="70"/>
        <v>0</v>
      </c>
      <c r="DF10" s="222" t="str">
        <f t="shared" si="42"/>
        <v/>
      </c>
      <c r="DG10" s="221" t="str">
        <f t="shared" si="85"/>
        <v/>
      </c>
      <c r="DH10" s="2511"/>
      <c r="DI10" s="2803"/>
      <c r="DJ10" s="798" t="str">
        <f t="shared" si="44"/>
        <v>ترانشیپ</v>
      </c>
      <c r="DK10" s="799" t="str">
        <f t="shared" si="45"/>
        <v>تن</v>
      </c>
      <c r="DL10" s="2489">
        <f>SUMIFS(واردات!$E$42:$E$51,واردات!$AA$42:$AA$51,DX2)</f>
        <v>50539</v>
      </c>
      <c r="DM10" s="2404">
        <v>11655</v>
      </c>
      <c r="DN10" s="2489">
        <f>SUMIFS(واردات!$I$42:$I$51,واردات!$AA$42:$AA$51,DX2)</f>
        <v>72638.662278350035</v>
      </c>
      <c r="DO10" s="2408">
        <v>24797</v>
      </c>
      <c r="DP10" s="2489">
        <f>SUMIFS(واردات!$M$42:$M$51,واردات!$AA$42:$AA$51,DX2)</f>
        <v>125131</v>
      </c>
      <c r="DQ10" s="821">
        <f t="shared" si="46"/>
        <v>172.265011600159</v>
      </c>
      <c r="DR10" s="826">
        <v>24789</v>
      </c>
      <c r="DS10" s="221">
        <f t="shared" ref="DS10:DS12" si="96">IFERROR(DR10*100/DO10,"")</f>
        <v>99.967738032826546</v>
      </c>
      <c r="DT10" s="2660">
        <f t="shared" si="5"/>
        <v>74592</v>
      </c>
      <c r="DU10" s="221">
        <f t="shared" si="71"/>
        <v>13134</v>
      </c>
      <c r="DV10" s="222">
        <f t="shared" si="47"/>
        <v>147.59294802034071</v>
      </c>
      <c r="DW10" s="221">
        <f t="shared" si="86"/>
        <v>112.68983268983268</v>
      </c>
      <c r="DX10" s="2511"/>
      <c r="DY10" s="2803"/>
      <c r="DZ10" s="798" t="str">
        <f t="shared" si="49"/>
        <v>ترانشیپ</v>
      </c>
      <c r="EA10" s="799" t="str">
        <f t="shared" si="50"/>
        <v>تن</v>
      </c>
      <c r="EB10" s="2489">
        <f>SUMIFS(واردات!$E$42:$E$51,واردات!$AA$42:$AA$51,EN2)</f>
        <v>0</v>
      </c>
      <c r="EC10" s="2404"/>
      <c r="ED10" s="2489">
        <f>SUMIFS(واردات!$I$42:$I$51,واردات!$AA$42:$AA$51,EN2)</f>
        <v>0</v>
      </c>
      <c r="EE10" s="2408"/>
      <c r="EF10" s="2489">
        <f>SUMIFS(واردات!$M$42:$M$51,واردات!$AA$42:$AA$51,EN2)</f>
        <v>0</v>
      </c>
      <c r="EG10" s="821" t="str">
        <f t="shared" si="51"/>
        <v/>
      </c>
      <c r="EH10" s="826"/>
      <c r="EI10" s="221" t="str">
        <f t="shared" ref="EI10:EI12" si="97">IFERROR(EH10*100/EE10,"")</f>
        <v/>
      </c>
      <c r="EJ10" s="2515">
        <f t="shared" si="6"/>
        <v>0</v>
      </c>
      <c r="EK10" s="221">
        <f t="shared" si="72"/>
        <v>0</v>
      </c>
      <c r="EL10" s="222" t="str">
        <f t="shared" si="52"/>
        <v/>
      </c>
      <c r="EM10" s="221" t="str">
        <f t="shared" si="87"/>
        <v/>
      </c>
      <c r="EN10" s="2511"/>
      <c r="EO10" s="2803"/>
      <c r="EP10" s="798" t="str">
        <f t="shared" si="54"/>
        <v>ترانشیپ</v>
      </c>
      <c r="EQ10" s="799" t="str">
        <f t="shared" si="55"/>
        <v>تن</v>
      </c>
      <c r="ER10" s="2489">
        <f>SUMIFS(واردات!$E$42:$E$51,واردات!$AA$42:$AA$51,FD2)</f>
        <v>0</v>
      </c>
      <c r="ES10" s="2404"/>
      <c r="ET10" s="2489">
        <f>SUMIFS(واردات!$I$42:$I$51,واردات!$AA$42:$AA$51,FD2)</f>
        <v>0</v>
      </c>
      <c r="EU10" s="2408"/>
      <c r="EV10" s="2489">
        <f>SUMIFS(واردات!$M$42:$M$51,واردات!$AA$42:$AA$51,FD2)</f>
        <v>0</v>
      </c>
      <c r="EW10" s="821" t="str">
        <f t="shared" si="56"/>
        <v/>
      </c>
      <c r="EX10" s="826"/>
      <c r="EY10" s="221" t="str">
        <f t="shared" ref="EY10:EY12" si="98">IFERROR(EX10*100/EU10,"")</f>
        <v/>
      </c>
      <c r="EZ10" s="2515">
        <f t="shared" si="7"/>
        <v>0</v>
      </c>
      <c r="FA10" s="221">
        <f t="shared" si="73"/>
        <v>0</v>
      </c>
      <c r="FB10" s="222" t="str">
        <f t="shared" si="57"/>
        <v/>
      </c>
      <c r="FC10" s="221" t="str">
        <f t="shared" si="88"/>
        <v/>
      </c>
      <c r="FD10" s="2511"/>
      <c r="FE10" s="2803"/>
      <c r="FF10" s="798" t="str">
        <f t="shared" si="59"/>
        <v>ترانشیپ</v>
      </c>
      <c r="FG10" s="799" t="str">
        <f t="shared" si="60"/>
        <v>تن</v>
      </c>
      <c r="FH10" s="2489">
        <f>SUMIFS(واردات!$E$42:$E$51,واردات!$AA$42:$AA$51,FT2)</f>
        <v>0</v>
      </c>
      <c r="FI10" s="2404"/>
      <c r="FJ10" s="2489">
        <f>SUMIFS(واردات!$I$42:$I$51,واردات!$AA$42:$AA$51,FT2)</f>
        <v>0</v>
      </c>
      <c r="FK10" s="2408"/>
      <c r="FL10" s="2489">
        <f>SUMIFS(واردات!$M$42:$M$51,واردات!$AA$42:$AA$51,FT2)</f>
        <v>0</v>
      </c>
      <c r="FM10" s="821" t="str">
        <f t="shared" si="61"/>
        <v/>
      </c>
      <c r="FN10" s="826"/>
      <c r="FO10" s="221" t="str">
        <f t="shared" ref="FO10:FO12" si="99">IFERROR(FN10*100/FK10,"")</f>
        <v/>
      </c>
      <c r="FP10" s="2515">
        <f t="shared" si="8"/>
        <v>0</v>
      </c>
      <c r="FQ10" s="221">
        <f t="shared" si="74"/>
        <v>0</v>
      </c>
      <c r="FR10" s="222" t="str">
        <f t="shared" si="62"/>
        <v/>
      </c>
      <c r="FS10" s="221" t="str">
        <f t="shared" si="89"/>
        <v/>
      </c>
      <c r="FT10" s="2511"/>
    </row>
    <row r="11" spans="1:176" ht="30" customHeight="1">
      <c r="A11" s="2803"/>
      <c r="B11" s="798" t="s">
        <v>481</v>
      </c>
      <c r="C11" s="799" t="s">
        <v>666</v>
      </c>
      <c r="D11" s="810"/>
      <c r="E11" s="809">
        <f t="shared" si="75"/>
        <v>73454</v>
      </c>
      <c r="F11" s="810"/>
      <c r="G11" s="809">
        <f t="shared" si="75"/>
        <v>132255</v>
      </c>
      <c r="H11" s="2413"/>
      <c r="I11" s="822" t="s">
        <v>3219</v>
      </c>
      <c r="J11" s="826">
        <f t="shared" si="76"/>
        <v>118106</v>
      </c>
      <c r="K11" s="221">
        <f t="shared" si="77"/>
        <v>89.301727722959441</v>
      </c>
      <c r="L11" s="223"/>
      <c r="M11" s="221">
        <f t="shared" si="78"/>
        <v>44652</v>
      </c>
      <c r="N11" s="223"/>
      <c r="O11" s="221">
        <f t="shared" si="79"/>
        <v>60.789065265336127</v>
      </c>
      <c r="P11" s="2545">
        <v>1</v>
      </c>
      <c r="Q11" s="2803"/>
      <c r="R11" s="798" t="str">
        <f t="shared" si="13"/>
        <v>خدمات باربری</v>
      </c>
      <c r="S11" s="799" t="str">
        <f t="shared" si="14"/>
        <v>میلیون ریال</v>
      </c>
      <c r="T11" s="2413"/>
      <c r="U11" s="2404">
        <v>12286</v>
      </c>
      <c r="V11" s="2418"/>
      <c r="W11" s="2408">
        <v>38822</v>
      </c>
      <c r="X11" s="2423"/>
      <c r="Y11" s="822" t="s">
        <v>3219</v>
      </c>
      <c r="Z11" s="826">
        <v>3602</v>
      </c>
      <c r="AA11" s="221">
        <f t="shared" si="90"/>
        <v>9.2782442944722057</v>
      </c>
      <c r="AB11" s="223"/>
      <c r="AC11" s="3378">
        <f t="shared" si="65"/>
        <v>-8684</v>
      </c>
      <c r="AD11" s="223"/>
      <c r="AE11" s="221">
        <f t="shared" si="80"/>
        <v>-70.682077160996258</v>
      </c>
      <c r="AF11" s="2511"/>
      <c r="AG11" s="2803"/>
      <c r="AH11" s="798" t="str">
        <f t="shared" si="18"/>
        <v>خدمات باربری</v>
      </c>
      <c r="AI11" s="799" t="str">
        <f t="shared" si="19"/>
        <v>میلیون ریال</v>
      </c>
      <c r="AJ11" s="2413"/>
      <c r="AK11" s="2404">
        <v>2818</v>
      </c>
      <c r="AL11" s="2418"/>
      <c r="AM11" s="2408">
        <v>3883</v>
      </c>
      <c r="AN11" s="2423"/>
      <c r="AO11" s="822" t="s">
        <v>3219</v>
      </c>
      <c r="AP11" s="826">
        <v>1448</v>
      </c>
      <c r="AQ11" s="221">
        <f t="shared" si="91"/>
        <v>37.290754571207827</v>
      </c>
      <c r="AR11" s="223"/>
      <c r="AS11" s="3378">
        <f t="shared" si="66"/>
        <v>-1370</v>
      </c>
      <c r="AT11" s="223"/>
      <c r="AU11" s="221">
        <f t="shared" si="81"/>
        <v>-48.616039744499645</v>
      </c>
      <c r="AV11" s="2511"/>
      <c r="AW11" s="2803"/>
      <c r="AX11" s="798" t="str">
        <f t="shared" si="23"/>
        <v>خدمات باربری</v>
      </c>
      <c r="AY11" s="799" t="str">
        <f t="shared" si="24"/>
        <v>میلیون ریال</v>
      </c>
      <c r="AZ11" s="2413"/>
      <c r="BA11" s="2404">
        <v>6742</v>
      </c>
      <c r="BB11" s="2418"/>
      <c r="BC11" s="2408">
        <v>13533</v>
      </c>
      <c r="BD11" s="2423"/>
      <c r="BE11" s="822" t="s">
        <v>3219</v>
      </c>
      <c r="BF11" s="826">
        <v>6290</v>
      </c>
      <c r="BG11" s="221">
        <f t="shared" si="92"/>
        <v>46.478977314712182</v>
      </c>
      <c r="BH11" s="223"/>
      <c r="BI11" s="3378">
        <f t="shared" si="67"/>
        <v>-452</v>
      </c>
      <c r="BJ11" s="223"/>
      <c r="BK11" s="221">
        <f t="shared" si="82"/>
        <v>-6.7042420646692378</v>
      </c>
      <c r="BL11" s="2511"/>
      <c r="BM11" s="2803"/>
      <c r="BN11" s="798" t="str">
        <f t="shared" si="29"/>
        <v>خدمات باربری</v>
      </c>
      <c r="BO11" s="799" t="str">
        <f t="shared" si="30"/>
        <v>میلیون ریال</v>
      </c>
      <c r="BP11" s="2413"/>
      <c r="BQ11" s="2404">
        <v>40661</v>
      </c>
      <c r="BR11" s="2418"/>
      <c r="BS11" s="2408">
        <v>56411</v>
      </c>
      <c r="BT11" s="2423"/>
      <c r="BU11" s="822" t="s">
        <v>3219</v>
      </c>
      <c r="BV11" s="826">
        <v>59733</v>
      </c>
      <c r="BW11" s="221">
        <f t="shared" si="93"/>
        <v>105.88892237329598</v>
      </c>
      <c r="BX11" s="223"/>
      <c r="BY11" s="221">
        <f t="shared" si="68"/>
        <v>19072</v>
      </c>
      <c r="BZ11" s="223"/>
      <c r="CA11" s="221">
        <f t="shared" si="83"/>
        <v>46.904896583950226</v>
      </c>
      <c r="CB11" s="2511"/>
      <c r="CC11" s="2803"/>
      <c r="CD11" s="798" t="str">
        <f t="shared" si="34"/>
        <v>خدمات باربری</v>
      </c>
      <c r="CE11" s="799" t="str">
        <f t="shared" si="35"/>
        <v>میلیون ریال</v>
      </c>
      <c r="CF11" s="2413"/>
      <c r="CG11" s="2404">
        <v>1149</v>
      </c>
      <c r="CH11" s="2418"/>
      <c r="CI11" s="2408">
        <v>1254</v>
      </c>
      <c r="CJ11" s="2423"/>
      <c r="CK11" s="822" t="s">
        <v>3219</v>
      </c>
      <c r="CL11" s="826">
        <v>1948</v>
      </c>
      <c r="CM11" s="221">
        <f t="shared" si="94"/>
        <v>155.34290271132377</v>
      </c>
      <c r="CN11" s="223"/>
      <c r="CO11" s="221">
        <f t="shared" si="69"/>
        <v>799</v>
      </c>
      <c r="CP11" s="223"/>
      <c r="CQ11" s="221">
        <f t="shared" si="84"/>
        <v>69.538729329852046</v>
      </c>
      <c r="CR11" s="2511"/>
      <c r="CS11" s="2803"/>
      <c r="CT11" s="798" t="str">
        <f t="shared" si="39"/>
        <v>خدمات باربری</v>
      </c>
      <c r="CU11" s="799" t="str">
        <f t="shared" si="40"/>
        <v>میلیون ریال</v>
      </c>
      <c r="CV11" s="2413"/>
      <c r="CW11" s="2404">
        <v>5</v>
      </c>
      <c r="CX11" s="2418"/>
      <c r="CY11" s="2408">
        <v>4</v>
      </c>
      <c r="CZ11" s="2423"/>
      <c r="DA11" s="822" t="s">
        <v>3219</v>
      </c>
      <c r="DB11" s="826">
        <v>61</v>
      </c>
      <c r="DC11" s="221">
        <f t="shared" si="95"/>
        <v>1525</v>
      </c>
      <c r="DD11" s="223"/>
      <c r="DE11" s="221">
        <f t="shared" si="70"/>
        <v>56</v>
      </c>
      <c r="DF11" s="223"/>
      <c r="DG11" s="221">
        <f t="shared" si="85"/>
        <v>1120</v>
      </c>
      <c r="DH11" s="2511"/>
      <c r="DI11" s="2803"/>
      <c r="DJ11" s="798" t="str">
        <f t="shared" si="44"/>
        <v>خدمات باربری</v>
      </c>
      <c r="DK11" s="799" t="str">
        <f t="shared" si="45"/>
        <v>میلیون ریال</v>
      </c>
      <c r="DL11" s="2413"/>
      <c r="DM11" s="2404">
        <v>9573</v>
      </c>
      <c r="DN11" s="2418"/>
      <c r="DO11" s="2408">
        <v>16803</v>
      </c>
      <c r="DP11" s="2423"/>
      <c r="DQ11" s="822" t="s">
        <v>3219</v>
      </c>
      <c r="DR11" s="826">
        <v>43786</v>
      </c>
      <c r="DS11" s="221">
        <f t="shared" si="96"/>
        <v>260.58441944890791</v>
      </c>
      <c r="DT11" s="223"/>
      <c r="DU11" s="221">
        <f t="shared" si="71"/>
        <v>34213</v>
      </c>
      <c r="DV11" s="223"/>
      <c r="DW11" s="221">
        <f t="shared" si="86"/>
        <v>357.39057766635329</v>
      </c>
      <c r="DX11" s="2511"/>
      <c r="DY11" s="2803"/>
      <c r="DZ11" s="798" t="str">
        <f t="shared" si="49"/>
        <v>خدمات باربری</v>
      </c>
      <c r="EA11" s="799" t="str">
        <f t="shared" si="50"/>
        <v>میلیون ریال</v>
      </c>
      <c r="EB11" s="2413"/>
      <c r="EC11" s="2404">
        <v>168</v>
      </c>
      <c r="ED11" s="2418"/>
      <c r="EE11" s="2408">
        <v>1334</v>
      </c>
      <c r="EF11" s="2423"/>
      <c r="EG11" s="822" t="s">
        <v>3219</v>
      </c>
      <c r="EH11" s="826">
        <v>325</v>
      </c>
      <c r="EI11" s="221">
        <f t="shared" si="97"/>
        <v>24.362818590704649</v>
      </c>
      <c r="EJ11" s="223"/>
      <c r="EK11" s="221">
        <f t="shared" si="72"/>
        <v>157</v>
      </c>
      <c r="EL11" s="223"/>
      <c r="EM11" s="221">
        <f t="shared" si="87"/>
        <v>93.452380952380949</v>
      </c>
      <c r="EN11" s="2511"/>
      <c r="EO11" s="2803"/>
      <c r="EP11" s="798" t="str">
        <f t="shared" si="54"/>
        <v>خدمات باربری</v>
      </c>
      <c r="EQ11" s="799" t="str">
        <f t="shared" si="55"/>
        <v>میلیون ریال</v>
      </c>
      <c r="ER11" s="2413"/>
      <c r="ES11" s="2404">
        <v>52</v>
      </c>
      <c r="ET11" s="2418"/>
      <c r="EU11" s="2408">
        <v>211</v>
      </c>
      <c r="EV11" s="2423"/>
      <c r="EW11" s="822" t="s">
        <v>3219</v>
      </c>
      <c r="EX11" s="826">
        <v>913</v>
      </c>
      <c r="EY11" s="221">
        <f t="shared" si="98"/>
        <v>432.70142180094786</v>
      </c>
      <c r="EZ11" s="223"/>
      <c r="FA11" s="221">
        <f t="shared" si="73"/>
        <v>861</v>
      </c>
      <c r="FB11" s="223"/>
      <c r="FC11" s="221">
        <f t="shared" si="88"/>
        <v>1655.7692307692307</v>
      </c>
      <c r="FD11" s="2511"/>
      <c r="FE11" s="2803"/>
      <c r="FF11" s="798" t="str">
        <f t="shared" si="59"/>
        <v>خدمات باربری</v>
      </c>
      <c r="FG11" s="799" t="str">
        <f t="shared" si="60"/>
        <v>میلیون ریال</v>
      </c>
      <c r="FH11" s="2413"/>
      <c r="FI11" s="2404"/>
      <c r="FJ11" s="2418"/>
      <c r="FK11" s="2408"/>
      <c r="FL11" s="2423"/>
      <c r="FM11" s="822" t="s">
        <v>3219</v>
      </c>
      <c r="FN11" s="826"/>
      <c r="FO11" s="221" t="str">
        <f t="shared" si="99"/>
        <v/>
      </c>
      <c r="FP11" s="223"/>
      <c r="FQ11" s="221">
        <f t="shared" si="74"/>
        <v>0</v>
      </c>
      <c r="FR11" s="223"/>
      <c r="FS11" s="221" t="str">
        <f t="shared" si="89"/>
        <v/>
      </c>
      <c r="FT11" s="2511"/>
    </row>
    <row r="12" spans="1:176" ht="30" customHeight="1" thickBot="1">
      <c r="A12" s="2804"/>
      <c r="B12" s="800" t="s">
        <v>482</v>
      </c>
      <c r="C12" s="801" t="s">
        <v>666</v>
      </c>
      <c r="D12" s="811"/>
      <c r="E12" s="812">
        <f t="shared" si="75"/>
        <v>74605</v>
      </c>
      <c r="F12" s="811"/>
      <c r="G12" s="812">
        <f t="shared" si="75"/>
        <v>158140</v>
      </c>
      <c r="H12" s="2414"/>
      <c r="I12" s="823" t="s">
        <v>3219</v>
      </c>
      <c r="J12" s="827">
        <f t="shared" si="76"/>
        <v>150422</v>
      </c>
      <c r="K12" s="224">
        <f t="shared" si="77"/>
        <v>95.119514354369542</v>
      </c>
      <c r="L12" s="223"/>
      <c r="M12" s="221">
        <f t="shared" si="78"/>
        <v>75817</v>
      </c>
      <c r="N12" s="223"/>
      <c r="O12" s="224">
        <f>IFERROR((J12-E12)*100/E12,"")</f>
        <v>101.6245559949065</v>
      </c>
      <c r="P12" s="2545">
        <v>0</v>
      </c>
      <c r="Q12" s="2804"/>
      <c r="R12" s="800" t="str">
        <f t="shared" si="13"/>
        <v>بیمه</v>
      </c>
      <c r="S12" s="801" t="str">
        <f t="shared" si="14"/>
        <v>میلیون ریال</v>
      </c>
      <c r="T12" s="2414"/>
      <c r="U12" s="2405">
        <v>23994</v>
      </c>
      <c r="V12" s="2419"/>
      <c r="W12" s="2409">
        <v>57455</v>
      </c>
      <c r="X12" s="2424"/>
      <c r="Y12" s="823" t="s">
        <v>3219</v>
      </c>
      <c r="Z12" s="827">
        <v>17962</v>
      </c>
      <c r="AA12" s="224">
        <f t="shared" si="90"/>
        <v>31.262727351840571</v>
      </c>
      <c r="AB12" s="223"/>
      <c r="AC12" s="3378">
        <f t="shared" si="65"/>
        <v>-6032</v>
      </c>
      <c r="AD12" s="223"/>
      <c r="AE12" s="224">
        <f>IFERROR((Z12-U12)*100/U12,"")</f>
        <v>-25.139618237892808</v>
      </c>
      <c r="AF12" s="2511"/>
      <c r="AG12" s="2804"/>
      <c r="AH12" s="800" t="str">
        <f t="shared" si="18"/>
        <v>بیمه</v>
      </c>
      <c r="AI12" s="801" t="str">
        <f t="shared" si="19"/>
        <v>میلیون ریال</v>
      </c>
      <c r="AJ12" s="2414"/>
      <c r="AK12" s="2405">
        <v>2402</v>
      </c>
      <c r="AL12" s="2419"/>
      <c r="AM12" s="2409">
        <v>4269</v>
      </c>
      <c r="AN12" s="2424"/>
      <c r="AO12" s="823" t="s">
        <v>3219</v>
      </c>
      <c r="AP12" s="827">
        <v>6902</v>
      </c>
      <c r="AQ12" s="224">
        <f t="shared" si="91"/>
        <v>161.67720777699697</v>
      </c>
      <c r="AR12" s="223"/>
      <c r="AS12" s="221">
        <f t="shared" si="66"/>
        <v>4500</v>
      </c>
      <c r="AT12" s="223"/>
      <c r="AU12" s="224">
        <f>IFERROR((AP12-AK12)*100/AK12,"")</f>
        <v>187.34388009991673</v>
      </c>
      <c r="AV12" s="2511"/>
      <c r="AW12" s="2804"/>
      <c r="AX12" s="800" t="str">
        <f t="shared" si="23"/>
        <v>بیمه</v>
      </c>
      <c r="AY12" s="801" t="str">
        <f t="shared" si="24"/>
        <v>میلیون ریال</v>
      </c>
      <c r="AZ12" s="2414"/>
      <c r="BA12" s="2405">
        <v>7033</v>
      </c>
      <c r="BB12" s="2419"/>
      <c r="BC12" s="2409">
        <v>17991</v>
      </c>
      <c r="BD12" s="2424"/>
      <c r="BE12" s="823" t="s">
        <v>3219</v>
      </c>
      <c r="BF12" s="827">
        <v>13170</v>
      </c>
      <c r="BG12" s="224">
        <f t="shared" si="92"/>
        <v>73.203268300817072</v>
      </c>
      <c r="BH12" s="223"/>
      <c r="BI12" s="221">
        <f t="shared" si="67"/>
        <v>6137</v>
      </c>
      <c r="BJ12" s="223"/>
      <c r="BK12" s="224">
        <f>IFERROR((BF12-BA12)*100/BA12,"")</f>
        <v>87.260059718470075</v>
      </c>
      <c r="BL12" s="2511"/>
      <c r="BM12" s="2804"/>
      <c r="BN12" s="800" t="str">
        <f t="shared" si="29"/>
        <v>بیمه</v>
      </c>
      <c r="BO12" s="801" t="str">
        <f t="shared" si="30"/>
        <v>میلیون ریال</v>
      </c>
      <c r="BP12" s="2414"/>
      <c r="BQ12" s="2405">
        <v>17704</v>
      </c>
      <c r="BR12" s="2419"/>
      <c r="BS12" s="2409">
        <v>31685</v>
      </c>
      <c r="BT12" s="2424"/>
      <c r="BU12" s="823" t="s">
        <v>3219</v>
      </c>
      <c r="BV12" s="827">
        <v>31514</v>
      </c>
      <c r="BW12" s="224">
        <f t="shared" si="93"/>
        <v>99.460312450686445</v>
      </c>
      <c r="BX12" s="223"/>
      <c r="BY12" s="221">
        <f t="shared" si="68"/>
        <v>13810</v>
      </c>
      <c r="BZ12" s="223"/>
      <c r="CA12" s="224">
        <f>IFERROR((BV12-BQ12)*100/BQ12,"")</f>
        <v>78.004970628106648</v>
      </c>
      <c r="CB12" s="2511"/>
      <c r="CC12" s="2804"/>
      <c r="CD12" s="800" t="str">
        <f t="shared" si="34"/>
        <v>بیمه</v>
      </c>
      <c r="CE12" s="801" t="str">
        <f t="shared" si="35"/>
        <v>میلیون ریال</v>
      </c>
      <c r="CF12" s="2414"/>
      <c r="CG12" s="2405">
        <v>6556</v>
      </c>
      <c r="CH12" s="2419"/>
      <c r="CI12" s="2409">
        <v>9762</v>
      </c>
      <c r="CJ12" s="2424"/>
      <c r="CK12" s="823" t="s">
        <v>3219</v>
      </c>
      <c r="CL12" s="827">
        <v>24779</v>
      </c>
      <c r="CM12" s="224">
        <f t="shared" si="94"/>
        <v>253.83118213480844</v>
      </c>
      <c r="CN12" s="223"/>
      <c r="CO12" s="221">
        <f t="shared" si="69"/>
        <v>18223</v>
      </c>
      <c r="CP12" s="223"/>
      <c r="CQ12" s="224">
        <f>IFERROR((CL12-CG12)*100/CG12,"")</f>
        <v>277.95912141549724</v>
      </c>
      <c r="CR12" s="2511"/>
      <c r="CS12" s="2804"/>
      <c r="CT12" s="800" t="str">
        <f t="shared" si="39"/>
        <v>بیمه</v>
      </c>
      <c r="CU12" s="801" t="str">
        <f t="shared" si="40"/>
        <v>میلیون ریال</v>
      </c>
      <c r="CV12" s="2414"/>
      <c r="CW12" s="2405">
        <v>129</v>
      </c>
      <c r="CX12" s="2419"/>
      <c r="CY12" s="2409">
        <v>163</v>
      </c>
      <c r="CZ12" s="2424"/>
      <c r="DA12" s="823" t="s">
        <v>3219</v>
      </c>
      <c r="DB12" s="827">
        <v>4113</v>
      </c>
      <c r="DC12" s="224">
        <f t="shared" si="95"/>
        <v>2523.312883435583</v>
      </c>
      <c r="DD12" s="223"/>
      <c r="DE12" s="221">
        <f t="shared" si="70"/>
        <v>3984</v>
      </c>
      <c r="DF12" s="223"/>
      <c r="DG12" s="224">
        <f>IFERROR((DB12-CW12)*100/CW12,"")</f>
        <v>3088.3720930232557</v>
      </c>
      <c r="DH12" s="2511"/>
      <c r="DI12" s="2804"/>
      <c r="DJ12" s="800" t="str">
        <f t="shared" si="44"/>
        <v>بیمه</v>
      </c>
      <c r="DK12" s="801" t="str">
        <f t="shared" si="45"/>
        <v>میلیون ریال</v>
      </c>
      <c r="DL12" s="2414"/>
      <c r="DM12" s="2405">
        <v>15546</v>
      </c>
      <c r="DN12" s="2419"/>
      <c r="DO12" s="2409">
        <v>34765</v>
      </c>
      <c r="DP12" s="2424"/>
      <c r="DQ12" s="823" t="s">
        <v>3219</v>
      </c>
      <c r="DR12" s="827">
        <v>46034</v>
      </c>
      <c r="DS12" s="224">
        <f t="shared" si="96"/>
        <v>132.4147849848986</v>
      </c>
      <c r="DT12" s="223"/>
      <c r="DU12" s="221">
        <f t="shared" si="71"/>
        <v>30488</v>
      </c>
      <c r="DV12" s="223"/>
      <c r="DW12" s="224">
        <f>IFERROR((DR12-DM12)*100/DM12,"")</f>
        <v>196.11475620738454</v>
      </c>
      <c r="DX12" s="2511"/>
      <c r="DY12" s="2804"/>
      <c r="DZ12" s="800" t="str">
        <f t="shared" si="49"/>
        <v>بیمه</v>
      </c>
      <c r="EA12" s="801" t="str">
        <f t="shared" si="50"/>
        <v>میلیون ریال</v>
      </c>
      <c r="EB12" s="2414"/>
      <c r="EC12" s="2405">
        <v>939</v>
      </c>
      <c r="ED12" s="2419"/>
      <c r="EE12" s="2409">
        <v>1635</v>
      </c>
      <c r="EF12" s="2424"/>
      <c r="EG12" s="823" t="s">
        <v>3219</v>
      </c>
      <c r="EH12" s="827">
        <v>121</v>
      </c>
      <c r="EI12" s="224">
        <f t="shared" si="97"/>
        <v>7.4006116207951074</v>
      </c>
      <c r="EJ12" s="223"/>
      <c r="EK12" s="3378">
        <f t="shared" si="72"/>
        <v>-818</v>
      </c>
      <c r="EL12" s="223"/>
      <c r="EM12" s="224">
        <f>IFERROR((EH12-EC12)*100/EC12,"")</f>
        <v>-87.11395101171459</v>
      </c>
      <c r="EN12" s="2511"/>
      <c r="EO12" s="2804"/>
      <c r="EP12" s="800" t="str">
        <f t="shared" si="54"/>
        <v>بیمه</v>
      </c>
      <c r="EQ12" s="801" t="str">
        <f t="shared" si="55"/>
        <v>میلیون ریال</v>
      </c>
      <c r="ER12" s="2414"/>
      <c r="ES12" s="2405">
        <v>302</v>
      </c>
      <c r="ET12" s="2419"/>
      <c r="EU12" s="2409">
        <v>415</v>
      </c>
      <c r="EV12" s="2424"/>
      <c r="EW12" s="823" t="s">
        <v>3219</v>
      </c>
      <c r="EX12" s="827">
        <v>5827</v>
      </c>
      <c r="EY12" s="224">
        <f t="shared" si="98"/>
        <v>1404.0963855421687</v>
      </c>
      <c r="EZ12" s="223"/>
      <c r="FA12" s="221">
        <f t="shared" si="73"/>
        <v>5525</v>
      </c>
      <c r="FB12" s="223"/>
      <c r="FC12" s="224">
        <f>IFERROR((EX12-ES12)*100/ES12,"")</f>
        <v>1829.4701986754967</v>
      </c>
      <c r="FD12" s="2511"/>
      <c r="FE12" s="2804"/>
      <c r="FF12" s="800" t="str">
        <f t="shared" si="59"/>
        <v>بیمه</v>
      </c>
      <c r="FG12" s="801" t="str">
        <f t="shared" si="60"/>
        <v>میلیون ریال</v>
      </c>
      <c r="FH12" s="2414"/>
      <c r="FI12" s="2405"/>
      <c r="FJ12" s="2419"/>
      <c r="FK12" s="2409"/>
      <c r="FL12" s="2424"/>
      <c r="FM12" s="823" t="s">
        <v>3219</v>
      </c>
      <c r="FN12" s="827"/>
      <c r="FO12" s="224" t="str">
        <f t="shared" si="99"/>
        <v/>
      </c>
      <c r="FP12" s="223"/>
      <c r="FQ12" s="221">
        <f t="shared" si="74"/>
        <v>0</v>
      </c>
      <c r="FR12" s="223"/>
      <c r="FS12" s="224" t="str">
        <f>IFERROR((FN12-FI12)*100/FI12,"")</f>
        <v/>
      </c>
      <c r="FT12" s="2511"/>
    </row>
    <row r="13" spans="1:176" ht="30" customHeight="1">
      <c r="A13" s="2810" t="s">
        <v>256</v>
      </c>
      <c r="B13" s="802" t="s">
        <v>474</v>
      </c>
      <c r="C13" s="803" t="s">
        <v>475</v>
      </c>
      <c r="D13" s="2508">
        <f>SUM(T13,AJ13,AZ13,BP13,CF13,CV13,DL13,EB13,ER13,FH13)</f>
        <v>26356</v>
      </c>
      <c r="E13" s="2805">
        <f>SUM(U13,AK13,BA13,BQ13,CG13,CW13,DM13,EC13,ES13,FI13)</f>
        <v>29875</v>
      </c>
      <c r="F13" s="2508">
        <f>SUM(V13,AL13,BB13,BR13,CH13,CX13,DN13,ED13,ET13,FJ13)</f>
        <v>36653.373932076101</v>
      </c>
      <c r="G13" s="2805">
        <f>SUM(W13,AM13,BC13,BS13,CI13,CY13,DO13,EE13,EU13,FK13)</f>
        <v>46391</v>
      </c>
      <c r="H13" s="2508">
        <f>SUM(X13,AN13,BD13,BT13,CJ13,CZ13,DP13,EF13,EV13,FL13)</f>
        <v>43469</v>
      </c>
      <c r="I13" s="2412">
        <f t="shared" ref="I13:I18" si="100">IFERROR(H13*100/F13,"")</f>
        <v>118.59481225535805</v>
      </c>
      <c r="J13" s="2821">
        <f>SUM(Z13,AP13,BF13,BV13,CL13,DB13,DR13,EH13,EX13,FN13)</f>
        <v>50631</v>
      </c>
      <c r="K13" s="2801">
        <f>IFERROR(J13*100/G13,"")</f>
        <v>109.139703821862</v>
      </c>
      <c r="L13" s="2509">
        <f>IFERROR(H13-D13,"")</f>
        <v>17113</v>
      </c>
      <c r="M13" s="2800">
        <f>IFERROR(J13-E13,"")</f>
        <v>20756</v>
      </c>
      <c r="N13" s="2519">
        <f t="shared" ref="N13:N18" si="101">IFERROR((H13-D13)*100/D13,"")</f>
        <v>64.930186674760961</v>
      </c>
      <c r="O13" s="2798">
        <f>IFERROR((J13-E13)*100/E13,"")</f>
        <v>69.47615062761507</v>
      </c>
      <c r="P13" s="2545">
        <v>1</v>
      </c>
      <c r="Q13" s="2810" t="str">
        <f>$A$13</f>
        <v>صادرات</v>
      </c>
      <c r="R13" s="802" t="str">
        <f t="shared" si="13"/>
        <v>انبارداری</v>
      </c>
      <c r="S13" s="803" t="str">
        <f t="shared" si="14"/>
        <v>تن</v>
      </c>
      <c r="T13" s="2487">
        <f>SUMIFS(صادرات!$D$42:$D$51,صادرات!$AA$42:$AA$51,AF2)</f>
        <v>19</v>
      </c>
      <c r="U13" s="2825">
        <v>62</v>
      </c>
      <c r="V13" s="2487">
        <f>SUMIFS(صادرات!$H$42:$H$51,صادرات!$AA$42:$AA$51,AF2)</f>
        <v>112.61888509670081</v>
      </c>
      <c r="W13" s="2828">
        <v>553</v>
      </c>
      <c r="X13" s="2487">
        <f>SUMIFS(صادرات!$L$42:$L$51,صادرات!$AA$42:$AA$51,AF2)</f>
        <v>1</v>
      </c>
      <c r="Y13" s="820">
        <f>IFERROR(X13*100/V13,"")</f>
        <v>0.88795054145789554</v>
      </c>
      <c r="Z13" s="2821">
        <v>227</v>
      </c>
      <c r="AA13" s="2801">
        <f>IFERROR(Z13*100/W13,"")</f>
        <v>41.048824593128387</v>
      </c>
      <c r="AB13" s="2604">
        <f t="shared" ref="AB13:AB18" si="102">X13-T13</f>
        <v>-18</v>
      </c>
      <c r="AC13" s="2798">
        <f t="shared" si="65"/>
        <v>165</v>
      </c>
      <c r="AD13" s="2519">
        <f t="shared" ref="AD13:AD18" si="103">IFERROR((X13-T13)*100/T13,"")</f>
        <v>-94.736842105263165</v>
      </c>
      <c r="AE13" s="2798">
        <f>IFERROR((Z13-U13)*100/U13,"")</f>
        <v>266.12903225806451</v>
      </c>
      <c r="AF13" s="2511"/>
      <c r="AG13" s="2810" t="str">
        <f>$A$13</f>
        <v>صادرات</v>
      </c>
      <c r="AH13" s="802" t="str">
        <f t="shared" si="18"/>
        <v>انبارداری</v>
      </c>
      <c r="AI13" s="803" t="str">
        <f t="shared" si="19"/>
        <v>تن</v>
      </c>
      <c r="AJ13" s="2487">
        <f>SUMIFS(صادرات!$D$42:$D$51,صادرات!$AA$42:$AA$51,AV2)</f>
        <v>17690</v>
      </c>
      <c r="AK13" s="2825">
        <v>16279</v>
      </c>
      <c r="AL13" s="2487">
        <f>SUMIFS(صادرات!$H$42:$H$51,صادرات!$AA$42:$AA$51,AV2)</f>
        <v>30771.37165329645</v>
      </c>
      <c r="AM13" s="2828">
        <v>35062</v>
      </c>
      <c r="AN13" s="2487">
        <f>SUMIFS(صادرات!$L$42:$L$51,صادرات!$AA$42:$AA$51,AV2)</f>
        <v>29701</v>
      </c>
      <c r="AO13" s="820">
        <f>IFERROR(AN13*100/AL13,"")</f>
        <v>96.521534154029879</v>
      </c>
      <c r="AP13" s="2821">
        <v>28471</v>
      </c>
      <c r="AQ13" s="2801">
        <f>IFERROR(AP13*100/AM13,"")</f>
        <v>81.201870971422053</v>
      </c>
      <c r="AR13" s="2662">
        <f t="shared" ref="AR13:AR18" si="104">AN13-AJ13</f>
        <v>12011</v>
      </c>
      <c r="AS13" s="2798">
        <f t="shared" si="66"/>
        <v>12192</v>
      </c>
      <c r="AT13" s="2519">
        <f t="shared" ref="AT13:AT18" si="105">IFERROR((AN13-AJ13)*100/AJ13,"")</f>
        <v>67.897117015262864</v>
      </c>
      <c r="AU13" s="2798">
        <f>IFERROR((AP13-AK13)*100/AK13,"")</f>
        <v>74.894035260151114</v>
      </c>
      <c r="AV13" s="2511"/>
      <c r="AW13" s="2810" t="str">
        <f>$A$13</f>
        <v>صادرات</v>
      </c>
      <c r="AX13" s="802" t="str">
        <f t="shared" si="23"/>
        <v>انبارداری</v>
      </c>
      <c r="AY13" s="803" t="str">
        <f t="shared" si="24"/>
        <v>تن</v>
      </c>
      <c r="AZ13" s="2487">
        <f>SUMIFS(صادرات!$D$42:$D$51,صادرات!$AA$42:$AA$51,BL2)</f>
        <v>5146</v>
      </c>
      <c r="BA13" s="2825">
        <v>1985</v>
      </c>
      <c r="BB13" s="2487">
        <f>SUMIFS(صادرات!$H$42:$H$51,صادرات!$AA$42:$AA$51,BL2)</f>
        <v>2959.1333333333341</v>
      </c>
      <c r="BC13" s="2828">
        <v>1882</v>
      </c>
      <c r="BD13" s="2487">
        <f>SUMIFS(صادرات!$L$42:$L$51,صادرات!$AA$42:$AA$51,BL2)</f>
        <v>7010</v>
      </c>
      <c r="BE13" s="820">
        <f>IFERROR(BD13*100/BB13,"")</f>
        <v>236.89368508797614</v>
      </c>
      <c r="BF13" s="2821">
        <v>6252</v>
      </c>
      <c r="BG13" s="2801">
        <f>IFERROR(BF13*100/BC13,"")</f>
        <v>332.1997874601488</v>
      </c>
      <c r="BH13" s="2662">
        <f t="shared" ref="BH13:BH18" si="106">BD13-AZ13</f>
        <v>1864</v>
      </c>
      <c r="BI13" s="2798">
        <f t="shared" si="67"/>
        <v>4267</v>
      </c>
      <c r="BJ13" s="2519">
        <f t="shared" ref="BJ13:BJ18" si="107">IFERROR((BD13-AZ13)*100/AZ13,"")</f>
        <v>36.222308589195492</v>
      </c>
      <c r="BK13" s="2798">
        <f>IFERROR((BF13-BA13)*100/BA13,"")</f>
        <v>214.96221662468514</v>
      </c>
      <c r="BL13" s="2511"/>
      <c r="BM13" s="2810" t="str">
        <f>$A$13</f>
        <v>صادرات</v>
      </c>
      <c r="BN13" s="802" t="str">
        <f t="shared" si="29"/>
        <v>انبارداری</v>
      </c>
      <c r="BO13" s="803" t="str">
        <f t="shared" si="30"/>
        <v>تن</v>
      </c>
      <c r="BP13" s="2487">
        <f>SUMIFS(صادرات!$D$42:$D$51,صادرات!$AA$42:$AA$51,CB2)</f>
        <v>996</v>
      </c>
      <c r="BQ13" s="2825">
        <v>2301</v>
      </c>
      <c r="BR13" s="2487">
        <f>SUMIFS(صادرات!$H$42:$H$51,صادرات!$AA$42:$AA$51,CB2)</f>
        <v>1708.8143120829191</v>
      </c>
      <c r="BS13" s="2828">
        <v>3739</v>
      </c>
      <c r="BT13" s="2487">
        <f>SUMIFS(صادرات!$L$42:$L$51,صادرات!$AA$42:$AA$51,CB2)</f>
        <v>4561</v>
      </c>
      <c r="BU13" s="820">
        <f>IFERROR(BT13*100/BR13,"")</f>
        <v>266.9102176725379</v>
      </c>
      <c r="BV13" s="2821">
        <v>8632</v>
      </c>
      <c r="BW13" s="2801">
        <f>IFERROR(BV13*100/BS13,"")</f>
        <v>230.86386734420969</v>
      </c>
      <c r="BX13" s="2662">
        <f t="shared" ref="BX13:BX18" si="108">BT13-BP13</f>
        <v>3565</v>
      </c>
      <c r="BY13" s="2798">
        <f t="shared" si="68"/>
        <v>6331</v>
      </c>
      <c r="BZ13" s="2519">
        <f t="shared" ref="BZ13:BZ18" si="109">IFERROR((BT13-BP13)*100/BP13,"")</f>
        <v>357.93172690763055</v>
      </c>
      <c r="CA13" s="2798">
        <f>IFERROR((BV13-BQ13)*100/BQ13,"")</f>
        <v>275.14124293785312</v>
      </c>
      <c r="CB13" s="2511"/>
      <c r="CC13" s="2810" t="str">
        <f>$A$13</f>
        <v>صادرات</v>
      </c>
      <c r="CD13" s="802" t="str">
        <f t="shared" si="34"/>
        <v>انبارداری</v>
      </c>
      <c r="CE13" s="803" t="str">
        <f t="shared" si="35"/>
        <v>تن</v>
      </c>
      <c r="CF13" s="2487">
        <f>SUMIFS(صادرات!$D$42:$D$51,صادرات!$AA$42:$AA$51,CR2)</f>
        <v>0</v>
      </c>
      <c r="CG13" s="2825"/>
      <c r="CH13" s="2487">
        <f>SUMIFS(صادرات!$H$42:$H$51,صادرات!$AA$42:$AA$51,CR2)</f>
        <v>0</v>
      </c>
      <c r="CI13" s="2828"/>
      <c r="CJ13" s="2487">
        <f>SUMIFS(صادرات!$L$42:$L$51,صادرات!$AA$42:$AA$51,CR2)</f>
        <v>0</v>
      </c>
      <c r="CK13" s="820" t="str">
        <f>IFERROR(CJ13*100/CH13,"")</f>
        <v/>
      </c>
      <c r="CL13" s="2821"/>
      <c r="CM13" s="2801" t="str">
        <f>IFERROR(CL13*100/CI13,"")</f>
        <v/>
      </c>
      <c r="CN13" s="2518">
        <f t="shared" ref="CN13:CN18" si="110">CJ13-CF13</f>
        <v>0</v>
      </c>
      <c r="CO13" s="2798">
        <f t="shared" si="69"/>
        <v>0</v>
      </c>
      <c r="CP13" s="2519" t="str">
        <f t="shared" ref="CP13:CP18" si="111">IFERROR((CJ13-CF13)*100/CF13,"")</f>
        <v/>
      </c>
      <c r="CQ13" s="2798" t="str">
        <f>IFERROR((CL13-CG13)*100/CG13,"")</f>
        <v/>
      </c>
      <c r="CR13" s="2511"/>
      <c r="CS13" s="2810" t="str">
        <f>$A$13</f>
        <v>صادرات</v>
      </c>
      <c r="CT13" s="802" t="str">
        <f t="shared" si="39"/>
        <v>انبارداری</v>
      </c>
      <c r="CU13" s="803" t="str">
        <f t="shared" si="40"/>
        <v>تن</v>
      </c>
      <c r="CV13" s="2487">
        <f>SUMIFS(صادرات!$D$42:$D$51,صادرات!$AA$42:$AA$51,DH2)</f>
        <v>2086</v>
      </c>
      <c r="CW13" s="2825">
        <v>7671</v>
      </c>
      <c r="CX13" s="2487">
        <f>SUMIFS(صادرات!$H$42:$H$51,صادرات!$AA$42:$AA$51,DH2)</f>
        <v>895.96023497514682</v>
      </c>
      <c r="CY13" s="2828">
        <v>4090</v>
      </c>
      <c r="CZ13" s="2487">
        <f>SUMIFS(صادرات!$L$42:$L$51,صادرات!$AA$42:$AA$51,DH2)</f>
        <v>924</v>
      </c>
      <c r="DA13" s="820">
        <f>IFERROR(CZ13*100/CX13,"")</f>
        <v>103.12957695333778</v>
      </c>
      <c r="DB13" s="2821">
        <v>3539</v>
      </c>
      <c r="DC13" s="2801">
        <f>IFERROR(DB13*100/CY13,"")</f>
        <v>86.528117359413201</v>
      </c>
      <c r="DD13" s="2604">
        <f t="shared" ref="DD13:DD18" si="112">CZ13-CV13</f>
        <v>-1162</v>
      </c>
      <c r="DE13" s="3379">
        <f t="shared" si="70"/>
        <v>-4132</v>
      </c>
      <c r="DF13" s="2519">
        <f t="shared" ref="DF13:DF18" si="113">IFERROR((CZ13-CV13)*100/CV13,"")</f>
        <v>-55.70469798657718</v>
      </c>
      <c r="DG13" s="2798">
        <f>IFERROR((DB13-CW13)*100/CW13,"")</f>
        <v>-53.865206622343891</v>
      </c>
      <c r="DH13" s="2511"/>
      <c r="DI13" s="2810" t="str">
        <f>$A$13</f>
        <v>صادرات</v>
      </c>
      <c r="DJ13" s="802" t="str">
        <f t="shared" si="44"/>
        <v>انبارداری</v>
      </c>
      <c r="DK13" s="803" t="str">
        <f t="shared" si="45"/>
        <v>تن</v>
      </c>
      <c r="DL13" s="2487">
        <f>SUMIFS(صادرات!$D$42:$D$51,صادرات!$AA$42:$AA$51,DX2)</f>
        <v>419</v>
      </c>
      <c r="DM13" s="2825">
        <v>1577</v>
      </c>
      <c r="DN13" s="2487">
        <f>SUMIFS(صادرات!$H$42:$H$51,صادرات!$AA$42:$AA$51,DX2)</f>
        <v>205.47551329154962</v>
      </c>
      <c r="DO13" s="2828">
        <v>1065</v>
      </c>
      <c r="DP13" s="2487">
        <f>SUMIFS(صادرات!$L$42:$L$51,صادرات!$AA$42:$AA$51,DX2)</f>
        <v>311</v>
      </c>
      <c r="DQ13" s="820">
        <f>IFERROR(DP13*100/DN13,"")</f>
        <v>151.35623462768601</v>
      </c>
      <c r="DR13" s="2821">
        <v>1514</v>
      </c>
      <c r="DS13" s="2801">
        <f>IFERROR(DR13*100/DO13,"")</f>
        <v>142.15962441314554</v>
      </c>
      <c r="DT13" s="2604">
        <f t="shared" ref="DT13:DT18" si="114">DP13-DL13</f>
        <v>-108</v>
      </c>
      <c r="DU13" s="3379">
        <f t="shared" si="71"/>
        <v>-63</v>
      </c>
      <c r="DV13" s="2519">
        <f t="shared" ref="DV13:DV18" si="115">IFERROR((DP13-DL13)*100/DL13,"")</f>
        <v>-25.775656324582339</v>
      </c>
      <c r="DW13" s="2798">
        <f>IFERROR((DR13-DM13)*100/DM13,"")</f>
        <v>-3.9949270767279645</v>
      </c>
      <c r="DX13" s="2511"/>
      <c r="DY13" s="2810" t="str">
        <f>$A$13</f>
        <v>صادرات</v>
      </c>
      <c r="DZ13" s="802" t="str">
        <f t="shared" si="49"/>
        <v>انبارداری</v>
      </c>
      <c r="EA13" s="803" t="str">
        <f t="shared" si="50"/>
        <v>تن</v>
      </c>
      <c r="EB13" s="2487">
        <f>SUMIFS(صادرات!$D$42:$D$51,صادرات!$AA$42:$AA$51,EN2)</f>
        <v>0</v>
      </c>
      <c r="EC13" s="2825"/>
      <c r="ED13" s="2487">
        <f>SUMIFS(صادرات!$H$42:$H$51,صادرات!$AA$42:$AA$51,EN2)</f>
        <v>0</v>
      </c>
      <c r="EE13" s="2831"/>
      <c r="EF13" s="2487">
        <f>SUMIFS(صادرات!$L$42:$L$51,صادرات!$AA$42:$AA$51,EN2)</f>
        <v>0</v>
      </c>
      <c r="EG13" s="820" t="str">
        <f>IFERROR(EF13*100/ED13,"")</f>
        <v/>
      </c>
      <c r="EH13" s="2821"/>
      <c r="EI13" s="2801" t="str">
        <f>IFERROR(EH13*100/EE13,"")</f>
        <v/>
      </c>
      <c r="EJ13" s="2518">
        <f t="shared" ref="EJ13:EJ18" si="116">EF13-EB13</f>
        <v>0</v>
      </c>
      <c r="EK13" s="2798">
        <f t="shared" si="72"/>
        <v>0</v>
      </c>
      <c r="EL13" s="2519" t="str">
        <f t="shared" ref="EL13:EL18" si="117">IFERROR((EF13-EB13)*100/EB13,"")</f>
        <v/>
      </c>
      <c r="EM13" s="2798" t="str">
        <f>IFERROR((EH13-EC13)*100/EC13,"")</f>
        <v/>
      </c>
      <c r="EN13" s="2511"/>
      <c r="EO13" s="2810" t="str">
        <f>$A$13</f>
        <v>صادرات</v>
      </c>
      <c r="EP13" s="802" t="str">
        <f t="shared" si="54"/>
        <v>انبارداری</v>
      </c>
      <c r="EQ13" s="803" t="str">
        <f t="shared" si="55"/>
        <v>تن</v>
      </c>
      <c r="ER13" s="2487">
        <f>SUMIFS(صادرات!$D$42:$D$51,صادرات!$AA$42:$AA$51,FD2)</f>
        <v>0</v>
      </c>
      <c r="ES13" s="2825"/>
      <c r="ET13" s="2487">
        <f>SUMIFS(صادرات!$H$42:$H$51,صادرات!$AA$42:$AA$51,FD2)</f>
        <v>0</v>
      </c>
      <c r="EU13" s="2828"/>
      <c r="EV13" s="2487">
        <f>SUMIFS(صادرات!$L$42:$L$51,صادرات!$AA$42:$AA$51,FD2)</f>
        <v>8</v>
      </c>
      <c r="EW13" s="820" t="str">
        <f>IFERROR(EV13*100/ET13,"")</f>
        <v/>
      </c>
      <c r="EX13" s="2821">
        <v>132</v>
      </c>
      <c r="EY13" s="2801" t="str">
        <f>IFERROR(EX13*100/EU13,"")</f>
        <v/>
      </c>
      <c r="EZ13" s="2518">
        <f t="shared" ref="EZ13:EZ18" si="118">EV13-ER13</f>
        <v>8</v>
      </c>
      <c r="FA13" s="2798">
        <f t="shared" si="73"/>
        <v>132</v>
      </c>
      <c r="FB13" s="2519" t="str">
        <f t="shared" ref="FB13:FB18" si="119">IFERROR((EV13-ER13)*100/ER13,"")</f>
        <v/>
      </c>
      <c r="FC13" s="2798" t="str">
        <f>IFERROR((EX13-ES13)*100/ES13,"")</f>
        <v/>
      </c>
      <c r="FD13" s="2511"/>
      <c r="FE13" s="2810" t="str">
        <f>$A$13</f>
        <v>صادرات</v>
      </c>
      <c r="FF13" s="802" t="str">
        <f t="shared" si="59"/>
        <v>انبارداری</v>
      </c>
      <c r="FG13" s="803" t="str">
        <f t="shared" si="60"/>
        <v>تن</v>
      </c>
      <c r="FH13" s="2487">
        <f>SUMIFS(صادرات!$D$42:$D$51,صادرات!$AA$42:$AA$51,FT2)</f>
        <v>0</v>
      </c>
      <c r="FI13" s="2825"/>
      <c r="FJ13" s="2487">
        <f>SUMIFS(صادرات!$H$42:$H$51,صادرات!$AA$42:$AA$51,FT2)</f>
        <v>0</v>
      </c>
      <c r="FK13" s="2828"/>
      <c r="FL13" s="2487">
        <f>SUMIFS(صادرات!$L$42:$L$51,صادرات!$AA$42:$AA$51,FT2)</f>
        <v>953</v>
      </c>
      <c r="FM13" s="820" t="str">
        <f>IFERROR(FL13*100/FJ13,"")</f>
        <v/>
      </c>
      <c r="FN13" s="2821">
        <v>1864</v>
      </c>
      <c r="FO13" s="2801" t="str">
        <f>IFERROR(FN13*100/FK13,"")</f>
        <v/>
      </c>
      <c r="FP13" s="2518">
        <f t="shared" ref="FP13:FP18" si="120">FL13-FH13</f>
        <v>953</v>
      </c>
      <c r="FQ13" s="2798">
        <f t="shared" si="74"/>
        <v>1864</v>
      </c>
      <c r="FR13" s="2519" t="str">
        <f t="shared" ref="FR13:FR18" si="121">IFERROR((FL13-FH13)*100/FH13,"")</f>
        <v/>
      </c>
      <c r="FS13" s="2798" t="str">
        <f>IFERROR((FN13-FI13)*100/FI13,"")</f>
        <v/>
      </c>
      <c r="FT13" s="2511"/>
    </row>
    <row r="14" spans="1:176" ht="39.75" customHeight="1">
      <c r="A14" s="2803"/>
      <c r="B14" s="795" t="s">
        <v>476</v>
      </c>
      <c r="C14" s="796" t="s">
        <v>477</v>
      </c>
      <c r="D14" s="807">
        <f>IFERROR(D15/D13,"")</f>
        <v>24.69130368796479</v>
      </c>
      <c r="E14" s="2806"/>
      <c r="F14" s="807">
        <f>IFERROR(F15/F13,"")</f>
        <v>25.040061965338936</v>
      </c>
      <c r="G14" s="2806"/>
      <c r="H14" s="819">
        <f>IFERROR(H15/H13,"")</f>
        <v>29.219190687616461</v>
      </c>
      <c r="I14" s="808">
        <f t="shared" si="100"/>
        <v>116.68976988979651</v>
      </c>
      <c r="J14" s="2808"/>
      <c r="K14" s="2801"/>
      <c r="L14" s="2512">
        <f t="shared" ref="L14:L18" si="122">IFERROR(H14-D14,"")</f>
        <v>4.5278869996516704</v>
      </c>
      <c r="M14" s="2801"/>
      <c r="N14" s="2512">
        <f t="shared" si="101"/>
        <v>18.337982703840321</v>
      </c>
      <c r="O14" s="2799" t="str">
        <f t="shared" si="12"/>
        <v>-</v>
      </c>
      <c r="P14" s="2545">
        <v>1</v>
      </c>
      <c r="Q14" s="2803"/>
      <c r="R14" s="795" t="str">
        <f t="shared" si="13"/>
        <v>میانگین مدت ماندگاری کالا</v>
      </c>
      <c r="S14" s="796" t="str">
        <f t="shared" si="14"/>
        <v>روز</v>
      </c>
      <c r="T14" s="819">
        <v>20</v>
      </c>
      <c r="U14" s="2826"/>
      <c r="V14" s="2417">
        <v>28</v>
      </c>
      <c r="W14" s="2828"/>
      <c r="X14" s="819">
        <v>90</v>
      </c>
      <c r="Y14" s="808">
        <f t="shared" ref="Y14:Y18" si="123">IFERROR(X14*100/V14,"")</f>
        <v>321.42857142857144</v>
      </c>
      <c r="Z14" s="2808"/>
      <c r="AA14" s="2801"/>
      <c r="AB14" s="2512">
        <f t="shared" si="102"/>
        <v>70</v>
      </c>
      <c r="AC14" s="2799">
        <f t="shared" si="65"/>
        <v>0</v>
      </c>
      <c r="AD14" s="2512">
        <f t="shared" si="103"/>
        <v>350</v>
      </c>
      <c r="AE14" s="2799" t="str">
        <f t="shared" ref="AE14:AE15" si="124">IFERROR((Z14-U14)*100/U14,"-")</f>
        <v>-</v>
      </c>
      <c r="AF14" s="2511"/>
      <c r="AG14" s="2803"/>
      <c r="AH14" s="795" t="str">
        <f t="shared" si="18"/>
        <v>میانگین مدت ماندگاری کالا</v>
      </c>
      <c r="AI14" s="796" t="str">
        <f t="shared" si="19"/>
        <v>روز</v>
      </c>
      <c r="AJ14" s="819">
        <v>25</v>
      </c>
      <c r="AK14" s="2826"/>
      <c r="AL14" s="2417">
        <v>26</v>
      </c>
      <c r="AM14" s="2828"/>
      <c r="AN14" s="819">
        <v>28</v>
      </c>
      <c r="AO14" s="808">
        <f t="shared" ref="AO14:AO16" si="125">IFERROR(AN14*100/AL14,"")</f>
        <v>107.69230769230769</v>
      </c>
      <c r="AP14" s="2808"/>
      <c r="AQ14" s="2801"/>
      <c r="AR14" s="2512">
        <f t="shared" si="104"/>
        <v>3</v>
      </c>
      <c r="AS14" s="2799">
        <f t="shared" si="66"/>
        <v>0</v>
      </c>
      <c r="AT14" s="2512">
        <f t="shared" si="105"/>
        <v>12</v>
      </c>
      <c r="AU14" s="2799" t="str">
        <f t="shared" ref="AU14:AU15" si="126">IFERROR((AP14-AK14)*100/AK14,"-")</f>
        <v>-</v>
      </c>
      <c r="AV14" s="2511"/>
      <c r="AW14" s="2803"/>
      <c r="AX14" s="795" t="str">
        <f t="shared" si="23"/>
        <v>میانگین مدت ماندگاری کالا</v>
      </c>
      <c r="AY14" s="796" t="str">
        <f t="shared" si="24"/>
        <v>روز</v>
      </c>
      <c r="AZ14" s="819">
        <v>13</v>
      </c>
      <c r="BA14" s="2826"/>
      <c r="BB14" s="2417">
        <v>8</v>
      </c>
      <c r="BC14" s="2828"/>
      <c r="BD14" s="819">
        <v>19</v>
      </c>
      <c r="BE14" s="808">
        <f t="shared" ref="BE14:BE16" si="127">IFERROR(BD14*100/BB14,"")</f>
        <v>237.5</v>
      </c>
      <c r="BF14" s="2808"/>
      <c r="BG14" s="2801"/>
      <c r="BH14" s="2512">
        <f t="shared" si="106"/>
        <v>6</v>
      </c>
      <c r="BI14" s="2799">
        <f t="shared" si="67"/>
        <v>0</v>
      </c>
      <c r="BJ14" s="2512">
        <f t="shared" si="107"/>
        <v>46.153846153846153</v>
      </c>
      <c r="BK14" s="2799" t="str">
        <f t="shared" ref="BK14:BK15" si="128">IFERROR((BF14-BA14)*100/BA14,"-")</f>
        <v>-</v>
      </c>
      <c r="BL14" s="2511"/>
      <c r="BM14" s="2803"/>
      <c r="BN14" s="795" t="str">
        <f t="shared" si="29"/>
        <v>میانگین مدت ماندگاری کالا</v>
      </c>
      <c r="BO14" s="796" t="str">
        <f t="shared" si="30"/>
        <v>روز</v>
      </c>
      <c r="BP14" s="819">
        <v>32</v>
      </c>
      <c r="BQ14" s="2826"/>
      <c r="BR14" s="2417">
        <v>25</v>
      </c>
      <c r="BS14" s="2828"/>
      <c r="BT14" s="819">
        <v>22</v>
      </c>
      <c r="BU14" s="808">
        <f t="shared" ref="BU14:BU16" si="129">IFERROR(BT14*100/BR14,"")</f>
        <v>88</v>
      </c>
      <c r="BV14" s="2808"/>
      <c r="BW14" s="2801"/>
      <c r="BX14" s="2512">
        <f t="shared" si="108"/>
        <v>-10</v>
      </c>
      <c r="BY14" s="2799">
        <f t="shared" si="68"/>
        <v>0</v>
      </c>
      <c r="BZ14" s="2512">
        <f t="shared" si="109"/>
        <v>-31.25</v>
      </c>
      <c r="CA14" s="2799" t="str">
        <f t="shared" ref="CA14:CA15" si="130">IFERROR((BV14-BQ14)*100/BQ14,"-")</f>
        <v>-</v>
      </c>
      <c r="CB14" s="2511"/>
      <c r="CC14" s="2803"/>
      <c r="CD14" s="795" t="str">
        <f t="shared" si="34"/>
        <v>میانگین مدت ماندگاری کالا</v>
      </c>
      <c r="CE14" s="796" t="str">
        <f t="shared" si="35"/>
        <v>روز</v>
      </c>
      <c r="CF14" s="819"/>
      <c r="CG14" s="2826"/>
      <c r="CH14" s="2417"/>
      <c r="CI14" s="2828"/>
      <c r="CJ14" s="819"/>
      <c r="CK14" s="808" t="str">
        <f t="shared" ref="CK14:CK16" si="131">IFERROR(CJ14*100/CH14,"")</f>
        <v/>
      </c>
      <c r="CL14" s="2808"/>
      <c r="CM14" s="2801"/>
      <c r="CN14" s="2512">
        <f t="shared" si="110"/>
        <v>0</v>
      </c>
      <c r="CO14" s="2799">
        <f t="shared" si="69"/>
        <v>0</v>
      </c>
      <c r="CP14" s="2512" t="str">
        <f t="shared" si="111"/>
        <v/>
      </c>
      <c r="CQ14" s="2799" t="str">
        <f t="shared" ref="CQ14:CQ15" si="132">IFERROR((CL14-CG14)*100/CG14,"-")</f>
        <v>-</v>
      </c>
      <c r="CR14" s="2511"/>
      <c r="CS14" s="2803"/>
      <c r="CT14" s="795" t="str">
        <f t="shared" si="39"/>
        <v>میانگین مدت ماندگاری کالا</v>
      </c>
      <c r="CU14" s="796" t="str">
        <f t="shared" si="40"/>
        <v>روز</v>
      </c>
      <c r="CV14" s="819">
        <v>46</v>
      </c>
      <c r="CW14" s="2826"/>
      <c r="CX14" s="2417">
        <v>46</v>
      </c>
      <c r="CY14" s="2828"/>
      <c r="CZ14" s="819">
        <v>182</v>
      </c>
      <c r="DA14" s="808">
        <f t="shared" ref="DA14:DA16" si="133">IFERROR(CZ14*100/CX14,"")</f>
        <v>395.6521739130435</v>
      </c>
      <c r="DB14" s="2808"/>
      <c r="DC14" s="2801"/>
      <c r="DD14" s="2512">
        <f t="shared" si="112"/>
        <v>136</v>
      </c>
      <c r="DE14" s="3380">
        <f t="shared" si="70"/>
        <v>0</v>
      </c>
      <c r="DF14" s="2512">
        <f t="shared" si="113"/>
        <v>295.6521739130435</v>
      </c>
      <c r="DG14" s="2799" t="str">
        <f t="shared" ref="DG14:DG15" si="134">IFERROR((DB14-CW14)*100/CW14,"-")</f>
        <v>-</v>
      </c>
      <c r="DH14" s="2511"/>
      <c r="DI14" s="2803"/>
      <c r="DJ14" s="795" t="str">
        <f t="shared" si="44"/>
        <v>میانگین مدت ماندگاری کالا</v>
      </c>
      <c r="DK14" s="796" t="str">
        <f t="shared" si="45"/>
        <v>روز</v>
      </c>
      <c r="DL14" s="819">
        <v>32</v>
      </c>
      <c r="DM14" s="2826"/>
      <c r="DN14" s="2417">
        <v>34</v>
      </c>
      <c r="DO14" s="2828"/>
      <c r="DP14" s="819">
        <v>41</v>
      </c>
      <c r="DQ14" s="808">
        <f t="shared" ref="DQ14:DQ16" si="135">IFERROR(DP14*100/DN14,"")</f>
        <v>120.58823529411765</v>
      </c>
      <c r="DR14" s="2808"/>
      <c r="DS14" s="2801"/>
      <c r="DT14" s="2512">
        <f t="shared" si="114"/>
        <v>9</v>
      </c>
      <c r="DU14" s="3380">
        <f t="shared" si="71"/>
        <v>0</v>
      </c>
      <c r="DV14" s="2512">
        <f t="shared" si="115"/>
        <v>28.125</v>
      </c>
      <c r="DW14" s="2799" t="str">
        <f t="shared" ref="DW14:DW15" si="136">IFERROR((DR14-DM14)*100/DM14,"-")</f>
        <v>-</v>
      </c>
      <c r="DX14" s="2511"/>
      <c r="DY14" s="2803"/>
      <c r="DZ14" s="795" t="str">
        <f t="shared" si="49"/>
        <v>میانگین مدت ماندگاری کالا</v>
      </c>
      <c r="EA14" s="796" t="str">
        <f t="shared" si="50"/>
        <v>روز</v>
      </c>
      <c r="EB14" s="819"/>
      <c r="EC14" s="2826"/>
      <c r="ED14" s="2417"/>
      <c r="EE14" s="2831"/>
      <c r="EF14" s="819"/>
      <c r="EG14" s="808" t="str">
        <f t="shared" ref="EG14:EG16" si="137">IFERROR(EF14*100/ED14,"")</f>
        <v/>
      </c>
      <c r="EH14" s="2808"/>
      <c r="EI14" s="2801"/>
      <c r="EJ14" s="2512">
        <f t="shared" si="116"/>
        <v>0</v>
      </c>
      <c r="EK14" s="2799">
        <f t="shared" si="72"/>
        <v>0</v>
      </c>
      <c r="EL14" s="2512" t="str">
        <f t="shared" si="117"/>
        <v/>
      </c>
      <c r="EM14" s="2799" t="str">
        <f t="shared" ref="EM14:EM15" si="138">IFERROR((EH14-EC14)*100/EC14,"-")</f>
        <v>-</v>
      </c>
      <c r="EN14" s="2511"/>
      <c r="EO14" s="2803"/>
      <c r="EP14" s="795" t="str">
        <f t="shared" si="54"/>
        <v>میانگین مدت ماندگاری کالا</v>
      </c>
      <c r="EQ14" s="796" t="str">
        <f t="shared" si="55"/>
        <v>روز</v>
      </c>
      <c r="ER14" s="819">
        <v>0</v>
      </c>
      <c r="ES14" s="2826"/>
      <c r="ET14" s="2417"/>
      <c r="EU14" s="2828"/>
      <c r="EV14" s="819">
        <v>136</v>
      </c>
      <c r="EW14" s="808" t="str">
        <f t="shared" ref="EW14:EW16" si="139">IFERROR(EV14*100/ET14,"")</f>
        <v/>
      </c>
      <c r="EX14" s="2808"/>
      <c r="EY14" s="2801"/>
      <c r="EZ14" s="2512">
        <f t="shared" si="118"/>
        <v>136</v>
      </c>
      <c r="FA14" s="2799">
        <f t="shared" si="73"/>
        <v>0</v>
      </c>
      <c r="FB14" s="2512" t="str">
        <f t="shared" si="119"/>
        <v/>
      </c>
      <c r="FC14" s="2799" t="str">
        <f t="shared" ref="FC14:FC15" si="140">IFERROR((EX14-ES14)*100/ES14,"-")</f>
        <v>-</v>
      </c>
      <c r="FD14" s="2511"/>
      <c r="FE14" s="2803"/>
      <c r="FF14" s="795" t="str">
        <f t="shared" si="59"/>
        <v>میانگین مدت ماندگاری کالا</v>
      </c>
      <c r="FG14" s="796" t="str">
        <f t="shared" si="60"/>
        <v>روز</v>
      </c>
      <c r="FH14" s="819"/>
      <c r="FI14" s="2826"/>
      <c r="FJ14" s="2417"/>
      <c r="FK14" s="2828"/>
      <c r="FL14" s="819">
        <v>24</v>
      </c>
      <c r="FM14" s="808" t="str">
        <f t="shared" ref="FM14:FM16" si="141">IFERROR(FL14*100/FJ14,"")</f>
        <v/>
      </c>
      <c r="FN14" s="2808"/>
      <c r="FO14" s="2801"/>
      <c r="FP14" s="2512">
        <f t="shared" si="120"/>
        <v>24</v>
      </c>
      <c r="FQ14" s="2799">
        <f t="shared" si="74"/>
        <v>0</v>
      </c>
      <c r="FR14" s="2512" t="str">
        <f t="shared" si="121"/>
        <v/>
      </c>
      <c r="FS14" s="2799" t="str">
        <f t="shared" ref="FS14:FS15" si="142">IFERROR((FN14-FI14)*100/FI14,"-")</f>
        <v>-</v>
      </c>
      <c r="FT14" s="2511"/>
    </row>
    <row r="15" spans="1:176" ht="30" customHeight="1">
      <c r="A15" s="2803"/>
      <c r="B15" s="795" t="s">
        <v>474</v>
      </c>
      <c r="C15" s="804" t="s">
        <v>478</v>
      </c>
      <c r="D15" s="2488">
        <f t="shared" ref="D15:J20" si="143">SUM(T15,AJ15,AZ15,BP15,CF15,CV15,DL15,EB15,ER15,FH15)</f>
        <v>650764</v>
      </c>
      <c r="E15" s="2807"/>
      <c r="F15" s="2488">
        <f t="shared" si="143"/>
        <v>917802.75449792435</v>
      </c>
      <c r="G15" s="2807"/>
      <c r="H15" s="2488">
        <f t="shared" si="143"/>
        <v>1270129</v>
      </c>
      <c r="I15" s="808">
        <f>IFERROR(H15*100/F15,"")</f>
        <v>138.38801352201349</v>
      </c>
      <c r="J15" s="2809"/>
      <c r="K15" s="2802"/>
      <c r="L15" s="2514">
        <f t="shared" si="122"/>
        <v>619365</v>
      </c>
      <c r="M15" s="2802"/>
      <c r="N15" s="220">
        <f t="shared" si="101"/>
        <v>95.175055780590199</v>
      </c>
      <c r="O15" s="2799" t="str">
        <f t="shared" si="12"/>
        <v>-</v>
      </c>
      <c r="P15" s="2545">
        <v>1</v>
      </c>
      <c r="Q15" s="2803"/>
      <c r="R15" s="795" t="str">
        <f t="shared" si="13"/>
        <v>انبارداری</v>
      </c>
      <c r="S15" s="804" t="str">
        <f t="shared" si="14"/>
        <v>تن روز</v>
      </c>
      <c r="T15" s="2488">
        <f>IFERROR(T13*T14,"")</f>
        <v>380</v>
      </c>
      <c r="U15" s="2827"/>
      <c r="V15" s="2488">
        <f>IFERROR(V13*V14,"")</f>
        <v>3153.3287827076228</v>
      </c>
      <c r="W15" s="2829"/>
      <c r="X15" s="2488">
        <f>IFERROR(X13*X14,"")</f>
        <v>90</v>
      </c>
      <c r="Y15" s="818">
        <f t="shared" si="123"/>
        <v>2.8541267404003783</v>
      </c>
      <c r="Z15" s="2809"/>
      <c r="AA15" s="2802"/>
      <c r="AB15" s="3377">
        <f t="shared" si="102"/>
        <v>-290</v>
      </c>
      <c r="AC15" s="2799">
        <f t="shared" si="65"/>
        <v>0</v>
      </c>
      <c r="AD15" s="220">
        <f t="shared" si="103"/>
        <v>-76.315789473684205</v>
      </c>
      <c r="AE15" s="2799" t="str">
        <f t="shared" si="124"/>
        <v>-</v>
      </c>
      <c r="AF15" s="2511"/>
      <c r="AG15" s="2803"/>
      <c r="AH15" s="795" t="str">
        <f t="shared" si="18"/>
        <v>انبارداری</v>
      </c>
      <c r="AI15" s="804" t="str">
        <f t="shared" si="19"/>
        <v>تن روز</v>
      </c>
      <c r="AJ15" s="2488">
        <f>IFERROR(AJ13*AJ14,"")</f>
        <v>442250</v>
      </c>
      <c r="AK15" s="2827"/>
      <c r="AL15" s="2488">
        <f>IFERROR(AL13*AL14,"")</f>
        <v>800055.66298570775</v>
      </c>
      <c r="AM15" s="2829"/>
      <c r="AN15" s="2488">
        <f>IFERROR(AN13*AN14,"")</f>
        <v>831628</v>
      </c>
      <c r="AO15" s="818">
        <f t="shared" si="125"/>
        <v>103.9462675504937</v>
      </c>
      <c r="AP15" s="2809"/>
      <c r="AQ15" s="2802"/>
      <c r="AR15" s="2514">
        <f t="shared" si="104"/>
        <v>389378</v>
      </c>
      <c r="AS15" s="2799">
        <f t="shared" si="66"/>
        <v>0</v>
      </c>
      <c r="AT15" s="220">
        <f t="shared" si="105"/>
        <v>88.044771057094408</v>
      </c>
      <c r="AU15" s="2799" t="str">
        <f t="shared" si="126"/>
        <v>-</v>
      </c>
      <c r="AV15" s="2511"/>
      <c r="AW15" s="2803"/>
      <c r="AX15" s="795" t="str">
        <f t="shared" si="23"/>
        <v>انبارداری</v>
      </c>
      <c r="AY15" s="804" t="str">
        <f t="shared" si="24"/>
        <v>تن روز</v>
      </c>
      <c r="AZ15" s="2488">
        <f>IFERROR(AZ13*AZ14,"")</f>
        <v>66898</v>
      </c>
      <c r="BA15" s="2827"/>
      <c r="BB15" s="2488">
        <f>IFERROR(BB13*BB14,"")</f>
        <v>23673.066666666673</v>
      </c>
      <c r="BC15" s="2829"/>
      <c r="BD15" s="2488">
        <f>IFERROR(BD13*BD14,"")</f>
        <v>133190</v>
      </c>
      <c r="BE15" s="818">
        <f t="shared" si="127"/>
        <v>562.62250208394335</v>
      </c>
      <c r="BF15" s="2809"/>
      <c r="BG15" s="2802"/>
      <c r="BH15" s="2514">
        <f t="shared" si="106"/>
        <v>66292</v>
      </c>
      <c r="BI15" s="2799">
        <f t="shared" si="67"/>
        <v>0</v>
      </c>
      <c r="BJ15" s="220">
        <f t="shared" si="107"/>
        <v>99.094143322670334</v>
      </c>
      <c r="BK15" s="2799" t="str">
        <f t="shared" si="128"/>
        <v>-</v>
      </c>
      <c r="BL15" s="2511"/>
      <c r="BM15" s="2803"/>
      <c r="BN15" s="795" t="str">
        <f t="shared" si="29"/>
        <v>انبارداری</v>
      </c>
      <c r="BO15" s="804" t="str">
        <f t="shared" si="30"/>
        <v>تن روز</v>
      </c>
      <c r="BP15" s="2488">
        <f>IFERROR(BP13*BP14,"")</f>
        <v>31872</v>
      </c>
      <c r="BQ15" s="2827"/>
      <c r="BR15" s="2488">
        <f>IFERROR(BR13*BR14,"")</f>
        <v>42720.357802072976</v>
      </c>
      <c r="BS15" s="2829"/>
      <c r="BT15" s="2488">
        <f>IFERROR(BT13*BT14,"")</f>
        <v>100342</v>
      </c>
      <c r="BU15" s="818">
        <f t="shared" si="129"/>
        <v>234.88099155183335</v>
      </c>
      <c r="BV15" s="2809"/>
      <c r="BW15" s="2802"/>
      <c r="BX15" s="2514">
        <f t="shared" si="108"/>
        <v>68470</v>
      </c>
      <c r="BY15" s="2799">
        <f t="shared" si="68"/>
        <v>0</v>
      </c>
      <c r="BZ15" s="220">
        <f t="shared" si="109"/>
        <v>214.82806224899599</v>
      </c>
      <c r="CA15" s="2799" t="str">
        <f t="shared" si="130"/>
        <v>-</v>
      </c>
      <c r="CB15" s="2511"/>
      <c r="CC15" s="2803"/>
      <c r="CD15" s="795" t="str">
        <f t="shared" si="34"/>
        <v>انبارداری</v>
      </c>
      <c r="CE15" s="804" t="str">
        <f t="shared" si="35"/>
        <v>تن روز</v>
      </c>
      <c r="CF15" s="2488">
        <f>IFERROR(CF13*CF14,"")</f>
        <v>0</v>
      </c>
      <c r="CG15" s="2827"/>
      <c r="CH15" s="2488">
        <f>IFERROR(CH13*CH14,"")</f>
        <v>0</v>
      </c>
      <c r="CI15" s="2829"/>
      <c r="CJ15" s="2488">
        <f>IFERROR(CJ13*CJ14,"")</f>
        <v>0</v>
      </c>
      <c r="CK15" s="818" t="str">
        <f t="shared" si="131"/>
        <v/>
      </c>
      <c r="CL15" s="2809"/>
      <c r="CM15" s="2802"/>
      <c r="CN15" s="2514">
        <f t="shared" si="110"/>
        <v>0</v>
      </c>
      <c r="CO15" s="2799">
        <f t="shared" si="69"/>
        <v>0</v>
      </c>
      <c r="CP15" s="220" t="str">
        <f t="shared" si="111"/>
        <v/>
      </c>
      <c r="CQ15" s="2799" t="str">
        <f t="shared" si="132"/>
        <v>-</v>
      </c>
      <c r="CR15" s="2511"/>
      <c r="CS15" s="2803"/>
      <c r="CT15" s="795" t="str">
        <f t="shared" si="39"/>
        <v>انبارداری</v>
      </c>
      <c r="CU15" s="804" t="str">
        <f t="shared" si="40"/>
        <v>تن روز</v>
      </c>
      <c r="CV15" s="2488">
        <f>IFERROR(CV13*CV14,"")</f>
        <v>95956</v>
      </c>
      <c r="CW15" s="2827"/>
      <c r="CX15" s="2488">
        <f>IFERROR(CX13*CX14,"")</f>
        <v>41214.170808856754</v>
      </c>
      <c r="CY15" s="2829"/>
      <c r="CZ15" s="2488">
        <f>IFERROR(CZ13*CZ14,"")</f>
        <v>168168</v>
      </c>
      <c r="DA15" s="818">
        <f t="shared" si="133"/>
        <v>408.03441316320595</v>
      </c>
      <c r="DB15" s="2809"/>
      <c r="DC15" s="2802"/>
      <c r="DD15" s="2514">
        <f t="shared" si="112"/>
        <v>72212</v>
      </c>
      <c r="DE15" s="3380">
        <f t="shared" si="70"/>
        <v>0</v>
      </c>
      <c r="DF15" s="220">
        <f t="shared" si="113"/>
        <v>75.255325357455504</v>
      </c>
      <c r="DG15" s="2799" t="str">
        <f t="shared" si="134"/>
        <v>-</v>
      </c>
      <c r="DH15" s="2511"/>
      <c r="DI15" s="2803"/>
      <c r="DJ15" s="795" t="str">
        <f t="shared" si="44"/>
        <v>انبارداری</v>
      </c>
      <c r="DK15" s="804" t="str">
        <f t="shared" si="45"/>
        <v>تن روز</v>
      </c>
      <c r="DL15" s="2488">
        <f>IFERROR(DL13*DL14,"")</f>
        <v>13408</v>
      </c>
      <c r="DM15" s="2827"/>
      <c r="DN15" s="2488">
        <f>IFERROR(DN13*DN14,"")</f>
        <v>6986.1674519126873</v>
      </c>
      <c r="DO15" s="2829"/>
      <c r="DP15" s="2488">
        <f>IFERROR(DP13*DP14,"")</f>
        <v>12751</v>
      </c>
      <c r="DQ15" s="818">
        <f t="shared" si="135"/>
        <v>182.51781234515079</v>
      </c>
      <c r="DR15" s="2809"/>
      <c r="DS15" s="2802"/>
      <c r="DT15" s="3377">
        <f t="shared" si="114"/>
        <v>-657</v>
      </c>
      <c r="DU15" s="3380">
        <f t="shared" si="71"/>
        <v>0</v>
      </c>
      <c r="DV15" s="220">
        <f t="shared" si="115"/>
        <v>-4.9000596658711215</v>
      </c>
      <c r="DW15" s="2799" t="str">
        <f t="shared" si="136"/>
        <v>-</v>
      </c>
      <c r="DX15" s="2511"/>
      <c r="DY15" s="2803"/>
      <c r="DZ15" s="795" t="str">
        <f t="shared" si="49"/>
        <v>انبارداری</v>
      </c>
      <c r="EA15" s="804" t="str">
        <f t="shared" si="50"/>
        <v>تن روز</v>
      </c>
      <c r="EB15" s="2488">
        <f>IFERROR(EB13*EB14,"")</f>
        <v>0</v>
      </c>
      <c r="EC15" s="2827"/>
      <c r="ED15" s="2488">
        <f>IFERROR(ED13*ED14,"")</f>
        <v>0</v>
      </c>
      <c r="EE15" s="2832"/>
      <c r="EF15" s="2488">
        <f>IFERROR(EF13*EF14,"")</f>
        <v>0</v>
      </c>
      <c r="EG15" s="818" t="str">
        <f t="shared" si="137"/>
        <v/>
      </c>
      <c r="EH15" s="2809"/>
      <c r="EI15" s="2802"/>
      <c r="EJ15" s="2514">
        <f t="shared" si="116"/>
        <v>0</v>
      </c>
      <c r="EK15" s="2799">
        <f t="shared" si="72"/>
        <v>0</v>
      </c>
      <c r="EL15" s="220" t="str">
        <f t="shared" si="117"/>
        <v/>
      </c>
      <c r="EM15" s="2799" t="str">
        <f t="shared" si="138"/>
        <v>-</v>
      </c>
      <c r="EN15" s="2511"/>
      <c r="EO15" s="2803"/>
      <c r="EP15" s="795" t="str">
        <f t="shared" si="54"/>
        <v>انبارداری</v>
      </c>
      <c r="EQ15" s="804" t="str">
        <f t="shared" si="55"/>
        <v>تن روز</v>
      </c>
      <c r="ER15" s="2488">
        <f>IFERROR(ER13*ER14,"")</f>
        <v>0</v>
      </c>
      <c r="ES15" s="2827"/>
      <c r="ET15" s="2488">
        <f>IFERROR(ET13*ET14,"")</f>
        <v>0</v>
      </c>
      <c r="EU15" s="2829"/>
      <c r="EV15" s="2488">
        <f>IFERROR(EV13*EV14,"")</f>
        <v>1088</v>
      </c>
      <c r="EW15" s="818" t="str">
        <f t="shared" si="139"/>
        <v/>
      </c>
      <c r="EX15" s="2809"/>
      <c r="EY15" s="2802"/>
      <c r="EZ15" s="2514">
        <f t="shared" si="118"/>
        <v>1088</v>
      </c>
      <c r="FA15" s="2799">
        <f t="shared" si="73"/>
        <v>0</v>
      </c>
      <c r="FB15" s="220" t="str">
        <f t="shared" si="119"/>
        <v/>
      </c>
      <c r="FC15" s="2799" t="str">
        <f t="shared" si="140"/>
        <v>-</v>
      </c>
      <c r="FD15" s="2511"/>
      <c r="FE15" s="2803"/>
      <c r="FF15" s="795" t="str">
        <f t="shared" si="59"/>
        <v>انبارداری</v>
      </c>
      <c r="FG15" s="804" t="str">
        <f t="shared" si="60"/>
        <v>تن روز</v>
      </c>
      <c r="FH15" s="2488">
        <f>IFERROR(FH13*FH14,"")</f>
        <v>0</v>
      </c>
      <c r="FI15" s="2827"/>
      <c r="FJ15" s="2488">
        <f>IFERROR(FJ13*FJ14,"")</f>
        <v>0</v>
      </c>
      <c r="FK15" s="2829"/>
      <c r="FL15" s="2488">
        <f>IFERROR(FL13*FL14,"")</f>
        <v>22872</v>
      </c>
      <c r="FM15" s="818" t="str">
        <f t="shared" si="141"/>
        <v/>
      </c>
      <c r="FN15" s="2809"/>
      <c r="FO15" s="2802"/>
      <c r="FP15" s="2514">
        <f t="shared" si="120"/>
        <v>22872</v>
      </c>
      <c r="FQ15" s="2799">
        <f t="shared" si="74"/>
        <v>0</v>
      </c>
      <c r="FR15" s="220" t="str">
        <f t="shared" si="121"/>
        <v/>
      </c>
      <c r="FS15" s="2799" t="str">
        <f t="shared" si="142"/>
        <v>-</v>
      </c>
      <c r="FT15" s="2511"/>
    </row>
    <row r="16" spans="1:176" ht="30" customHeight="1">
      <c r="A16" s="2803"/>
      <c r="B16" s="798" t="s">
        <v>479</v>
      </c>
      <c r="C16" s="799" t="s">
        <v>475</v>
      </c>
      <c r="D16" s="2489">
        <f t="shared" si="143"/>
        <v>52712</v>
      </c>
      <c r="E16" s="2427">
        <f>SUM(U16,AK16,BA16,BQ16,CG16,CW16,DM16,EC16,ES16,FI16)</f>
        <v>33448</v>
      </c>
      <c r="F16" s="2489">
        <f t="shared" si="143"/>
        <v>73306.747864152203</v>
      </c>
      <c r="G16" s="2427">
        <f>SUM(W16,AM16,BC16,BS16,CI16,CY16,DO16,EE16,EU16,FK16)</f>
        <v>56912</v>
      </c>
      <c r="H16" s="2489">
        <f t="shared" si="143"/>
        <v>86938</v>
      </c>
      <c r="I16" s="808">
        <f t="shared" si="100"/>
        <v>118.59481225535805</v>
      </c>
      <c r="J16" s="826">
        <f>SUM(Z16,AP16,BF16,BV16,CL16,DB16,DR16,EH16,EX16,FN16)</f>
        <v>44261</v>
      </c>
      <c r="K16" s="221">
        <f>IFERROR(J16*100/G16,"")</f>
        <v>77.77094461624965</v>
      </c>
      <c r="L16" s="2515">
        <f t="shared" si="122"/>
        <v>34226</v>
      </c>
      <c r="M16" s="221">
        <f>IFERROR(J16-E16,"")</f>
        <v>10813</v>
      </c>
      <c r="N16" s="2516">
        <f t="shared" si="101"/>
        <v>64.930186674760961</v>
      </c>
      <c r="O16" s="221">
        <f>IFERROR((J16-E16)*100/E16,"")</f>
        <v>32.327792394164078</v>
      </c>
      <c r="P16" s="2545">
        <v>1</v>
      </c>
      <c r="Q16" s="2803"/>
      <c r="R16" s="798" t="str">
        <f t="shared" si="13"/>
        <v>باربری</v>
      </c>
      <c r="S16" s="799" t="str">
        <f t="shared" si="14"/>
        <v>تن</v>
      </c>
      <c r="T16" s="2489">
        <f>IFERROR(2*T13,"")</f>
        <v>38</v>
      </c>
      <c r="U16" s="2404">
        <v>44</v>
      </c>
      <c r="V16" s="2489">
        <f>IFERROR(2*V13,"")</f>
        <v>225.23777019340162</v>
      </c>
      <c r="W16" s="2408">
        <v>191</v>
      </c>
      <c r="X16" s="2489">
        <f>IFERROR(2*X13,"")</f>
        <v>2</v>
      </c>
      <c r="Y16" s="820">
        <f t="shared" si="123"/>
        <v>0.88795054145789554</v>
      </c>
      <c r="Z16" s="826">
        <v>5</v>
      </c>
      <c r="AA16" s="221">
        <f>IFERROR(Z16*100/W16,"")</f>
        <v>2.6178010471204187</v>
      </c>
      <c r="AB16" s="2603">
        <f t="shared" si="102"/>
        <v>-36</v>
      </c>
      <c r="AC16" s="3378">
        <f t="shared" si="65"/>
        <v>-39</v>
      </c>
      <c r="AD16" s="2516">
        <f t="shared" si="103"/>
        <v>-94.736842105263165</v>
      </c>
      <c r="AE16" s="221">
        <f>IFERROR((Z16-U16)*100/U16,"")</f>
        <v>-88.63636363636364</v>
      </c>
      <c r="AF16" s="2511"/>
      <c r="AG16" s="2803"/>
      <c r="AH16" s="798" t="str">
        <f t="shared" si="18"/>
        <v>باربری</v>
      </c>
      <c r="AI16" s="799" t="str">
        <f t="shared" si="19"/>
        <v>تن</v>
      </c>
      <c r="AJ16" s="2489">
        <f>IFERROR(2*AJ13,"")</f>
        <v>35380</v>
      </c>
      <c r="AK16" s="2404">
        <v>22687</v>
      </c>
      <c r="AL16" s="2489">
        <f>IFERROR(2*AL13,"")</f>
        <v>61542.7433065929</v>
      </c>
      <c r="AM16" s="2408">
        <v>45920</v>
      </c>
      <c r="AN16" s="2489">
        <f>IFERROR(2*AN13,"")</f>
        <v>59402</v>
      </c>
      <c r="AO16" s="820">
        <f t="shared" si="125"/>
        <v>96.521534154029879</v>
      </c>
      <c r="AP16" s="826">
        <v>18524</v>
      </c>
      <c r="AQ16" s="221">
        <f>IFERROR(AP16*100/AM16,"")</f>
        <v>40.339721254355403</v>
      </c>
      <c r="AR16" s="2660">
        <f t="shared" si="104"/>
        <v>24022</v>
      </c>
      <c r="AS16" s="3378">
        <f t="shared" si="66"/>
        <v>-4163</v>
      </c>
      <c r="AT16" s="2516">
        <f t="shared" si="105"/>
        <v>67.897117015262864</v>
      </c>
      <c r="AU16" s="221">
        <f>IFERROR((AP16-AK16)*100/AK16,"")</f>
        <v>-18.349715696213689</v>
      </c>
      <c r="AV16" s="2511"/>
      <c r="AW16" s="2803"/>
      <c r="AX16" s="798" t="str">
        <f t="shared" si="23"/>
        <v>باربری</v>
      </c>
      <c r="AY16" s="799" t="str">
        <f t="shared" si="24"/>
        <v>تن</v>
      </c>
      <c r="AZ16" s="2489">
        <f>IFERROR(2*AZ13,"")</f>
        <v>10292</v>
      </c>
      <c r="BA16" s="2404">
        <v>7581</v>
      </c>
      <c r="BB16" s="2489">
        <f>IFERROR(2*BB13,"")</f>
        <v>5918.2666666666682</v>
      </c>
      <c r="BC16" s="2408">
        <v>6003</v>
      </c>
      <c r="BD16" s="2489">
        <f>IFERROR(2*BD13,"")</f>
        <v>14020</v>
      </c>
      <c r="BE16" s="820">
        <f t="shared" si="127"/>
        <v>236.89368508797614</v>
      </c>
      <c r="BF16" s="826">
        <v>13446</v>
      </c>
      <c r="BG16" s="221">
        <f>IFERROR(BF16*100/BC16,"")</f>
        <v>223.98800599700149</v>
      </c>
      <c r="BH16" s="2660">
        <f t="shared" si="106"/>
        <v>3728</v>
      </c>
      <c r="BI16" s="221">
        <f t="shared" si="67"/>
        <v>5865</v>
      </c>
      <c r="BJ16" s="2516">
        <f t="shared" si="107"/>
        <v>36.222308589195492</v>
      </c>
      <c r="BK16" s="221">
        <f>IFERROR((BF16-BA16)*100/BA16,"")</f>
        <v>77.364463791056593</v>
      </c>
      <c r="BL16" s="2511"/>
      <c r="BM16" s="2803"/>
      <c r="BN16" s="798" t="str">
        <f t="shared" si="29"/>
        <v>باربری</v>
      </c>
      <c r="BO16" s="799" t="str">
        <f t="shared" si="30"/>
        <v>تن</v>
      </c>
      <c r="BP16" s="2489">
        <f>IFERROR(2*BP13,"")</f>
        <v>1992</v>
      </c>
      <c r="BQ16" s="2404">
        <v>1500</v>
      </c>
      <c r="BR16" s="2489">
        <f>IFERROR(2*BR13,"")</f>
        <v>3417.6286241658381</v>
      </c>
      <c r="BS16" s="2408">
        <v>3746</v>
      </c>
      <c r="BT16" s="2489">
        <f>IFERROR(2*BT13,"")</f>
        <v>9122</v>
      </c>
      <c r="BU16" s="820">
        <f t="shared" si="129"/>
        <v>266.9102176725379</v>
      </c>
      <c r="BV16" s="826">
        <v>9746</v>
      </c>
      <c r="BW16" s="221">
        <f>IFERROR(BV16*100/BS16,"")</f>
        <v>260.17084890549921</v>
      </c>
      <c r="BX16" s="2660">
        <f t="shared" si="108"/>
        <v>7130</v>
      </c>
      <c r="BY16" s="221">
        <f t="shared" si="68"/>
        <v>8246</v>
      </c>
      <c r="BZ16" s="2516">
        <f t="shared" si="109"/>
        <v>357.93172690763055</v>
      </c>
      <c r="CA16" s="221">
        <f>IFERROR((BV16-BQ16)*100/BQ16,"")</f>
        <v>549.73333333333335</v>
      </c>
      <c r="CB16" s="2511"/>
      <c r="CC16" s="2803"/>
      <c r="CD16" s="798" t="str">
        <f t="shared" si="34"/>
        <v>باربری</v>
      </c>
      <c r="CE16" s="799" t="str">
        <f t="shared" si="35"/>
        <v>تن</v>
      </c>
      <c r="CF16" s="2489">
        <f>IFERROR(2*CF13,"")</f>
        <v>0</v>
      </c>
      <c r="CG16" s="2404"/>
      <c r="CH16" s="2489">
        <f>IFERROR(2*CH13,"")</f>
        <v>0</v>
      </c>
      <c r="CI16" s="2408"/>
      <c r="CJ16" s="2489">
        <f>IFERROR(2*CJ13,"")</f>
        <v>0</v>
      </c>
      <c r="CK16" s="820" t="str">
        <f t="shared" si="131"/>
        <v/>
      </c>
      <c r="CL16" s="826"/>
      <c r="CM16" s="221" t="str">
        <f>IFERROR(CL16*100/CI16,"")</f>
        <v/>
      </c>
      <c r="CN16" s="2515">
        <f t="shared" si="110"/>
        <v>0</v>
      </c>
      <c r="CO16" s="221">
        <f t="shared" si="69"/>
        <v>0</v>
      </c>
      <c r="CP16" s="2516" t="str">
        <f t="shared" si="111"/>
        <v/>
      </c>
      <c r="CQ16" s="221" t="str">
        <f>IFERROR((CL16-CG16)*100/CG16,"")</f>
        <v/>
      </c>
      <c r="CR16" s="2511"/>
      <c r="CS16" s="2803"/>
      <c r="CT16" s="798" t="str">
        <f t="shared" si="39"/>
        <v>باربری</v>
      </c>
      <c r="CU16" s="799" t="str">
        <f t="shared" si="40"/>
        <v>تن</v>
      </c>
      <c r="CV16" s="2489">
        <f>IFERROR(2*CV13,"")</f>
        <v>4172</v>
      </c>
      <c r="CW16" s="2404">
        <v>1162</v>
      </c>
      <c r="CX16" s="2489">
        <f>IFERROR(2*CX13,"")</f>
        <v>1791.9204699502936</v>
      </c>
      <c r="CY16" s="2408">
        <v>722</v>
      </c>
      <c r="CZ16" s="2489">
        <f>IFERROR(2*CZ13,"")</f>
        <v>1848</v>
      </c>
      <c r="DA16" s="820">
        <f t="shared" si="133"/>
        <v>103.12957695333778</v>
      </c>
      <c r="DB16" s="826">
        <v>879</v>
      </c>
      <c r="DC16" s="221">
        <f>IFERROR(DB16*100/CY16,"")</f>
        <v>121.74515235457064</v>
      </c>
      <c r="DD16" s="2603">
        <f t="shared" si="112"/>
        <v>-2324</v>
      </c>
      <c r="DE16" s="221">
        <f t="shared" si="70"/>
        <v>-283</v>
      </c>
      <c r="DF16" s="2516">
        <f t="shared" si="113"/>
        <v>-55.70469798657718</v>
      </c>
      <c r="DG16" s="221">
        <f>IFERROR((DB16-CW16)*100/CW16,"")</f>
        <v>-24.354561101549052</v>
      </c>
      <c r="DH16" s="2511"/>
      <c r="DI16" s="2803"/>
      <c r="DJ16" s="798" t="str">
        <f t="shared" si="44"/>
        <v>باربری</v>
      </c>
      <c r="DK16" s="799" t="str">
        <f t="shared" si="45"/>
        <v>تن</v>
      </c>
      <c r="DL16" s="2489">
        <f>IFERROR(2*DL13,"")</f>
        <v>838</v>
      </c>
      <c r="DM16" s="2404">
        <v>474</v>
      </c>
      <c r="DN16" s="2489">
        <f>IFERROR(2*DN13,"")</f>
        <v>410.95102658309924</v>
      </c>
      <c r="DO16" s="2408">
        <v>330</v>
      </c>
      <c r="DP16" s="2489">
        <f>IFERROR(2*DP13,"")</f>
        <v>622</v>
      </c>
      <c r="DQ16" s="820">
        <f t="shared" si="135"/>
        <v>151.35623462768601</v>
      </c>
      <c r="DR16" s="826">
        <v>627</v>
      </c>
      <c r="DS16" s="221">
        <f>IFERROR(DR16*100/DO16,"")</f>
        <v>190</v>
      </c>
      <c r="DT16" s="2603">
        <f t="shared" si="114"/>
        <v>-216</v>
      </c>
      <c r="DU16" s="221">
        <f t="shared" si="71"/>
        <v>153</v>
      </c>
      <c r="DV16" s="2516">
        <f t="shared" si="115"/>
        <v>-25.775656324582339</v>
      </c>
      <c r="DW16" s="221">
        <f>IFERROR((DR16-DM16)*100/DM16,"")</f>
        <v>32.278481012658226</v>
      </c>
      <c r="DX16" s="2511"/>
      <c r="DY16" s="2803"/>
      <c r="DZ16" s="798" t="str">
        <f t="shared" si="49"/>
        <v>باربری</v>
      </c>
      <c r="EA16" s="799" t="str">
        <f t="shared" si="50"/>
        <v>تن</v>
      </c>
      <c r="EB16" s="2489">
        <f>IFERROR(2*EB13,"")</f>
        <v>0</v>
      </c>
      <c r="EC16" s="2404"/>
      <c r="ED16" s="2489">
        <f>IFERROR(2*ED13,"")</f>
        <v>0</v>
      </c>
      <c r="EE16" s="2408"/>
      <c r="EF16" s="2489">
        <f>IFERROR(2*EF13,"")</f>
        <v>0</v>
      </c>
      <c r="EG16" s="820" t="str">
        <f t="shared" si="137"/>
        <v/>
      </c>
      <c r="EH16" s="826"/>
      <c r="EI16" s="221" t="str">
        <f>IFERROR(EH16*100/EE16,"")</f>
        <v/>
      </c>
      <c r="EJ16" s="2515">
        <f t="shared" si="116"/>
        <v>0</v>
      </c>
      <c r="EK16" s="221">
        <f t="shared" si="72"/>
        <v>0</v>
      </c>
      <c r="EL16" s="2516" t="str">
        <f t="shared" si="117"/>
        <v/>
      </c>
      <c r="EM16" s="221" t="str">
        <f>IFERROR((EH16-EC16)*100/EC16,"")</f>
        <v/>
      </c>
      <c r="EN16" s="2511"/>
      <c r="EO16" s="2803"/>
      <c r="EP16" s="798" t="str">
        <f t="shared" si="54"/>
        <v>باربری</v>
      </c>
      <c r="EQ16" s="799" t="str">
        <f t="shared" si="55"/>
        <v>تن</v>
      </c>
      <c r="ER16" s="2489">
        <f>IFERROR(2*ER13,"")</f>
        <v>0</v>
      </c>
      <c r="ES16" s="2404"/>
      <c r="ET16" s="2489">
        <f>IFERROR(2*ET13,"")</f>
        <v>0</v>
      </c>
      <c r="EU16" s="2408"/>
      <c r="EV16" s="2489">
        <f>IFERROR(2*EV13,"")</f>
        <v>16</v>
      </c>
      <c r="EW16" s="820" t="str">
        <f t="shared" si="139"/>
        <v/>
      </c>
      <c r="EX16" s="826">
        <v>8</v>
      </c>
      <c r="EY16" s="221" t="str">
        <f>IFERROR(EX16*100/EU16,"")</f>
        <v/>
      </c>
      <c r="EZ16" s="2515">
        <f t="shared" si="118"/>
        <v>16</v>
      </c>
      <c r="FA16" s="221">
        <f t="shared" si="73"/>
        <v>8</v>
      </c>
      <c r="FB16" s="2516" t="str">
        <f t="shared" si="119"/>
        <v/>
      </c>
      <c r="FC16" s="221" t="str">
        <f>IFERROR((EX16-ES16)*100/ES16,"")</f>
        <v/>
      </c>
      <c r="FD16" s="2511"/>
      <c r="FE16" s="2803"/>
      <c r="FF16" s="798" t="str">
        <f t="shared" si="59"/>
        <v>باربری</v>
      </c>
      <c r="FG16" s="799" t="str">
        <f t="shared" si="60"/>
        <v>تن</v>
      </c>
      <c r="FH16" s="2489">
        <f>IFERROR(2*FH13,"")</f>
        <v>0</v>
      </c>
      <c r="FI16" s="2404"/>
      <c r="FJ16" s="2489">
        <f>IFERROR(2*FJ13,"")</f>
        <v>0</v>
      </c>
      <c r="FK16" s="2408"/>
      <c r="FL16" s="2489">
        <f>IFERROR(2*FL13,"")</f>
        <v>1906</v>
      </c>
      <c r="FM16" s="820" t="str">
        <f t="shared" si="141"/>
        <v/>
      </c>
      <c r="FN16" s="826">
        <v>1026</v>
      </c>
      <c r="FO16" s="221" t="str">
        <f>IFERROR(FN16*100/FK16,"")</f>
        <v/>
      </c>
      <c r="FP16" s="2515">
        <f t="shared" si="120"/>
        <v>1906</v>
      </c>
      <c r="FQ16" s="221">
        <f t="shared" si="74"/>
        <v>1026</v>
      </c>
      <c r="FR16" s="2516" t="str">
        <f t="shared" si="121"/>
        <v/>
      </c>
      <c r="FS16" s="221" t="str">
        <f>IFERROR((FN16-FI16)*100/FI16,"")</f>
        <v/>
      </c>
      <c r="FT16" s="2511"/>
    </row>
    <row r="17" spans="1:176" ht="30" customHeight="1">
      <c r="A17" s="2803"/>
      <c r="B17" s="798" t="s">
        <v>480</v>
      </c>
      <c r="C17" s="799" t="s">
        <v>475</v>
      </c>
      <c r="D17" s="2513">
        <f t="shared" si="143"/>
        <v>18</v>
      </c>
      <c r="E17" s="809">
        <f t="shared" si="143"/>
        <v>0</v>
      </c>
      <c r="F17" s="2513">
        <f t="shared" si="143"/>
        <v>26.040173755656109</v>
      </c>
      <c r="G17" s="809">
        <f t="shared" si="143"/>
        <v>0</v>
      </c>
      <c r="H17" s="3384">
        <f t="shared" si="143"/>
        <v>0</v>
      </c>
      <c r="I17" s="808">
        <f t="shared" si="100"/>
        <v>0</v>
      </c>
      <c r="J17" s="826">
        <f t="shared" si="143"/>
        <v>0</v>
      </c>
      <c r="K17" s="221" t="str">
        <f t="shared" ref="K17:K19" si="144">IFERROR(J17*100/G17,"")</f>
        <v/>
      </c>
      <c r="L17" s="2515">
        <f t="shared" si="122"/>
        <v>-18</v>
      </c>
      <c r="M17" s="221">
        <f t="shared" ref="M17:M20" si="145">IFERROR(J17-E17,"")</f>
        <v>0</v>
      </c>
      <c r="N17" s="2516">
        <f t="shared" si="101"/>
        <v>-100</v>
      </c>
      <c r="O17" s="221" t="str">
        <f t="shared" ref="O17:O19" si="146">IFERROR((J17-E17)*100/E17,"")</f>
        <v/>
      </c>
      <c r="P17" s="2545">
        <v>1</v>
      </c>
      <c r="Q17" s="2803"/>
      <c r="R17" s="798" t="str">
        <f t="shared" si="13"/>
        <v>حمل یکسره</v>
      </c>
      <c r="S17" s="799" t="str">
        <f t="shared" si="14"/>
        <v>تن</v>
      </c>
      <c r="T17" s="2489">
        <f>SUMIFS(صادرات!$C$42:$C$51,صادرات!$AA$42:$AA$51,AF2)</f>
        <v>18</v>
      </c>
      <c r="U17" s="2404"/>
      <c r="V17" s="2489">
        <f>SUMIFS(صادرات!$G$42:$G$51,صادرات!$AA$42:$AA$51,AF2)</f>
        <v>26.040173755656109</v>
      </c>
      <c r="W17" s="2408"/>
      <c r="X17" s="2489">
        <f>SUMIFS(صادرات!$K$42:$K$51,صادرات!$AA$42:$AA$51,AF2)</f>
        <v>0</v>
      </c>
      <c r="Y17" s="821">
        <f>IFERROR(X17*100/V17,"")</f>
        <v>0</v>
      </c>
      <c r="Z17" s="826"/>
      <c r="AA17" s="221" t="str">
        <f t="shared" ref="AA17:AA19" si="147">IFERROR(Z17*100/W17,"")</f>
        <v/>
      </c>
      <c r="AB17" s="2603">
        <f t="shared" si="102"/>
        <v>-18</v>
      </c>
      <c r="AC17" s="221">
        <f t="shared" si="65"/>
        <v>0</v>
      </c>
      <c r="AD17" s="2516">
        <f t="shared" si="103"/>
        <v>-100</v>
      </c>
      <c r="AE17" s="221" t="str">
        <f t="shared" ref="AE17:AE19" si="148">IFERROR((Z17-U17)*100/U17,"")</f>
        <v/>
      </c>
      <c r="AF17" s="2511"/>
      <c r="AG17" s="2803"/>
      <c r="AH17" s="798" t="str">
        <f t="shared" si="18"/>
        <v>حمل یکسره</v>
      </c>
      <c r="AI17" s="799" t="str">
        <f t="shared" si="19"/>
        <v>تن</v>
      </c>
      <c r="AJ17" s="2489">
        <f>SUMIFS(صادرات!$C$42:$C$51,صادرات!$AA$42:$AA$51,AV2)</f>
        <v>0</v>
      </c>
      <c r="AK17" s="2404"/>
      <c r="AL17" s="2489">
        <f>SUMIFS(صادرات!$G$42:$G$51,صادرات!$AA$42:$AA$51,AV2)</f>
        <v>0</v>
      </c>
      <c r="AM17" s="2408"/>
      <c r="AN17" s="2489">
        <f>SUMIFS(صادرات!$K$42:$K$51,صادرات!$AA$42:$AA$51,AV2)</f>
        <v>0</v>
      </c>
      <c r="AO17" s="821" t="str">
        <f>IFERROR(AN17*100/AL17,"")</f>
        <v/>
      </c>
      <c r="AP17" s="826"/>
      <c r="AQ17" s="221" t="str">
        <f t="shared" ref="AQ17:AQ19" si="149">IFERROR(AP17*100/AM17,"")</f>
        <v/>
      </c>
      <c r="AR17" s="2515">
        <f t="shared" si="104"/>
        <v>0</v>
      </c>
      <c r="AS17" s="221">
        <f t="shared" si="66"/>
        <v>0</v>
      </c>
      <c r="AT17" s="2516" t="str">
        <f t="shared" si="105"/>
        <v/>
      </c>
      <c r="AU17" s="221" t="str">
        <f t="shared" ref="AU17:AU19" si="150">IFERROR((AP17-AK17)*100/AK17,"")</f>
        <v/>
      </c>
      <c r="AV17" s="2511"/>
      <c r="AW17" s="2803"/>
      <c r="AX17" s="798" t="str">
        <f t="shared" si="23"/>
        <v>حمل یکسره</v>
      </c>
      <c r="AY17" s="799" t="str">
        <f t="shared" si="24"/>
        <v>تن</v>
      </c>
      <c r="AZ17" s="2489">
        <f>SUMIFS(صادرات!$C$42:$C$51,صادرات!$AA$42:$AA$51,BL2)</f>
        <v>0</v>
      </c>
      <c r="BA17" s="2404"/>
      <c r="BB17" s="2489">
        <f>SUMIFS(صادرات!$G$42:$G$51,صادرات!$AA$42:$AA$51,BL2)</f>
        <v>0</v>
      </c>
      <c r="BC17" s="2408"/>
      <c r="BD17" s="2489">
        <f>SUMIFS(صادرات!$K$42:$K$51,صادرات!$AA$42:$AA$51,BL2)</f>
        <v>0</v>
      </c>
      <c r="BE17" s="821" t="str">
        <f>IFERROR(BD17*100/BB17,"")</f>
        <v/>
      </c>
      <c r="BF17" s="826"/>
      <c r="BG17" s="221" t="str">
        <f t="shared" ref="BG17:BG19" si="151">IFERROR(BF17*100/BC17,"")</f>
        <v/>
      </c>
      <c r="BH17" s="2515">
        <f t="shared" si="106"/>
        <v>0</v>
      </c>
      <c r="BI17" s="221">
        <f t="shared" si="67"/>
        <v>0</v>
      </c>
      <c r="BJ17" s="2516" t="str">
        <f t="shared" si="107"/>
        <v/>
      </c>
      <c r="BK17" s="221" t="str">
        <f t="shared" ref="BK17:BK19" si="152">IFERROR((BF17-BA17)*100/BA17,"")</f>
        <v/>
      </c>
      <c r="BL17" s="2511"/>
      <c r="BM17" s="2803"/>
      <c r="BN17" s="798" t="str">
        <f t="shared" si="29"/>
        <v>حمل یکسره</v>
      </c>
      <c r="BO17" s="799" t="str">
        <f t="shared" si="30"/>
        <v>تن</v>
      </c>
      <c r="BP17" s="2489">
        <f>SUMIFS(صادرات!$C$42:$C$51,صادرات!$AA$42:$AA$51,CB2)</f>
        <v>0</v>
      </c>
      <c r="BQ17" s="2404"/>
      <c r="BR17" s="2489">
        <f>SUMIFS(صادرات!$G$42:$G$51,صادرات!$AA$42:$AA$51,CB2)</f>
        <v>0</v>
      </c>
      <c r="BS17" s="2408"/>
      <c r="BT17" s="2489">
        <f>SUMIFS(صادرات!$K$42:$K$51,صادرات!$AA$42:$AA$51,CB2)</f>
        <v>0</v>
      </c>
      <c r="BU17" s="821" t="str">
        <f>IFERROR(BT17*100/BR17,"")</f>
        <v/>
      </c>
      <c r="BV17" s="826"/>
      <c r="BW17" s="221" t="str">
        <f t="shared" ref="BW17:BW19" si="153">IFERROR(BV17*100/BS17,"")</f>
        <v/>
      </c>
      <c r="BX17" s="2515">
        <f t="shared" si="108"/>
        <v>0</v>
      </c>
      <c r="BY17" s="221">
        <f t="shared" si="68"/>
        <v>0</v>
      </c>
      <c r="BZ17" s="2516" t="str">
        <f t="shared" si="109"/>
        <v/>
      </c>
      <c r="CA17" s="221" t="str">
        <f t="shared" ref="CA17:CA19" si="154">IFERROR((BV17-BQ17)*100/BQ17,"")</f>
        <v/>
      </c>
      <c r="CB17" s="2511"/>
      <c r="CC17" s="2803"/>
      <c r="CD17" s="798" t="str">
        <f t="shared" si="34"/>
        <v>حمل یکسره</v>
      </c>
      <c r="CE17" s="799" t="str">
        <f t="shared" si="35"/>
        <v>تن</v>
      </c>
      <c r="CF17" s="2489">
        <f>SUMIFS(صادرات!$C$42:$C$51,صادرات!$AA$42:$AA$51,CR2)</f>
        <v>0</v>
      </c>
      <c r="CG17" s="2404"/>
      <c r="CH17" s="2489">
        <f>SUMIFS(صادرات!$G$42:$G$51,صادرات!$AA$42:$AA$51,CR2)</f>
        <v>0</v>
      </c>
      <c r="CI17" s="2408"/>
      <c r="CJ17" s="2489">
        <f>SUMIFS(صادرات!$K$42:$K$51,صادرات!$AA$42:$AA$51,CR2)</f>
        <v>0</v>
      </c>
      <c r="CK17" s="821" t="str">
        <f>IFERROR(CJ17*100/CH17,"")</f>
        <v/>
      </c>
      <c r="CL17" s="826"/>
      <c r="CM17" s="221" t="str">
        <f t="shared" ref="CM17:CM19" si="155">IFERROR(CL17*100/CI17,"")</f>
        <v/>
      </c>
      <c r="CN17" s="2515">
        <f t="shared" si="110"/>
        <v>0</v>
      </c>
      <c r="CO17" s="221">
        <f t="shared" si="69"/>
        <v>0</v>
      </c>
      <c r="CP17" s="2516" t="str">
        <f t="shared" si="111"/>
        <v/>
      </c>
      <c r="CQ17" s="221" t="str">
        <f t="shared" ref="CQ17:CQ19" si="156">IFERROR((CL17-CG17)*100/CG17,"")</f>
        <v/>
      </c>
      <c r="CR17" s="2511"/>
      <c r="CS17" s="2803"/>
      <c r="CT17" s="798" t="str">
        <f t="shared" si="39"/>
        <v>حمل یکسره</v>
      </c>
      <c r="CU17" s="799" t="str">
        <f t="shared" si="40"/>
        <v>تن</v>
      </c>
      <c r="CV17" s="2489">
        <f>SUMIFS(صادرات!$C$42:$C$51,صادرات!$AA$42:$AA$51,DH2)</f>
        <v>0</v>
      </c>
      <c r="CW17" s="2404"/>
      <c r="CX17" s="2489">
        <f>SUMIFS(صادرات!$G$42:$G$51,صادرات!$AA$42:$AA$51,DH2)</f>
        <v>0</v>
      </c>
      <c r="CY17" s="2408"/>
      <c r="CZ17" s="2489">
        <f>SUMIFS(صادرات!$K$42:$K$51,صادرات!$AA$42:$AA$51,DH2)</f>
        <v>0</v>
      </c>
      <c r="DA17" s="821" t="str">
        <f>IFERROR(CZ17*100/CX17,"")</f>
        <v/>
      </c>
      <c r="DB17" s="826"/>
      <c r="DC17" s="221" t="str">
        <f t="shared" ref="DC17:DC19" si="157">IFERROR(DB17*100/CY17,"")</f>
        <v/>
      </c>
      <c r="DD17" s="2515">
        <f t="shared" si="112"/>
        <v>0</v>
      </c>
      <c r="DE17" s="221">
        <f t="shared" si="70"/>
        <v>0</v>
      </c>
      <c r="DF17" s="2516" t="str">
        <f t="shared" si="113"/>
        <v/>
      </c>
      <c r="DG17" s="221" t="str">
        <f t="shared" ref="DG17:DG19" si="158">IFERROR((DB17-CW17)*100/CW17,"")</f>
        <v/>
      </c>
      <c r="DH17" s="2511"/>
      <c r="DI17" s="2803"/>
      <c r="DJ17" s="798" t="str">
        <f t="shared" si="44"/>
        <v>حمل یکسره</v>
      </c>
      <c r="DK17" s="799" t="str">
        <f t="shared" si="45"/>
        <v>تن</v>
      </c>
      <c r="DL17" s="2489">
        <f>SUMIFS(صادرات!$C$42:$C$51,صادرات!$AA$42:$AA$51,DX2)</f>
        <v>0</v>
      </c>
      <c r="DM17" s="2404"/>
      <c r="DN17" s="2489">
        <f>SUMIFS(صادرات!$G$42:$G$51,صادرات!$AA$42:$AA$51,DX2)</f>
        <v>0</v>
      </c>
      <c r="DO17" s="2408"/>
      <c r="DP17" s="2489">
        <f>SUMIFS(صادرات!$K$42:$K$51,صادرات!$AA$42:$AA$51,DX2)</f>
        <v>0</v>
      </c>
      <c r="DQ17" s="821" t="str">
        <f>IFERROR(DP17*100/DN17,"")</f>
        <v/>
      </c>
      <c r="DR17" s="826"/>
      <c r="DS17" s="221" t="str">
        <f t="shared" ref="DS17:DS19" si="159">IFERROR(DR17*100/DO17,"")</f>
        <v/>
      </c>
      <c r="DT17" s="2515">
        <f t="shared" si="114"/>
        <v>0</v>
      </c>
      <c r="DU17" s="221">
        <f t="shared" si="71"/>
        <v>0</v>
      </c>
      <c r="DV17" s="2516" t="str">
        <f t="shared" si="115"/>
        <v/>
      </c>
      <c r="DW17" s="221" t="str">
        <f t="shared" ref="DW17:DW19" si="160">IFERROR((DR17-DM17)*100/DM17,"")</f>
        <v/>
      </c>
      <c r="DX17" s="2511"/>
      <c r="DY17" s="2803"/>
      <c r="DZ17" s="798" t="str">
        <f t="shared" si="49"/>
        <v>حمل یکسره</v>
      </c>
      <c r="EA17" s="799" t="str">
        <f t="shared" si="50"/>
        <v>تن</v>
      </c>
      <c r="EB17" s="2489">
        <f>SUMIFS(صادرات!$C$42:$C$51,صادرات!$AA$42:$AA$51,EN2)</f>
        <v>0</v>
      </c>
      <c r="EC17" s="2404"/>
      <c r="ED17" s="2489">
        <f>SUMIFS(صادرات!$G$42:$G$51,صادرات!$AA$42:$AA$51,EN2)</f>
        <v>0</v>
      </c>
      <c r="EE17" s="2408"/>
      <c r="EF17" s="2489">
        <f>SUMIFS(صادرات!$K$42:$K$51,صادرات!$AA$42:$AA$51,EN2)</f>
        <v>0</v>
      </c>
      <c r="EG17" s="821" t="str">
        <f>IFERROR(EF17*100/ED17,"")</f>
        <v/>
      </c>
      <c r="EH17" s="826"/>
      <c r="EI17" s="221" t="str">
        <f t="shared" ref="EI17:EI19" si="161">IFERROR(EH17*100/EE17,"")</f>
        <v/>
      </c>
      <c r="EJ17" s="2515">
        <f t="shared" si="116"/>
        <v>0</v>
      </c>
      <c r="EK17" s="221">
        <f t="shared" si="72"/>
        <v>0</v>
      </c>
      <c r="EL17" s="2516" t="str">
        <f t="shared" si="117"/>
        <v/>
      </c>
      <c r="EM17" s="221" t="str">
        <f t="shared" ref="EM17:EM19" si="162">IFERROR((EH17-EC17)*100/EC17,"")</f>
        <v/>
      </c>
      <c r="EN17" s="2511"/>
      <c r="EO17" s="2803"/>
      <c r="EP17" s="798" t="str">
        <f t="shared" si="54"/>
        <v>حمل یکسره</v>
      </c>
      <c r="EQ17" s="799" t="str">
        <f t="shared" si="55"/>
        <v>تن</v>
      </c>
      <c r="ER17" s="2489">
        <f>SUMIFS(صادرات!$C$42:$C$51,صادرات!$AA$42:$AA$51,FD2)</f>
        <v>0</v>
      </c>
      <c r="ES17" s="2404"/>
      <c r="ET17" s="2489">
        <f>SUMIFS(صادرات!$G$42:$G$51,صادرات!$AA$42:$AA$51,FD2)</f>
        <v>0</v>
      </c>
      <c r="EU17" s="2408"/>
      <c r="EV17" s="2489">
        <f>SUMIFS(صادرات!$K$42:$K$51,صادرات!$AA$42:$AA$51,FD2)</f>
        <v>0</v>
      </c>
      <c r="EW17" s="821" t="str">
        <f>IFERROR(EV17*100/ET17,"")</f>
        <v/>
      </c>
      <c r="EX17" s="826"/>
      <c r="EY17" s="221" t="str">
        <f t="shared" ref="EY17:EY19" si="163">IFERROR(EX17*100/EU17,"")</f>
        <v/>
      </c>
      <c r="EZ17" s="2515">
        <f t="shared" si="118"/>
        <v>0</v>
      </c>
      <c r="FA17" s="221">
        <f t="shared" si="73"/>
        <v>0</v>
      </c>
      <c r="FB17" s="2516" t="str">
        <f t="shared" si="119"/>
        <v/>
      </c>
      <c r="FC17" s="221" t="str">
        <f t="shared" ref="FC17:FC19" si="164">IFERROR((EX17-ES17)*100/ES17,"")</f>
        <v/>
      </c>
      <c r="FD17" s="2511"/>
      <c r="FE17" s="2803"/>
      <c r="FF17" s="798" t="str">
        <f t="shared" si="59"/>
        <v>حمل یکسره</v>
      </c>
      <c r="FG17" s="799" t="str">
        <f t="shared" si="60"/>
        <v>تن</v>
      </c>
      <c r="FH17" s="2489">
        <f>SUMIFS(صادرات!$C$42:$C$51,صادرات!$AA$42:$AA$51,FT2)</f>
        <v>0</v>
      </c>
      <c r="FI17" s="2404"/>
      <c r="FJ17" s="2489">
        <f>SUMIFS(صادرات!$G$42:$G$51,صادرات!$AA$42:$AA$51,FT2)</f>
        <v>0</v>
      </c>
      <c r="FK17" s="2408"/>
      <c r="FL17" s="2489">
        <f>SUMIFS(صادرات!$K$42:$K$51,صادرات!$AA$42:$AA$51,FT2)</f>
        <v>0</v>
      </c>
      <c r="FM17" s="821" t="str">
        <f>IFERROR(FL17*100/FJ17,"")</f>
        <v/>
      </c>
      <c r="FN17" s="826"/>
      <c r="FO17" s="221" t="str">
        <f t="shared" ref="FO17:FO19" si="165">IFERROR(FN17*100/FK17,"")</f>
        <v/>
      </c>
      <c r="FP17" s="2515">
        <f t="shared" si="120"/>
        <v>0</v>
      </c>
      <c r="FQ17" s="221">
        <f t="shared" si="74"/>
        <v>0</v>
      </c>
      <c r="FR17" s="2516" t="str">
        <f t="shared" si="121"/>
        <v/>
      </c>
      <c r="FS17" s="221" t="str">
        <f t="shared" ref="FS17:FS19" si="166">IFERROR((FN17-FI17)*100/FI17,"")</f>
        <v/>
      </c>
      <c r="FT17" s="2511"/>
    </row>
    <row r="18" spans="1:176" ht="30" customHeight="1">
      <c r="A18" s="2803"/>
      <c r="B18" s="798" t="s">
        <v>455</v>
      </c>
      <c r="C18" s="799" t="s">
        <v>475</v>
      </c>
      <c r="D18" s="2517">
        <f t="shared" si="143"/>
        <v>378750</v>
      </c>
      <c r="E18" s="2426">
        <f t="shared" si="143"/>
        <v>5622</v>
      </c>
      <c r="F18" s="2517">
        <f t="shared" si="143"/>
        <v>513151.19436328375</v>
      </c>
      <c r="G18" s="2426">
        <f t="shared" si="143"/>
        <v>8953</v>
      </c>
      <c r="H18" s="2517">
        <f t="shared" si="143"/>
        <v>467553</v>
      </c>
      <c r="I18" s="808">
        <f t="shared" si="100"/>
        <v>91.114081996854395</v>
      </c>
      <c r="J18" s="826">
        <f t="shared" si="143"/>
        <v>949122</v>
      </c>
      <c r="K18" s="221">
        <f t="shared" si="144"/>
        <v>10601.161621802748</v>
      </c>
      <c r="L18" s="2515">
        <f t="shared" si="122"/>
        <v>88803</v>
      </c>
      <c r="M18" s="221">
        <f t="shared" si="145"/>
        <v>943500</v>
      </c>
      <c r="N18" s="2516">
        <f t="shared" si="101"/>
        <v>23.446336633663368</v>
      </c>
      <c r="O18" s="221">
        <f t="shared" si="146"/>
        <v>16782.283884738528</v>
      </c>
      <c r="P18" s="2545">
        <v>1</v>
      </c>
      <c r="Q18" s="2803"/>
      <c r="R18" s="798" t="str">
        <f t="shared" si="13"/>
        <v>ترانشیپ</v>
      </c>
      <c r="S18" s="799" t="str">
        <f t="shared" si="14"/>
        <v>تن</v>
      </c>
      <c r="T18" s="2489">
        <f>SUMIFS(صادرات!$E$42:$E$51,صادرات!$AA$42:$AA$51,AF2)</f>
        <v>0</v>
      </c>
      <c r="U18" s="2404"/>
      <c r="V18" s="2489">
        <f>SUMIFS(صادرات!$I$42:$I$51,صادرات!$AA$42:$AA$51,AF2)</f>
        <v>0</v>
      </c>
      <c r="W18" s="2408"/>
      <c r="X18" s="2489">
        <f>SUMIFS(صادرات!$M$42:$M$51,صادرات!$AA$42:$AA$51,AF2)</f>
        <v>0</v>
      </c>
      <c r="Y18" s="821" t="str">
        <f t="shared" si="123"/>
        <v/>
      </c>
      <c r="Z18" s="826"/>
      <c r="AA18" s="221" t="str">
        <f t="shared" si="147"/>
        <v/>
      </c>
      <c r="AB18" s="2515">
        <f t="shared" si="102"/>
        <v>0</v>
      </c>
      <c r="AC18" s="221">
        <f t="shared" si="65"/>
        <v>0</v>
      </c>
      <c r="AD18" s="2516" t="str">
        <f t="shared" si="103"/>
        <v/>
      </c>
      <c r="AE18" s="221" t="str">
        <f t="shared" si="148"/>
        <v/>
      </c>
      <c r="AF18" s="2511"/>
      <c r="AG18" s="2803"/>
      <c r="AH18" s="798" t="str">
        <f t="shared" si="18"/>
        <v>ترانشیپ</v>
      </c>
      <c r="AI18" s="799" t="str">
        <f t="shared" si="19"/>
        <v>تن</v>
      </c>
      <c r="AJ18" s="2489">
        <f>SUMIFS(صادرات!$E$42:$E$51,صادرات!$AA$42:$AA$51,AV2)</f>
        <v>351651</v>
      </c>
      <c r="AK18" s="2404">
        <v>4847</v>
      </c>
      <c r="AL18" s="2489">
        <f>SUMIFS(صادرات!$I$42:$I$51,صادرات!$AA$42:$AA$51,AV2)</f>
        <v>481483.01708012598</v>
      </c>
      <c r="AM18" s="2408">
        <v>8269</v>
      </c>
      <c r="AN18" s="2489">
        <f>SUMIFS(صادرات!$M$42:$M$51,صادرات!$AA$42:$AA$51,AV2)</f>
        <v>433194</v>
      </c>
      <c r="AO18" s="821">
        <f t="shared" ref="AO18" si="167">IFERROR(AN18*100/AL18,"")</f>
        <v>89.970774592847178</v>
      </c>
      <c r="AP18" s="826">
        <v>931556</v>
      </c>
      <c r="AQ18" s="221">
        <f t="shared" si="149"/>
        <v>11265.642762123594</v>
      </c>
      <c r="AR18" s="2660">
        <f t="shared" si="104"/>
        <v>81543</v>
      </c>
      <c r="AS18" s="221">
        <f t="shared" si="66"/>
        <v>926709</v>
      </c>
      <c r="AT18" s="2516">
        <f t="shared" si="105"/>
        <v>23.188615985735858</v>
      </c>
      <c r="AU18" s="221">
        <f t="shared" si="150"/>
        <v>19119.228388694039</v>
      </c>
      <c r="AV18" s="2511"/>
      <c r="AW18" s="2803"/>
      <c r="AX18" s="798" t="str">
        <f t="shared" si="23"/>
        <v>ترانشیپ</v>
      </c>
      <c r="AY18" s="799" t="str">
        <f t="shared" si="24"/>
        <v>تن</v>
      </c>
      <c r="AZ18" s="2489">
        <f>SUMIFS(صادرات!$E$42:$E$51,صادرات!$AA$42:$AA$51,BL2)</f>
        <v>27099</v>
      </c>
      <c r="BA18" s="2404">
        <v>775</v>
      </c>
      <c r="BB18" s="2489">
        <f>SUMIFS(صادرات!$I$42:$I$51,صادرات!$AA$42:$AA$51,BL2)</f>
        <v>31668.177283157791</v>
      </c>
      <c r="BC18" s="2408">
        <v>684</v>
      </c>
      <c r="BD18" s="2489">
        <f>SUMIFS(صادرات!$M$42:$M$51,صادرات!$AA$42:$AA$51,BL2)</f>
        <v>34359</v>
      </c>
      <c r="BE18" s="821">
        <f t="shared" ref="BE18" si="168">IFERROR(BD18*100/BB18,"")</f>
        <v>108.49692956049378</v>
      </c>
      <c r="BF18" s="826">
        <v>17566</v>
      </c>
      <c r="BG18" s="221">
        <f t="shared" si="151"/>
        <v>2568.1286549707602</v>
      </c>
      <c r="BH18" s="2660">
        <f t="shared" si="106"/>
        <v>7260</v>
      </c>
      <c r="BI18" s="221">
        <f t="shared" si="67"/>
        <v>16791</v>
      </c>
      <c r="BJ18" s="2516">
        <f t="shared" si="107"/>
        <v>26.790656481788997</v>
      </c>
      <c r="BK18" s="221">
        <f t="shared" si="152"/>
        <v>2166.5806451612902</v>
      </c>
      <c r="BL18" s="2511"/>
      <c r="BM18" s="2803"/>
      <c r="BN18" s="798" t="str">
        <f t="shared" si="29"/>
        <v>ترانشیپ</v>
      </c>
      <c r="BO18" s="799" t="str">
        <f t="shared" si="30"/>
        <v>تن</v>
      </c>
      <c r="BP18" s="2489">
        <f>SUMIFS(صادرات!$E$42:$E$51,صادرات!$AA$42:$AA$51,CB2)</f>
        <v>0</v>
      </c>
      <c r="BQ18" s="2404"/>
      <c r="BR18" s="2489">
        <f>SUMIFS(صادرات!$I$42:$I$51,صادرات!$AA$42:$AA$51,CB2)</f>
        <v>0</v>
      </c>
      <c r="BS18" s="2408"/>
      <c r="BT18" s="2489">
        <f>SUMIFS(صادرات!$M$42:$M$51,صادرات!$AA$42:$AA$51,CB2)</f>
        <v>0</v>
      </c>
      <c r="BU18" s="821" t="str">
        <f t="shared" ref="BU18" si="169">IFERROR(BT18*100/BR18,"")</f>
        <v/>
      </c>
      <c r="BV18" s="826"/>
      <c r="BW18" s="221" t="str">
        <f t="shared" si="153"/>
        <v/>
      </c>
      <c r="BX18" s="2515">
        <f t="shared" si="108"/>
        <v>0</v>
      </c>
      <c r="BY18" s="221">
        <f t="shared" si="68"/>
        <v>0</v>
      </c>
      <c r="BZ18" s="2516" t="str">
        <f t="shared" si="109"/>
        <v/>
      </c>
      <c r="CA18" s="221" t="str">
        <f t="shared" si="154"/>
        <v/>
      </c>
      <c r="CB18" s="2511"/>
      <c r="CC18" s="2803"/>
      <c r="CD18" s="798" t="str">
        <f t="shared" si="34"/>
        <v>ترانشیپ</v>
      </c>
      <c r="CE18" s="799" t="str">
        <f t="shared" si="35"/>
        <v>تن</v>
      </c>
      <c r="CF18" s="2489">
        <f>SUMIFS(صادرات!$E$42:$E$51,صادرات!$AA$42:$AA$51,CR2)</f>
        <v>0</v>
      </c>
      <c r="CG18" s="2404"/>
      <c r="CH18" s="2489">
        <f>SUMIFS(صادرات!$I$42:$I$51,صادرات!$AA$42:$AA$51,CR2)</f>
        <v>0</v>
      </c>
      <c r="CI18" s="2408"/>
      <c r="CJ18" s="2489">
        <f>SUMIFS(صادرات!$M$42:$M$51,صادرات!$AA$42:$AA$51,CR2)</f>
        <v>0</v>
      </c>
      <c r="CK18" s="821" t="str">
        <f t="shared" ref="CK18" si="170">IFERROR(CJ18*100/CH18,"")</f>
        <v/>
      </c>
      <c r="CL18" s="826"/>
      <c r="CM18" s="221" t="str">
        <f t="shared" si="155"/>
        <v/>
      </c>
      <c r="CN18" s="2515">
        <f t="shared" si="110"/>
        <v>0</v>
      </c>
      <c r="CO18" s="221">
        <f t="shared" si="69"/>
        <v>0</v>
      </c>
      <c r="CP18" s="2516" t="str">
        <f t="shared" si="111"/>
        <v/>
      </c>
      <c r="CQ18" s="221" t="str">
        <f t="shared" si="156"/>
        <v/>
      </c>
      <c r="CR18" s="2511"/>
      <c r="CS18" s="2803"/>
      <c r="CT18" s="798" t="str">
        <f t="shared" si="39"/>
        <v>ترانشیپ</v>
      </c>
      <c r="CU18" s="799" t="str">
        <f t="shared" si="40"/>
        <v>تن</v>
      </c>
      <c r="CV18" s="2489">
        <f>SUMIFS(صادرات!$E$42:$E$51,صادرات!$AA$42:$AA$51,DH2)</f>
        <v>0</v>
      </c>
      <c r="CW18" s="2404"/>
      <c r="CX18" s="2489">
        <f>SUMIFS(صادرات!$I$42:$I$51,صادرات!$AA$42:$AA$51,DH2)</f>
        <v>0</v>
      </c>
      <c r="CY18" s="2408"/>
      <c r="CZ18" s="2489">
        <f>SUMIFS(صادرات!$M$42:$M$51,صادرات!$AA$42:$AA$51,DH2)</f>
        <v>0</v>
      </c>
      <c r="DA18" s="821" t="str">
        <f t="shared" ref="DA18" si="171">IFERROR(CZ18*100/CX18,"")</f>
        <v/>
      </c>
      <c r="DB18" s="826"/>
      <c r="DC18" s="221" t="str">
        <f t="shared" si="157"/>
        <v/>
      </c>
      <c r="DD18" s="2515">
        <f t="shared" si="112"/>
        <v>0</v>
      </c>
      <c r="DE18" s="221">
        <f t="shared" si="70"/>
        <v>0</v>
      </c>
      <c r="DF18" s="2516" t="str">
        <f t="shared" si="113"/>
        <v/>
      </c>
      <c r="DG18" s="221" t="str">
        <f t="shared" si="158"/>
        <v/>
      </c>
      <c r="DH18" s="2511"/>
      <c r="DI18" s="2803"/>
      <c r="DJ18" s="798" t="str">
        <f t="shared" si="44"/>
        <v>ترانشیپ</v>
      </c>
      <c r="DK18" s="799" t="str">
        <f t="shared" si="45"/>
        <v>تن</v>
      </c>
      <c r="DL18" s="2489">
        <f>SUMIFS(صادرات!$E$42:$E$51,صادرات!$AA$42:$AA$51,DX2)</f>
        <v>0</v>
      </c>
      <c r="DM18" s="2404"/>
      <c r="DN18" s="2489">
        <f>SUMIFS(صادرات!$I$42:$I$51,صادرات!$AA$42:$AA$51,DX2)</f>
        <v>0</v>
      </c>
      <c r="DO18" s="2408"/>
      <c r="DP18" s="2489">
        <f>SUMIFS(صادرات!$M$42:$M$51,صادرات!$AA$42:$AA$51,DX2)</f>
        <v>0</v>
      </c>
      <c r="DQ18" s="821" t="str">
        <f t="shared" ref="DQ18" si="172">IFERROR(DP18*100/DN18,"")</f>
        <v/>
      </c>
      <c r="DR18" s="826"/>
      <c r="DS18" s="221" t="str">
        <f t="shared" si="159"/>
        <v/>
      </c>
      <c r="DT18" s="2515">
        <f t="shared" si="114"/>
        <v>0</v>
      </c>
      <c r="DU18" s="221">
        <f t="shared" si="71"/>
        <v>0</v>
      </c>
      <c r="DV18" s="2516" t="str">
        <f t="shared" si="115"/>
        <v/>
      </c>
      <c r="DW18" s="221" t="str">
        <f t="shared" si="160"/>
        <v/>
      </c>
      <c r="DX18" s="2511"/>
      <c r="DY18" s="2803"/>
      <c r="DZ18" s="798" t="str">
        <f t="shared" si="49"/>
        <v>ترانشیپ</v>
      </c>
      <c r="EA18" s="799" t="str">
        <f t="shared" si="50"/>
        <v>تن</v>
      </c>
      <c r="EB18" s="2489">
        <f>SUMIFS(صادرات!$E$42:$E$51,صادرات!$AA$42:$AA$51,EN2)</f>
        <v>0</v>
      </c>
      <c r="EC18" s="2404"/>
      <c r="ED18" s="2489">
        <f>SUMIFS(صادرات!$I$42:$I$51,صادرات!$AA$42:$AA$51,EN2)</f>
        <v>0</v>
      </c>
      <c r="EE18" s="2408"/>
      <c r="EF18" s="2489">
        <f>SUMIFS(صادرات!$M$42:$M$51,صادرات!$AA$42:$AA$51,EN2)</f>
        <v>0</v>
      </c>
      <c r="EG18" s="821" t="str">
        <f t="shared" ref="EG18" si="173">IFERROR(EF18*100/ED18,"")</f>
        <v/>
      </c>
      <c r="EH18" s="826"/>
      <c r="EI18" s="221" t="str">
        <f t="shared" si="161"/>
        <v/>
      </c>
      <c r="EJ18" s="2515">
        <f t="shared" si="116"/>
        <v>0</v>
      </c>
      <c r="EK18" s="221">
        <f t="shared" si="72"/>
        <v>0</v>
      </c>
      <c r="EL18" s="2516" t="str">
        <f t="shared" si="117"/>
        <v/>
      </c>
      <c r="EM18" s="221" t="str">
        <f t="shared" si="162"/>
        <v/>
      </c>
      <c r="EN18" s="2511"/>
      <c r="EO18" s="2803"/>
      <c r="EP18" s="798" t="str">
        <f t="shared" si="54"/>
        <v>ترانشیپ</v>
      </c>
      <c r="EQ18" s="799" t="str">
        <f t="shared" si="55"/>
        <v>تن</v>
      </c>
      <c r="ER18" s="2489">
        <f>SUMIFS(صادرات!$E$42:$E$51,صادرات!$AA$42:$AA$51,FD2)</f>
        <v>0</v>
      </c>
      <c r="ES18" s="2404"/>
      <c r="ET18" s="2489">
        <f>SUMIFS(صادرات!$I$42:$I$51,صادرات!$AA$42:$AA$51,FD2)</f>
        <v>0</v>
      </c>
      <c r="EU18" s="2408"/>
      <c r="EV18" s="2489">
        <f>SUMIFS(صادرات!$M$42:$M$51,صادرات!$AA$42:$AA$51,FD2)</f>
        <v>0</v>
      </c>
      <c r="EW18" s="821" t="str">
        <f t="shared" ref="EW18" si="174">IFERROR(EV18*100/ET18,"")</f>
        <v/>
      </c>
      <c r="EX18" s="826"/>
      <c r="EY18" s="221" t="str">
        <f t="shared" si="163"/>
        <v/>
      </c>
      <c r="EZ18" s="2515">
        <f t="shared" si="118"/>
        <v>0</v>
      </c>
      <c r="FA18" s="221">
        <f t="shared" si="73"/>
        <v>0</v>
      </c>
      <c r="FB18" s="2516" t="str">
        <f t="shared" si="119"/>
        <v/>
      </c>
      <c r="FC18" s="221" t="str">
        <f t="shared" si="164"/>
        <v/>
      </c>
      <c r="FD18" s="2511"/>
      <c r="FE18" s="2803"/>
      <c r="FF18" s="798" t="str">
        <f t="shared" si="59"/>
        <v>ترانشیپ</v>
      </c>
      <c r="FG18" s="799" t="str">
        <f t="shared" si="60"/>
        <v>تن</v>
      </c>
      <c r="FH18" s="2489">
        <f>SUMIFS(صادرات!$E$42:$E$51,صادرات!$AA$42:$AA$51,FT2)</f>
        <v>0</v>
      </c>
      <c r="FI18" s="2404"/>
      <c r="FJ18" s="2489">
        <f>SUMIFS(صادرات!$I$42:$I$51,صادرات!$AA$42:$AA$51,FT2)</f>
        <v>0</v>
      </c>
      <c r="FK18" s="2408"/>
      <c r="FL18" s="2489">
        <f>SUMIFS(صادرات!$M$42:$M$51,صادرات!$AA$42:$AA$51,FT2)</f>
        <v>0</v>
      </c>
      <c r="FM18" s="821" t="str">
        <f t="shared" ref="FM18" si="175">IFERROR(FL18*100/FJ18,"")</f>
        <v/>
      </c>
      <c r="FN18" s="826"/>
      <c r="FO18" s="221" t="str">
        <f t="shared" si="165"/>
        <v/>
      </c>
      <c r="FP18" s="2515">
        <f t="shared" si="120"/>
        <v>0</v>
      </c>
      <c r="FQ18" s="221">
        <f t="shared" si="74"/>
        <v>0</v>
      </c>
      <c r="FR18" s="2516" t="str">
        <f t="shared" si="121"/>
        <v/>
      </c>
      <c r="FS18" s="221" t="str">
        <f t="shared" si="166"/>
        <v/>
      </c>
      <c r="FT18" s="2511"/>
    </row>
    <row r="19" spans="1:176" ht="30" customHeight="1">
      <c r="A19" s="2803"/>
      <c r="B19" s="798" t="s">
        <v>481</v>
      </c>
      <c r="C19" s="799" t="s">
        <v>666</v>
      </c>
      <c r="D19" s="2520"/>
      <c r="E19" s="809">
        <f t="shared" si="143"/>
        <v>55252</v>
      </c>
      <c r="F19" s="2521"/>
      <c r="G19" s="809">
        <f t="shared" si="143"/>
        <v>55246</v>
      </c>
      <c r="H19" s="2520"/>
      <c r="I19" s="2524"/>
      <c r="J19" s="826">
        <f t="shared" si="143"/>
        <v>34526</v>
      </c>
      <c r="K19" s="221">
        <f t="shared" si="144"/>
        <v>62.495022264055315</v>
      </c>
      <c r="L19" s="223"/>
      <c r="M19" s="3378">
        <f t="shared" si="145"/>
        <v>-20726</v>
      </c>
      <c r="N19" s="2522"/>
      <c r="O19" s="221">
        <f t="shared" si="146"/>
        <v>-37.511764280026064</v>
      </c>
      <c r="P19" s="2545">
        <v>1</v>
      </c>
      <c r="Q19" s="2803"/>
      <c r="R19" s="798" t="str">
        <f t="shared" si="13"/>
        <v>خدمات باربری</v>
      </c>
      <c r="S19" s="799" t="str">
        <f t="shared" si="14"/>
        <v>میلیون ریال</v>
      </c>
      <c r="T19" s="2520"/>
      <c r="U19" s="2404">
        <v>12</v>
      </c>
      <c r="V19" s="2523"/>
      <c r="W19" s="2408">
        <v>46</v>
      </c>
      <c r="X19" s="2520"/>
      <c r="Y19" s="2524"/>
      <c r="Z19" s="826">
        <v>7</v>
      </c>
      <c r="AA19" s="221">
        <f t="shared" si="147"/>
        <v>15.217391304347826</v>
      </c>
      <c r="AB19" s="223"/>
      <c r="AC19" s="3378">
        <f t="shared" si="65"/>
        <v>-5</v>
      </c>
      <c r="AD19" s="2522"/>
      <c r="AE19" s="221">
        <f t="shared" si="148"/>
        <v>-41.666666666666664</v>
      </c>
      <c r="AF19" s="2511"/>
      <c r="AG19" s="2803"/>
      <c r="AH19" s="798" t="str">
        <f t="shared" si="18"/>
        <v>خدمات باربری</v>
      </c>
      <c r="AI19" s="799" t="str">
        <f t="shared" si="19"/>
        <v>میلیون ریال</v>
      </c>
      <c r="AJ19" s="2520"/>
      <c r="AK19" s="2404">
        <v>10009</v>
      </c>
      <c r="AL19" s="2523"/>
      <c r="AM19" s="2408">
        <v>22293</v>
      </c>
      <c r="AN19" s="2520"/>
      <c r="AO19" s="2524"/>
      <c r="AP19" s="826">
        <v>9912</v>
      </c>
      <c r="AQ19" s="221">
        <f t="shared" si="149"/>
        <v>44.462387296460776</v>
      </c>
      <c r="AR19" s="223"/>
      <c r="AS19" s="3378">
        <f t="shared" si="66"/>
        <v>-97</v>
      </c>
      <c r="AT19" s="2522"/>
      <c r="AU19" s="221">
        <f t="shared" si="150"/>
        <v>-0.96912778499350583</v>
      </c>
      <c r="AV19" s="2511"/>
      <c r="AW19" s="2803"/>
      <c r="AX19" s="798" t="str">
        <f t="shared" si="23"/>
        <v>خدمات باربری</v>
      </c>
      <c r="AY19" s="799" t="str">
        <f t="shared" si="24"/>
        <v>میلیون ریال</v>
      </c>
      <c r="AZ19" s="2520"/>
      <c r="BA19" s="2404">
        <v>356</v>
      </c>
      <c r="BB19" s="2523"/>
      <c r="BC19" s="2408">
        <v>294</v>
      </c>
      <c r="BD19" s="2520"/>
      <c r="BE19" s="2524"/>
      <c r="BF19" s="826">
        <v>582</v>
      </c>
      <c r="BG19" s="221">
        <f t="shared" si="151"/>
        <v>197.9591836734694</v>
      </c>
      <c r="BH19" s="223"/>
      <c r="BI19" s="221">
        <f t="shared" si="67"/>
        <v>226</v>
      </c>
      <c r="BJ19" s="2522"/>
      <c r="BK19" s="221">
        <f t="shared" si="152"/>
        <v>63.483146067415731</v>
      </c>
      <c r="BL19" s="2511"/>
      <c r="BM19" s="2803"/>
      <c r="BN19" s="798" t="str">
        <f t="shared" si="29"/>
        <v>خدمات باربری</v>
      </c>
      <c r="BO19" s="799" t="str">
        <f t="shared" si="30"/>
        <v>میلیون ریال</v>
      </c>
      <c r="BP19" s="2520"/>
      <c r="BQ19" s="2404">
        <v>119</v>
      </c>
      <c r="BR19" s="2523"/>
      <c r="BS19" s="2408">
        <v>241</v>
      </c>
      <c r="BT19" s="2520"/>
      <c r="BU19" s="2524"/>
      <c r="BV19" s="826">
        <v>411</v>
      </c>
      <c r="BW19" s="221">
        <f t="shared" si="153"/>
        <v>170.53941908713693</v>
      </c>
      <c r="BX19" s="223"/>
      <c r="BY19" s="221">
        <f t="shared" si="68"/>
        <v>292</v>
      </c>
      <c r="BZ19" s="2522"/>
      <c r="CA19" s="221">
        <f t="shared" si="154"/>
        <v>245.37815126050421</v>
      </c>
      <c r="CB19" s="2511"/>
      <c r="CC19" s="2803"/>
      <c r="CD19" s="798" t="str">
        <f t="shared" si="34"/>
        <v>خدمات باربری</v>
      </c>
      <c r="CE19" s="799" t="str">
        <f t="shared" si="35"/>
        <v>میلیون ریال</v>
      </c>
      <c r="CF19" s="2520"/>
      <c r="CG19" s="2404"/>
      <c r="CH19" s="2523"/>
      <c r="CI19" s="2408"/>
      <c r="CJ19" s="2520"/>
      <c r="CK19" s="2524"/>
      <c r="CL19" s="826"/>
      <c r="CM19" s="221" t="str">
        <f t="shared" si="155"/>
        <v/>
      </c>
      <c r="CN19" s="223"/>
      <c r="CO19" s="221">
        <f t="shared" si="69"/>
        <v>0</v>
      </c>
      <c r="CP19" s="2522"/>
      <c r="CQ19" s="221" t="str">
        <f t="shared" si="156"/>
        <v/>
      </c>
      <c r="CR19" s="2511"/>
      <c r="CS19" s="2803"/>
      <c r="CT19" s="798" t="str">
        <f t="shared" si="39"/>
        <v>خدمات باربری</v>
      </c>
      <c r="CU19" s="799" t="str">
        <f t="shared" si="40"/>
        <v>میلیون ریال</v>
      </c>
      <c r="CV19" s="2520"/>
      <c r="CW19" s="2404">
        <v>167</v>
      </c>
      <c r="CX19" s="2523"/>
      <c r="CY19" s="2408">
        <v>103</v>
      </c>
      <c r="CZ19" s="2520"/>
      <c r="DA19" s="2524"/>
      <c r="DB19" s="826">
        <v>51</v>
      </c>
      <c r="DC19" s="221">
        <f t="shared" si="157"/>
        <v>49.514563106796118</v>
      </c>
      <c r="DD19" s="223"/>
      <c r="DE19" s="221">
        <f t="shared" si="70"/>
        <v>-116</v>
      </c>
      <c r="DF19" s="2522"/>
      <c r="DG19" s="221">
        <f t="shared" si="158"/>
        <v>-69.461077844311376</v>
      </c>
      <c r="DH19" s="2511"/>
      <c r="DI19" s="2803"/>
      <c r="DJ19" s="798" t="str">
        <f t="shared" si="44"/>
        <v>خدمات باربری</v>
      </c>
      <c r="DK19" s="799" t="str">
        <f t="shared" si="45"/>
        <v>میلیون ریال</v>
      </c>
      <c r="DL19" s="2520"/>
      <c r="DM19" s="2404">
        <v>44589</v>
      </c>
      <c r="DN19" s="2523"/>
      <c r="DO19" s="2408">
        <v>32269</v>
      </c>
      <c r="DP19" s="2520"/>
      <c r="DQ19" s="2524"/>
      <c r="DR19" s="826">
        <v>23201</v>
      </c>
      <c r="DS19" s="221">
        <f t="shared" si="159"/>
        <v>71.898726331773531</v>
      </c>
      <c r="DT19" s="223"/>
      <c r="DU19" s="3378">
        <f t="shared" si="71"/>
        <v>-21388</v>
      </c>
      <c r="DV19" s="2522"/>
      <c r="DW19" s="221">
        <f t="shared" si="160"/>
        <v>-47.96698737356747</v>
      </c>
      <c r="DX19" s="2511"/>
      <c r="DY19" s="2803"/>
      <c r="DZ19" s="798" t="str">
        <f t="shared" si="49"/>
        <v>خدمات باربری</v>
      </c>
      <c r="EA19" s="799" t="str">
        <f t="shared" si="50"/>
        <v>میلیون ریال</v>
      </c>
      <c r="EB19" s="2520"/>
      <c r="EC19" s="2404"/>
      <c r="ED19" s="2523"/>
      <c r="EE19" s="2408"/>
      <c r="EF19" s="2520"/>
      <c r="EG19" s="2524"/>
      <c r="EH19" s="826"/>
      <c r="EI19" s="221" t="str">
        <f t="shared" si="161"/>
        <v/>
      </c>
      <c r="EJ19" s="223"/>
      <c r="EK19" s="221">
        <f t="shared" si="72"/>
        <v>0</v>
      </c>
      <c r="EL19" s="2522"/>
      <c r="EM19" s="221" t="str">
        <f t="shared" si="162"/>
        <v/>
      </c>
      <c r="EN19" s="2511"/>
      <c r="EO19" s="2803"/>
      <c r="EP19" s="798" t="str">
        <f t="shared" si="54"/>
        <v>خدمات باربری</v>
      </c>
      <c r="EQ19" s="799" t="str">
        <f t="shared" si="55"/>
        <v>میلیون ریال</v>
      </c>
      <c r="ER19" s="2520"/>
      <c r="ES19" s="2404"/>
      <c r="ET19" s="2523"/>
      <c r="EU19" s="2408"/>
      <c r="EV19" s="2520"/>
      <c r="EW19" s="2524"/>
      <c r="EX19" s="826">
        <v>3</v>
      </c>
      <c r="EY19" s="221" t="str">
        <f t="shared" si="163"/>
        <v/>
      </c>
      <c r="EZ19" s="223"/>
      <c r="FA19" s="221">
        <f t="shared" si="73"/>
        <v>3</v>
      </c>
      <c r="FB19" s="2522"/>
      <c r="FC19" s="221" t="str">
        <f t="shared" si="164"/>
        <v/>
      </c>
      <c r="FD19" s="2511"/>
      <c r="FE19" s="2803"/>
      <c r="FF19" s="798" t="str">
        <f t="shared" si="59"/>
        <v>خدمات باربری</v>
      </c>
      <c r="FG19" s="799" t="str">
        <f t="shared" si="60"/>
        <v>میلیون ریال</v>
      </c>
      <c r="FH19" s="2520"/>
      <c r="FI19" s="2404"/>
      <c r="FJ19" s="2523"/>
      <c r="FK19" s="2408"/>
      <c r="FL19" s="2520"/>
      <c r="FM19" s="2524"/>
      <c r="FN19" s="826">
        <v>359</v>
      </c>
      <c r="FO19" s="221" t="str">
        <f t="shared" si="165"/>
        <v/>
      </c>
      <c r="FP19" s="223"/>
      <c r="FQ19" s="221">
        <f t="shared" si="74"/>
        <v>359</v>
      </c>
      <c r="FR19" s="2522"/>
      <c r="FS19" s="221" t="str">
        <f t="shared" si="166"/>
        <v/>
      </c>
      <c r="FT19" s="2511"/>
    </row>
    <row r="20" spans="1:176" ht="30" customHeight="1" thickBot="1">
      <c r="A20" s="2803"/>
      <c r="B20" s="805" t="s">
        <v>482</v>
      </c>
      <c r="C20" s="806" t="s">
        <v>666</v>
      </c>
      <c r="D20" s="813"/>
      <c r="E20" s="812">
        <f t="shared" si="143"/>
        <v>2515</v>
      </c>
      <c r="F20" s="225"/>
      <c r="G20" s="812">
        <f t="shared" si="143"/>
        <v>4653</v>
      </c>
      <c r="H20" s="2424"/>
      <c r="I20" s="824"/>
      <c r="J20" s="828">
        <f t="shared" si="143"/>
        <v>10575</v>
      </c>
      <c r="K20" s="224">
        <f>IFERROR(J20*100/G20,"")</f>
        <v>227.27272727272728</v>
      </c>
      <c r="L20" s="223"/>
      <c r="M20" s="221">
        <f t="shared" si="145"/>
        <v>8060</v>
      </c>
      <c r="N20" s="2525"/>
      <c r="O20" s="224">
        <f>IFERROR((J20-E20)*100/E20,"")</f>
        <v>320.47713717693836</v>
      </c>
      <c r="P20" s="2545">
        <v>0</v>
      </c>
      <c r="Q20" s="2803"/>
      <c r="R20" s="805" t="str">
        <f t="shared" si="13"/>
        <v>بیمه</v>
      </c>
      <c r="S20" s="806" t="str">
        <f t="shared" si="14"/>
        <v>میلیون ریال</v>
      </c>
      <c r="T20" s="2415"/>
      <c r="U20" s="2405">
        <v>71</v>
      </c>
      <c r="V20" s="2420"/>
      <c r="W20" s="2410">
        <v>131</v>
      </c>
      <c r="X20" s="2425"/>
      <c r="Y20" s="824"/>
      <c r="Z20" s="828">
        <v>24</v>
      </c>
      <c r="AA20" s="224">
        <f>IFERROR(Z20*100/W20,"")</f>
        <v>18.320610687022899</v>
      </c>
      <c r="AB20" s="223"/>
      <c r="AC20" s="3385">
        <f t="shared" si="65"/>
        <v>-47</v>
      </c>
      <c r="AD20" s="2525"/>
      <c r="AE20" s="224">
        <f>IFERROR((Z20-U20)*100/U20,"")</f>
        <v>-66.197183098591552</v>
      </c>
      <c r="AF20" s="2511"/>
      <c r="AG20" s="2803"/>
      <c r="AH20" s="805" t="str">
        <f t="shared" si="18"/>
        <v>بیمه</v>
      </c>
      <c r="AI20" s="806" t="str">
        <f t="shared" si="19"/>
        <v>میلیون ریال</v>
      </c>
      <c r="AJ20" s="2415"/>
      <c r="AK20" s="2405">
        <v>687</v>
      </c>
      <c r="AL20" s="2420"/>
      <c r="AM20" s="2410">
        <v>1458</v>
      </c>
      <c r="AN20" s="2425"/>
      <c r="AO20" s="824"/>
      <c r="AP20" s="828">
        <v>2180</v>
      </c>
      <c r="AQ20" s="224">
        <f>IFERROR(AP20*100/AM20,"")</f>
        <v>149.519890260631</v>
      </c>
      <c r="AR20" s="223"/>
      <c r="AS20" s="226">
        <f t="shared" si="66"/>
        <v>1493</v>
      </c>
      <c r="AT20" s="2525"/>
      <c r="AU20" s="224">
        <f>IFERROR((AP20-AK20)*100/AK20,"")</f>
        <v>217.32168850072779</v>
      </c>
      <c r="AV20" s="2511"/>
      <c r="AW20" s="2803"/>
      <c r="AX20" s="805" t="str">
        <f t="shared" si="23"/>
        <v>بیمه</v>
      </c>
      <c r="AY20" s="806" t="str">
        <f t="shared" si="24"/>
        <v>میلیون ریال</v>
      </c>
      <c r="AZ20" s="2415"/>
      <c r="BA20" s="2405">
        <v>508</v>
      </c>
      <c r="BB20" s="2420"/>
      <c r="BC20" s="2410">
        <v>607</v>
      </c>
      <c r="BD20" s="2425"/>
      <c r="BE20" s="824"/>
      <c r="BF20" s="828">
        <v>2121</v>
      </c>
      <c r="BG20" s="224">
        <f>IFERROR(BF20*100/BC20,"")</f>
        <v>349.42339373970344</v>
      </c>
      <c r="BH20" s="223"/>
      <c r="BI20" s="226">
        <f t="shared" si="67"/>
        <v>1613</v>
      </c>
      <c r="BJ20" s="2525"/>
      <c r="BK20" s="224">
        <f>IFERROR((BF20-BA20)*100/BA20,"")</f>
        <v>317.51968503937007</v>
      </c>
      <c r="BL20" s="2511"/>
      <c r="BM20" s="2803"/>
      <c r="BN20" s="805" t="str">
        <f t="shared" si="29"/>
        <v>بیمه</v>
      </c>
      <c r="BO20" s="806" t="str">
        <f t="shared" si="30"/>
        <v>میلیون ریال</v>
      </c>
      <c r="BP20" s="2415"/>
      <c r="BQ20" s="2405">
        <v>651</v>
      </c>
      <c r="BR20" s="2420"/>
      <c r="BS20" s="2410">
        <v>1695</v>
      </c>
      <c r="BT20" s="2425"/>
      <c r="BU20" s="824"/>
      <c r="BV20" s="828">
        <v>3239</v>
      </c>
      <c r="BW20" s="224">
        <f>IFERROR(BV20*100/BS20,"")</f>
        <v>191.09144542772862</v>
      </c>
      <c r="BX20" s="223"/>
      <c r="BY20" s="226">
        <f t="shared" si="68"/>
        <v>2588</v>
      </c>
      <c r="BZ20" s="2525"/>
      <c r="CA20" s="224">
        <f>IFERROR((BV20-BQ20)*100/BQ20,"")</f>
        <v>397.54224270353302</v>
      </c>
      <c r="CB20" s="2511"/>
      <c r="CC20" s="2803"/>
      <c r="CD20" s="805" t="str">
        <f t="shared" si="34"/>
        <v>بیمه</v>
      </c>
      <c r="CE20" s="806" t="str">
        <f t="shared" si="35"/>
        <v>میلیون ریال</v>
      </c>
      <c r="CF20" s="2415"/>
      <c r="CG20" s="2405"/>
      <c r="CH20" s="2420"/>
      <c r="CI20" s="2410"/>
      <c r="CJ20" s="2425"/>
      <c r="CK20" s="824"/>
      <c r="CL20" s="828"/>
      <c r="CM20" s="224" t="str">
        <f>IFERROR(CL20*100/CI20,"")</f>
        <v/>
      </c>
      <c r="CN20" s="223"/>
      <c r="CO20" s="226">
        <f t="shared" si="69"/>
        <v>0</v>
      </c>
      <c r="CP20" s="2525"/>
      <c r="CQ20" s="224" t="str">
        <f>IFERROR((CL20-CG20)*100/CG20,"")</f>
        <v/>
      </c>
      <c r="CR20" s="2511"/>
      <c r="CS20" s="2803"/>
      <c r="CT20" s="805" t="str">
        <f t="shared" si="39"/>
        <v>بیمه</v>
      </c>
      <c r="CU20" s="806" t="str">
        <f t="shared" si="40"/>
        <v>میلیون ریال</v>
      </c>
      <c r="CV20" s="2415"/>
      <c r="CW20" s="2405">
        <v>431</v>
      </c>
      <c r="CX20" s="2420"/>
      <c r="CY20" s="2410">
        <v>607</v>
      </c>
      <c r="CZ20" s="2425"/>
      <c r="DA20" s="824"/>
      <c r="DB20" s="828">
        <v>1291</v>
      </c>
      <c r="DC20" s="224">
        <f>IFERROR(DB20*100/CY20,"")</f>
        <v>212.6853377265239</v>
      </c>
      <c r="DD20" s="223"/>
      <c r="DE20" s="226">
        <f t="shared" si="70"/>
        <v>860</v>
      </c>
      <c r="DF20" s="2525"/>
      <c r="DG20" s="224">
        <f>IFERROR((DB20-CW20)*100/CW20,"")</f>
        <v>199.53596287703016</v>
      </c>
      <c r="DH20" s="2511"/>
      <c r="DI20" s="2803"/>
      <c r="DJ20" s="805" t="str">
        <f t="shared" si="44"/>
        <v>بیمه</v>
      </c>
      <c r="DK20" s="806" t="str">
        <f t="shared" si="45"/>
        <v>میلیون ریال</v>
      </c>
      <c r="DL20" s="2415"/>
      <c r="DM20" s="2405">
        <v>167</v>
      </c>
      <c r="DN20" s="2420"/>
      <c r="DO20" s="2410">
        <v>155</v>
      </c>
      <c r="DP20" s="2425"/>
      <c r="DQ20" s="824"/>
      <c r="DR20" s="828">
        <v>169</v>
      </c>
      <c r="DS20" s="224">
        <f>IFERROR(DR20*100/DO20,"")</f>
        <v>109.03225806451613</v>
      </c>
      <c r="DT20" s="223"/>
      <c r="DU20" s="226">
        <f t="shared" si="71"/>
        <v>2</v>
      </c>
      <c r="DV20" s="2525"/>
      <c r="DW20" s="224">
        <f>IFERROR((DR20-DM20)*100/DM20,"")</f>
        <v>1.1976047904191616</v>
      </c>
      <c r="DX20" s="2511"/>
      <c r="DY20" s="2803"/>
      <c r="DZ20" s="805" t="str">
        <f t="shared" si="49"/>
        <v>بیمه</v>
      </c>
      <c r="EA20" s="806" t="str">
        <f t="shared" si="50"/>
        <v>میلیون ریال</v>
      </c>
      <c r="EB20" s="2415"/>
      <c r="EC20" s="2405"/>
      <c r="ED20" s="2420"/>
      <c r="EE20" s="2410"/>
      <c r="EF20" s="2425"/>
      <c r="EG20" s="824"/>
      <c r="EH20" s="828"/>
      <c r="EI20" s="224" t="str">
        <f>IFERROR(EH20*100/EE20,"")</f>
        <v/>
      </c>
      <c r="EJ20" s="223"/>
      <c r="EK20" s="226">
        <f t="shared" si="72"/>
        <v>0</v>
      </c>
      <c r="EL20" s="2525"/>
      <c r="EM20" s="224" t="str">
        <f>IFERROR((EH20-EC20)*100/EC20,"")</f>
        <v/>
      </c>
      <c r="EN20" s="2511"/>
      <c r="EO20" s="2803"/>
      <c r="EP20" s="805" t="str">
        <f t="shared" si="54"/>
        <v>بیمه</v>
      </c>
      <c r="EQ20" s="806" t="str">
        <f t="shared" si="55"/>
        <v>میلیون ریال</v>
      </c>
      <c r="ER20" s="2415"/>
      <c r="ES20" s="2405"/>
      <c r="ET20" s="2420"/>
      <c r="EU20" s="2410"/>
      <c r="EV20" s="2425"/>
      <c r="EW20" s="824"/>
      <c r="EX20" s="828"/>
      <c r="EY20" s="224" t="str">
        <f>IFERROR(EX20*100/EU20,"")</f>
        <v/>
      </c>
      <c r="EZ20" s="223"/>
      <c r="FA20" s="226">
        <f t="shared" si="73"/>
        <v>0</v>
      </c>
      <c r="FB20" s="2525"/>
      <c r="FC20" s="224" t="str">
        <f>IFERROR((EX20-ES20)*100/ES20,"")</f>
        <v/>
      </c>
      <c r="FD20" s="2511"/>
      <c r="FE20" s="2803"/>
      <c r="FF20" s="805" t="str">
        <f t="shared" si="59"/>
        <v>بیمه</v>
      </c>
      <c r="FG20" s="806" t="str">
        <f t="shared" si="60"/>
        <v>میلیون ریال</v>
      </c>
      <c r="FH20" s="2415"/>
      <c r="FI20" s="2405"/>
      <c r="FJ20" s="2420"/>
      <c r="FK20" s="2410"/>
      <c r="FL20" s="2425"/>
      <c r="FM20" s="824"/>
      <c r="FN20" s="828">
        <v>1551</v>
      </c>
      <c r="FO20" s="224" t="str">
        <f>IFERROR(FN20*100/FK20,"")</f>
        <v/>
      </c>
      <c r="FP20" s="223"/>
      <c r="FQ20" s="226">
        <f t="shared" si="74"/>
        <v>1551</v>
      </c>
      <c r="FR20" s="2525"/>
      <c r="FS20" s="224" t="str">
        <f>IFERROR((FN20-FI20)*100/FI20,"")</f>
        <v/>
      </c>
      <c r="FT20" s="2511"/>
    </row>
    <row r="21" spans="1:176" ht="30" hidden="1" customHeight="1">
      <c r="A21" s="2819" t="s">
        <v>483</v>
      </c>
      <c r="B21" s="2822" t="s">
        <v>342</v>
      </c>
      <c r="C21" s="803" t="s">
        <v>484</v>
      </c>
      <c r="D21" s="814"/>
      <c r="E21" s="815"/>
      <c r="F21" s="129"/>
      <c r="G21" s="130"/>
      <c r="H21" s="814"/>
      <c r="I21" s="825"/>
      <c r="J21" s="829"/>
      <c r="K21" s="227" t="str">
        <f t="shared" ref="K21:K24" si="176">IFERROR(J21*100/G21,"-")</f>
        <v>-</v>
      </c>
      <c r="L21" s="2518">
        <f>H21-D21</f>
        <v>0</v>
      </c>
      <c r="M21" s="2526">
        <f t="shared" ref="M21:M24" si="177">J21-E21</f>
        <v>0</v>
      </c>
      <c r="N21" s="2527" t="str">
        <f>IFERROR((H21-D21)*100/D21,"-")</f>
        <v>-</v>
      </c>
      <c r="O21" s="227" t="str">
        <f t="shared" si="12"/>
        <v>-</v>
      </c>
      <c r="Q21" s="2819" t="s">
        <v>483</v>
      </c>
      <c r="R21" s="2822" t="s">
        <v>342</v>
      </c>
      <c r="S21" s="803" t="s">
        <v>484</v>
      </c>
      <c r="T21" s="2416"/>
      <c r="U21" s="2406"/>
      <c r="V21" s="2421"/>
      <c r="W21" s="2411"/>
      <c r="X21" s="2416"/>
      <c r="Y21" s="2412" t="str">
        <f>IFERROR(X21*100/V21,"-")</f>
        <v>-</v>
      </c>
      <c r="Z21" s="829"/>
      <c r="AA21" s="227" t="str">
        <f t="shared" ref="AA21:AA24" si="178">IFERROR(Z21*100/W21,"-")</f>
        <v>-</v>
      </c>
      <c r="AB21" s="2518">
        <f>X21-T21</f>
        <v>0</v>
      </c>
      <c r="AC21" s="2526">
        <f t="shared" si="65"/>
        <v>0</v>
      </c>
      <c r="AD21" s="2527" t="str">
        <f>IFERROR((X21-T21)*100/T21,"-")</f>
        <v>-</v>
      </c>
      <c r="AE21" s="227" t="str">
        <f t="shared" ref="AE21:AE24" si="179">IFERROR((Z21-U21)*100/U21,"-")</f>
        <v>-</v>
      </c>
      <c r="AG21" s="2819" t="s">
        <v>483</v>
      </c>
      <c r="AH21" s="2822" t="s">
        <v>342</v>
      </c>
      <c r="AI21" s="803" t="s">
        <v>484</v>
      </c>
      <c r="AJ21" s="2416"/>
      <c r="AK21" s="2406"/>
      <c r="AL21" s="2421"/>
      <c r="AM21" s="2411"/>
      <c r="AN21" s="2416"/>
      <c r="AO21" s="2412" t="str">
        <f>IFERROR(AN21*100/AL21,"-")</f>
        <v>-</v>
      </c>
      <c r="AP21" s="829"/>
      <c r="AQ21" s="227" t="str">
        <f t="shared" ref="AQ21:AQ24" si="180">IFERROR(AP21*100/AM21,"-")</f>
        <v>-</v>
      </c>
      <c r="AR21" s="2518">
        <f>AN21-AJ21</f>
        <v>0</v>
      </c>
      <c r="AS21" s="2526">
        <f t="shared" si="66"/>
        <v>0</v>
      </c>
      <c r="AT21" s="2527" t="str">
        <f>IFERROR((AN21-AJ21)*100/AJ21,"-")</f>
        <v>-</v>
      </c>
      <c r="AU21" s="227" t="str">
        <f t="shared" ref="AU21:AU24" si="181">IFERROR((AP21-AK21)*100/AK21,"-")</f>
        <v>-</v>
      </c>
      <c r="AW21" s="2819" t="s">
        <v>483</v>
      </c>
      <c r="AX21" s="2822" t="s">
        <v>342</v>
      </c>
      <c r="AY21" s="803" t="s">
        <v>484</v>
      </c>
      <c r="AZ21" s="2416"/>
      <c r="BA21" s="2406"/>
      <c r="BB21" s="2421"/>
      <c r="BC21" s="2411"/>
      <c r="BD21" s="2416"/>
      <c r="BE21" s="2412" t="str">
        <f>IFERROR(BD21*100/BB21,"-")</f>
        <v>-</v>
      </c>
      <c r="BF21" s="829"/>
      <c r="BG21" s="227" t="str">
        <f t="shared" ref="BG21:BG24" si="182">IFERROR(BF21*100/BC21,"-")</f>
        <v>-</v>
      </c>
      <c r="BH21" s="2518">
        <f>BD21-AZ21</f>
        <v>0</v>
      </c>
      <c r="BI21" s="2526">
        <f t="shared" si="67"/>
        <v>0</v>
      </c>
      <c r="BJ21" s="2527" t="str">
        <f>IFERROR((BD21-AZ21)*100/AZ21,"-")</f>
        <v>-</v>
      </c>
      <c r="BK21" s="227" t="str">
        <f t="shared" ref="BK21:BK24" si="183">IFERROR((BF21-BA21)*100/BA21,"-")</f>
        <v>-</v>
      </c>
      <c r="BM21" s="2819" t="s">
        <v>483</v>
      </c>
      <c r="BN21" s="2822" t="s">
        <v>342</v>
      </c>
      <c r="BO21" s="803" t="s">
        <v>484</v>
      </c>
      <c r="BP21" s="2416"/>
      <c r="BQ21" s="2406"/>
      <c r="BR21" s="2421"/>
      <c r="BS21" s="2411"/>
      <c r="BT21" s="2416"/>
      <c r="BU21" s="2412" t="str">
        <f>IFERROR(BT21*100/BR21,"-")</f>
        <v>-</v>
      </c>
      <c r="BV21" s="829"/>
      <c r="BW21" s="227" t="str">
        <f t="shared" ref="BW21:BW24" si="184">IFERROR(BV21*100/BS21,"-")</f>
        <v>-</v>
      </c>
      <c r="BX21" s="2518">
        <f>BT21-BP21</f>
        <v>0</v>
      </c>
      <c r="BY21" s="2526">
        <f t="shared" si="68"/>
        <v>0</v>
      </c>
      <c r="BZ21" s="2527" t="str">
        <f>IFERROR((BT21-BP21)*100/BP21,"-")</f>
        <v>-</v>
      </c>
      <c r="CA21" s="227" t="str">
        <f t="shared" ref="CA21:CA24" si="185">IFERROR((BV21-BQ21)*100/BQ21,"-")</f>
        <v>-</v>
      </c>
      <c r="CC21" s="2819" t="s">
        <v>483</v>
      </c>
      <c r="CD21" s="2822" t="s">
        <v>342</v>
      </c>
      <c r="CE21" s="803" t="s">
        <v>484</v>
      </c>
      <c r="CF21" s="2416"/>
      <c r="CG21" s="2406"/>
      <c r="CH21" s="2421"/>
      <c r="CI21" s="2411"/>
      <c r="CJ21" s="2416"/>
      <c r="CK21" s="2412" t="str">
        <f>IFERROR(CJ21*100/CH21,"-")</f>
        <v>-</v>
      </c>
      <c r="CL21" s="829"/>
      <c r="CM21" s="227" t="str">
        <f t="shared" ref="CM21:CM24" si="186">IFERROR(CL21*100/CI21,"-")</f>
        <v>-</v>
      </c>
      <c r="CN21" s="2518">
        <f>CJ21-CF21</f>
        <v>0</v>
      </c>
      <c r="CO21" s="2526">
        <f t="shared" si="69"/>
        <v>0</v>
      </c>
      <c r="CP21" s="2527" t="str">
        <f>IFERROR((CJ21-CF21)*100/CF21,"-")</f>
        <v>-</v>
      </c>
      <c r="CQ21" s="227" t="str">
        <f t="shared" ref="CQ21:CQ24" si="187">IFERROR((CL21-CG21)*100/CG21,"-")</f>
        <v>-</v>
      </c>
      <c r="CS21" s="2819" t="s">
        <v>483</v>
      </c>
      <c r="CT21" s="2822" t="s">
        <v>342</v>
      </c>
      <c r="CU21" s="803" t="s">
        <v>484</v>
      </c>
      <c r="CV21" s="2416"/>
      <c r="CW21" s="2406"/>
      <c r="CX21" s="2421"/>
      <c r="CY21" s="2411"/>
      <c r="CZ21" s="2416"/>
      <c r="DA21" s="2412" t="str">
        <f>IFERROR(CZ21*100/CX21,"-")</f>
        <v>-</v>
      </c>
      <c r="DB21" s="829"/>
      <c r="DC21" s="227" t="str">
        <f t="shared" ref="DC21:DC24" si="188">IFERROR(DB21*100/CY21,"-")</f>
        <v>-</v>
      </c>
      <c r="DD21" s="2518">
        <f>CZ21-CV21</f>
        <v>0</v>
      </c>
      <c r="DE21" s="2526">
        <f t="shared" si="70"/>
        <v>0</v>
      </c>
      <c r="DF21" s="2527" t="str">
        <f>IFERROR((CZ21-CV21)*100/CV21,"-")</f>
        <v>-</v>
      </c>
      <c r="DG21" s="227" t="str">
        <f t="shared" ref="DG21:DG24" si="189">IFERROR((DB21-CW21)*100/CW21,"-")</f>
        <v>-</v>
      </c>
      <c r="DI21" s="2819" t="s">
        <v>483</v>
      </c>
      <c r="DJ21" s="2822" t="s">
        <v>342</v>
      </c>
      <c r="DK21" s="803" t="s">
        <v>484</v>
      </c>
      <c r="DL21" s="2416"/>
      <c r="DM21" s="2406"/>
      <c r="DN21" s="2421"/>
      <c r="DO21" s="2411"/>
      <c r="DP21" s="2416"/>
      <c r="DQ21" s="2412" t="str">
        <f>IFERROR(DP21*100/DN21,"-")</f>
        <v>-</v>
      </c>
      <c r="DR21" s="829"/>
      <c r="DS21" s="227" t="str">
        <f t="shared" ref="DS21:DS24" si="190">IFERROR(DR21*100/DO21,"-")</f>
        <v>-</v>
      </c>
      <c r="DT21" s="2518">
        <f>DP21-DL21</f>
        <v>0</v>
      </c>
      <c r="DU21" s="2526">
        <f t="shared" si="71"/>
        <v>0</v>
      </c>
      <c r="DV21" s="2527" t="str">
        <f>IFERROR((DP21-DL21)*100/DL21,"-")</f>
        <v>-</v>
      </c>
      <c r="DW21" s="227" t="str">
        <f t="shared" ref="DW21:DW24" si="191">IFERROR((DR21-DM21)*100/DM21,"-")</f>
        <v>-</v>
      </c>
      <c r="DY21" s="2819" t="s">
        <v>483</v>
      </c>
      <c r="DZ21" s="2822" t="s">
        <v>342</v>
      </c>
      <c r="EA21" s="803" t="s">
        <v>484</v>
      </c>
      <c r="EB21" s="2416"/>
      <c r="EC21" s="2406"/>
      <c r="ED21" s="2421"/>
      <c r="EE21" s="2411"/>
      <c r="EF21" s="2416"/>
      <c r="EG21" s="2412" t="str">
        <f>IFERROR(EF21*100/ED21,"-")</f>
        <v>-</v>
      </c>
      <c r="EH21" s="829"/>
      <c r="EI21" s="227" t="str">
        <f t="shared" ref="EI21:EI24" si="192">IFERROR(EH21*100/EE21,"-")</f>
        <v>-</v>
      </c>
      <c r="EJ21" s="2518">
        <f>EF21-EB21</f>
        <v>0</v>
      </c>
      <c r="EK21" s="2526">
        <f t="shared" si="72"/>
        <v>0</v>
      </c>
      <c r="EL21" s="2527" t="str">
        <f>IFERROR((EF21-EB21)*100/EB21,"-")</f>
        <v>-</v>
      </c>
      <c r="EM21" s="227" t="str">
        <f t="shared" ref="EM21:EM24" si="193">IFERROR((EH21-EC21)*100/EC21,"-")</f>
        <v>-</v>
      </c>
      <c r="EO21" s="2819" t="s">
        <v>483</v>
      </c>
      <c r="EP21" s="2822" t="s">
        <v>342</v>
      </c>
      <c r="EQ21" s="803" t="s">
        <v>484</v>
      </c>
      <c r="ER21" s="2416"/>
      <c r="ES21" s="2406"/>
      <c r="ET21" s="2421"/>
      <c r="EU21" s="2411"/>
      <c r="EV21" s="2416"/>
      <c r="EW21" s="2412" t="str">
        <f>IFERROR(EV21*100/ET21,"-")</f>
        <v>-</v>
      </c>
      <c r="EX21" s="829"/>
      <c r="EY21" s="227" t="str">
        <f t="shared" ref="EY21:EY24" si="194">IFERROR(EX21*100/EU21,"-")</f>
        <v>-</v>
      </c>
      <c r="EZ21" s="2518">
        <f>EV21-ER21</f>
        <v>0</v>
      </c>
      <c r="FA21" s="2526">
        <f t="shared" si="73"/>
        <v>0</v>
      </c>
      <c r="FB21" s="2527" t="str">
        <f>IFERROR((EV21-ER21)*100/ER21,"-")</f>
        <v>-</v>
      </c>
      <c r="FC21" s="227" t="str">
        <f t="shared" ref="FC21:FC24" si="195">IFERROR((EX21-ES21)*100/ES21,"-")</f>
        <v>-</v>
      </c>
      <c r="FE21" s="2819" t="s">
        <v>483</v>
      </c>
      <c r="FF21" s="2822" t="s">
        <v>342</v>
      </c>
      <c r="FG21" s="803" t="s">
        <v>484</v>
      </c>
      <c r="FH21" s="2416"/>
      <c r="FI21" s="2406"/>
      <c r="FJ21" s="2421"/>
      <c r="FK21" s="2411"/>
      <c r="FL21" s="2416"/>
      <c r="FM21" s="2412" t="str">
        <f>IFERROR(FL21*100/FJ21,"-")</f>
        <v>-</v>
      </c>
      <c r="FN21" s="829"/>
      <c r="FO21" s="227" t="str">
        <f t="shared" ref="FO21:FO24" si="196">IFERROR(FN21*100/FK21,"-")</f>
        <v>-</v>
      </c>
      <c r="FP21" s="2518">
        <f>FL21-FH21</f>
        <v>0</v>
      </c>
      <c r="FQ21" s="2526">
        <f t="shared" si="74"/>
        <v>0</v>
      </c>
      <c r="FR21" s="2527" t="str">
        <f>IFERROR((FL21-FH21)*100/FH21,"-")</f>
        <v>-</v>
      </c>
      <c r="FS21" s="227" t="str">
        <f t="shared" ref="FS21:FS24" si="197">IFERROR((FN21-FI21)*100/FI21,"-")</f>
        <v>-</v>
      </c>
    </row>
    <row r="22" spans="1:176" ht="30" hidden="1" customHeight="1">
      <c r="A22" s="2803"/>
      <c r="B22" s="2823"/>
      <c r="C22" s="799" t="s">
        <v>485</v>
      </c>
      <c r="D22" s="816"/>
      <c r="E22" s="817"/>
      <c r="F22" s="131"/>
      <c r="G22" s="127"/>
      <c r="H22" s="816"/>
      <c r="I22" s="821"/>
      <c r="J22" s="830"/>
      <c r="K22" s="221" t="str">
        <f t="shared" si="176"/>
        <v>-</v>
      </c>
      <c r="L22" s="2512">
        <f>H22-D22</f>
        <v>0</v>
      </c>
      <c r="M22" s="222">
        <f t="shared" si="177"/>
        <v>0</v>
      </c>
      <c r="N22" s="2515" t="str">
        <f>IFERROR((H22-D22)*100/D22,"-")</f>
        <v>-</v>
      </c>
      <c r="O22" s="221" t="str">
        <f t="shared" si="12"/>
        <v>-</v>
      </c>
      <c r="Q22" s="2803"/>
      <c r="R22" s="2823"/>
      <c r="S22" s="799" t="s">
        <v>485</v>
      </c>
      <c r="T22" s="819"/>
      <c r="U22" s="2407"/>
      <c r="V22" s="2422"/>
      <c r="W22" s="2408"/>
      <c r="X22" s="819"/>
      <c r="Y22" s="808" t="str">
        <f>IFERROR(X22*100/V22,"-")</f>
        <v>-</v>
      </c>
      <c r="Z22" s="830"/>
      <c r="AA22" s="221" t="str">
        <f t="shared" si="178"/>
        <v>-</v>
      </c>
      <c r="AB22" s="2512">
        <f>X22-T22</f>
        <v>0</v>
      </c>
      <c r="AC22" s="222">
        <f t="shared" si="65"/>
        <v>0</v>
      </c>
      <c r="AD22" s="2515" t="str">
        <f>IFERROR((X22-T22)*100/T22,"-")</f>
        <v>-</v>
      </c>
      <c r="AE22" s="221" t="str">
        <f t="shared" si="179"/>
        <v>-</v>
      </c>
      <c r="AG22" s="2803"/>
      <c r="AH22" s="2823"/>
      <c r="AI22" s="799" t="s">
        <v>485</v>
      </c>
      <c r="AJ22" s="819"/>
      <c r="AK22" s="2407"/>
      <c r="AL22" s="2422"/>
      <c r="AM22" s="2408"/>
      <c r="AN22" s="819"/>
      <c r="AO22" s="808" t="str">
        <f>IFERROR(AN22*100/AL22,"-")</f>
        <v>-</v>
      </c>
      <c r="AP22" s="830"/>
      <c r="AQ22" s="221" t="str">
        <f t="shared" si="180"/>
        <v>-</v>
      </c>
      <c r="AR22" s="2512">
        <f>AN22-AJ22</f>
        <v>0</v>
      </c>
      <c r="AS22" s="222">
        <f t="shared" si="66"/>
        <v>0</v>
      </c>
      <c r="AT22" s="2515" t="str">
        <f>IFERROR((AN22-AJ22)*100/AJ22,"-")</f>
        <v>-</v>
      </c>
      <c r="AU22" s="221" t="str">
        <f t="shared" si="181"/>
        <v>-</v>
      </c>
      <c r="AW22" s="2803"/>
      <c r="AX22" s="2823"/>
      <c r="AY22" s="799" t="s">
        <v>485</v>
      </c>
      <c r="AZ22" s="819"/>
      <c r="BA22" s="2407"/>
      <c r="BB22" s="2422"/>
      <c r="BC22" s="2408"/>
      <c r="BD22" s="819"/>
      <c r="BE22" s="808" t="str">
        <f>IFERROR(BD22*100/BB22,"-")</f>
        <v>-</v>
      </c>
      <c r="BF22" s="830"/>
      <c r="BG22" s="221" t="str">
        <f t="shared" si="182"/>
        <v>-</v>
      </c>
      <c r="BH22" s="2512">
        <f>BD22-AZ22</f>
        <v>0</v>
      </c>
      <c r="BI22" s="222">
        <f t="shared" si="67"/>
        <v>0</v>
      </c>
      <c r="BJ22" s="2515" t="str">
        <f>IFERROR((BD22-AZ22)*100/AZ22,"-")</f>
        <v>-</v>
      </c>
      <c r="BK22" s="221" t="str">
        <f t="shared" si="183"/>
        <v>-</v>
      </c>
      <c r="BM22" s="2803"/>
      <c r="BN22" s="2823"/>
      <c r="BO22" s="799" t="s">
        <v>485</v>
      </c>
      <c r="BP22" s="819"/>
      <c r="BQ22" s="2407"/>
      <c r="BR22" s="2422"/>
      <c r="BS22" s="2408"/>
      <c r="BT22" s="819"/>
      <c r="BU22" s="808" t="str">
        <f>IFERROR(BT22*100/BR22,"-")</f>
        <v>-</v>
      </c>
      <c r="BV22" s="830"/>
      <c r="BW22" s="221" t="str">
        <f t="shared" si="184"/>
        <v>-</v>
      </c>
      <c r="BX22" s="2512">
        <f>BT22-BP22</f>
        <v>0</v>
      </c>
      <c r="BY22" s="222">
        <f t="shared" si="68"/>
        <v>0</v>
      </c>
      <c r="BZ22" s="2515" t="str">
        <f>IFERROR((BT22-BP22)*100/BP22,"-")</f>
        <v>-</v>
      </c>
      <c r="CA22" s="221" t="str">
        <f t="shared" si="185"/>
        <v>-</v>
      </c>
      <c r="CC22" s="2803"/>
      <c r="CD22" s="2823"/>
      <c r="CE22" s="799" t="s">
        <v>485</v>
      </c>
      <c r="CF22" s="819"/>
      <c r="CG22" s="2407"/>
      <c r="CH22" s="2422"/>
      <c r="CI22" s="2408"/>
      <c r="CJ22" s="819"/>
      <c r="CK22" s="808" t="str">
        <f>IFERROR(CJ22*100/CH22,"-")</f>
        <v>-</v>
      </c>
      <c r="CL22" s="830"/>
      <c r="CM22" s="221" t="str">
        <f t="shared" si="186"/>
        <v>-</v>
      </c>
      <c r="CN22" s="2512">
        <f>CJ22-CF22</f>
        <v>0</v>
      </c>
      <c r="CO22" s="222">
        <f t="shared" si="69"/>
        <v>0</v>
      </c>
      <c r="CP22" s="2515" t="str">
        <f>IFERROR((CJ22-CF22)*100/CF22,"-")</f>
        <v>-</v>
      </c>
      <c r="CQ22" s="221" t="str">
        <f t="shared" si="187"/>
        <v>-</v>
      </c>
      <c r="CS22" s="2803"/>
      <c r="CT22" s="2823"/>
      <c r="CU22" s="799" t="s">
        <v>485</v>
      </c>
      <c r="CV22" s="819"/>
      <c r="CW22" s="2407"/>
      <c r="CX22" s="2422"/>
      <c r="CY22" s="2408"/>
      <c r="CZ22" s="819"/>
      <c r="DA22" s="808" t="str">
        <f>IFERROR(CZ22*100/CX22,"-")</f>
        <v>-</v>
      </c>
      <c r="DB22" s="830"/>
      <c r="DC22" s="221" t="str">
        <f t="shared" si="188"/>
        <v>-</v>
      </c>
      <c r="DD22" s="2512">
        <f>CZ22-CV22</f>
        <v>0</v>
      </c>
      <c r="DE22" s="222">
        <f t="shared" si="70"/>
        <v>0</v>
      </c>
      <c r="DF22" s="2515" t="str">
        <f>IFERROR((CZ22-CV22)*100/CV22,"-")</f>
        <v>-</v>
      </c>
      <c r="DG22" s="221" t="str">
        <f t="shared" si="189"/>
        <v>-</v>
      </c>
      <c r="DI22" s="2803"/>
      <c r="DJ22" s="2823"/>
      <c r="DK22" s="799" t="s">
        <v>485</v>
      </c>
      <c r="DL22" s="819"/>
      <c r="DM22" s="2407"/>
      <c r="DN22" s="2422"/>
      <c r="DO22" s="2408"/>
      <c r="DP22" s="819"/>
      <c r="DQ22" s="808" t="str">
        <f>IFERROR(DP22*100/DN22,"-")</f>
        <v>-</v>
      </c>
      <c r="DR22" s="830"/>
      <c r="DS22" s="221" t="str">
        <f t="shared" si="190"/>
        <v>-</v>
      </c>
      <c r="DT22" s="2512">
        <f>DP22-DL22</f>
        <v>0</v>
      </c>
      <c r="DU22" s="222">
        <f t="shared" si="71"/>
        <v>0</v>
      </c>
      <c r="DV22" s="2515" t="str">
        <f>IFERROR((DP22-DL22)*100/DL22,"-")</f>
        <v>-</v>
      </c>
      <c r="DW22" s="221" t="str">
        <f t="shared" si="191"/>
        <v>-</v>
      </c>
      <c r="DY22" s="2803"/>
      <c r="DZ22" s="2823"/>
      <c r="EA22" s="799" t="s">
        <v>485</v>
      </c>
      <c r="EB22" s="819"/>
      <c r="EC22" s="2407"/>
      <c r="ED22" s="2422"/>
      <c r="EE22" s="2408"/>
      <c r="EF22" s="819"/>
      <c r="EG22" s="808" t="str">
        <f>IFERROR(EF22*100/ED22,"-")</f>
        <v>-</v>
      </c>
      <c r="EH22" s="830"/>
      <c r="EI22" s="221" t="str">
        <f t="shared" si="192"/>
        <v>-</v>
      </c>
      <c r="EJ22" s="2512">
        <f>EF22-EB22</f>
        <v>0</v>
      </c>
      <c r="EK22" s="222">
        <f t="shared" si="72"/>
        <v>0</v>
      </c>
      <c r="EL22" s="2515" t="str">
        <f>IFERROR((EF22-EB22)*100/EB22,"-")</f>
        <v>-</v>
      </c>
      <c r="EM22" s="221" t="str">
        <f t="shared" si="193"/>
        <v>-</v>
      </c>
      <c r="EO22" s="2803"/>
      <c r="EP22" s="2823"/>
      <c r="EQ22" s="799" t="s">
        <v>485</v>
      </c>
      <c r="ER22" s="819"/>
      <c r="ES22" s="2407"/>
      <c r="ET22" s="2422"/>
      <c r="EU22" s="2408"/>
      <c r="EV22" s="819"/>
      <c r="EW22" s="808" t="str">
        <f>IFERROR(EV22*100/ET22,"-")</f>
        <v>-</v>
      </c>
      <c r="EX22" s="830"/>
      <c r="EY22" s="221" t="str">
        <f t="shared" si="194"/>
        <v>-</v>
      </c>
      <c r="EZ22" s="2512">
        <f>EV22-ER22</f>
        <v>0</v>
      </c>
      <c r="FA22" s="222">
        <f t="shared" si="73"/>
        <v>0</v>
      </c>
      <c r="FB22" s="2515" t="str">
        <f>IFERROR((EV22-ER22)*100/ER22,"-")</f>
        <v>-</v>
      </c>
      <c r="FC22" s="221" t="str">
        <f t="shared" si="195"/>
        <v>-</v>
      </c>
      <c r="FE22" s="2803"/>
      <c r="FF22" s="2823"/>
      <c r="FG22" s="799" t="s">
        <v>485</v>
      </c>
      <c r="FH22" s="819"/>
      <c r="FI22" s="2407"/>
      <c r="FJ22" s="2422"/>
      <c r="FK22" s="2408"/>
      <c r="FL22" s="819"/>
      <c r="FM22" s="808" t="str">
        <f>IFERROR(FL22*100/FJ22,"-")</f>
        <v>-</v>
      </c>
      <c r="FN22" s="830"/>
      <c r="FO22" s="221" t="str">
        <f t="shared" si="196"/>
        <v>-</v>
      </c>
      <c r="FP22" s="2512">
        <f>FL22-FH22</f>
        <v>0</v>
      </c>
      <c r="FQ22" s="222">
        <f t="shared" si="74"/>
        <v>0</v>
      </c>
      <c r="FR22" s="2515" t="str">
        <f>IFERROR((FL22-FH22)*100/FH22,"-")</f>
        <v>-</v>
      </c>
      <c r="FS22" s="221" t="str">
        <f t="shared" si="197"/>
        <v>-</v>
      </c>
    </row>
    <row r="23" spans="1:176" ht="30" hidden="1" customHeight="1">
      <c r="A23" s="2803"/>
      <c r="B23" s="2824" t="s">
        <v>486</v>
      </c>
      <c r="C23" s="799" t="s">
        <v>484</v>
      </c>
      <c r="D23" s="816"/>
      <c r="E23" s="817"/>
      <c r="F23" s="131"/>
      <c r="G23" s="127"/>
      <c r="H23" s="816"/>
      <c r="I23" s="821" t="str">
        <f>IFERROR(H23*100/F23,"-")</f>
        <v>-</v>
      </c>
      <c r="J23" s="831"/>
      <c r="K23" s="221" t="str">
        <f t="shared" si="176"/>
        <v>-</v>
      </c>
      <c r="L23" s="2512">
        <f>H23-D23</f>
        <v>0</v>
      </c>
      <c r="M23" s="222">
        <f t="shared" si="177"/>
        <v>0</v>
      </c>
      <c r="N23" s="2515" t="str">
        <f>IFERROR((H23-D23)*100/D23,"-")</f>
        <v>-</v>
      </c>
      <c r="O23" s="221" t="str">
        <f t="shared" si="12"/>
        <v>-</v>
      </c>
      <c r="Q23" s="2803"/>
      <c r="R23" s="2824" t="s">
        <v>486</v>
      </c>
      <c r="S23" s="799" t="s">
        <v>484</v>
      </c>
      <c r="T23" s="816"/>
      <c r="U23" s="817"/>
      <c r="V23" s="131"/>
      <c r="W23" s="127"/>
      <c r="X23" s="816"/>
      <c r="Y23" s="821" t="str">
        <f>IFERROR(X23*100/V23,"-")</f>
        <v>-</v>
      </c>
      <c r="Z23" s="831"/>
      <c r="AA23" s="221" t="str">
        <f t="shared" si="178"/>
        <v>-</v>
      </c>
      <c r="AB23" s="2512">
        <f>X23-T23</f>
        <v>0</v>
      </c>
      <c r="AC23" s="222">
        <f t="shared" si="65"/>
        <v>0</v>
      </c>
      <c r="AD23" s="2515" t="str">
        <f>IFERROR((X23-T23)*100/T23,"-")</f>
        <v>-</v>
      </c>
      <c r="AE23" s="221" t="str">
        <f t="shared" si="179"/>
        <v>-</v>
      </c>
      <c r="AG23" s="2803"/>
      <c r="AH23" s="2824" t="s">
        <v>486</v>
      </c>
      <c r="AI23" s="799" t="s">
        <v>484</v>
      </c>
      <c r="AJ23" s="816"/>
      <c r="AK23" s="817"/>
      <c r="AL23" s="131"/>
      <c r="AM23" s="127"/>
      <c r="AN23" s="816"/>
      <c r="AO23" s="821" t="str">
        <f>IFERROR(AN23*100/AL23,"-")</f>
        <v>-</v>
      </c>
      <c r="AP23" s="831"/>
      <c r="AQ23" s="221" t="str">
        <f t="shared" si="180"/>
        <v>-</v>
      </c>
      <c r="AR23" s="2512">
        <f>AN23-AJ23</f>
        <v>0</v>
      </c>
      <c r="AS23" s="222">
        <f t="shared" si="66"/>
        <v>0</v>
      </c>
      <c r="AT23" s="2515" t="str">
        <f>IFERROR((AN23-AJ23)*100/AJ23,"-")</f>
        <v>-</v>
      </c>
      <c r="AU23" s="221" t="str">
        <f t="shared" si="181"/>
        <v>-</v>
      </c>
      <c r="AW23" s="2803"/>
      <c r="AX23" s="2824" t="s">
        <v>486</v>
      </c>
      <c r="AY23" s="799" t="s">
        <v>484</v>
      </c>
      <c r="AZ23" s="816"/>
      <c r="BA23" s="817"/>
      <c r="BB23" s="131"/>
      <c r="BC23" s="127"/>
      <c r="BD23" s="816"/>
      <c r="BE23" s="821" t="str">
        <f>IFERROR(BD23*100/BB23,"-")</f>
        <v>-</v>
      </c>
      <c r="BF23" s="831"/>
      <c r="BG23" s="221" t="str">
        <f t="shared" si="182"/>
        <v>-</v>
      </c>
      <c r="BH23" s="2512">
        <f>BD23-AZ23</f>
        <v>0</v>
      </c>
      <c r="BI23" s="222">
        <f t="shared" si="67"/>
        <v>0</v>
      </c>
      <c r="BJ23" s="2515" t="str">
        <f>IFERROR((BD23-AZ23)*100/AZ23,"-")</f>
        <v>-</v>
      </c>
      <c r="BK23" s="221" t="str">
        <f t="shared" si="183"/>
        <v>-</v>
      </c>
      <c r="BM23" s="2803"/>
      <c r="BN23" s="2824" t="s">
        <v>486</v>
      </c>
      <c r="BO23" s="799" t="s">
        <v>484</v>
      </c>
      <c r="BP23" s="816"/>
      <c r="BQ23" s="817"/>
      <c r="BR23" s="131"/>
      <c r="BS23" s="127"/>
      <c r="BT23" s="816"/>
      <c r="BU23" s="821" t="str">
        <f>IFERROR(BT23*100/BR23,"-")</f>
        <v>-</v>
      </c>
      <c r="BV23" s="831"/>
      <c r="BW23" s="221" t="str">
        <f t="shared" si="184"/>
        <v>-</v>
      </c>
      <c r="BX23" s="2512">
        <f>BT23-BP23</f>
        <v>0</v>
      </c>
      <c r="BY23" s="222">
        <f t="shared" si="68"/>
        <v>0</v>
      </c>
      <c r="BZ23" s="2515" t="str">
        <f>IFERROR((BT23-BP23)*100/BP23,"-")</f>
        <v>-</v>
      </c>
      <c r="CA23" s="221" t="str">
        <f t="shared" si="185"/>
        <v>-</v>
      </c>
      <c r="CC23" s="2803"/>
      <c r="CD23" s="2824" t="s">
        <v>486</v>
      </c>
      <c r="CE23" s="799" t="s">
        <v>484</v>
      </c>
      <c r="CF23" s="816"/>
      <c r="CG23" s="817"/>
      <c r="CH23" s="131"/>
      <c r="CI23" s="127"/>
      <c r="CJ23" s="816"/>
      <c r="CK23" s="821" t="str">
        <f>IFERROR(CJ23*100/CH23,"-")</f>
        <v>-</v>
      </c>
      <c r="CL23" s="831"/>
      <c r="CM23" s="221" t="str">
        <f t="shared" si="186"/>
        <v>-</v>
      </c>
      <c r="CN23" s="2512">
        <f>CJ23-CF23</f>
        <v>0</v>
      </c>
      <c r="CO23" s="222">
        <f t="shared" si="69"/>
        <v>0</v>
      </c>
      <c r="CP23" s="2515" t="str">
        <f>IFERROR((CJ23-CF23)*100/CF23,"-")</f>
        <v>-</v>
      </c>
      <c r="CQ23" s="221" t="str">
        <f t="shared" si="187"/>
        <v>-</v>
      </c>
      <c r="CS23" s="2803"/>
      <c r="CT23" s="2824" t="s">
        <v>486</v>
      </c>
      <c r="CU23" s="799" t="s">
        <v>484</v>
      </c>
      <c r="CV23" s="816"/>
      <c r="CW23" s="817"/>
      <c r="CX23" s="131"/>
      <c r="CY23" s="127"/>
      <c r="CZ23" s="816"/>
      <c r="DA23" s="821" t="str">
        <f>IFERROR(CZ23*100/CX23,"-")</f>
        <v>-</v>
      </c>
      <c r="DB23" s="831"/>
      <c r="DC23" s="221" t="str">
        <f t="shared" si="188"/>
        <v>-</v>
      </c>
      <c r="DD23" s="2512">
        <f>CZ23-CV23</f>
        <v>0</v>
      </c>
      <c r="DE23" s="222">
        <f t="shared" si="70"/>
        <v>0</v>
      </c>
      <c r="DF23" s="2515" t="str">
        <f>IFERROR((CZ23-CV23)*100/CV23,"-")</f>
        <v>-</v>
      </c>
      <c r="DG23" s="221" t="str">
        <f t="shared" si="189"/>
        <v>-</v>
      </c>
      <c r="DI23" s="2803"/>
      <c r="DJ23" s="2824" t="s">
        <v>486</v>
      </c>
      <c r="DK23" s="799" t="s">
        <v>484</v>
      </c>
      <c r="DL23" s="816"/>
      <c r="DM23" s="817"/>
      <c r="DN23" s="131"/>
      <c r="DO23" s="127"/>
      <c r="DP23" s="816"/>
      <c r="DQ23" s="821" t="str">
        <f>IFERROR(DP23*100/DN23,"-")</f>
        <v>-</v>
      </c>
      <c r="DR23" s="831"/>
      <c r="DS23" s="221" t="str">
        <f t="shared" si="190"/>
        <v>-</v>
      </c>
      <c r="DT23" s="2512">
        <f>DP23-DL23</f>
        <v>0</v>
      </c>
      <c r="DU23" s="222">
        <f t="shared" si="71"/>
        <v>0</v>
      </c>
      <c r="DV23" s="2515" t="str">
        <f>IFERROR((DP23-DL23)*100/DL23,"-")</f>
        <v>-</v>
      </c>
      <c r="DW23" s="221" t="str">
        <f t="shared" si="191"/>
        <v>-</v>
      </c>
      <c r="DY23" s="2803"/>
      <c r="DZ23" s="2824" t="s">
        <v>486</v>
      </c>
      <c r="EA23" s="799" t="s">
        <v>484</v>
      </c>
      <c r="EB23" s="816"/>
      <c r="EC23" s="817"/>
      <c r="ED23" s="131"/>
      <c r="EE23" s="127"/>
      <c r="EF23" s="816"/>
      <c r="EG23" s="821" t="str">
        <f>IFERROR(EF23*100/ED23,"-")</f>
        <v>-</v>
      </c>
      <c r="EH23" s="831"/>
      <c r="EI23" s="221" t="str">
        <f t="shared" si="192"/>
        <v>-</v>
      </c>
      <c r="EJ23" s="2512">
        <f>EF23-EB23</f>
        <v>0</v>
      </c>
      <c r="EK23" s="222">
        <f t="shared" si="72"/>
        <v>0</v>
      </c>
      <c r="EL23" s="2515" t="str">
        <f>IFERROR((EF23-EB23)*100/EB23,"-")</f>
        <v>-</v>
      </c>
      <c r="EM23" s="221" t="str">
        <f t="shared" si="193"/>
        <v>-</v>
      </c>
      <c r="EO23" s="2803"/>
      <c r="EP23" s="2824" t="s">
        <v>486</v>
      </c>
      <c r="EQ23" s="799" t="s">
        <v>484</v>
      </c>
      <c r="ER23" s="816"/>
      <c r="ES23" s="817"/>
      <c r="ET23" s="131"/>
      <c r="EU23" s="127"/>
      <c r="EV23" s="816"/>
      <c r="EW23" s="821" t="str">
        <f>IFERROR(EV23*100/ET23,"-")</f>
        <v>-</v>
      </c>
      <c r="EX23" s="831"/>
      <c r="EY23" s="221" t="str">
        <f t="shared" si="194"/>
        <v>-</v>
      </c>
      <c r="EZ23" s="2512">
        <f>EV23-ER23</f>
        <v>0</v>
      </c>
      <c r="FA23" s="222">
        <f t="shared" si="73"/>
        <v>0</v>
      </c>
      <c r="FB23" s="2515" t="str">
        <f>IFERROR((EV23-ER23)*100/ER23,"-")</f>
        <v>-</v>
      </c>
      <c r="FC23" s="221" t="str">
        <f t="shared" si="195"/>
        <v>-</v>
      </c>
      <c r="FE23" s="2803"/>
      <c r="FF23" s="2824" t="s">
        <v>486</v>
      </c>
      <c r="FG23" s="799" t="s">
        <v>484</v>
      </c>
      <c r="FH23" s="816"/>
      <c r="FI23" s="817"/>
      <c r="FJ23" s="131"/>
      <c r="FK23" s="127"/>
      <c r="FL23" s="816"/>
      <c r="FM23" s="821" t="str">
        <f>IFERROR(FL23*100/FJ23,"-")</f>
        <v>-</v>
      </c>
      <c r="FN23" s="831"/>
      <c r="FO23" s="221" t="str">
        <f t="shared" si="196"/>
        <v>-</v>
      </c>
      <c r="FP23" s="2512">
        <f>FL23-FH23</f>
        <v>0</v>
      </c>
      <c r="FQ23" s="222">
        <f t="shared" si="74"/>
        <v>0</v>
      </c>
      <c r="FR23" s="2515" t="str">
        <f>IFERROR((FL23-FH23)*100/FH23,"-")</f>
        <v>-</v>
      </c>
      <c r="FS23" s="221" t="str">
        <f t="shared" si="197"/>
        <v>-</v>
      </c>
    </row>
    <row r="24" spans="1:176" ht="30" hidden="1" customHeight="1" thickBot="1">
      <c r="A24" s="2820"/>
      <c r="B24" s="2824"/>
      <c r="C24" s="806" t="s">
        <v>485</v>
      </c>
      <c r="D24" s="2481"/>
      <c r="E24" s="2482"/>
      <c r="F24" s="2483"/>
      <c r="G24" s="128"/>
      <c r="H24" s="2481"/>
      <c r="I24" s="2528" t="str">
        <f>IFERROR(H24*100/F24,"-")</f>
        <v>-</v>
      </c>
      <c r="J24" s="2484"/>
      <c r="K24" s="226" t="str">
        <f t="shared" si="176"/>
        <v>-</v>
      </c>
      <c r="L24" s="2529">
        <f>H24-D24</f>
        <v>0</v>
      </c>
      <c r="M24" s="2530">
        <f t="shared" si="177"/>
        <v>0</v>
      </c>
      <c r="N24" s="2531" t="str">
        <f>IFERROR((H24-D24)*100/D24,"-")</f>
        <v>-</v>
      </c>
      <c r="O24" s="226" t="str">
        <f t="shared" si="12"/>
        <v>-</v>
      </c>
      <c r="Q24" s="2820"/>
      <c r="R24" s="2824"/>
      <c r="S24" s="806" t="s">
        <v>485</v>
      </c>
      <c r="T24" s="2481"/>
      <c r="U24" s="2482"/>
      <c r="V24" s="2483"/>
      <c r="W24" s="128"/>
      <c r="X24" s="2481"/>
      <c r="Y24" s="2528" t="str">
        <f>IFERROR(X24*100/V24,"-")</f>
        <v>-</v>
      </c>
      <c r="Z24" s="2484"/>
      <c r="AA24" s="226" t="str">
        <f t="shared" si="178"/>
        <v>-</v>
      </c>
      <c r="AB24" s="2529">
        <f>X24-T24</f>
        <v>0</v>
      </c>
      <c r="AC24" s="2530">
        <f t="shared" si="65"/>
        <v>0</v>
      </c>
      <c r="AD24" s="2531" t="str">
        <f>IFERROR((X24-T24)*100/T24,"-")</f>
        <v>-</v>
      </c>
      <c r="AE24" s="226" t="str">
        <f t="shared" si="179"/>
        <v>-</v>
      </c>
      <c r="AG24" s="2820"/>
      <c r="AH24" s="2824"/>
      <c r="AI24" s="806" t="s">
        <v>485</v>
      </c>
      <c r="AJ24" s="2481"/>
      <c r="AK24" s="2482"/>
      <c r="AL24" s="2483"/>
      <c r="AM24" s="128"/>
      <c r="AN24" s="2481"/>
      <c r="AO24" s="2528" t="str">
        <f>IFERROR(AN24*100/AL24,"-")</f>
        <v>-</v>
      </c>
      <c r="AP24" s="2484"/>
      <c r="AQ24" s="226" t="str">
        <f t="shared" si="180"/>
        <v>-</v>
      </c>
      <c r="AR24" s="2529">
        <f>AN24-AJ24</f>
        <v>0</v>
      </c>
      <c r="AS24" s="2530">
        <f t="shared" si="66"/>
        <v>0</v>
      </c>
      <c r="AT24" s="2531" t="str">
        <f>IFERROR((AN24-AJ24)*100/AJ24,"-")</f>
        <v>-</v>
      </c>
      <c r="AU24" s="226" t="str">
        <f t="shared" si="181"/>
        <v>-</v>
      </c>
      <c r="AW24" s="2820"/>
      <c r="AX24" s="2824"/>
      <c r="AY24" s="806" t="s">
        <v>485</v>
      </c>
      <c r="AZ24" s="2481"/>
      <c r="BA24" s="2482"/>
      <c r="BB24" s="2483"/>
      <c r="BC24" s="128"/>
      <c r="BD24" s="2481"/>
      <c r="BE24" s="2528" t="str">
        <f>IFERROR(BD24*100/BB24,"-")</f>
        <v>-</v>
      </c>
      <c r="BF24" s="2484"/>
      <c r="BG24" s="226" t="str">
        <f t="shared" si="182"/>
        <v>-</v>
      </c>
      <c r="BH24" s="2529">
        <f>BD24-AZ24</f>
        <v>0</v>
      </c>
      <c r="BI24" s="2530">
        <f t="shared" si="67"/>
        <v>0</v>
      </c>
      <c r="BJ24" s="2531" t="str">
        <f>IFERROR((BD24-AZ24)*100/AZ24,"-")</f>
        <v>-</v>
      </c>
      <c r="BK24" s="226" t="str">
        <f t="shared" si="183"/>
        <v>-</v>
      </c>
      <c r="BM24" s="2820"/>
      <c r="BN24" s="2824"/>
      <c r="BO24" s="806" t="s">
        <v>485</v>
      </c>
      <c r="BP24" s="2481"/>
      <c r="BQ24" s="2482"/>
      <c r="BR24" s="2483"/>
      <c r="BS24" s="128"/>
      <c r="BT24" s="2481"/>
      <c r="BU24" s="2528" t="str">
        <f>IFERROR(BT24*100/BR24,"-")</f>
        <v>-</v>
      </c>
      <c r="BV24" s="2484"/>
      <c r="BW24" s="226" t="str">
        <f t="shared" si="184"/>
        <v>-</v>
      </c>
      <c r="BX24" s="2529">
        <f>BT24-BP24</f>
        <v>0</v>
      </c>
      <c r="BY24" s="2530">
        <f t="shared" si="68"/>
        <v>0</v>
      </c>
      <c r="BZ24" s="2531" t="str">
        <f>IFERROR((BT24-BP24)*100/BP24,"-")</f>
        <v>-</v>
      </c>
      <c r="CA24" s="226" t="str">
        <f t="shared" si="185"/>
        <v>-</v>
      </c>
      <c r="CC24" s="2820"/>
      <c r="CD24" s="2824"/>
      <c r="CE24" s="806" t="s">
        <v>485</v>
      </c>
      <c r="CF24" s="2481"/>
      <c r="CG24" s="2482"/>
      <c r="CH24" s="2483"/>
      <c r="CI24" s="128"/>
      <c r="CJ24" s="2481"/>
      <c r="CK24" s="2528" t="str">
        <f>IFERROR(CJ24*100/CH24,"-")</f>
        <v>-</v>
      </c>
      <c r="CL24" s="2484"/>
      <c r="CM24" s="226" t="str">
        <f t="shared" si="186"/>
        <v>-</v>
      </c>
      <c r="CN24" s="2529">
        <f>CJ24-CF24</f>
        <v>0</v>
      </c>
      <c r="CO24" s="2530">
        <f t="shared" si="69"/>
        <v>0</v>
      </c>
      <c r="CP24" s="2531" t="str">
        <f>IFERROR((CJ24-CF24)*100/CF24,"-")</f>
        <v>-</v>
      </c>
      <c r="CQ24" s="226" t="str">
        <f t="shared" si="187"/>
        <v>-</v>
      </c>
      <c r="CS24" s="2820"/>
      <c r="CT24" s="2824"/>
      <c r="CU24" s="806" t="s">
        <v>485</v>
      </c>
      <c r="CV24" s="2481"/>
      <c r="CW24" s="2482"/>
      <c r="CX24" s="2483"/>
      <c r="CY24" s="128"/>
      <c r="CZ24" s="2481"/>
      <c r="DA24" s="2528" t="str">
        <f>IFERROR(CZ24*100/CX24,"-")</f>
        <v>-</v>
      </c>
      <c r="DB24" s="2484"/>
      <c r="DC24" s="226" t="str">
        <f t="shared" si="188"/>
        <v>-</v>
      </c>
      <c r="DD24" s="2529">
        <f>CZ24-CV24</f>
        <v>0</v>
      </c>
      <c r="DE24" s="2530">
        <f t="shared" si="70"/>
        <v>0</v>
      </c>
      <c r="DF24" s="2531" t="str">
        <f>IFERROR((CZ24-CV24)*100/CV24,"-")</f>
        <v>-</v>
      </c>
      <c r="DG24" s="226" t="str">
        <f t="shared" si="189"/>
        <v>-</v>
      </c>
      <c r="DI24" s="2820"/>
      <c r="DJ24" s="2824"/>
      <c r="DK24" s="806" t="s">
        <v>485</v>
      </c>
      <c r="DL24" s="2481"/>
      <c r="DM24" s="2482"/>
      <c r="DN24" s="2483"/>
      <c r="DO24" s="128"/>
      <c r="DP24" s="2481"/>
      <c r="DQ24" s="2528" t="str">
        <f>IFERROR(DP24*100/DN24,"-")</f>
        <v>-</v>
      </c>
      <c r="DR24" s="2484"/>
      <c r="DS24" s="226" t="str">
        <f t="shared" si="190"/>
        <v>-</v>
      </c>
      <c r="DT24" s="2529">
        <f>DP24-DL24</f>
        <v>0</v>
      </c>
      <c r="DU24" s="2530">
        <f t="shared" si="71"/>
        <v>0</v>
      </c>
      <c r="DV24" s="2531" t="str">
        <f>IFERROR((DP24-DL24)*100/DL24,"-")</f>
        <v>-</v>
      </c>
      <c r="DW24" s="226" t="str">
        <f t="shared" si="191"/>
        <v>-</v>
      </c>
      <c r="DY24" s="2820"/>
      <c r="DZ24" s="2824"/>
      <c r="EA24" s="806" t="s">
        <v>485</v>
      </c>
      <c r="EB24" s="2481"/>
      <c r="EC24" s="2482"/>
      <c r="ED24" s="2483"/>
      <c r="EE24" s="128"/>
      <c r="EF24" s="2481"/>
      <c r="EG24" s="2528" t="str">
        <f>IFERROR(EF24*100/ED24,"-")</f>
        <v>-</v>
      </c>
      <c r="EH24" s="2484"/>
      <c r="EI24" s="226" t="str">
        <f t="shared" si="192"/>
        <v>-</v>
      </c>
      <c r="EJ24" s="2529">
        <f>EF24-EB24</f>
        <v>0</v>
      </c>
      <c r="EK24" s="2530">
        <f t="shared" si="72"/>
        <v>0</v>
      </c>
      <c r="EL24" s="2531" t="str">
        <f>IFERROR((EF24-EB24)*100/EB24,"-")</f>
        <v>-</v>
      </c>
      <c r="EM24" s="226" t="str">
        <f t="shared" si="193"/>
        <v>-</v>
      </c>
      <c r="EO24" s="2820"/>
      <c r="EP24" s="2824"/>
      <c r="EQ24" s="806" t="s">
        <v>485</v>
      </c>
      <c r="ER24" s="2481"/>
      <c r="ES24" s="2482"/>
      <c r="ET24" s="2483"/>
      <c r="EU24" s="128"/>
      <c r="EV24" s="2481"/>
      <c r="EW24" s="2528" t="str">
        <f>IFERROR(EV24*100/ET24,"-")</f>
        <v>-</v>
      </c>
      <c r="EX24" s="2484"/>
      <c r="EY24" s="226" t="str">
        <f t="shared" si="194"/>
        <v>-</v>
      </c>
      <c r="EZ24" s="2529">
        <f>EV24-ER24</f>
        <v>0</v>
      </c>
      <c r="FA24" s="2530">
        <f t="shared" si="73"/>
        <v>0</v>
      </c>
      <c r="FB24" s="2531" t="str">
        <f>IFERROR((EV24-ER24)*100/ER24,"-")</f>
        <v>-</v>
      </c>
      <c r="FC24" s="226" t="str">
        <f t="shared" si="195"/>
        <v>-</v>
      </c>
      <c r="FE24" s="2820"/>
      <c r="FF24" s="2824"/>
      <c r="FG24" s="806" t="s">
        <v>485</v>
      </c>
      <c r="FH24" s="2481"/>
      <c r="FI24" s="2482"/>
      <c r="FJ24" s="2483"/>
      <c r="FK24" s="128"/>
      <c r="FL24" s="2481"/>
      <c r="FM24" s="2528" t="str">
        <f>IFERROR(FL24*100/FJ24,"-")</f>
        <v>-</v>
      </c>
      <c r="FN24" s="2484"/>
      <c r="FO24" s="226" t="str">
        <f t="shared" si="196"/>
        <v>-</v>
      </c>
      <c r="FP24" s="2529">
        <f>FL24-FH24</f>
        <v>0</v>
      </c>
      <c r="FQ24" s="2530">
        <f t="shared" si="74"/>
        <v>0</v>
      </c>
      <c r="FR24" s="2531" t="str">
        <f>IFERROR((FL24-FH24)*100/FH24,"-")</f>
        <v>-</v>
      </c>
      <c r="FS24" s="226" t="str">
        <f t="shared" si="197"/>
        <v>-</v>
      </c>
    </row>
    <row r="25" spans="1:176" ht="35.1" customHeight="1" thickBot="1">
      <c r="A25" s="2811" t="str">
        <f>IF(SUM(P12,P20)=2,"جمع کل (درآمد عملیاتی)",IF(SUM(P12,P20)=0,"جمع کل (درآمد عملیاتی بدون بیمه)",""))</f>
        <v>جمع کل (درآمد عملیاتی بدون بیمه)</v>
      </c>
      <c r="B25" s="2812"/>
      <c r="C25" s="2813"/>
      <c r="D25" s="2532"/>
      <c r="E25" s="2485">
        <f>IFERROR(SUMPRODUCT(E$5:E$20,$P$5:$P$20),"")</f>
        <v>1091418</v>
      </c>
      <c r="F25" s="2532"/>
      <c r="G25" s="2485">
        <f>IFERROR(SUMPRODUCT(G$5:G$20,$P$5:$P$20),"")</f>
        <v>1753136</v>
      </c>
      <c r="H25" s="2532"/>
      <c r="I25" s="2533"/>
      <c r="J25" s="2547">
        <f>IFERROR(SUMPRODUCT(J$5:J$20,$P$5:$P$20),"")</f>
        <v>2698410</v>
      </c>
      <c r="K25" s="2546">
        <f>IFERROR(J25*100/G25,"")</f>
        <v>153.9190342335107</v>
      </c>
      <c r="L25" s="2534"/>
      <c r="M25" s="2486">
        <f t="shared" ref="M25" si="198">IFERROR(J25-E25,"")</f>
        <v>1606992</v>
      </c>
      <c r="N25" s="2534"/>
      <c r="O25" s="2485">
        <f>IFERROR((J25-E25)*100/E25,"")</f>
        <v>147.23891304706353</v>
      </c>
      <c r="Q25" s="2811" t="str">
        <f>$A$25</f>
        <v>جمع کل (درآمد عملیاتی بدون بیمه)</v>
      </c>
      <c r="R25" s="2812"/>
      <c r="S25" s="2813"/>
      <c r="T25" s="2532"/>
      <c r="U25" s="2485">
        <f>IFERROR(SUMPRODUCT(U$5:U$20,$P$5:$P$20),"")</f>
        <v>107877</v>
      </c>
      <c r="V25" s="2532"/>
      <c r="W25" s="2485">
        <f>IFERROR(SUMPRODUCT(W$5:W$20,$P$5:$P$20),"")</f>
        <v>388812</v>
      </c>
      <c r="X25" s="2532"/>
      <c r="Y25" s="2533"/>
      <c r="Z25" s="2547">
        <f>IFERROR(SUMPRODUCT(Z$5:Z$20,$P$5:$P$20),"")</f>
        <v>52103</v>
      </c>
      <c r="AA25" s="2546">
        <f>IFERROR(Z25*100/W25,"")</f>
        <v>13.400563768607965</v>
      </c>
      <c r="AB25" s="2534"/>
      <c r="AC25" s="3386">
        <f t="shared" si="65"/>
        <v>-55774</v>
      </c>
      <c r="AD25" s="2534"/>
      <c r="AE25" s="2485">
        <f>IFERROR((Z25-U25)*100/U25,"")</f>
        <v>-51.701474827813158</v>
      </c>
      <c r="AG25" s="2811" t="str">
        <f>$A$25</f>
        <v>جمع کل (درآمد عملیاتی بدون بیمه)</v>
      </c>
      <c r="AH25" s="2812"/>
      <c r="AI25" s="2813"/>
      <c r="AJ25" s="2532"/>
      <c r="AK25" s="2485">
        <f>IFERROR(SUMPRODUCT(AK$5:AK$20,$P$5:$P$20),"")</f>
        <v>97432</v>
      </c>
      <c r="AL25" s="2532"/>
      <c r="AM25" s="2485">
        <f>IFERROR(SUMPRODUCT(AM$5:AM$20,$P$5:$P$20),"")</f>
        <v>190176</v>
      </c>
      <c r="AN25" s="2532"/>
      <c r="AO25" s="2533"/>
      <c r="AP25" s="2547">
        <f>IFERROR(SUMPRODUCT(AP$5:AP$20,$P$5:$P$20),"")</f>
        <v>1056293</v>
      </c>
      <c r="AQ25" s="2546">
        <f>IFERROR(AP25*100/AM25,"")</f>
        <v>555.42918138987045</v>
      </c>
      <c r="AR25" s="2534"/>
      <c r="AS25" s="2486">
        <f t="shared" si="66"/>
        <v>958861</v>
      </c>
      <c r="AT25" s="2534"/>
      <c r="AU25" s="2485">
        <f>IFERROR((AP25-AK25)*100/AK25,"")</f>
        <v>984.13354955250838</v>
      </c>
      <c r="AW25" s="2811" t="str">
        <f>$A$25</f>
        <v>جمع کل (درآمد عملیاتی بدون بیمه)</v>
      </c>
      <c r="AX25" s="2812"/>
      <c r="AY25" s="2813"/>
      <c r="AZ25" s="2532"/>
      <c r="BA25" s="2485">
        <f>IFERROR(SUMPRODUCT(BA$5:BA$20,$P$5:$P$20),"")</f>
        <v>84888</v>
      </c>
      <c r="BB25" s="2532"/>
      <c r="BC25" s="2485">
        <f>IFERROR(SUMPRODUCT(BC$5:BC$20,$P$5:$P$20),"")</f>
        <v>139616</v>
      </c>
      <c r="BD25" s="2532"/>
      <c r="BE25" s="2533"/>
      <c r="BF25" s="2547">
        <f>IFERROR(SUMPRODUCT(BF$5:BF$20,$P$5:$P$20),"")</f>
        <v>122672</v>
      </c>
      <c r="BG25" s="2546">
        <f>IFERROR(BF25*100/BC25,"")</f>
        <v>87.863855145542061</v>
      </c>
      <c r="BH25" s="2534"/>
      <c r="BI25" s="2486">
        <f t="shared" si="67"/>
        <v>37784</v>
      </c>
      <c r="BJ25" s="2534"/>
      <c r="BK25" s="2485">
        <f>IFERROR((BF25-BA25)*100/BA25,"")</f>
        <v>44.510413721609652</v>
      </c>
      <c r="BM25" s="2811" t="str">
        <f>$A$25</f>
        <v>جمع کل (درآمد عملیاتی بدون بیمه)</v>
      </c>
      <c r="BN25" s="2812"/>
      <c r="BO25" s="2813"/>
      <c r="BP25" s="2532"/>
      <c r="BQ25" s="2485">
        <f>IFERROR(SUMPRODUCT(BQ$5:BQ$20,$P$5:$P$20),"")</f>
        <v>463426</v>
      </c>
      <c r="BR25" s="2532"/>
      <c r="BS25" s="2485">
        <f>IFERROR(SUMPRODUCT(BS$5:BS$20,$P$5:$P$20),"")</f>
        <v>615028</v>
      </c>
      <c r="BT25" s="2532"/>
      <c r="BU25" s="2533"/>
      <c r="BV25" s="2547">
        <f>IFERROR(SUMPRODUCT(BV$5:BV$20,$P$5:$P$20),"")</f>
        <v>839456</v>
      </c>
      <c r="BW25" s="2546">
        <f>IFERROR(BV25*100/BS25,"")</f>
        <v>136.49069635853976</v>
      </c>
      <c r="BX25" s="2534"/>
      <c r="BY25" s="2486">
        <f t="shared" si="68"/>
        <v>376030</v>
      </c>
      <c r="BZ25" s="2534"/>
      <c r="CA25" s="2485">
        <f>IFERROR((BV25-BQ25)*100/BQ25,"")</f>
        <v>81.141325691696196</v>
      </c>
      <c r="CC25" s="2811" t="str">
        <f>$A$25</f>
        <v>جمع کل (درآمد عملیاتی بدون بیمه)</v>
      </c>
      <c r="CD25" s="2812"/>
      <c r="CE25" s="2813"/>
      <c r="CF25" s="2532"/>
      <c r="CG25" s="2485">
        <f>IFERROR(SUMPRODUCT(CG$5:CG$20,$P$5:$P$20),"")</f>
        <v>115959</v>
      </c>
      <c r="CH25" s="2532"/>
      <c r="CI25" s="2485">
        <f>IFERROR(SUMPRODUCT(CI$5:CI$20,$P$5:$P$20),"")</f>
        <v>98232</v>
      </c>
      <c r="CJ25" s="2532"/>
      <c r="CK25" s="2533"/>
      <c r="CL25" s="2547">
        <f>IFERROR(SUMPRODUCT(CL$5:CL$20,$P$5:$P$20),"")</f>
        <v>170890</v>
      </c>
      <c r="CM25" s="2546">
        <f>IFERROR(CL25*100/CI25,"")</f>
        <v>173.96571382034367</v>
      </c>
      <c r="CN25" s="2534"/>
      <c r="CO25" s="2486">
        <f t="shared" si="69"/>
        <v>54931</v>
      </c>
      <c r="CP25" s="2534"/>
      <c r="CQ25" s="2485">
        <f>IFERROR((CL25-CG25)*100/CG25,"")</f>
        <v>47.371053562034859</v>
      </c>
      <c r="CS25" s="2811" t="str">
        <f>$A$25</f>
        <v>جمع کل (درآمد عملیاتی بدون بیمه)</v>
      </c>
      <c r="CT25" s="2812"/>
      <c r="CU25" s="2813"/>
      <c r="CV25" s="2532"/>
      <c r="CW25" s="2485">
        <f>IFERROR(SUMPRODUCT(CW$5:CW$20,$P$5:$P$20),"")</f>
        <v>9367</v>
      </c>
      <c r="CX25" s="2532"/>
      <c r="CY25" s="2485">
        <f>IFERROR(SUMPRODUCT(CY$5:CY$20,$P$5:$P$20),"")</f>
        <v>5444</v>
      </c>
      <c r="CZ25" s="2532"/>
      <c r="DA25" s="2533"/>
      <c r="DB25" s="2547">
        <f>IFERROR(SUMPRODUCT(DB$5:DB$20,$P$5:$P$20),"")</f>
        <v>26005</v>
      </c>
      <c r="DC25" s="2546">
        <f>IFERROR(DB25*100/CY25,"")</f>
        <v>477.68185157972079</v>
      </c>
      <c r="DD25" s="2534"/>
      <c r="DE25" s="2486">
        <f t="shared" si="70"/>
        <v>16638</v>
      </c>
      <c r="DF25" s="2534"/>
      <c r="DG25" s="2485">
        <f>IFERROR((DB25-CW25)*100/CW25,"")</f>
        <v>177.62357211487137</v>
      </c>
      <c r="DI25" s="2811" t="str">
        <f>$A$25</f>
        <v>جمع کل (درآمد عملیاتی بدون بیمه)</v>
      </c>
      <c r="DJ25" s="2812"/>
      <c r="DK25" s="2813"/>
      <c r="DL25" s="2532"/>
      <c r="DM25" s="2485">
        <f>IFERROR(SUMPRODUCT(DM$5:DM$20,$P$5:$P$20),"")</f>
        <v>204072</v>
      </c>
      <c r="DN25" s="2532"/>
      <c r="DO25" s="2485">
        <f>IFERROR(SUMPRODUCT(DO$5:DO$20,$P$5:$P$20),"")</f>
        <v>274150</v>
      </c>
      <c r="DP25" s="2532"/>
      <c r="DQ25" s="2533"/>
      <c r="DR25" s="2547">
        <f>IFERROR(SUMPRODUCT(DR$5:DR$20,$P$5:$P$20),"")</f>
        <v>389082</v>
      </c>
      <c r="DS25" s="2546">
        <f>IFERROR(DR25*100/DO25,"")</f>
        <v>141.92303483494436</v>
      </c>
      <c r="DT25" s="2534"/>
      <c r="DU25" s="2486">
        <f t="shared" si="71"/>
        <v>185010</v>
      </c>
      <c r="DV25" s="2534"/>
      <c r="DW25" s="2485">
        <f>IFERROR((DR25-DM25)*100/DM25,"")</f>
        <v>90.65917911325414</v>
      </c>
      <c r="DY25" s="2811" t="str">
        <f>$A$25</f>
        <v>جمع کل (درآمد عملیاتی بدون بیمه)</v>
      </c>
      <c r="DZ25" s="2812"/>
      <c r="EA25" s="2813"/>
      <c r="EB25" s="2532"/>
      <c r="EC25" s="2485">
        <f>IFERROR(SUMPRODUCT(EC$5:EC$20,$P$5:$P$20),"")</f>
        <v>5472</v>
      </c>
      <c r="ED25" s="2532"/>
      <c r="EE25" s="2485">
        <f>IFERROR(SUMPRODUCT(EE$5:EE$20,$P$5:$P$20),"")</f>
        <v>28968</v>
      </c>
      <c r="EF25" s="2532"/>
      <c r="EG25" s="2533"/>
      <c r="EH25" s="2547">
        <f>IFERROR(SUMPRODUCT(EH$5:EH$20,$P$5:$P$20),"")</f>
        <v>812</v>
      </c>
      <c r="EI25" s="2546">
        <f>IFERROR(EH25*100/EE25,"")</f>
        <v>2.8030930682132009</v>
      </c>
      <c r="EJ25" s="2534"/>
      <c r="EK25" s="2486">
        <f t="shared" si="72"/>
        <v>-4660</v>
      </c>
      <c r="EL25" s="2534"/>
      <c r="EM25" s="2485">
        <f>IFERROR((EH25-EC25)*100/EC25,"")</f>
        <v>-85.160818713450297</v>
      </c>
      <c r="EO25" s="2811" t="str">
        <f>$A$25</f>
        <v>جمع کل (درآمد عملیاتی بدون بیمه)</v>
      </c>
      <c r="EP25" s="2812"/>
      <c r="EQ25" s="2813"/>
      <c r="ER25" s="2532"/>
      <c r="ES25" s="2485">
        <f>IFERROR(SUMPRODUCT(ES$5:ES$20,$P$5:$P$20),"")</f>
        <v>2925</v>
      </c>
      <c r="ET25" s="2532"/>
      <c r="EU25" s="2485">
        <f>IFERROR(SUMPRODUCT(EU$5:EU$20,$P$5:$P$20),"")</f>
        <v>12710</v>
      </c>
      <c r="EV25" s="2532"/>
      <c r="EW25" s="2533"/>
      <c r="EX25" s="2547">
        <f>IFERROR(SUMPRODUCT(EX$5:EX$20,$P$5:$P$20),"")</f>
        <v>37848</v>
      </c>
      <c r="EY25" s="2546">
        <f>IFERROR(EX25*100/EU25,"")</f>
        <v>297.78127458693945</v>
      </c>
      <c r="EZ25" s="2534"/>
      <c r="FA25" s="2486">
        <f t="shared" si="73"/>
        <v>34923</v>
      </c>
      <c r="FB25" s="2534"/>
      <c r="FC25" s="2485">
        <f>IFERROR((EX25-ES25)*100/ES25,"")</f>
        <v>1193.948717948718</v>
      </c>
      <c r="FE25" s="2811" t="str">
        <f>$A$25</f>
        <v>جمع کل (درآمد عملیاتی بدون بیمه)</v>
      </c>
      <c r="FF25" s="2812"/>
      <c r="FG25" s="2813"/>
      <c r="FH25" s="2532"/>
      <c r="FI25" s="2485">
        <f>IFERROR(SUMPRODUCT(FI$5:FI$20,$P$5:$P$20),"")</f>
        <v>0</v>
      </c>
      <c r="FJ25" s="2532"/>
      <c r="FK25" s="2485">
        <f>IFERROR(SUMPRODUCT(FK$5:FK$20,$P$5:$P$20),"")</f>
        <v>0</v>
      </c>
      <c r="FL25" s="2532"/>
      <c r="FM25" s="2533"/>
      <c r="FN25" s="2547">
        <f>IFERROR(SUMPRODUCT(FN$5:FN$20,$P$5:$P$20),"")</f>
        <v>3249</v>
      </c>
      <c r="FO25" s="2546" t="str">
        <f>IFERROR(FN25*100/FK25,"")</f>
        <v/>
      </c>
      <c r="FP25" s="2534"/>
      <c r="FQ25" s="2486">
        <f t="shared" si="74"/>
        <v>3249</v>
      </c>
      <c r="FR25" s="2534"/>
      <c r="FS25" s="2485" t="str">
        <f>IFERROR((FN25-FI25)*100/FI25,"")</f>
        <v/>
      </c>
    </row>
    <row r="26" spans="1:176" s="2537" customFormat="1" ht="28.5" customHeight="1">
      <c r="A26" s="2535"/>
      <c r="B26" s="2535"/>
      <c r="C26" s="132"/>
      <c r="D26" s="2536"/>
      <c r="E26" s="228"/>
      <c r="F26" s="2536"/>
      <c r="G26" s="228"/>
      <c r="H26" s="2536"/>
      <c r="I26" s="2536"/>
      <c r="J26" s="2536"/>
      <c r="K26" s="133"/>
      <c r="L26" s="2536"/>
      <c r="M26" s="133"/>
      <c r="N26" s="2536"/>
      <c r="O26" s="2535"/>
      <c r="U26" s="2601">
        <v>1</v>
      </c>
      <c r="V26" s="2601"/>
      <c r="W26" s="2601">
        <v>2</v>
      </c>
      <c r="X26" s="2601"/>
      <c r="Y26" s="2601"/>
      <c r="Z26" s="2601">
        <v>3</v>
      </c>
      <c r="AK26" s="2601">
        <f>$U$26</f>
        <v>1</v>
      </c>
      <c r="AL26" s="2601"/>
      <c r="AM26" s="2601">
        <f>$W$26</f>
        <v>2</v>
      </c>
      <c r="AN26" s="2601"/>
      <c r="AO26" s="2601"/>
      <c r="AP26" s="2601">
        <f>$Z$26</f>
        <v>3</v>
      </c>
      <c r="BA26" s="2601">
        <f>$U$26</f>
        <v>1</v>
      </c>
      <c r="BB26" s="2601"/>
      <c r="BC26" s="2601">
        <f>$W$26</f>
        <v>2</v>
      </c>
      <c r="BD26" s="2601"/>
      <c r="BE26" s="2601"/>
      <c r="BF26" s="2601">
        <f>$Z$26</f>
        <v>3</v>
      </c>
      <c r="BQ26" s="2601">
        <f>$U$26</f>
        <v>1</v>
      </c>
      <c r="BR26" s="2601"/>
      <c r="BS26" s="2601">
        <f>$W$26</f>
        <v>2</v>
      </c>
      <c r="BT26" s="2601"/>
      <c r="BU26" s="2601"/>
      <c r="BV26" s="2601">
        <f>$Z$26</f>
        <v>3</v>
      </c>
      <c r="CG26" s="2601">
        <f>$U$26</f>
        <v>1</v>
      </c>
      <c r="CH26" s="2601"/>
      <c r="CI26" s="2601">
        <f>$W$26</f>
        <v>2</v>
      </c>
      <c r="CJ26" s="2601"/>
      <c r="CK26" s="2601"/>
      <c r="CL26" s="2601">
        <f>$Z$26</f>
        <v>3</v>
      </c>
      <c r="CW26" s="2601">
        <f>$U$26</f>
        <v>1</v>
      </c>
      <c r="CX26" s="2601"/>
      <c r="CY26" s="2601">
        <f>$W$26</f>
        <v>2</v>
      </c>
      <c r="CZ26" s="2601"/>
      <c r="DA26" s="2601"/>
      <c r="DB26" s="2601">
        <f>$Z$26</f>
        <v>3</v>
      </c>
      <c r="DM26" s="2601">
        <f>$U$26</f>
        <v>1</v>
      </c>
      <c r="DN26" s="2601"/>
      <c r="DO26" s="2601">
        <f>$W$26</f>
        <v>2</v>
      </c>
      <c r="DP26" s="2601"/>
      <c r="DQ26" s="2601"/>
      <c r="DR26" s="2601">
        <f>$Z$26</f>
        <v>3</v>
      </c>
      <c r="EC26" s="2601">
        <f>$U$26</f>
        <v>1</v>
      </c>
      <c r="ED26" s="2601"/>
      <c r="EE26" s="2601">
        <f>$W$26</f>
        <v>2</v>
      </c>
      <c r="EF26" s="2601"/>
      <c r="EG26" s="2601"/>
      <c r="EH26" s="2601">
        <f>$Z$26</f>
        <v>3</v>
      </c>
      <c r="ES26" s="2601">
        <f>$U$26</f>
        <v>1</v>
      </c>
      <c r="ET26" s="2601"/>
      <c r="EU26" s="2601">
        <f>$W$26</f>
        <v>2</v>
      </c>
      <c r="EV26" s="2601"/>
      <c r="EW26" s="2601"/>
      <c r="EX26" s="2601">
        <f>$Z$26</f>
        <v>3</v>
      </c>
      <c r="FI26" s="2601">
        <f>$U$26</f>
        <v>1</v>
      </c>
      <c r="FJ26" s="2601"/>
      <c r="FK26" s="2601">
        <f>$W$26</f>
        <v>2</v>
      </c>
      <c r="FL26" s="2601"/>
      <c r="FM26" s="2601"/>
      <c r="FN26" s="2601">
        <f>$Z$26</f>
        <v>3</v>
      </c>
    </row>
    <row r="27" spans="1:176" s="2541" customFormat="1" ht="31.5" customHeight="1" thickBot="1">
      <c r="A27" s="2538"/>
      <c r="B27" s="2539"/>
      <c r="C27" s="2539"/>
      <c r="D27" s="2539"/>
      <c r="E27" s="2539"/>
      <c r="F27" s="2539"/>
      <c r="G27" s="2539"/>
      <c r="H27" s="229"/>
      <c r="I27" s="229"/>
      <c r="J27" s="229"/>
      <c r="K27" s="229"/>
      <c r="L27" s="2540"/>
      <c r="M27" s="2540"/>
      <c r="N27" s="2540"/>
      <c r="O27" s="2540"/>
    </row>
    <row r="28" spans="1:176" s="2537" customFormat="1" ht="287.25" customHeight="1" thickTop="1" thickBot="1">
      <c r="A28" s="2814" t="s">
        <v>487</v>
      </c>
      <c r="B28" s="2815"/>
      <c r="C28" s="2815"/>
      <c r="D28" s="2815"/>
      <c r="E28" s="2815"/>
      <c r="F28" s="2815"/>
      <c r="G28" s="2815"/>
      <c r="H28" s="2815"/>
      <c r="I28" s="2815"/>
      <c r="J28" s="2815"/>
      <c r="K28" s="2815"/>
      <c r="L28" s="2815"/>
      <c r="M28" s="2815"/>
      <c r="N28" s="2815"/>
      <c r="O28" s="2816"/>
      <c r="P28" s="2542"/>
      <c r="Q28" s="2814" t="s">
        <v>3295</v>
      </c>
      <c r="R28" s="2815"/>
      <c r="S28" s="2815"/>
      <c r="T28" s="2815"/>
      <c r="U28" s="2815"/>
      <c r="V28" s="2815"/>
      <c r="W28" s="2815"/>
      <c r="X28" s="2815"/>
      <c r="Y28" s="2815"/>
      <c r="Z28" s="2815"/>
      <c r="AA28" s="2815"/>
      <c r="AB28" s="2815"/>
      <c r="AC28" s="2815"/>
      <c r="AD28" s="2815"/>
      <c r="AE28" s="2816"/>
      <c r="AG28" s="2814" t="s">
        <v>3306</v>
      </c>
      <c r="AH28" s="2815"/>
      <c r="AI28" s="2815"/>
      <c r="AJ28" s="2815"/>
      <c r="AK28" s="2815"/>
      <c r="AL28" s="2815"/>
      <c r="AM28" s="2815"/>
      <c r="AN28" s="2815"/>
      <c r="AO28" s="2815"/>
      <c r="AP28" s="2815"/>
      <c r="AQ28" s="2815"/>
      <c r="AR28" s="2815"/>
      <c r="AS28" s="2815"/>
      <c r="AT28" s="2815"/>
      <c r="AU28" s="2816"/>
      <c r="AW28" s="2814" t="s">
        <v>3310</v>
      </c>
      <c r="AX28" s="2815"/>
      <c r="AY28" s="2815"/>
      <c r="AZ28" s="2815"/>
      <c r="BA28" s="2815"/>
      <c r="BB28" s="2815"/>
      <c r="BC28" s="2815"/>
      <c r="BD28" s="2815"/>
      <c r="BE28" s="2815"/>
      <c r="BF28" s="2815"/>
      <c r="BG28" s="2815"/>
      <c r="BH28" s="2815"/>
      <c r="BI28" s="2815"/>
      <c r="BJ28" s="2815"/>
      <c r="BK28" s="2816"/>
      <c r="BM28" s="2814" t="s">
        <v>3311</v>
      </c>
      <c r="BN28" s="2815"/>
      <c r="BO28" s="2815"/>
      <c r="BP28" s="2815"/>
      <c r="BQ28" s="2815"/>
      <c r="BR28" s="2815"/>
      <c r="BS28" s="2815"/>
      <c r="BT28" s="2815"/>
      <c r="BU28" s="2815"/>
      <c r="BV28" s="2815"/>
      <c r="BW28" s="2815"/>
      <c r="BX28" s="2815"/>
      <c r="BY28" s="2815"/>
      <c r="BZ28" s="2815"/>
      <c r="CA28" s="2816"/>
      <c r="CC28" s="2814" t="s">
        <v>3312</v>
      </c>
      <c r="CD28" s="2815"/>
      <c r="CE28" s="2815"/>
      <c r="CF28" s="2815"/>
      <c r="CG28" s="2815"/>
      <c r="CH28" s="2815"/>
      <c r="CI28" s="2815"/>
      <c r="CJ28" s="2815"/>
      <c r="CK28" s="2815"/>
      <c r="CL28" s="2815"/>
      <c r="CM28" s="2815"/>
      <c r="CN28" s="2815"/>
      <c r="CO28" s="2815"/>
      <c r="CP28" s="2815"/>
      <c r="CQ28" s="2816"/>
      <c r="CS28" s="2814" t="s">
        <v>3308</v>
      </c>
      <c r="CT28" s="2815"/>
      <c r="CU28" s="2815"/>
      <c r="CV28" s="2815"/>
      <c r="CW28" s="2815"/>
      <c r="CX28" s="2815"/>
      <c r="CY28" s="2815"/>
      <c r="CZ28" s="2815"/>
      <c r="DA28" s="2815"/>
      <c r="DB28" s="2815"/>
      <c r="DC28" s="2815"/>
      <c r="DD28" s="2815"/>
      <c r="DE28" s="2815"/>
      <c r="DF28" s="2815"/>
      <c r="DG28" s="2816"/>
      <c r="DI28" s="2814" t="s">
        <v>3313</v>
      </c>
      <c r="DJ28" s="2815"/>
      <c r="DK28" s="2815"/>
      <c r="DL28" s="2815"/>
      <c r="DM28" s="2815"/>
      <c r="DN28" s="2815"/>
      <c r="DO28" s="2815"/>
      <c r="DP28" s="2815"/>
      <c r="DQ28" s="2815"/>
      <c r="DR28" s="2815"/>
      <c r="DS28" s="2815"/>
      <c r="DT28" s="2815"/>
      <c r="DU28" s="2815"/>
      <c r="DV28" s="2815"/>
      <c r="DW28" s="2816"/>
      <c r="DY28" s="2814" t="s">
        <v>3309</v>
      </c>
      <c r="DZ28" s="2815"/>
      <c r="EA28" s="2815"/>
      <c r="EB28" s="2815"/>
      <c r="EC28" s="2815"/>
      <c r="ED28" s="2815"/>
      <c r="EE28" s="2815"/>
      <c r="EF28" s="2815"/>
      <c r="EG28" s="2815"/>
      <c r="EH28" s="2815"/>
      <c r="EI28" s="2815"/>
      <c r="EJ28" s="2815"/>
      <c r="EK28" s="2815"/>
      <c r="EL28" s="2815"/>
      <c r="EM28" s="2816"/>
      <c r="EO28" s="2814" t="s">
        <v>3296</v>
      </c>
      <c r="EP28" s="2815"/>
      <c r="EQ28" s="2815"/>
      <c r="ER28" s="2815"/>
      <c r="ES28" s="2815"/>
      <c r="ET28" s="2815"/>
      <c r="EU28" s="2815"/>
      <c r="EV28" s="2815"/>
      <c r="EW28" s="2815"/>
      <c r="EX28" s="2815"/>
      <c r="EY28" s="2815"/>
      <c r="EZ28" s="2815"/>
      <c r="FA28" s="2815"/>
      <c r="FB28" s="2815"/>
      <c r="FC28" s="2816"/>
      <c r="FE28" s="2814" t="s">
        <v>487</v>
      </c>
      <c r="FF28" s="2815"/>
      <c r="FG28" s="2815"/>
      <c r="FH28" s="2815"/>
      <c r="FI28" s="2815"/>
      <c r="FJ28" s="2815"/>
      <c r="FK28" s="2815"/>
      <c r="FL28" s="2815"/>
      <c r="FM28" s="2815"/>
      <c r="FN28" s="2815"/>
      <c r="FO28" s="2815"/>
      <c r="FP28" s="2815"/>
      <c r="FQ28" s="2815"/>
      <c r="FR28" s="2815"/>
      <c r="FS28" s="2816"/>
    </row>
    <row r="29" spans="1:176" s="2537" customFormat="1" ht="15" customHeight="1" thickTop="1">
      <c r="A29" s="2543"/>
      <c r="B29" s="2543"/>
      <c r="C29" s="2543"/>
      <c r="D29" s="2543"/>
      <c r="E29" s="2543"/>
      <c r="F29" s="2543"/>
      <c r="G29" s="2543"/>
      <c r="H29" s="2543"/>
      <c r="I29" s="2543"/>
      <c r="J29" s="2543"/>
      <c r="K29" s="2543"/>
      <c r="L29" s="2543"/>
      <c r="M29" s="2543"/>
      <c r="N29" s="2543"/>
      <c r="O29" s="2543"/>
    </row>
    <row r="30" spans="1:176" ht="233.25" customHeight="1">
      <c r="A30" s="2817" t="s">
        <v>492</v>
      </c>
      <c r="B30" s="2818"/>
      <c r="C30" s="2818"/>
      <c r="D30" s="2818"/>
      <c r="E30" s="2818"/>
      <c r="F30" s="2818"/>
      <c r="G30" s="2818"/>
      <c r="H30" s="2818"/>
      <c r="I30" s="2818"/>
      <c r="J30" s="2818"/>
      <c r="K30" s="2818"/>
      <c r="L30" s="2818"/>
      <c r="M30" s="2818"/>
      <c r="N30" s="2818"/>
      <c r="O30" s="2818"/>
    </row>
    <row r="31" spans="1:176" ht="27">
      <c r="A31" s="2544"/>
      <c r="B31" s="2544"/>
      <c r="C31" s="2544"/>
      <c r="D31" s="2544"/>
      <c r="E31" s="2544"/>
      <c r="F31" s="2544"/>
      <c r="G31" s="2544"/>
      <c r="H31" s="2544"/>
      <c r="I31" s="2544"/>
      <c r="J31" s="2544"/>
      <c r="K31" s="2544"/>
      <c r="L31" s="2544"/>
      <c r="M31" s="2544"/>
      <c r="N31" s="2544"/>
      <c r="O31" s="2544"/>
    </row>
  </sheetData>
  <mergeCells count="254">
    <mergeCell ref="FE25:FG25"/>
    <mergeCell ref="FE28:FS28"/>
    <mergeCell ref="FN13:FN15"/>
    <mergeCell ref="FO13:FO15"/>
    <mergeCell ref="FQ13:FQ15"/>
    <mergeCell ref="FS13:FS15"/>
    <mergeCell ref="FE21:FE24"/>
    <mergeCell ref="FF21:FF22"/>
    <mergeCell ref="FF23:FF24"/>
    <mergeCell ref="EO25:EQ25"/>
    <mergeCell ref="EO28:FC28"/>
    <mergeCell ref="FE2:FS2"/>
    <mergeCell ref="FE3:FE4"/>
    <mergeCell ref="FF3:FF4"/>
    <mergeCell ref="FG3:FG4"/>
    <mergeCell ref="FE5:FE12"/>
    <mergeCell ref="FI5:FI7"/>
    <mergeCell ref="FK5:FK7"/>
    <mergeCell ref="FN5:FN7"/>
    <mergeCell ref="FO5:FO7"/>
    <mergeCell ref="FQ5:FQ7"/>
    <mergeCell ref="FS5:FS7"/>
    <mergeCell ref="FE13:FE20"/>
    <mergeCell ref="FI13:FI15"/>
    <mergeCell ref="FK13:FK15"/>
    <mergeCell ref="FA13:FA15"/>
    <mergeCell ref="FC13:FC15"/>
    <mergeCell ref="EO21:EO24"/>
    <mergeCell ref="EP21:EP22"/>
    <mergeCell ref="EP23:EP24"/>
    <mergeCell ref="EO13:EO20"/>
    <mergeCell ref="ES13:ES15"/>
    <mergeCell ref="EU13:EU15"/>
    <mergeCell ref="EX13:EX15"/>
    <mergeCell ref="EY13:EY15"/>
    <mergeCell ref="EO2:FC2"/>
    <mergeCell ref="EO3:EO4"/>
    <mergeCell ref="EP3:EP4"/>
    <mergeCell ref="EQ3:EQ4"/>
    <mergeCell ref="EO5:EO12"/>
    <mergeCell ref="ES5:ES7"/>
    <mergeCell ref="EU5:EU7"/>
    <mergeCell ref="EX5:EX7"/>
    <mergeCell ref="EY5:EY7"/>
    <mergeCell ref="FA5:FA7"/>
    <mergeCell ref="FC5:FC7"/>
    <mergeCell ref="CC25:CE25"/>
    <mergeCell ref="CS25:CU25"/>
    <mergeCell ref="DI25:DK25"/>
    <mergeCell ref="DY25:EA25"/>
    <mergeCell ref="CC28:CQ28"/>
    <mergeCell ref="CS28:DG28"/>
    <mergeCell ref="DI28:DW28"/>
    <mergeCell ref="DY28:EM28"/>
    <mergeCell ref="EH13:EH15"/>
    <mergeCell ref="EI13:EI15"/>
    <mergeCell ref="EK13:EK15"/>
    <mergeCell ref="EM13:EM15"/>
    <mergeCell ref="CC21:CC24"/>
    <mergeCell ref="CD21:CD22"/>
    <mergeCell ref="CS21:CS24"/>
    <mergeCell ref="CT21:CT22"/>
    <mergeCell ref="DI21:DI24"/>
    <mergeCell ref="DJ21:DJ22"/>
    <mergeCell ref="DY21:DY24"/>
    <mergeCell ref="DZ21:DZ22"/>
    <mergeCell ref="CD23:CD24"/>
    <mergeCell ref="CT23:CT24"/>
    <mergeCell ref="DJ23:DJ24"/>
    <mergeCell ref="DZ23:DZ24"/>
    <mergeCell ref="CY13:CY15"/>
    <mergeCell ref="DB13:DB15"/>
    <mergeCell ref="DC13:DC15"/>
    <mergeCell ref="DE13:DE15"/>
    <mergeCell ref="DG13:DG15"/>
    <mergeCell ref="DY5:DY12"/>
    <mergeCell ref="EC5:EC7"/>
    <mergeCell ref="EE5:EE7"/>
    <mergeCell ref="EH5:EH7"/>
    <mergeCell ref="DO5:DO7"/>
    <mergeCell ref="DR5:DR7"/>
    <mergeCell ref="DS5:DS7"/>
    <mergeCell ref="DU13:DU15"/>
    <mergeCell ref="DW13:DW15"/>
    <mergeCell ref="DY13:DY20"/>
    <mergeCell ref="EC13:EC15"/>
    <mergeCell ref="EE13:EE15"/>
    <mergeCell ref="DI13:DI20"/>
    <mergeCell ref="DM13:DM15"/>
    <mergeCell ref="DO13:DO15"/>
    <mergeCell ref="DR13:DR15"/>
    <mergeCell ref="DS13:DS15"/>
    <mergeCell ref="DW5:DW7"/>
    <mergeCell ref="DC5:DC7"/>
    <mergeCell ref="CC13:CC20"/>
    <mergeCell ref="CG13:CG15"/>
    <mergeCell ref="CI13:CI15"/>
    <mergeCell ref="CL13:CL15"/>
    <mergeCell ref="CM13:CM15"/>
    <mergeCell ref="CO13:CO15"/>
    <mergeCell ref="CQ13:CQ15"/>
    <mergeCell ref="CS13:CS20"/>
    <mergeCell ref="CW13:CW15"/>
    <mergeCell ref="DE5:DE7"/>
    <mergeCell ref="DG5:DG7"/>
    <mergeCell ref="DI5:DI12"/>
    <mergeCell ref="DM5:DM7"/>
    <mergeCell ref="DY2:EM2"/>
    <mergeCell ref="CC3:CC4"/>
    <mergeCell ref="CD3:CD4"/>
    <mergeCell ref="CE3:CE4"/>
    <mergeCell ref="CS3:CS4"/>
    <mergeCell ref="CT3:CT4"/>
    <mergeCell ref="CU3:CU4"/>
    <mergeCell ref="DI3:DI4"/>
    <mergeCell ref="DJ3:DJ4"/>
    <mergeCell ref="DK3:DK4"/>
    <mergeCell ref="DY3:DY4"/>
    <mergeCell ref="DZ3:DZ4"/>
    <mergeCell ref="EA3:EA4"/>
    <mergeCell ref="EK5:EK7"/>
    <mergeCell ref="EM5:EM7"/>
    <mergeCell ref="EI5:EI7"/>
    <mergeCell ref="BM25:BO25"/>
    <mergeCell ref="BM28:CA28"/>
    <mergeCell ref="CC2:CQ2"/>
    <mergeCell ref="CS2:DG2"/>
    <mergeCell ref="DI2:DW2"/>
    <mergeCell ref="CC5:CC12"/>
    <mergeCell ref="CG5:CG7"/>
    <mergeCell ref="CI5:CI7"/>
    <mergeCell ref="CL5:CL7"/>
    <mergeCell ref="CM5:CM7"/>
    <mergeCell ref="CO5:CO7"/>
    <mergeCell ref="CQ5:CQ7"/>
    <mergeCell ref="CS5:CS12"/>
    <mergeCell ref="CW5:CW7"/>
    <mergeCell ref="CY5:CY7"/>
    <mergeCell ref="DB5:DB7"/>
    <mergeCell ref="BV13:BV15"/>
    <mergeCell ref="BW13:BW15"/>
    <mergeCell ref="BY13:BY15"/>
    <mergeCell ref="CA13:CA15"/>
    <mergeCell ref="BM21:BM24"/>
    <mergeCell ref="BN21:BN22"/>
    <mergeCell ref="BN23:BN24"/>
    <mergeCell ref="DU5:DU7"/>
    <mergeCell ref="AW25:AY25"/>
    <mergeCell ref="AW28:BK28"/>
    <mergeCell ref="BM2:CA2"/>
    <mergeCell ref="BM3:BM4"/>
    <mergeCell ref="BN3:BN4"/>
    <mergeCell ref="BO3:BO4"/>
    <mergeCell ref="BM5:BM12"/>
    <mergeCell ref="BQ5:BQ7"/>
    <mergeCell ref="BS5:BS7"/>
    <mergeCell ref="BV5:BV7"/>
    <mergeCell ref="BW5:BW7"/>
    <mergeCell ref="BY5:BY7"/>
    <mergeCell ref="CA5:CA7"/>
    <mergeCell ref="BM13:BM20"/>
    <mergeCell ref="BQ13:BQ15"/>
    <mergeCell ref="BS13:BS15"/>
    <mergeCell ref="BI13:BI15"/>
    <mergeCell ref="BK13:BK15"/>
    <mergeCell ref="AW21:AW24"/>
    <mergeCell ref="AX21:AX22"/>
    <mergeCell ref="AX23:AX24"/>
    <mergeCell ref="AW13:AW20"/>
    <mergeCell ref="BA13:BA15"/>
    <mergeCell ref="BC13:BC15"/>
    <mergeCell ref="BF13:BF15"/>
    <mergeCell ref="BG13:BG15"/>
    <mergeCell ref="AW2:BK2"/>
    <mergeCell ref="AW3:AW4"/>
    <mergeCell ref="AX3:AX4"/>
    <mergeCell ref="AY3:AY4"/>
    <mergeCell ref="AW5:AW12"/>
    <mergeCell ref="BA5:BA7"/>
    <mergeCell ref="BC5:BC7"/>
    <mergeCell ref="BF5:BF7"/>
    <mergeCell ref="BG5:BG7"/>
    <mergeCell ref="BI5:BI7"/>
    <mergeCell ref="BK5:BK7"/>
    <mergeCell ref="AG21:AG24"/>
    <mergeCell ref="AH21:AH22"/>
    <mergeCell ref="AH23:AH24"/>
    <mergeCell ref="AG25:AI25"/>
    <mergeCell ref="AG28:AU28"/>
    <mergeCell ref="AS5:AS7"/>
    <mergeCell ref="AU5:AU7"/>
    <mergeCell ref="AG13:AG20"/>
    <mergeCell ref="AK13:AK15"/>
    <mergeCell ref="AM13:AM15"/>
    <mergeCell ref="AP13:AP15"/>
    <mergeCell ref="AQ13:AQ15"/>
    <mergeCell ref="AS13:AS15"/>
    <mergeCell ref="AU13:AU15"/>
    <mergeCell ref="AG5:AG12"/>
    <mergeCell ref="AK5:AK7"/>
    <mergeCell ref="AM5:AM7"/>
    <mergeCell ref="AP5:AP7"/>
    <mergeCell ref="AQ5:AQ7"/>
    <mergeCell ref="Q2:AE2"/>
    <mergeCell ref="AG2:AU2"/>
    <mergeCell ref="AG3:AG4"/>
    <mergeCell ref="AH3:AH4"/>
    <mergeCell ref="AI3:AI4"/>
    <mergeCell ref="Z5:Z7"/>
    <mergeCell ref="AA5:AA7"/>
    <mergeCell ref="AC5:AC7"/>
    <mergeCell ref="AE5:AE7"/>
    <mergeCell ref="R3:R4"/>
    <mergeCell ref="S3:S4"/>
    <mergeCell ref="Q5:Q12"/>
    <mergeCell ref="U5:U7"/>
    <mergeCell ref="W5:W7"/>
    <mergeCell ref="A25:C25"/>
    <mergeCell ref="A28:O28"/>
    <mergeCell ref="A30:O30"/>
    <mergeCell ref="A21:A24"/>
    <mergeCell ref="Q3:Q4"/>
    <mergeCell ref="G13:G15"/>
    <mergeCell ref="J13:J15"/>
    <mergeCell ref="K13:K15"/>
    <mergeCell ref="B21:B22"/>
    <mergeCell ref="B23:B24"/>
    <mergeCell ref="Q28:AE28"/>
    <mergeCell ref="Q25:S25"/>
    <mergeCell ref="AC13:AC15"/>
    <mergeCell ref="AE13:AE15"/>
    <mergeCell ref="Q21:Q24"/>
    <mergeCell ref="R21:R22"/>
    <mergeCell ref="R23:R24"/>
    <mergeCell ref="Q13:Q20"/>
    <mergeCell ref="U13:U15"/>
    <mergeCell ref="W13:W15"/>
    <mergeCell ref="Z13:Z15"/>
    <mergeCell ref="AA13:AA15"/>
    <mergeCell ref="A1:O1"/>
    <mergeCell ref="A3:A4"/>
    <mergeCell ref="B3:B4"/>
    <mergeCell ref="C3:C4"/>
    <mergeCell ref="O5:O7"/>
    <mergeCell ref="M13:M15"/>
    <mergeCell ref="O13:O15"/>
    <mergeCell ref="A5:A12"/>
    <mergeCell ref="E5:E7"/>
    <mergeCell ref="G5:G7"/>
    <mergeCell ref="J5:J7"/>
    <mergeCell ref="K5:K7"/>
    <mergeCell ref="M5:M7"/>
    <mergeCell ref="A13:A20"/>
    <mergeCell ref="E13:E15"/>
  </mergeCells>
  <conditionalFormatting sqref="D8:D10">
    <cfRule type="expression" dxfId="620" priority="155">
      <formula>AND(D8=0,OR($D8&lt;&gt;0,$J8&lt;&gt;0))</formula>
    </cfRule>
  </conditionalFormatting>
  <conditionalFormatting sqref="F8:F10">
    <cfRule type="expression" dxfId="619" priority="154">
      <formula>AND(F8=0,OR($D8&lt;&gt;0,$J8&lt;&gt;0))</formula>
    </cfRule>
  </conditionalFormatting>
  <conditionalFormatting sqref="H8:H10">
    <cfRule type="expression" dxfId="618" priority="153">
      <formula>AND(H8=0,OR($D8&lt;&gt;0,$J8&lt;&gt;0))</formula>
    </cfRule>
  </conditionalFormatting>
  <conditionalFormatting sqref="D16:D18">
    <cfRule type="expression" dxfId="617" priority="152">
      <formula>AND(D16=0,OR($D16&lt;&gt;0,$J16&lt;&gt;0))</formula>
    </cfRule>
  </conditionalFormatting>
  <conditionalFormatting sqref="F16:F18">
    <cfRule type="expression" dxfId="616" priority="151">
      <formula>AND(F16=0,OR($D16&lt;&gt;0,$J16&lt;&gt;0))</formula>
    </cfRule>
  </conditionalFormatting>
  <conditionalFormatting sqref="H16:H18">
    <cfRule type="expression" dxfId="615" priority="150">
      <formula>AND(H16=0,OR($D16&lt;&gt;0,$J16&lt;&gt;0))</formula>
    </cfRule>
  </conditionalFormatting>
  <conditionalFormatting sqref="D5">
    <cfRule type="expression" dxfId="614" priority="149">
      <formula>AND(D5=0,OR($D5&lt;&gt;0,$J5&lt;&gt;0))</formula>
    </cfRule>
  </conditionalFormatting>
  <conditionalFormatting sqref="F5">
    <cfRule type="expression" dxfId="613" priority="148">
      <formula>AND(F5=0,OR($D5&lt;&gt;0,$J5&lt;&gt;0))</formula>
    </cfRule>
  </conditionalFormatting>
  <conditionalFormatting sqref="H5">
    <cfRule type="expression" dxfId="612" priority="147">
      <formula>AND(H5=0,OR($D5&lt;&gt;0,$J5&lt;&gt;0))</formula>
    </cfRule>
  </conditionalFormatting>
  <conditionalFormatting sqref="D13">
    <cfRule type="expression" dxfId="611" priority="146">
      <formula>AND(D13=0,OR($D13&lt;&gt;0,$J13&lt;&gt;0))</formula>
    </cfRule>
  </conditionalFormatting>
  <conditionalFormatting sqref="F13">
    <cfRule type="expression" dxfId="610" priority="145">
      <formula>AND(F13=0,OR($D13&lt;&gt;0,$J13&lt;&gt;0))</formula>
    </cfRule>
  </conditionalFormatting>
  <conditionalFormatting sqref="H13">
    <cfRule type="expression" dxfId="609" priority="144">
      <formula>AND(H13=0,OR($D13&lt;&gt;0,$J13&lt;&gt;0))</formula>
    </cfRule>
  </conditionalFormatting>
  <conditionalFormatting sqref="D7">
    <cfRule type="expression" dxfId="608" priority="143">
      <formula>AND(D7=0,OR($D7&lt;&gt;0,$J7&lt;&gt;0))</formula>
    </cfRule>
  </conditionalFormatting>
  <conditionalFormatting sqref="F7">
    <cfRule type="expression" dxfId="607" priority="142">
      <formula>AND(F7=0,OR($D7&lt;&gt;0,$J7&lt;&gt;0))</formula>
    </cfRule>
  </conditionalFormatting>
  <conditionalFormatting sqref="H7">
    <cfRule type="expression" dxfId="606" priority="141">
      <formula>AND(H7=0,OR($D7&lt;&gt;0,$J7&lt;&gt;0))</formula>
    </cfRule>
  </conditionalFormatting>
  <conditionalFormatting sqref="D15">
    <cfRule type="expression" dxfId="605" priority="140">
      <formula>AND(D15=0,OR($D15&lt;&gt;0,$J15&lt;&gt;0))</formula>
    </cfRule>
  </conditionalFormatting>
  <conditionalFormatting sqref="F15">
    <cfRule type="expression" dxfId="604" priority="139">
      <formula>AND(F15=0,OR($D15&lt;&gt;0,$J15&lt;&gt;0))</formula>
    </cfRule>
  </conditionalFormatting>
  <conditionalFormatting sqref="H15">
    <cfRule type="expression" dxfId="603" priority="138">
      <formula>AND(H15=0,OR($D15&lt;&gt;0,$J15&lt;&gt;0))</formula>
    </cfRule>
  </conditionalFormatting>
  <conditionalFormatting sqref="A1:AF1 A2:Q2 AF2 FU1:XFD1048576 A3:AF4 A8:F12 A6:D7 F6:F7 A21:AF1048576 A13:D20 F13:F20 A5:F5 H5:AF20">
    <cfRule type="cellIs" dxfId="602" priority="137" operator="equal">
      <formula>0</formula>
    </cfRule>
  </conditionalFormatting>
  <conditionalFormatting sqref="I5:I25 K5:K25">
    <cfRule type="cellIs" dxfId="601" priority="135" operator="lessThan">
      <formula>90</formula>
    </cfRule>
    <cfRule type="cellIs" dxfId="600" priority="136" operator="greaterThan">
      <formula>110</formula>
    </cfRule>
  </conditionalFormatting>
  <conditionalFormatting sqref="N5:O25">
    <cfRule type="cellIs" dxfId="599" priority="133" operator="lessThan">
      <formula>0</formula>
    </cfRule>
    <cfRule type="cellIs" dxfId="598" priority="134" operator="greaterThan">
      <formula>20</formula>
    </cfRule>
  </conditionalFormatting>
  <conditionalFormatting sqref="AA5:AA25">
    <cfRule type="cellIs" dxfId="597" priority="131" operator="lessThan">
      <formula>90</formula>
    </cfRule>
    <cfRule type="cellIs" dxfId="596" priority="132" operator="greaterThan">
      <formula>110</formula>
    </cfRule>
  </conditionalFormatting>
  <conditionalFormatting sqref="Y5:Y18">
    <cfRule type="cellIs" dxfId="595" priority="129" operator="lessThan">
      <formula>90</formula>
    </cfRule>
    <cfRule type="cellIs" dxfId="594" priority="130" operator="greaterThan">
      <formula>110</formula>
    </cfRule>
  </conditionalFormatting>
  <conditionalFormatting sqref="AD5:AE25">
    <cfRule type="cellIs" dxfId="593" priority="127" operator="lessThan">
      <formula>0</formula>
    </cfRule>
    <cfRule type="cellIs" dxfId="592" priority="128" operator="greaterThan">
      <formula>20</formula>
    </cfRule>
  </conditionalFormatting>
  <conditionalFormatting sqref="Y5:Y18">
    <cfRule type="cellIs" dxfId="591" priority="125" operator="lessThan">
      <formula>90</formula>
    </cfRule>
    <cfRule type="cellIs" dxfId="590" priority="126" operator="greaterThan">
      <formula>110</formula>
    </cfRule>
  </conditionalFormatting>
  <conditionalFormatting sqref="AG2 AV1:AV2 AG3:AV1048576">
    <cfRule type="cellIs" dxfId="589" priority="124" operator="equal">
      <formula>0</formula>
    </cfRule>
  </conditionalFormatting>
  <conditionalFormatting sqref="AQ5:AQ25">
    <cfRule type="cellIs" dxfId="588" priority="122" operator="lessThan">
      <formula>90</formula>
    </cfRule>
    <cfRule type="cellIs" dxfId="587" priority="123" operator="greaterThan">
      <formula>110</formula>
    </cfRule>
  </conditionalFormatting>
  <conditionalFormatting sqref="AO5:AO18">
    <cfRule type="cellIs" dxfId="586" priority="120" operator="lessThan">
      <formula>90</formula>
    </cfRule>
    <cfRule type="cellIs" dxfId="585" priority="121" operator="greaterThan">
      <formula>110</formula>
    </cfRule>
  </conditionalFormatting>
  <conditionalFormatting sqref="AT5:AU25">
    <cfRule type="cellIs" dxfId="584" priority="118" operator="lessThan">
      <formula>0</formula>
    </cfRule>
    <cfRule type="cellIs" dxfId="583" priority="119" operator="greaterThan">
      <formula>20</formula>
    </cfRule>
  </conditionalFormatting>
  <conditionalFormatting sqref="AO5:AO18">
    <cfRule type="cellIs" dxfId="582" priority="116" operator="lessThan">
      <formula>90</formula>
    </cfRule>
    <cfRule type="cellIs" dxfId="581" priority="117" operator="greaterThan">
      <formula>110</formula>
    </cfRule>
  </conditionalFormatting>
  <conditionalFormatting sqref="AW2 BL1:BL2 AW3:BL25 AW27:BL1048576 AW26:AZ26 BG26:BL26">
    <cfRule type="cellIs" dxfId="580" priority="115" operator="equal">
      <formula>0</formula>
    </cfRule>
  </conditionalFormatting>
  <conditionalFormatting sqref="BG5:BG25">
    <cfRule type="cellIs" dxfId="579" priority="113" operator="lessThan">
      <formula>90</formula>
    </cfRule>
    <cfRule type="cellIs" dxfId="578" priority="114" operator="greaterThan">
      <formula>110</formula>
    </cfRule>
  </conditionalFormatting>
  <conditionalFormatting sqref="BE5:BE18">
    <cfRule type="cellIs" dxfId="577" priority="111" operator="lessThan">
      <formula>90</formula>
    </cfRule>
    <cfRule type="cellIs" dxfId="576" priority="112" operator="greaterThan">
      <formula>110</formula>
    </cfRule>
  </conditionalFormatting>
  <conditionalFormatting sqref="BJ5:BK25">
    <cfRule type="cellIs" dxfId="575" priority="109" operator="lessThan">
      <formula>0</formula>
    </cfRule>
    <cfRule type="cellIs" dxfId="574" priority="110" operator="greaterThan">
      <formula>20</formula>
    </cfRule>
  </conditionalFormatting>
  <conditionalFormatting sqref="BE5:BE18">
    <cfRule type="cellIs" dxfId="573" priority="107" operator="lessThan">
      <formula>90</formula>
    </cfRule>
    <cfRule type="cellIs" dxfId="572" priority="108" operator="greaterThan">
      <formula>110</formula>
    </cfRule>
  </conditionalFormatting>
  <conditionalFormatting sqref="BM2 CB1:CB2 BM3:CB25 BM27:CB1048576 BM26:BP26 BW26:CB26">
    <cfRule type="cellIs" dxfId="571" priority="106" operator="equal">
      <formula>0</formula>
    </cfRule>
  </conditionalFormatting>
  <conditionalFormatting sqref="BW5:BW25">
    <cfRule type="cellIs" dxfId="570" priority="104" operator="lessThan">
      <formula>90</formula>
    </cfRule>
    <cfRule type="cellIs" dxfId="569" priority="105" operator="greaterThan">
      <formula>110</formula>
    </cfRule>
  </conditionalFormatting>
  <conditionalFormatting sqref="BU5:BU18">
    <cfRule type="cellIs" dxfId="568" priority="102" operator="lessThan">
      <formula>90</formula>
    </cfRule>
    <cfRule type="cellIs" dxfId="567" priority="103" operator="greaterThan">
      <formula>110</formula>
    </cfRule>
  </conditionalFormatting>
  <conditionalFormatting sqref="BZ5:CA25">
    <cfRule type="cellIs" dxfId="566" priority="100" operator="lessThan">
      <formula>0</formula>
    </cfRule>
    <cfRule type="cellIs" dxfId="565" priority="101" operator="greaterThan">
      <formula>20</formula>
    </cfRule>
  </conditionalFormatting>
  <conditionalFormatting sqref="BU5:BU18">
    <cfRule type="cellIs" dxfId="564" priority="98" operator="lessThan">
      <formula>90</formula>
    </cfRule>
    <cfRule type="cellIs" dxfId="563" priority="99" operator="greaterThan">
      <formula>110</formula>
    </cfRule>
  </conditionalFormatting>
  <conditionalFormatting sqref="CC2 CR1:CR2 CC3:CR25 CC27:CR1048576 CC26:CF26 CM26:CR26">
    <cfRule type="cellIs" dxfId="562" priority="97" operator="equal">
      <formula>0</formula>
    </cfRule>
  </conditionalFormatting>
  <conditionalFormatting sqref="CM5:CM25">
    <cfRule type="cellIs" dxfId="561" priority="95" operator="lessThan">
      <formula>90</formula>
    </cfRule>
    <cfRule type="cellIs" dxfId="560" priority="96" operator="greaterThan">
      <formula>110</formula>
    </cfRule>
  </conditionalFormatting>
  <conditionalFormatting sqref="CK5:CK18">
    <cfRule type="cellIs" dxfId="559" priority="93" operator="lessThan">
      <formula>90</formula>
    </cfRule>
    <cfRule type="cellIs" dxfId="558" priority="94" operator="greaterThan">
      <formula>110</formula>
    </cfRule>
  </conditionalFormatting>
  <conditionalFormatting sqref="CP5:CQ25">
    <cfRule type="cellIs" dxfId="557" priority="91" operator="lessThan">
      <formula>0</formula>
    </cfRule>
    <cfRule type="cellIs" dxfId="556" priority="92" operator="greaterThan">
      <formula>20</formula>
    </cfRule>
  </conditionalFormatting>
  <conditionalFormatting sqref="CK5:CK18">
    <cfRule type="cellIs" dxfId="555" priority="89" operator="lessThan">
      <formula>90</formula>
    </cfRule>
    <cfRule type="cellIs" dxfId="554" priority="90" operator="greaterThan">
      <formula>110</formula>
    </cfRule>
  </conditionalFormatting>
  <conditionalFormatting sqref="CS2 DH1:DH2 CS3:DH25 CS27:DH1048576 CS26:CV26 DC26:DH26">
    <cfRule type="cellIs" dxfId="553" priority="88" operator="equal">
      <formula>0</formula>
    </cfRule>
  </conditionalFormatting>
  <conditionalFormatting sqref="DC5:DC25">
    <cfRule type="cellIs" dxfId="552" priority="86" operator="lessThan">
      <formula>90</formula>
    </cfRule>
    <cfRule type="cellIs" dxfId="551" priority="87" operator="greaterThan">
      <formula>110</formula>
    </cfRule>
  </conditionalFormatting>
  <conditionalFormatting sqref="DA5:DA18">
    <cfRule type="cellIs" dxfId="550" priority="84" operator="lessThan">
      <formula>90</formula>
    </cfRule>
    <cfRule type="cellIs" dxfId="549" priority="85" operator="greaterThan">
      <formula>110</formula>
    </cfRule>
  </conditionalFormatting>
  <conditionalFormatting sqref="DF5:DG25">
    <cfRule type="cellIs" dxfId="548" priority="82" operator="lessThan">
      <formula>0</formula>
    </cfRule>
    <cfRule type="cellIs" dxfId="547" priority="83" operator="greaterThan">
      <formula>20</formula>
    </cfRule>
  </conditionalFormatting>
  <conditionalFormatting sqref="DA5:DA18">
    <cfRule type="cellIs" dxfId="546" priority="80" operator="lessThan">
      <formula>90</formula>
    </cfRule>
    <cfRule type="cellIs" dxfId="545" priority="81" operator="greaterThan">
      <formula>110</formula>
    </cfRule>
  </conditionalFormatting>
  <conditionalFormatting sqref="DI2 DX1:DX2 DI3:DX25 DI27:DX1048576 DI26:DL26 DS26:DX26">
    <cfRule type="cellIs" dxfId="544" priority="79" operator="equal">
      <formula>0</formula>
    </cfRule>
  </conditionalFormatting>
  <conditionalFormatting sqref="DS5:DS25">
    <cfRule type="cellIs" dxfId="543" priority="77" operator="lessThan">
      <formula>90</formula>
    </cfRule>
    <cfRule type="cellIs" dxfId="542" priority="78" operator="greaterThan">
      <formula>110</formula>
    </cfRule>
  </conditionalFormatting>
  <conditionalFormatting sqref="DQ5:DQ18">
    <cfRule type="cellIs" dxfId="541" priority="75" operator="lessThan">
      <formula>90</formula>
    </cfRule>
    <cfRule type="cellIs" dxfId="540" priority="76" operator="greaterThan">
      <formula>110</formula>
    </cfRule>
  </conditionalFormatting>
  <conditionalFormatting sqref="DV5:DW25">
    <cfRule type="cellIs" dxfId="539" priority="73" operator="lessThan">
      <formula>0</formula>
    </cfRule>
    <cfRule type="cellIs" dxfId="538" priority="74" operator="greaterThan">
      <formula>20</formula>
    </cfRule>
  </conditionalFormatting>
  <conditionalFormatting sqref="DQ5:DQ18">
    <cfRule type="cellIs" dxfId="537" priority="71" operator="lessThan">
      <formula>90</formula>
    </cfRule>
    <cfRule type="cellIs" dxfId="536" priority="72" operator="greaterThan">
      <formula>110</formula>
    </cfRule>
  </conditionalFormatting>
  <conditionalFormatting sqref="DY2 EN1:EN2 DY3:EN25 DY27:EN1048576 DY26:EB26 EI26:EN26">
    <cfRule type="cellIs" dxfId="535" priority="70" operator="equal">
      <formula>0</formula>
    </cfRule>
  </conditionalFormatting>
  <conditionalFormatting sqref="EI5:EI25">
    <cfRule type="cellIs" dxfId="534" priority="68" operator="lessThan">
      <formula>90</formula>
    </cfRule>
    <cfRule type="cellIs" dxfId="533" priority="69" operator="greaterThan">
      <formula>110</formula>
    </cfRule>
  </conditionalFormatting>
  <conditionalFormatting sqref="EG5:EG18">
    <cfRule type="cellIs" dxfId="532" priority="66" operator="lessThan">
      <formula>90</formula>
    </cfRule>
    <cfRule type="cellIs" dxfId="531" priority="67" operator="greaterThan">
      <formula>110</formula>
    </cfRule>
  </conditionalFormatting>
  <conditionalFormatting sqref="EL5:EM25">
    <cfRule type="cellIs" dxfId="530" priority="64" operator="lessThan">
      <formula>0</formula>
    </cfRule>
    <cfRule type="cellIs" dxfId="529" priority="65" operator="greaterThan">
      <formula>20</formula>
    </cfRule>
  </conditionalFormatting>
  <conditionalFormatting sqref="EG5:EG18">
    <cfRule type="cellIs" dxfId="528" priority="62" operator="lessThan">
      <formula>90</formula>
    </cfRule>
    <cfRule type="cellIs" dxfId="527" priority="63" operator="greaterThan">
      <formula>110</formula>
    </cfRule>
  </conditionalFormatting>
  <conditionalFormatting sqref="EO2 FD1:FD2 EO3:FD25 EO27:FD1048576 EO26:ER26 EY26:FD26">
    <cfRule type="cellIs" dxfId="526" priority="61" operator="equal">
      <formula>0</formula>
    </cfRule>
  </conditionalFormatting>
  <conditionalFormatting sqref="EY5:EY25">
    <cfRule type="cellIs" dxfId="525" priority="59" operator="lessThan">
      <formula>90</formula>
    </cfRule>
    <cfRule type="cellIs" dxfId="524" priority="60" operator="greaterThan">
      <formula>110</formula>
    </cfRule>
  </conditionalFormatting>
  <conditionalFormatting sqref="EW5:EW18">
    <cfRule type="cellIs" dxfId="523" priority="57" operator="lessThan">
      <formula>90</formula>
    </cfRule>
    <cfRule type="cellIs" dxfId="522" priority="58" operator="greaterThan">
      <formula>110</formula>
    </cfRule>
  </conditionalFormatting>
  <conditionalFormatting sqref="FB5:FC25">
    <cfRule type="cellIs" dxfId="521" priority="55" operator="lessThan">
      <formula>0</formula>
    </cfRule>
    <cfRule type="cellIs" dxfId="520" priority="56" operator="greaterThan">
      <formula>20</formula>
    </cfRule>
  </conditionalFormatting>
  <conditionalFormatting sqref="EW5:EW18">
    <cfRule type="cellIs" dxfId="519" priority="53" operator="lessThan">
      <formula>90</formula>
    </cfRule>
    <cfRule type="cellIs" dxfId="518" priority="54" operator="greaterThan">
      <formula>110</formula>
    </cfRule>
  </conditionalFormatting>
  <conditionalFormatting sqref="FE2 FT1:FT2 FE3:FT25 FE27:FT1048576 FE26:FH26 FO26:FT26">
    <cfRule type="cellIs" dxfId="517" priority="52" operator="equal">
      <formula>0</formula>
    </cfRule>
  </conditionalFormatting>
  <conditionalFormatting sqref="FO5:FO25">
    <cfRule type="cellIs" dxfId="516" priority="50" operator="lessThan">
      <formula>90</formula>
    </cfRule>
    <cfRule type="cellIs" dxfId="515" priority="51" operator="greaterThan">
      <formula>110</formula>
    </cfRule>
  </conditionalFormatting>
  <conditionalFormatting sqref="FM5:FM18">
    <cfRule type="cellIs" dxfId="514" priority="48" operator="lessThan">
      <formula>90</formula>
    </cfRule>
    <cfRule type="cellIs" dxfId="513" priority="49" operator="greaterThan">
      <formula>110</formula>
    </cfRule>
  </conditionalFormatting>
  <conditionalFormatting sqref="FR5:FS25">
    <cfRule type="cellIs" dxfId="512" priority="46" operator="lessThan">
      <formula>0</formula>
    </cfRule>
    <cfRule type="cellIs" dxfId="511" priority="47" operator="greaterThan">
      <formula>20</formula>
    </cfRule>
  </conditionalFormatting>
  <conditionalFormatting sqref="FM5:FM18">
    <cfRule type="cellIs" dxfId="510" priority="44" operator="lessThan">
      <formula>90</formula>
    </cfRule>
    <cfRule type="cellIs" dxfId="509" priority="45" operator="greaterThan">
      <formula>110</formula>
    </cfRule>
  </conditionalFormatting>
  <conditionalFormatting sqref="D16:D18">
    <cfRule type="expression" dxfId="508" priority="43">
      <formula>AND(D16=0,OR($D16&lt;&gt;0,$J16&lt;&gt;0))</formula>
    </cfRule>
  </conditionalFormatting>
  <conditionalFormatting sqref="D13">
    <cfRule type="expression" dxfId="507" priority="42">
      <formula>AND(D13=0,OR($D13&lt;&gt;0,$J13&lt;&gt;0))</formula>
    </cfRule>
  </conditionalFormatting>
  <conditionalFormatting sqref="D15">
    <cfRule type="expression" dxfId="506" priority="41">
      <formula>AND(D15=0,OR($D15&lt;&gt;0,$J15&lt;&gt;0))</formula>
    </cfRule>
  </conditionalFormatting>
  <conditionalFormatting sqref="F8:F10">
    <cfRule type="expression" dxfId="505" priority="40">
      <formula>AND(F8=0,OR($D8&lt;&gt;0,$J8&lt;&gt;0))</formula>
    </cfRule>
  </conditionalFormatting>
  <conditionalFormatting sqref="F16:F18">
    <cfRule type="expression" dxfId="504" priority="39">
      <formula>AND(F16=0,OR($D16&lt;&gt;0,$J16&lt;&gt;0))</formula>
    </cfRule>
  </conditionalFormatting>
  <conditionalFormatting sqref="F5">
    <cfRule type="expression" dxfId="503" priority="38">
      <formula>AND(F5=0,OR($D5&lt;&gt;0,$J5&lt;&gt;0))</formula>
    </cfRule>
  </conditionalFormatting>
  <conditionalFormatting sqref="F13">
    <cfRule type="expression" dxfId="502" priority="37">
      <formula>AND(F13=0,OR($D13&lt;&gt;0,$J13&lt;&gt;0))</formula>
    </cfRule>
  </conditionalFormatting>
  <conditionalFormatting sqref="F7">
    <cfRule type="expression" dxfId="501" priority="36">
      <formula>AND(F7=0,OR($D7&lt;&gt;0,$J7&lt;&gt;0))</formula>
    </cfRule>
  </conditionalFormatting>
  <conditionalFormatting sqref="F15">
    <cfRule type="expression" dxfId="500" priority="35">
      <formula>AND(F15=0,OR($D15&lt;&gt;0,$J15&lt;&gt;0))</formula>
    </cfRule>
  </conditionalFormatting>
  <conditionalFormatting sqref="F16:F18">
    <cfRule type="expression" dxfId="499" priority="34">
      <formula>AND(F16=0,OR($D16&lt;&gt;0,$J16&lt;&gt;0))</formula>
    </cfRule>
  </conditionalFormatting>
  <conditionalFormatting sqref="F13">
    <cfRule type="expression" dxfId="498" priority="33">
      <formula>AND(F13=0,OR($D13&lt;&gt;0,$J13&lt;&gt;0))</formula>
    </cfRule>
  </conditionalFormatting>
  <conditionalFormatting sqref="F15">
    <cfRule type="expression" dxfId="497" priority="32">
      <formula>AND(F15=0,OR($D15&lt;&gt;0,$J15&lt;&gt;0))</formula>
    </cfRule>
  </conditionalFormatting>
  <conditionalFormatting sqref="H8:H10">
    <cfRule type="expression" dxfId="496" priority="31">
      <formula>AND(H8=0,OR($D8&lt;&gt;0,$J8&lt;&gt;0))</formula>
    </cfRule>
  </conditionalFormatting>
  <conditionalFormatting sqref="H16:H18">
    <cfRule type="expression" dxfId="495" priority="30">
      <formula>AND(H16=0,OR($D16&lt;&gt;0,$J16&lt;&gt;0))</formula>
    </cfRule>
  </conditionalFormatting>
  <conditionalFormatting sqref="H5">
    <cfRule type="expression" dxfId="494" priority="29">
      <formula>AND(H5=0,OR($D5&lt;&gt;0,$J5&lt;&gt;0))</formula>
    </cfRule>
  </conditionalFormatting>
  <conditionalFormatting sqref="H13">
    <cfRule type="expression" dxfId="493" priority="28">
      <formula>AND(H13=0,OR($D13&lt;&gt;0,$J13&lt;&gt;0))</formula>
    </cfRule>
  </conditionalFormatting>
  <conditionalFormatting sqref="H7">
    <cfRule type="expression" dxfId="492" priority="27">
      <formula>AND(H7=0,OR($D7&lt;&gt;0,$J7&lt;&gt;0))</formula>
    </cfRule>
  </conditionalFormatting>
  <conditionalFormatting sqref="H15">
    <cfRule type="expression" dxfId="491" priority="26">
      <formula>AND(H15=0,OR($D15&lt;&gt;0,$J15&lt;&gt;0))</formula>
    </cfRule>
  </conditionalFormatting>
  <conditionalFormatting sqref="H16:H18">
    <cfRule type="expression" dxfId="490" priority="25">
      <formula>AND(H16=0,OR($D16&lt;&gt;0,$J16&lt;&gt;0))</formula>
    </cfRule>
  </conditionalFormatting>
  <conditionalFormatting sqref="H13">
    <cfRule type="expression" dxfId="489" priority="24">
      <formula>AND(H13=0,OR($D13&lt;&gt;0,$J13&lt;&gt;0))</formula>
    </cfRule>
  </conditionalFormatting>
  <conditionalFormatting sqref="H15">
    <cfRule type="expression" dxfId="488" priority="23">
      <formula>AND(H15=0,OR($D15&lt;&gt;0,$J15&lt;&gt;0))</formula>
    </cfRule>
  </conditionalFormatting>
  <conditionalFormatting sqref="E13 E16:E20">
    <cfRule type="cellIs" dxfId="487" priority="22" operator="equal">
      <formula>0</formula>
    </cfRule>
  </conditionalFormatting>
  <conditionalFormatting sqref="G8:G12 G5">
    <cfRule type="cellIs" dxfId="486" priority="21" operator="equal">
      <formula>0</formula>
    </cfRule>
  </conditionalFormatting>
  <conditionalFormatting sqref="G13 G16:G20">
    <cfRule type="cellIs" dxfId="485" priority="20" operator="equal">
      <formula>0</formula>
    </cfRule>
  </conditionalFormatting>
  <conditionalFormatting sqref="AG1:AU1">
    <cfRule type="cellIs" dxfId="484" priority="19" operator="equal">
      <formula>0</formula>
    </cfRule>
  </conditionalFormatting>
  <conditionalFormatting sqref="AW1:BK1">
    <cfRule type="cellIs" dxfId="483" priority="18" operator="equal">
      <formula>0</formula>
    </cfRule>
  </conditionalFormatting>
  <conditionalFormatting sqref="BM1:CA1">
    <cfRule type="cellIs" dxfId="482" priority="17" operator="equal">
      <formula>0</formula>
    </cfRule>
  </conditionalFormatting>
  <conditionalFormatting sqref="CC1:CQ1">
    <cfRule type="cellIs" dxfId="481" priority="16" operator="equal">
      <formula>0</formula>
    </cfRule>
  </conditionalFormatting>
  <conditionalFormatting sqref="CS1:DG1">
    <cfRule type="cellIs" dxfId="480" priority="15" operator="equal">
      <formula>0</formula>
    </cfRule>
  </conditionalFormatting>
  <conditionalFormatting sqref="DI1:DW1">
    <cfRule type="cellIs" dxfId="479" priority="14" operator="equal">
      <formula>0</formula>
    </cfRule>
  </conditionalFormatting>
  <conditionalFormatting sqref="DY1:EM1">
    <cfRule type="cellIs" dxfId="478" priority="13" operator="equal">
      <formula>0</formula>
    </cfRule>
  </conditionalFormatting>
  <conditionalFormatting sqref="EO1:FC1">
    <cfRule type="cellIs" dxfId="477" priority="12" operator="equal">
      <formula>0</formula>
    </cfRule>
  </conditionalFormatting>
  <conditionalFormatting sqref="FE1:FS1">
    <cfRule type="cellIs" dxfId="476" priority="11" operator="equal">
      <formula>0</formula>
    </cfRule>
  </conditionalFormatting>
  <conditionalFormatting sqref="BA26:BF26">
    <cfRule type="cellIs" dxfId="475" priority="8" operator="equal">
      <formula>0</formula>
    </cfRule>
  </conditionalFormatting>
  <conditionalFormatting sqref="BQ26:BV26">
    <cfRule type="cellIs" dxfId="474" priority="7" operator="equal">
      <formula>0</formula>
    </cfRule>
  </conditionalFormatting>
  <conditionalFormatting sqref="CG26:CL26">
    <cfRule type="cellIs" dxfId="473" priority="6" operator="equal">
      <formula>0</formula>
    </cfRule>
  </conditionalFormatting>
  <conditionalFormatting sqref="CW26:DB26">
    <cfRule type="cellIs" dxfId="472" priority="5" operator="equal">
      <formula>0</formula>
    </cfRule>
  </conditionalFormatting>
  <conditionalFormatting sqref="DM26:DR26">
    <cfRule type="cellIs" dxfId="471" priority="4" operator="equal">
      <formula>0</formula>
    </cfRule>
  </conditionalFormatting>
  <conditionalFormatting sqref="EC26:EH26">
    <cfRule type="cellIs" dxfId="470" priority="3" operator="equal">
      <formula>0</formula>
    </cfRule>
  </conditionalFormatting>
  <conditionalFormatting sqref="ES26:EX26">
    <cfRule type="cellIs" dxfId="469" priority="2" operator="equal">
      <formula>0</formula>
    </cfRule>
  </conditionalFormatting>
  <conditionalFormatting sqref="FI26:FN26">
    <cfRule type="cellIs" dxfId="468" priority="1" operator="equal">
      <formula>0</formula>
    </cfRule>
  </conditionalFormatting>
  <dataValidations count="1">
    <dataValidation type="whole" allowBlank="1" showInputMessage="1" showErrorMessage="1" error="یا عدد یک را وارد کنید یا صفر" sqref="P5:P20" xr:uid="{3AC4C08D-3338-4F23-9C0B-017246C719A5}">
      <formula1>0</formula1>
      <formula2>1</formula2>
    </dataValidation>
  </dataValidations>
  <printOptions horizontalCentered="1"/>
  <pageMargins left="0.19685039370078741" right="0.19685039370078741" top="0.59055118110236227" bottom="0.78740157480314965" header="0.19685039370078741" footer="0.19685039370078741"/>
  <pageSetup paperSize="9" scale="5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5">
    <tabColor rgb="FFC00000"/>
    <pageSetUpPr fitToPage="1"/>
  </sheetPr>
  <dimension ref="A1:X29"/>
  <sheetViews>
    <sheetView showGridLines="0" rightToLeft="1" view="pageBreakPreview" zoomScale="90" zoomScaleNormal="100" zoomScaleSheetLayoutView="90" workbookViewId="0">
      <selection activeCell="K13" sqref="K13"/>
    </sheetView>
  </sheetViews>
  <sheetFormatPr defaultColWidth="9" defaultRowHeight="15"/>
  <cols>
    <col min="1" max="1" width="8.5703125" style="5" customWidth="1"/>
    <col min="2" max="2" width="29.5703125" style="5" customWidth="1"/>
    <col min="3" max="3" width="9" style="5"/>
    <col min="4" max="4" width="10.5703125" style="5" customWidth="1"/>
    <col min="5" max="5" width="17.85546875" style="5" bestFit="1" customWidth="1"/>
    <col min="6" max="6" width="12.5703125" style="5" customWidth="1"/>
    <col min="7" max="7" width="11.5703125" style="5" customWidth="1"/>
    <col min="8" max="8" width="15.140625" style="5" customWidth="1"/>
    <col min="9" max="9" width="13.5703125" style="5" customWidth="1"/>
    <col min="10" max="12" width="11.5703125" style="5" customWidth="1"/>
    <col min="13" max="16" width="9.5703125" style="5" customWidth="1"/>
    <col min="17" max="17" width="3.7109375" style="5" customWidth="1"/>
    <col min="18" max="18" width="9.5703125" style="5" customWidth="1"/>
    <col min="19" max="19" width="3.7109375" style="5" customWidth="1"/>
    <col min="20" max="20" width="9.5703125" style="5" customWidth="1"/>
    <col min="21" max="21" width="9" style="5" customWidth="1"/>
    <col min="22" max="22" width="9" style="79" customWidth="1"/>
    <col min="23" max="24" width="9.140625" style="79" hidden="1" customWidth="1"/>
    <col min="25" max="25" width="0" style="5" hidden="1" customWidth="1"/>
    <col min="26" max="16384" width="9" style="5"/>
  </cols>
  <sheetData>
    <row r="1" spans="1:24"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row>
    <row r="2" spans="1:24" ht="28.5" customHeight="1">
      <c r="A2" s="1206" t="str">
        <f>"گزارش درآمد ارائه خدمات در دوره " &amp; روکش!F9 &amp; " سال " &amp; روکش!D9</f>
        <v>گزارش درآمد ارائه خدمات در دوره شش ماهه سال 1405</v>
      </c>
      <c r="B2" s="1205"/>
      <c r="C2" s="1205"/>
      <c r="D2" s="1205"/>
      <c r="E2" s="1205"/>
      <c r="F2" s="1205"/>
      <c r="G2" s="1205"/>
      <c r="H2" s="1205"/>
      <c r="I2" s="1205"/>
      <c r="J2" s="1205"/>
      <c r="K2" s="1205"/>
      <c r="L2" s="1205"/>
      <c r="M2" s="1205"/>
      <c r="N2" s="1205"/>
      <c r="O2" s="1202"/>
      <c r="P2" s="1202"/>
      <c r="Q2" s="1202"/>
      <c r="R2" s="1202"/>
      <c r="S2" s="1202"/>
      <c r="T2" s="1202"/>
      <c r="U2" s="740"/>
      <c r="V2" s="741"/>
    </row>
    <row r="3" spans="1:24" ht="20.100000000000001" customHeight="1" thickBot="1">
      <c r="A3" s="408"/>
      <c r="B3" s="408"/>
      <c r="C3" s="408"/>
      <c r="D3" s="409"/>
      <c r="E3" s="410"/>
      <c r="F3" s="410"/>
      <c r="G3" s="411"/>
      <c r="H3" s="411"/>
      <c r="I3" s="2333" t="s">
        <v>3202</v>
      </c>
      <c r="J3" s="411"/>
      <c r="K3"/>
      <c r="L3"/>
      <c r="M3" s="704"/>
      <c r="N3" s="704"/>
      <c r="O3" s="2763" t="s">
        <v>3</v>
      </c>
      <c r="P3" s="2763"/>
      <c r="Q3" s="1207"/>
      <c r="R3" s="2833" t="s">
        <v>4</v>
      </c>
      <c r="S3" s="2833"/>
      <c r="T3" s="2833"/>
      <c r="U3" s="742"/>
      <c r="V3" s="743"/>
    </row>
    <row r="4" spans="1:24" ht="24.75" customHeight="1" thickBot="1">
      <c r="A4" s="2733" t="s">
        <v>5</v>
      </c>
      <c r="B4" s="2740" t="s">
        <v>219</v>
      </c>
      <c r="C4" s="2743" t="s">
        <v>7</v>
      </c>
      <c r="D4" s="1306" t="s">
        <v>639</v>
      </c>
      <c r="E4" s="1307"/>
      <c r="F4" s="1308"/>
      <c r="G4" s="1306" t="s">
        <v>642</v>
      </c>
      <c r="H4" s="1307"/>
      <c r="I4" s="1307"/>
      <c r="J4" s="1307"/>
      <c r="K4" s="1307"/>
      <c r="L4" s="1307"/>
      <c r="M4" s="1307"/>
      <c r="N4" s="1307"/>
      <c r="O4" s="1307"/>
      <c r="P4" s="1307"/>
      <c r="Q4" s="1307"/>
      <c r="R4" s="1307"/>
      <c r="S4" s="1307"/>
      <c r="T4" s="1308"/>
      <c r="U4" s="37"/>
      <c r="V4" s="82"/>
    </row>
    <row r="5" spans="1:24" ht="48">
      <c r="A5" s="2734"/>
      <c r="B5" s="2741"/>
      <c r="C5" s="2744"/>
      <c r="D5" s="2733" t="s">
        <v>8</v>
      </c>
      <c r="E5" s="2740" t="s">
        <v>9</v>
      </c>
      <c r="F5" s="2731" t="s">
        <v>10</v>
      </c>
      <c r="G5" s="1209" t="s">
        <v>217</v>
      </c>
      <c r="H5" s="1309"/>
      <c r="I5" s="1310"/>
      <c r="J5" s="1209" t="s">
        <v>216</v>
      </c>
      <c r="K5" s="1309"/>
      <c r="L5" s="1310"/>
      <c r="M5" s="1209" t="s">
        <v>793</v>
      </c>
      <c r="N5" s="1309"/>
      <c r="O5" s="1310"/>
      <c r="P5" s="1209" t="s">
        <v>643</v>
      </c>
      <c r="Q5" s="1218"/>
      <c r="R5" s="1309"/>
      <c r="S5" s="1309"/>
      <c r="T5" s="1310"/>
      <c r="U5" s="37"/>
      <c r="V5" s="82"/>
    </row>
    <row r="6" spans="1:24" ht="50.1" customHeight="1" thickBot="1">
      <c r="A6" s="2735"/>
      <c r="B6" s="2742"/>
      <c r="C6" s="2745"/>
      <c r="D6" s="2735"/>
      <c r="E6" s="2742"/>
      <c r="F6" s="2732"/>
      <c r="G6" s="703" t="s">
        <v>11</v>
      </c>
      <c r="H6" s="705" t="s">
        <v>9</v>
      </c>
      <c r="I6" s="412" t="s">
        <v>12</v>
      </c>
      <c r="J6" s="703" t="s">
        <v>11</v>
      </c>
      <c r="K6" s="705" t="s">
        <v>9</v>
      </c>
      <c r="L6" s="412" t="s">
        <v>12</v>
      </c>
      <c r="M6" s="703" t="s">
        <v>11</v>
      </c>
      <c r="N6" s="705" t="s">
        <v>9</v>
      </c>
      <c r="O6" s="412" t="s">
        <v>12</v>
      </c>
      <c r="P6" s="2748" t="s">
        <v>11</v>
      </c>
      <c r="Q6" s="2747"/>
      <c r="R6" s="2746" t="s">
        <v>9</v>
      </c>
      <c r="S6" s="2747"/>
      <c r="T6" s="412" t="s">
        <v>12</v>
      </c>
      <c r="U6" s="139"/>
      <c r="V6" s="82"/>
      <c r="W6" s="1325" t="s">
        <v>784</v>
      </c>
      <c r="X6" s="1325"/>
    </row>
    <row r="7" spans="1:24" ht="24" customHeight="1" thickBot="1">
      <c r="A7" s="424">
        <v>1</v>
      </c>
      <c r="B7" s="1311" t="str">
        <f ca="1">'مقادیر خدمات'!B7</f>
        <v>انبارداری واردات</v>
      </c>
      <c r="C7" s="2394" t="str">
        <f ca="1">'مقادیر خدمات'!C7</f>
        <v>تن</v>
      </c>
      <c r="D7" s="2399">
        <f>'مقادیر خدمات'!F7</f>
        <v>113724</v>
      </c>
      <c r="E7" s="216">
        <f>IFERROR('جدول فروش خدمات'!E5*10^6/'جدول فروش خدمات'!D5,0)</f>
        <v>2917370.1241602474</v>
      </c>
      <c r="F7" s="413">
        <f>IFERROR(E7*D7/1000000,0)</f>
        <v>331775</v>
      </c>
      <c r="G7" s="2399">
        <f>'مقادیر خدمات'!G7</f>
        <v>152262.27588707619</v>
      </c>
      <c r="H7" s="216">
        <f>IFERROR('جدول فروش خدمات'!G5*10^6/'جدول فروش خدمات'!F5,0)</f>
        <v>4041999.2175635016</v>
      </c>
      <c r="I7" s="413">
        <f>IFERROR(H7*G7/1000000,0)</f>
        <v>615444</v>
      </c>
      <c r="J7" s="2399">
        <f>'مقادیر خدمات'!H7</f>
        <v>145726</v>
      </c>
      <c r="K7" s="216">
        <f>IFERROR('جدول فروش خدمات'!J5*10^6/'جدول فروش خدمات'!H5,0)</f>
        <v>3627307.4125413448</v>
      </c>
      <c r="L7" s="413">
        <f>IFERROR(K7*J7/1000000,0)</f>
        <v>528593</v>
      </c>
      <c r="M7" s="402">
        <f t="shared" ref="M7:M9" si="0">IFERROR((J7-D7)*100/D7,"-")</f>
        <v>28.140058386971969</v>
      </c>
      <c r="N7" s="414">
        <f t="shared" ref="N7:O9" si="1">IFERROR((K7-E7)*100/E7,"-")</f>
        <v>24.334837821973302</v>
      </c>
      <c r="O7" s="415">
        <f t="shared" si="1"/>
        <v>59.322733780423476</v>
      </c>
      <c r="P7" s="2119">
        <f>IFERROR(J7*100/G7,"-")</f>
        <v>95.707225674254502</v>
      </c>
      <c r="Q7" s="2163">
        <f>IFERROR(ABS(P7-100),500)</f>
        <v>4.2927743257454978</v>
      </c>
      <c r="R7" s="2169">
        <f>IFERROR(K7*100/H7,"-")</f>
        <v>89.740428369698421</v>
      </c>
      <c r="S7" s="2163">
        <f>IFERROR(ABS(R7-100),500)</f>
        <v>10.259571630301579</v>
      </c>
      <c r="T7" s="415">
        <f>IFERROR(L7*100/I7,"-")</f>
        <v>85.88807430082997</v>
      </c>
      <c r="U7" s="37"/>
      <c r="V7" s="82"/>
      <c r="W7" s="1325">
        <f>IF(AND(G7=0,J7&gt;0),100,IFERROR(ABS(P7-100),"-"))</f>
        <v>4.2927743257454978</v>
      </c>
      <c r="X7" s="1325">
        <f>IF(AND(H7=0,K7&gt;0),100,IFERROR(ABS(R7-100),"-"))</f>
        <v>10.259571630301579</v>
      </c>
    </row>
    <row r="8" spans="1:24" ht="24" customHeight="1" thickBot="1">
      <c r="A8" s="425">
        <v>2</v>
      </c>
      <c r="B8" s="1312" t="str">
        <f ca="1">'مقادیر خدمات'!B8</f>
        <v>باربری واردات</v>
      </c>
      <c r="C8" s="2395" t="str">
        <f ca="1">'مقادیر خدمات'!C8</f>
        <v>تن</v>
      </c>
      <c r="D8" s="2400">
        <f>'مقادیر خدمات'!F8</f>
        <v>227448</v>
      </c>
      <c r="E8" s="216">
        <f>IFERROR('جدول فروش خدمات'!E8*10^6/'جدول فروش خدمات'!D8,0)</f>
        <v>2048811.1568358482</v>
      </c>
      <c r="F8" s="416">
        <f t="shared" ref="F8:F26" si="2">IFERROR(E8*D8/1000000,0)</f>
        <v>465998</v>
      </c>
      <c r="G8" s="2400">
        <f>'مقادیر خدمات'!G8</f>
        <v>304524.55177415238</v>
      </c>
      <c r="H8" s="218">
        <f>IFERROR('جدول فروش خدمات'!G8*10^6/'جدول فروش خدمات'!F8,0)</f>
        <v>2268871.2485567313</v>
      </c>
      <c r="I8" s="416">
        <f t="shared" ref="I8:I18" si="3">IFERROR(H8*G8/1000000,0)</f>
        <v>690927.00000000012</v>
      </c>
      <c r="J8" s="2400">
        <f>'مقادیر خدمات'!H8</f>
        <v>291452</v>
      </c>
      <c r="K8" s="216">
        <f>IFERROR('جدول فروش خدمات'!J8*10^6/'جدول فروش خدمات'!H8,0)</f>
        <v>2773262.8357328135</v>
      </c>
      <c r="L8" s="416">
        <f t="shared" ref="L8:L26" si="4">IFERROR(K8*J8/1000000,0)</f>
        <v>808273</v>
      </c>
      <c r="M8" s="406">
        <f t="shared" si="0"/>
        <v>28.140058386971969</v>
      </c>
      <c r="N8" s="417">
        <f t="shared" si="1"/>
        <v>35.359612157510753</v>
      </c>
      <c r="O8" s="418">
        <f t="shared" si="1"/>
        <v>73.449886051013095</v>
      </c>
      <c r="P8" s="2120">
        <f t="shared" ref="P8:P9" si="5">IFERROR(J8*100/G8,"-")</f>
        <v>95.707225674254502</v>
      </c>
      <c r="Q8" s="2164">
        <f t="shared" ref="Q8:S9" si="6">IFERROR(ABS(P8-100),500)</f>
        <v>4.2927743257454978</v>
      </c>
      <c r="R8" s="2170">
        <f t="shared" ref="R8:R9" si="7">IFERROR(K8*100/H8,"-")</f>
        <v>122.23094798776857</v>
      </c>
      <c r="S8" s="2164">
        <f t="shared" si="6"/>
        <v>22.230947987768573</v>
      </c>
      <c r="T8" s="418">
        <f>IFERROR(L8*100/I8,"-")</f>
        <v>116.9838492344343</v>
      </c>
      <c r="U8" s="37"/>
      <c r="V8" s="82"/>
      <c r="W8" s="1325">
        <f t="shared" ref="W8:W26" si="8">IF(AND(G8=0,J8&gt;0),100,IFERROR(ABS(P8-100),"-"))</f>
        <v>4.2927743257454978</v>
      </c>
      <c r="X8" s="1325">
        <f t="shared" ref="X8:X26" si="9">IF(AND(H8=0,K8&gt;0),100,IFERROR(ABS(R8-100),"-"))</f>
        <v>22.230947987768573</v>
      </c>
    </row>
    <row r="9" spans="1:24" ht="24" customHeight="1" thickBot="1">
      <c r="A9" s="425">
        <v>3</v>
      </c>
      <c r="B9" s="1312" t="str">
        <f ca="1">'مقادیر خدمات'!B9</f>
        <v>حمل یکسره واردات</v>
      </c>
      <c r="C9" s="2395" t="str">
        <f ca="1">'مقادیر خدمات'!C9</f>
        <v>تن</v>
      </c>
      <c r="D9" s="2400">
        <f>'مقادیر خدمات'!F9</f>
        <v>3902</v>
      </c>
      <c r="E9" s="216">
        <f>IFERROR('جدول فروش خدمات'!E9*10^6/'جدول فروش خدمات'!D9,0)</f>
        <v>38698.103536647875</v>
      </c>
      <c r="F9" s="416">
        <f t="shared" si="2"/>
        <v>151</v>
      </c>
      <c r="G9" s="2400">
        <f>'مقادیر خدمات'!G9</f>
        <v>9774.4184502281296</v>
      </c>
      <c r="H9" s="218">
        <f>IFERROR('جدول فروش خدمات'!G9*10^6/'جدول فروش خدمات'!F9,0)</f>
        <v>6854.6277552130232</v>
      </c>
      <c r="I9" s="416">
        <f t="shared" si="3"/>
        <v>67</v>
      </c>
      <c r="J9" s="2400">
        <f>'مقادیر خدمات'!H9</f>
        <v>657</v>
      </c>
      <c r="K9" s="216">
        <f>IFERROR('جدول فروش خدمات'!J9*10^6/'جدول فروش خدمات'!H9,0)</f>
        <v>729071.53729071538</v>
      </c>
      <c r="L9" s="416">
        <f t="shared" si="4"/>
        <v>479</v>
      </c>
      <c r="M9" s="406">
        <f t="shared" si="0"/>
        <v>-83.162480779087645</v>
      </c>
      <c r="N9" s="417">
        <f t="shared" si="1"/>
        <v>1783.9981049724315</v>
      </c>
      <c r="O9" s="418">
        <f t="shared" si="1"/>
        <v>217.21854304635761</v>
      </c>
      <c r="P9" s="2120">
        <f t="shared" si="5"/>
        <v>6.7216275151865021</v>
      </c>
      <c r="Q9" s="2164">
        <f t="shared" si="6"/>
        <v>93.278372484813502</v>
      </c>
      <c r="R9" s="2170">
        <f t="shared" si="7"/>
        <v>10636.194456165007</v>
      </c>
      <c r="S9" s="2164">
        <f t="shared" si="6"/>
        <v>10536.194456165007</v>
      </c>
      <c r="T9" s="418">
        <f>IFERROR(L9*100/I9,"-")</f>
        <v>714.92537313432831</v>
      </c>
      <c r="U9" s="37"/>
      <c r="V9" s="82"/>
      <c r="W9" s="1325">
        <f t="shared" si="8"/>
        <v>93.278372484813502</v>
      </c>
      <c r="X9" s="1325">
        <f t="shared" si="9"/>
        <v>10536.194456165007</v>
      </c>
    </row>
    <row r="10" spans="1:24" ht="21">
      <c r="A10" s="425">
        <v>4</v>
      </c>
      <c r="B10" s="1312" t="str">
        <f ca="1">'مقادیر خدمات'!B10</f>
        <v>ترانشیپ واردات</v>
      </c>
      <c r="C10" s="2395" t="str">
        <f ca="1">'مقادیر خدمات'!C10</f>
        <v>تن</v>
      </c>
      <c r="D10" s="2400">
        <f>'مقادیر خدمات'!F10</f>
        <v>498346</v>
      </c>
      <c r="E10" s="216">
        <f>IFERROR('جدول فروش خدمات'!E10*10^6/'جدول فروش خدمات'!D10,0)</f>
        <v>192322.20184369895</v>
      </c>
      <c r="F10" s="416">
        <f t="shared" si="2"/>
        <v>95843</v>
      </c>
      <c r="G10" s="2400">
        <f>'مقادیر خدمات'!G10</f>
        <v>509431.766219393</v>
      </c>
      <c r="H10" s="218">
        <f>IFERROR('جدول فروش خدمات'!G10*10^6/'جدول فروش خدمات'!F10,0)</f>
        <v>288440.98413901828</v>
      </c>
      <c r="I10" s="416">
        <f t="shared" si="3"/>
        <v>146941</v>
      </c>
      <c r="J10" s="2400">
        <f>'مقادیر خدمات'!H10</f>
        <v>641162</v>
      </c>
      <c r="K10" s="216">
        <f>IFERROR('جدول فروش خدمات'!J10*10^6/'جدول فروش خدمات'!H10,0)</f>
        <v>256439.09027671634</v>
      </c>
      <c r="L10" s="416">
        <f t="shared" si="4"/>
        <v>164419</v>
      </c>
      <c r="M10" s="406">
        <f t="shared" ref="M10:M26" si="10">IFERROR((J10-D10)*100/D10,"-")</f>
        <v>28.658000666203801</v>
      </c>
      <c r="N10" s="417">
        <f t="shared" ref="N10:N26" si="11">IFERROR((K10-E10)*100/E10,"-")</f>
        <v>33.338266626712944</v>
      </c>
      <c r="O10" s="418">
        <f t="shared" ref="O10:O26" si="12">IFERROR((L10-F10)*100/F10,"-")</f>
        <v>71.550347964900936</v>
      </c>
      <c r="P10" s="2120">
        <f t="shared" ref="P10:P26" si="13">IFERROR(J10*100/G10,"-")</f>
        <v>125.85826847002622</v>
      </c>
      <c r="Q10" s="2164">
        <f t="shared" ref="Q10" si="14">IFERROR(ABS(P10-100),500)</f>
        <v>25.858268470026218</v>
      </c>
      <c r="R10" s="2170">
        <f t="shared" ref="R10:R26" si="15">IFERROR(K10*100/H10,"-")</f>
        <v>88.905219569325084</v>
      </c>
      <c r="S10" s="2164">
        <f t="shared" ref="S10" si="16">IFERROR(ABS(R10-100),500)</f>
        <v>11.094780430674916</v>
      </c>
      <c r="T10" s="418">
        <f t="shared" ref="T10:T26" si="17">IFERROR(L10*100/I10,"-")</f>
        <v>111.89456992942746</v>
      </c>
      <c r="U10" s="37"/>
      <c r="V10" s="82"/>
      <c r="W10" s="1325">
        <f t="shared" si="8"/>
        <v>25.858268470026218</v>
      </c>
      <c r="X10" s="1325">
        <f t="shared" si="9"/>
        <v>11.094780430674916</v>
      </c>
    </row>
    <row r="11" spans="1:24" ht="24" customHeight="1" thickBot="1">
      <c r="A11" s="425">
        <v>5</v>
      </c>
      <c r="B11" s="1312" t="str">
        <f ca="1">'مقادیر خدمات'!B11</f>
        <v>خدمات باربری واردات</v>
      </c>
      <c r="C11" s="2395" t="str">
        <f ca="1">'مقادیر خدمات'!C11</f>
        <v>میلیون ریال</v>
      </c>
      <c r="D11" s="2400">
        <f>'مقادیر خدمات'!F11</f>
        <v>73454</v>
      </c>
      <c r="E11" s="219">
        <f>10^6</f>
        <v>1000000</v>
      </c>
      <c r="F11" s="416">
        <f t="shared" si="2"/>
        <v>73454</v>
      </c>
      <c r="G11" s="2508">
        <f>'مقادیر خدمات'!G11</f>
        <v>132255</v>
      </c>
      <c r="H11" s="218">
        <v>1000000</v>
      </c>
      <c r="I11" s="416">
        <f t="shared" si="3"/>
        <v>132255</v>
      </c>
      <c r="J11" s="2400">
        <f>'مقادیر خدمات'!H11</f>
        <v>118106</v>
      </c>
      <c r="K11" s="219">
        <f>10^6</f>
        <v>1000000</v>
      </c>
      <c r="L11" s="416">
        <f t="shared" si="4"/>
        <v>118106</v>
      </c>
      <c r="M11" s="406">
        <f t="shared" si="10"/>
        <v>60.789065265336127</v>
      </c>
      <c r="N11" s="417">
        <f t="shared" si="11"/>
        <v>0</v>
      </c>
      <c r="O11" s="418">
        <f t="shared" si="12"/>
        <v>60.789065265336127</v>
      </c>
      <c r="P11" s="2120">
        <f t="shared" si="13"/>
        <v>89.301727722959441</v>
      </c>
      <c r="Q11" s="2164">
        <f t="shared" ref="Q11" si="18">IFERROR(ABS(P11-100),500)</f>
        <v>10.698272277040559</v>
      </c>
      <c r="R11" s="2170">
        <f t="shared" si="15"/>
        <v>100</v>
      </c>
      <c r="S11" s="2164">
        <f t="shared" ref="S11" si="19">IFERROR(ABS(R11-100),500)</f>
        <v>0</v>
      </c>
      <c r="T11" s="418">
        <f t="shared" si="17"/>
        <v>89.301727722959441</v>
      </c>
      <c r="U11" s="37"/>
      <c r="V11" s="82"/>
      <c r="W11" s="1325">
        <f t="shared" si="8"/>
        <v>10.698272277040559</v>
      </c>
      <c r="X11" s="1325">
        <f t="shared" si="9"/>
        <v>0</v>
      </c>
    </row>
    <row r="12" spans="1:24" ht="24" customHeight="1" thickBot="1">
      <c r="A12" s="425">
        <v>6</v>
      </c>
      <c r="B12" s="1312" t="str">
        <f ca="1">'مقادیر خدمات'!B12</f>
        <v>انبارداری صادرات</v>
      </c>
      <c r="C12" s="2396" t="str">
        <f ca="1">'مقادیر خدمات'!C12</f>
        <v>تن</v>
      </c>
      <c r="D12" s="2401">
        <f>'مقادیر خدمات'!F12</f>
        <v>26356</v>
      </c>
      <c r="E12" s="216">
        <f>IFERROR('جدول فروش خدمات'!E13*10^6/'جدول فروش خدمات'!D13,0)</f>
        <v>1133517.984519654</v>
      </c>
      <c r="F12" s="416">
        <f t="shared" si="2"/>
        <v>29875</v>
      </c>
      <c r="G12" s="2401">
        <f>'مقادیر خدمات'!G12</f>
        <v>36653.373932076101</v>
      </c>
      <c r="H12" s="218">
        <f>IFERROR('جدول فروش خدمات'!G13*10^6/'جدول فروش خدمات'!F13,0)</f>
        <v>1265667.9323974131</v>
      </c>
      <c r="I12" s="416">
        <f t="shared" si="3"/>
        <v>46391</v>
      </c>
      <c r="J12" s="2401">
        <f>'مقادیر خدمات'!H12</f>
        <v>43469</v>
      </c>
      <c r="K12" s="216">
        <f>IFERROR('جدول فروش خدمات'!J13*10^6/'جدول فروش خدمات'!H13,0)</f>
        <v>1164761.0941130461</v>
      </c>
      <c r="L12" s="416">
        <f t="shared" si="4"/>
        <v>50631</v>
      </c>
      <c r="M12" s="406">
        <f t="shared" si="10"/>
        <v>64.930186674760961</v>
      </c>
      <c r="N12" s="417">
        <f t="shared" si="11"/>
        <v>2.7562958876767953</v>
      </c>
      <c r="O12" s="418">
        <f t="shared" si="12"/>
        <v>69.47615062761507</v>
      </c>
      <c r="P12" s="2120">
        <f t="shared" si="13"/>
        <v>118.59481225535805</v>
      </c>
      <c r="Q12" s="2164">
        <f t="shared" ref="Q12" si="20">IFERROR(ABS(P12-100),500)</f>
        <v>18.59481225535805</v>
      </c>
      <c r="R12" s="2170">
        <f t="shared" si="15"/>
        <v>92.027384458320711</v>
      </c>
      <c r="S12" s="2164">
        <f t="shared" ref="S12" si="21">IFERROR(ABS(R12-100),500)</f>
        <v>7.9726155416792892</v>
      </c>
      <c r="T12" s="418">
        <f t="shared" si="17"/>
        <v>109.139703821862</v>
      </c>
      <c r="U12" s="37"/>
      <c r="V12" s="82"/>
      <c r="W12" s="1325">
        <f t="shared" si="8"/>
        <v>18.59481225535805</v>
      </c>
      <c r="X12" s="1325">
        <f t="shared" si="9"/>
        <v>7.9726155416792892</v>
      </c>
    </row>
    <row r="13" spans="1:24" ht="24" customHeight="1" thickBot="1">
      <c r="A13" s="425">
        <v>7</v>
      </c>
      <c r="B13" s="1312" t="str">
        <f ca="1">'مقادیر خدمات'!B13</f>
        <v>باربری صادرات</v>
      </c>
      <c r="C13" s="2396" t="str">
        <f ca="1">'مقادیر خدمات'!C13</f>
        <v>تن</v>
      </c>
      <c r="D13" s="2401">
        <f>'مقادیر خدمات'!F13</f>
        <v>52712</v>
      </c>
      <c r="E13" s="216">
        <f>IFERROR('جدول فروش خدمات'!E16*10^6/'جدول فروش خدمات'!D16,0)</f>
        <v>634542.41918348765</v>
      </c>
      <c r="F13" s="416">
        <f t="shared" si="2"/>
        <v>33448</v>
      </c>
      <c r="G13" s="2401">
        <f>'مقادیر خدمات'!G13</f>
        <v>73306.747864152203</v>
      </c>
      <c r="H13" s="218">
        <f>IFERROR('جدول فروش خدمات'!G16*10^6/'جدول فروش خدمات'!F16,0)</f>
        <v>776354.17827382009</v>
      </c>
      <c r="I13" s="416">
        <f t="shared" si="3"/>
        <v>56912</v>
      </c>
      <c r="J13" s="2401">
        <f>'مقادیر خدمات'!H13</f>
        <v>86938</v>
      </c>
      <c r="K13" s="216">
        <f>IFERROR('جدول فروش خدمات'!J16*10^6/'جدول فروش خدمات'!H16,0)</f>
        <v>509109.94041730888</v>
      </c>
      <c r="L13" s="416">
        <f t="shared" si="4"/>
        <v>44261</v>
      </c>
      <c r="M13" s="406">
        <f t="shared" si="10"/>
        <v>64.930186674760961</v>
      </c>
      <c r="N13" s="417">
        <f t="shared" si="11"/>
        <v>-19.767390638372444</v>
      </c>
      <c r="O13" s="418">
        <f t="shared" si="12"/>
        <v>32.327792394164078</v>
      </c>
      <c r="P13" s="2120">
        <f t="shared" si="13"/>
        <v>118.59481225535805</v>
      </c>
      <c r="Q13" s="2164">
        <f t="shared" ref="Q13" si="22">IFERROR(ABS(P13-100),500)</f>
        <v>18.59481225535805</v>
      </c>
      <c r="R13" s="2170">
        <f t="shared" si="15"/>
        <v>65.5770207290294</v>
      </c>
      <c r="S13" s="2164">
        <f t="shared" ref="S13" si="23">IFERROR(ABS(R13-100),500)</f>
        <v>34.4229792709706</v>
      </c>
      <c r="T13" s="418">
        <f t="shared" si="17"/>
        <v>77.77094461624965</v>
      </c>
      <c r="U13" s="37"/>
      <c r="V13" s="82"/>
      <c r="W13" s="1325">
        <f t="shared" si="8"/>
        <v>18.59481225535805</v>
      </c>
      <c r="X13" s="1325">
        <f t="shared" si="9"/>
        <v>34.4229792709706</v>
      </c>
    </row>
    <row r="14" spans="1:24" ht="24" customHeight="1" thickBot="1">
      <c r="A14" s="425">
        <v>8</v>
      </c>
      <c r="B14" s="1312" t="str">
        <f ca="1">'مقادیر خدمات'!B14</f>
        <v>حمل یکسره صادرات</v>
      </c>
      <c r="C14" s="2396" t="str">
        <f ca="1">'مقادیر خدمات'!C14</f>
        <v>تن</v>
      </c>
      <c r="D14" s="2401">
        <f>'مقادیر خدمات'!F14</f>
        <v>18</v>
      </c>
      <c r="E14" s="216">
        <f>IFERROR('جدول فروش خدمات'!E17*10^6/'جدول فروش خدمات'!D17,0)</f>
        <v>0</v>
      </c>
      <c r="F14" s="416">
        <f t="shared" si="2"/>
        <v>0</v>
      </c>
      <c r="G14" s="2401">
        <f>'مقادیر خدمات'!G14</f>
        <v>26.040173755656109</v>
      </c>
      <c r="H14" s="218"/>
      <c r="I14" s="416">
        <f t="shared" si="3"/>
        <v>0</v>
      </c>
      <c r="J14" s="2658">
        <f>'مقادیر خدمات'!H14</f>
        <v>0</v>
      </c>
      <c r="K14" s="216">
        <f>IFERROR('جدول فروش خدمات'!J12*10^6/'جدول فروش خدمات'!H12,0)</f>
        <v>0</v>
      </c>
      <c r="L14" s="416">
        <f t="shared" si="4"/>
        <v>0</v>
      </c>
      <c r="M14" s="406">
        <f t="shared" si="10"/>
        <v>-100</v>
      </c>
      <c r="N14" s="417" t="str">
        <f t="shared" si="11"/>
        <v>-</v>
      </c>
      <c r="O14" s="418" t="str">
        <f t="shared" si="12"/>
        <v>-</v>
      </c>
      <c r="P14" s="2120">
        <f t="shared" si="13"/>
        <v>0</v>
      </c>
      <c r="Q14" s="2164">
        <f t="shared" ref="Q14" si="24">IFERROR(ABS(P14-100),500)</f>
        <v>100</v>
      </c>
      <c r="R14" s="2170" t="str">
        <f t="shared" si="15"/>
        <v>-</v>
      </c>
      <c r="S14" s="2164">
        <f t="shared" ref="S14" si="25">IFERROR(ABS(R14-100),500)</f>
        <v>500</v>
      </c>
      <c r="T14" s="418" t="str">
        <f t="shared" si="17"/>
        <v>-</v>
      </c>
      <c r="U14" s="37"/>
      <c r="V14" s="82"/>
      <c r="W14" s="1325">
        <f t="shared" si="8"/>
        <v>100</v>
      </c>
      <c r="X14" s="1325" t="str">
        <f t="shared" si="9"/>
        <v>-</v>
      </c>
    </row>
    <row r="15" spans="1:24" ht="24" customHeight="1">
      <c r="A15" s="425">
        <v>9</v>
      </c>
      <c r="B15" s="1312" t="str">
        <f ca="1">'مقادیر خدمات'!B15</f>
        <v>ترانشیپ صادرات</v>
      </c>
      <c r="C15" s="2396" t="str">
        <f ca="1">'مقادیر خدمات'!C15</f>
        <v>تن</v>
      </c>
      <c r="D15" s="2401">
        <f>'مقادیر خدمات'!F15</f>
        <v>378750</v>
      </c>
      <c r="E15" s="216">
        <f>IFERROR('جدول فروش خدمات'!E18*10^6/'جدول فروش خدمات'!D18,0)</f>
        <v>14843.564356435643</v>
      </c>
      <c r="F15" s="416">
        <f t="shared" si="2"/>
        <v>5622</v>
      </c>
      <c r="G15" s="2401">
        <f>'مقادیر خدمات'!G15</f>
        <v>513151.19436328375</v>
      </c>
      <c r="H15" s="218">
        <f>IFERROR('جدول فروش خدمات'!G18*10^6/'جدول فروش خدمات'!F18,0)</f>
        <v>17447.099604062798</v>
      </c>
      <c r="I15" s="416">
        <f t="shared" si="3"/>
        <v>8953</v>
      </c>
      <c r="J15" s="2401">
        <f>'مقادیر خدمات'!H15</f>
        <v>467553</v>
      </c>
      <c r="K15" s="216">
        <f>IFERROR('جدول فروش خدمات'!J18*10^6/'جدول فروش خدمات'!H18,0)</f>
        <v>2029977.350161372</v>
      </c>
      <c r="L15" s="416">
        <f t="shared" si="4"/>
        <v>949122</v>
      </c>
      <c r="M15" s="406">
        <f t="shared" si="10"/>
        <v>23.446336633663368</v>
      </c>
      <c r="N15" s="417">
        <f t="shared" si="11"/>
        <v>13575.807921978292</v>
      </c>
      <c r="O15" s="418">
        <f t="shared" si="12"/>
        <v>16782.283884738528</v>
      </c>
      <c r="P15" s="2120">
        <f t="shared" si="13"/>
        <v>91.114081996854395</v>
      </c>
      <c r="Q15" s="2164">
        <f t="shared" ref="Q15" si="26">IFERROR(ABS(P15-100),500)</f>
        <v>8.8859180031456049</v>
      </c>
      <c r="R15" s="2170">
        <f t="shared" si="15"/>
        <v>11635.041905123668</v>
      </c>
      <c r="S15" s="2164">
        <f t="shared" ref="S15" si="27">IFERROR(ABS(R15-100),500)</f>
        <v>11535.041905123668</v>
      </c>
      <c r="T15" s="418">
        <f t="shared" si="17"/>
        <v>10601.161621802748</v>
      </c>
      <c r="U15" s="37"/>
      <c r="V15" s="82"/>
      <c r="W15" s="1325">
        <f t="shared" si="8"/>
        <v>8.8859180031456049</v>
      </c>
      <c r="X15" s="1325">
        <f t="shared" si="9"/>
        <v>11535.041905123668</v>
      </c>
    </row>
    <row r="16" spans="1:24" ht="24" customHeight="1" thickBot="1">
      <c r="A16" s="426">
        <v>10</v>
      </c>
      <c r="B16" s="1314" t="str">
        <f ca="1">'مقادیر خدمات'!B16</f>
        <v>خدمات باربری صادرات</v>
      </c>
      <c r="C16" s="2397" t="str">
        <f ca="1">'مقادیر خدمات'!C16</f>
        <v>میلیون ریال</v>
      </c>
      <c r="D16" s="2402">
        <f>'مقادیر خدمات'!F16</f>
        <v>55252</v>
      </c>
      <c r="E16" s="219">
        <f>10^6</f>
        <v>1000000</v>
      </c>
      <c r="F16" s="419">
        <f t="shared" si="2"/>
        <v>55252</v>
      </c>
      <c r="G16" s="2402">
        <f>'مقادیر خدمات'!G16</f>
        <v>55246</v>
      </c>
      <c r="H16" s="218">
        <v>1000000</v>
      </c>
      <c r="I16" s="419">
        <f t="shared" si="3"/>
        <v>55246</v>
      </c>
      <c r="J16" s="2402">
        <f>'مقادیر خدمات'!H16</f>
        <v>34526</v>
      </c>
      <c r="K16" s="219">
        <f>10^6</f>
        <v>1000000</v>
      </c>
      <c r="L16" s="419">
        <f t="shared" si="4"/>
        <v>34526</v>
      </c>
      <c r="M16" s="406">
        <f t="shared" si="10"/>
        <v>-37.511764280026064</v>
      </c>
      <c r="N16" s="417">
        <f t="shared" si="11"/>
        <v>0</v>
      </c>
      <c r="O16" s="418">
        <f t="shared" si="12"/>
        <v>-37.511764280026064</v>
      </c>
      <c r="P16" s="2120">
        <f t="shared" si="13"/>
        <v>62.495022264055315</v>
      </c>
      <c r="Q16" s="2164">
        <f t="shared" ref="Q16" si="28">IFERROR(ABS(P16-100),500)</f>
        <v>37.504977735944685</v>
      </c>
      <c r="R16" s="2170">
        <f t="shared" si="15"/>
        <v>100</v>
      </c>
      <c r="S16" s="2164">
        <f t="shared" ref="S16" si="29">IFERROR(ABS(R16-100),500)</f>
        <v>0</v>
      </c>
      <c r="T16" s="418">
        <f t="shared" si="17"/>
        <v>62.495022264055315</v>
      </c>
      <c r="U16" s="37"/>
      <c r="V16" s="82"/>
      <c r="W16" s="1325">
        <f t="shared" si="8"/>
        <v>37.504977735944685</v>
      </c>
      <c r="X16" s="1325">
        <f t="shared" si="9"/>
        <v>0</v>
      </c>
    </row>
    <row r="17" spans="1:24" ht="24" customHeight="1" thickBot="1">
      <c r="A17" s="426">
        <v>11</v>
      </c>
      <c r="B17" s="1314" t="str">
        <f ca="1">'مقادیر خدمات'!B17</f>
        <v>حمل‌ونقل داخلی</v>
      </c>
      <c r="C17" s="2397" t="str">
        <f ca="1">'مقادیر خدمات'!C17</f>
        <v>صدور بارنامه</v>
      </c>
      <c r="D17" s="2402">
        <f>'مقادیر خدمات'!F17</f>
        <v>0</v>
      </c>
      <c r="E17" s="216">
        <f>IFERROR('جدول فروش خدمات'!E15*10^6/'جدول فروش خدمات'!D15,0)</f>
        <v>0</v>
      </c>
      <c r="F17" s="419">
        <f t="shared" si="2"/>
        <v>0</v>
      </c>
      <c r="G17" s="2402">
        <f>'مقادیر خدمات'!G17</f>
        <v>0</v>
      </c>
      <c r="H17" s="218">
        <v>1000000</v>
      </c>
      <c r="I17" s="419">
        <f t="shared" si="3"/>
        <v>0</v>
      </c>
      <c r="J17" s="2402">
        <f>'مقادیر خدمات'!H17</f>
        <v>0</v>
      </c>
      <c r="K17" s="216">
        <f>IFERROR('جدول فروش خدمات'!J15*10^6/'جدول فروش خدمات'!H15,0)</f>
        <v>0</v>
      </c>
      <c r="L17" s="419">
        <f t="shared" si="4"/>
        <v>0</v>
      </c>
      <c r="M17" s="406" t="str">
        <f t="shared" si="10"/>
        <v>-</v>
      </c>
      <c r="N17" s="417" t="str">
        <f t="shared" si="11"/>
        <v>-</v>
      </c>
      <c r="O17" s="418" t="str">
        <f t="shared" si="12"/>
        <v>-</v>
      </c>
      <c r="P17" s="2120" t="str">
        <f t="shared" si="13"/>
        <v>-</v>
      </c>
      <c r="Q17" s="2164">
        <f t="shared" ref="Q17" si="30">IFERROR(ABS(P17-100),500)</f>
        <v>500</v>
      </c>
      <c r="R17" s="2170">
        <f t="shared" si="15"/>
        <v>0</v>
      </c>
      <c r="S17" s="2164">
        <f t="shared" ref="S17" si="31">IFERROR(ABS(R17-100),500)</f>
        <v>100</v>
      </c>
      <c r="T17" s="418" t="str">
        <f t="shared" si="17"/>
        <v>-</v>
      </c>
      <c r="U17" s="37"/>
      <c r="V17" s="82"/>
      <c r="W17" s="1325" t="str">
        <f t="shared" si="8"/>
        <v>-</v>
      </c>
      <c r="X17" s="1325">
        <f t="shared" si="9"/>
        <v>100</v>
      </c>
    </row>
    <row r="18" spans="1:24" ht="24" customHeight="1" thickBot="1">
      <c r="A18" s="426">
        <v>12</v>
      </c>
      <c r="B18" s="1314" t="str">
        <f ca="1">'مقادیر خدمات'!B18</f>
        <v>حمل‌ونقل داخلی</v>
      </c>
      <c r="C18" s="2397" t="str">
        <f ca="1">'مقادیر خدمات'!C18</f>
        <v>تناژ حمل</v>
      </c>
      <c r="D18" s="2403">
        <f>'مقادیر خدمات'!F18</f>
        <v>0</v>
      </c>
      <c r="E18" s="219">
        <v>0</v>
      </c>
      <c r="F18" s="419">
        <f t="shared" si="2"/>
        <v>0</v>
      </c>
      <c r="G18" s="2403">
        <f>'مقادیر خدمات'!G18</f>
        <v>0</v>
      </c>
      <c r="H18" s="218">
        <f>IFERROR('جدول فروش خدمات'!G16*10^6/'جدول فروش خدمات'!F16,0)</f>
        <v>776354.17827382009</v>
      </c>
      <c r="I18" s="419">
        <f t="shared" si="3"/>
        <v>0</v>
      </c>
      <c r="J18" s="2403">
        <f>'مقادیر خدمات'!H18</f>
        <v>0</v>
      </c>
      <c r="K18" s="216">
        <f>IFERROR('جدول فروش خدمات'!J16*10^6/'جدول فروش خدمات'!H16,0)</f>
        <v>509109.94041730888</v>
      </c>
      <c r="L18" s="419">
        <f t="shared" si="4"/>
        <v>0</v>
      </c>
      <c r="M18" s="406" t="str">
        <f t="shared" si="10"/>
        <v>-</v>
      </c>
      <c r="N18" s="417" t="str">
        <f t="shared" si="11"/>
        <v>-</v>
      </c>
      <c r="O18" s="418" t="str">
        <f t="shared" si="12"/>
        <v>-</v>
      </c>
      <c r="P18" s="2120" t="str">
        <f t="shared" si="13"/>
        <v>-</v>
      </c>
      <c r="Q18" s="2164">
        <f t="shared" ref="Q18" si="32">IFERROR(ABS(P18-100),500)</f>
        <v>500</v>
      </c>
      <c r="R18" s="2170">
        <f t="shared" si="15"/>
        <v>65.5770207290294</v>
      </c>
      <c r="S18" s="2164">
        <f t="shared" ref="S18" si="33">IFERROR(ABS(R18-100),500)</f>
        <v>34.4229792709706</v>
      </c>
      <c r="T18" s="418" t="str">
        <f t="shared" si="17"/>
        <v>-</v>
      </c>
      <c r="U18" s="37"/>
      <c r="V18" s="82"/>
      <c r="W18" s="1325" t="str">
        <f t="shared" si="8"/>
        <v>-</v>
      </c>
      <c r="X18" s="1325">
        <f t="shared" si="9"/>
        <v>34.4229792709706</v>
      </c>
    </row>
    <row r="19" spans="1:24" ht="24" hidden="1" customHeight="1">
      <c r="A19" s="426">
        <v>13</v>
      </c>
      <c r="B19" s="1314">
        <f ca="1">'مقادیر خدمات'!B19</f>
        <v>0</v>
      </c>
      <c r="C19" s="1315">
        <f ca="1">'مقادیر خدمات'!C19</f>
        <v>0</v>
      </c>
      <c r="D19" s="2398"/>
      <c r="E19" s="216">
        <f>IFERROR('جدول فروش خدمات'!E17*10^6/'جدول فروش خدمات'!D17,0)</f>
        <v>0</v>
      </c>
      <c r="F19" s="419">
        <f t="shared" si="2"/>
        <v>0</v>
      </c>
      <c r="G19" s="1323" cm="1">
        <f t="array" aca="1" ref="G19" ca="1">IF(ROW()-ROW($A$7)&lt;'الف-ب-ج'!$L$9,IF(روکش!$F$9="سه ماهه",INDIRECT("BudgetDB!AL"&amp;('الف-ب-ج'!$M$9+ROW()-ROW($A$7))),INDIRECT("BudgetDB!AM"&amp;('الف-ب-ج'!$M$9+ROW()-ROW($A$7)))),"")</f>
        <v>0</v>
      </c>
      <c r="H19" s="1324" cm="1">
        <f t="array" aca="1" ref="H19" ca="1">IF(ROW()-ROW($A$7)&lt;'الف-ب-ج'!$L$9,IF(روکش!$F$9="سه ماهه",INDIRECT("BudgetDB!AN"&amp;('الف-ب-ج'!$M$9+ROW()-ROW($A$7))),INDIRECT("BudgetDB!AO"&amp;('الف-ب-ج'!$M$9+ROW()-ROW($A$7)))),"")</f>
        <v>0</v>
      </c>
      <c r="I19" s="419">
        <f t="shared" ref="I19:I26" ca="1" si="34">IFERROR(H19*G19/1000000,0)</f>
        <v>0</v>
      </c>
      <c r="J19" s="217"/>
      <c r="K19" s="218"/>
      <c r="L19" s="419">
        <f t="shared" si="4"/>
        <v>0</v>
      </c>
      <c r="M19" s="406" t="str">
        <f t="shared" si="10"/>
        <v>-</v>
      </c>
      <c r="N19" s="417" t="str">
        <f t="shared" si="11"/>
        <v>-</v>
      </c>
      <c r="O19" s="418" t="str">
        <f t="shared" si="12"/>
        <v>-</v>
      </c>
      <c r="P19" s="2120" t="str">
        <f t="shared" ca="1" si="13"/>
        <v>-</v>
      </c>
      <c r="Q19" s="2164">
        <f t="shared" ref="Q19" ca="1" si="35">IFERROR(ABS(P19-100),500)</f>
        <v>500</v>
      </c>
      <c r="R19" s="2170" t="str">
        <f t="shared" ca="1" si="15"/>
        <v>-</v>
      </c>
      <c r="S19" s="2164">
        <f t="shared" ref="S19" ca="1" si="36">IFERROR(ABS(R19-100),500)</f>
        <v>500</v>
      </c>
      <c r="T19" s="418" t="str">
        <f t="shared" ca="1" si="17"/>
        <v>-</v>
      </c>
      <c r="U19" s="37"/>
      <c r="V19" s="82"/>
      <c r="W19" s="1325" t="str">
        <f t="shared" ca="1" si="8"/>
        <v>-</v>
      </c>
      <c r="X19" s="1325" t="str">
        <f t="shared" ca="1" si="9"/>
        <v>-</v>
      </c>
    </row>
    <row r="20" spans="1:24" ht="24" hidden="1" customHeight="1">
      <c r="A20" s="426">
        <v>14</v>
      </c>
      <c r="B20" s="1314">
        <f ca="1">'مقادیر خدمات'!B20</f>
        <v>0</v>
      </c>
      <c r="C20" s="1315">
        <f ca="1">'مقادیر خدمات'!C20</f>
        <v>0</v>
      </c>
      <c r="D20" s="217"/>
      <c r="E20" s="216">
        <f>IFERROR('جدول فروش خدمات'!E18*10^6/'جدول فروش خدمات'!D18,0)</f>
        <v>14843.564356435643</v>
      </c>
      <c r="F20" s="419">
        <f t="shared" si="2"/>
        <v>0</v>
      </c>
      <c r="G20" s="1323" cm="1">
        <f t="array" aca="1" ref="G20" ca="1">IF(ROW()-ROW($A$7)&lt;'الف-ب-ج'!$L$9,IF(روکش!$F$9="سه ماهه",INDIRECT("BudgetDB!AL"&amp;('الف-ب-ج'!$M$9+ROW()-ROW($A$7))),INDIRECT("BudgetDB!AM"&amp;('الف-ب-ج'!$M$9+ROW()-ROW($A$7)))),"")</f>
        <v>0</v>
      </c>
      <c r="H20" s="1324" cm="1">
        <f t="array" aca="1" ref="H20" ca="1">IF(ROW()-ROW($A$7)&lt;'الف-ب-ج'!$L$9,IF(روکش!$F$9="سه ماهه",INDIRECT("BudgetDB!AN"&amp;('الف-ب-ج'!$M$9+ROW()-ROW($A$7))),INDIRECT("BudgetDB!AO"&amp;('الف-ب-ج'!$M$9+ROW()-ROW($A$7)))),"")</f>
        <v>0</v>
      </c>
      <c r="I20" s="419">
        <f t="shared" ca="1" si="34"/>
        <v>0</v>
      </c>
      <c r="J20" s="217"/>
      <c r="K20" s="218"/>
      <c r="L20" s="419">
        <f t="shared" si="4"/>
        <v>0</v>
      </c>
      <c r="M20" s="406" t="str">
        <f t="shared" si="10"/>
        <v>-</v>
      </c>
      <c r="N20" s="417">
        <f t="shared" si="11"/>
        <v>-100.00000000000001</v>
      </c>
      <c r="O20" s="418" t="str">
        <f t="shared" si="12"/>
        <v>-</v>
      </c>
      <c r="P20" s="2120" t="str">
        <f t="shared" ca="1" si="13"/>
        <v>-</v>
      </c>
      <c r="Q20" s="2164">
        <f t="shared" ref="Q20" ca="1" si="37">IFERROR(ABS(P20-100),500)</f>
        <v>500</v>
      </c>
      <c r="R20" s="2170" t="str">
        <f t="shared" ca="1" si="15"/>
        <v>-</v>
      </c>
      <c r="S20" s="2164">
        <f t="shared" ref="S20" ca="1" si="38">IFERROR(ABS(R20-100),500)</f>
        <v>500</v>
      </c>
      <c r="T20" s="418" t="str">
        <f t="shared" ca="1" si="17"/>
        <v>-</v>
      </c>
      <c r="U20" s="37"/>
      <c r="V20" s="82"/>
      <c r="W20" s="1325" t="str">
        <f t="shared" ca="1" si="8"/>
        <v>-</v>
      </c>
      <c r="X20" s="1325" t="str">
        <f t="shared" ca="1" si="9"/>
        <v>-</v>
      </c>
    </row>
    <row r="21" spans="1:24" ht="24" hidden="1" customHeight="1">
      <c r="A21" s="426">
        <v>15</v>
      </c>
      <c r="B21" s="1314">
        <f ca="1">'مقادیر خدمات'!B21</f>
        <v>0</v>
      </c>
      <c r="C21" s="1315">
        <f ca="1">'مقادیر خدمات'!C21</f>
        <v>0</v>
      </c>
      <c r="D21" s="217"/>
      <c r="E21" s="216">
        <f>IFERROR('جدول فروش خدمات'!E19*10^6/'جدول فروش خدمات'!D19,0)</f>
        <v>0</v>
      </c>
      <c r="F21" s="419">
        <f t="shared" si="2"/>
        <v>0</v>
      </c>
      <c r="G21" s="1323" cm="1">
        <f t="array" aca="1" ref="G21" ca="1">IF(ROW()-ROW($A$7)&lt;'الف-ب-ج'!$L$9,IF(روکش!$F$9="سه ماهه",INDIRECT("BudgetDB!AL"&amp;('الف-ب-ج'!$M$9+ROW()-ROW($A$7))),INDIRECT("BudgetDB!AM"&amp;('الف-ب-ج'!$M$9+ROW()-ROW($A$7)))),"")</f>
        <v>0</v>
      </c>
      <c r="H21" s="1324" cm="1">
        <f t="array" aca="1" ref="H21" ca="1">IF(ROW()-ROW($A$7)&lt;'الف-ب-ج'!$L$9,IF(روکش!$F$9="سه ماهه",INDIRECT("BudgetDB!AN"&amp;('الف-ب-ج'!$M$9+ROW()-ROW($A$7))),INDIRECT("BudgetDB!AO"&amp;('الف-ب-ج'!$M$9+ROW()-ROW($A$7)))),"")</f>
        <v>0</v>
      </c>
      <c r="I21" s="419">
        <f t="shared" ca="1" si="34"/>
        <v>0</v>
      </c>
      <c r="J21" s="217"/>
      <c r="K21" s="218"/>
      <c r="L21" s="419">
        <f t="shared" si="4"/>
        <v>0</v>
      </c>
      <c r="M21" s="406" t="str">
        <f t="shared" si="10"/>
        <v>-</v>
      </c>
      <c r="N21" s="417" t="str">
        <f t="shared" si="11"/>
        <v>-</v>
      </c>
      <c r="O21" s="418" t="str">
        <f t="shared" si="12"/>
        <v>-</v>
      </c>
      <c r="P21" s="2120" t="str">
        <f t="shared" ca="1" si="13"/>
        <v>-</v>
      </c>
      <c r="Q21" s="2164">
        <f t="shared" ref="Q21" ca="1" si="39">IFERROR(ABS(P21-100),500)</f>
        <v>500</v>
      </c>
      <c r="R21" s="2170" t="str">
        <f t="shared" ca="1" si="15"/>
        <v>-</v>
      </c>
      <c r="S21" s="2164">
        <f t="shared" ref="S21" ca="1" si="40">IFERROR(ABS(R21-100),500)</f>
        <v>500</v>
      </c>
      <c r="T21" s="418" t="str">
        <f t="shared" ca="1" si="17"/>
        <v>-</v>
      </c>
      <c r="U21" s="37"/>
      <c r="V21" s="82"/>
      <c r="W21" s="1325" t="str">
        <f t="shared" ca="1" si="8"/>
        <v>-</v>
      </c>
      <c r="X21" s="1325" t="str">
        <f t="shared" ca="1" si="9"/>
        <v>-</v>
      </c>
    </row>
    <row r="22" spans="1:24" ht="24" hidden="1" customHeight="1">
      <c r="A22" s="426">
        <v>16</v>
      </c>
      <c r="B22" s="1314">
        <f ca="1">'مقادیر خدمات'!B22</f>
        <v>0</v>
      </c>
      <c r="C22" s="1315">
        <f ca="1">'مقادیر خدمات'!C22</f>
        <v>0</v>
      </c>
      <c r="D22" s="217"/>
      <c r="E22" s="216">
        <f>IFERROR('جدول فروش خدمات'!E20*10^6/'جدول فروش خدمات'!D20,0)</f>
        <v>0</v>
      </c>
      <c r="F22" s="419">
        <f t="shared" si="2"/>
        <v>0</v>
      </c>
      <c r="G22" s="1323" cm="1">
        <f t="array" aca="1" ref="G22" ca="1">IF(ROW()-ROW($A$7)&lt;'الف-ب-ج'!$L$9,IF(روکش!$F$9="سه ماهه",INDIRECT("BudgetDB!AL"&amp;('الف-ب-ج'!$M$9+ROW()-ROW($A$7))),INDIRECT("BudgetDB!AM"&amp;('الف-ب-ج'!$M$9+ROW()-ROW($A$7)))),"")</f>
        <v>0</v>
      </c>
      <c r="H22" s="1324" cm="1">
        <f t="array" aca="1" ref="H22" ca="1">IF(ROW()-ROW($A$7)&lt;'الف-ب-ج'!$L$9,IF(روکش!$F$9="سه ماهه",INDIRECT("BudgetDB!AN"&amp;('الف-ب-ج'!$M$9+ROW()-ROW($A$7))),INDIRECT("BudgetDB!AO"&amp;('الف-ب-ج'!$M$9+ROW()-ROW($A$7)))),"")</f>
        <v>0</v>
      </c>
      <c r="I22" s="419">
        <f t="shared" ca="1" si="34"/>
        <v>0</v>
      </c>
      <c r="J22" s="217"/>
      <c r="K22" s="218"/>
      <c r="L22" s="419">
        <f t="shared" si="4"/>
        <v>0</v>
      </c>
      <c r="M22" s="406" t="str">
        <f t="shared" si="10"/>
        <v>-</v>
      </c>
      <c r="N22" s="417" t="str">
        <f t="shared" si="11"/>
        <v>-</v>
      </c>
      <c r="O22" s="418" t="str">
        <f t="shared" si="12"/>
        <v>-</v>
      </c>
      <c r="P22" s="2120" t="str">
        <f t="shared" ca="1" si="13"/>
        <v>-</v>
      </c>
      <c r="Q22" s="2164">
        <f t="shared" ref="Q22" ca="1" si="41">IFERROR(ABS(P22-100),500)</f>
        <v>500</v>
      </c>
      <c r="R22" s="2170" t="str">
        <f t="shared" ca="1" si="15"/>
        <v>-</v>
      </c>
      <c r="S22" s="2164">
        <f t="shared" ref="S22" ca="1" si="42">IFERROR(ABS(R22-100),500)</f>
        <v>500</v>
      </c>
      <c r="T22" s="418" t="str">
        <f t="shared" ca="1" si="17"/>
        <v>-</v>
      </c>
      <c r="U22" s="37"/>
      <c r="V22" s="82"/>
      <c r="W22" s="1325" t="str">
        <f t="shared" ca="1" si="8"/>
        <v>-</v>
      </c>
      <c r="X22" s="1325" t="str">
        <f t="shared" ca="1" si="9"/>
        <v>-</v>
      </c>
    </row>
    <row r="23" spans="1:24" ht="24" hidden="1" customHeight="1">
      <c r="A23" s="426">
        <v>17</v>
      </c>
      <c r="B23" s="1314">
        <f ca="1">'مقادیر خدمات'!B23</f>
        <v>0</v>
      </c>
      <c r="C23" s="1315">
        <f ca="1">'مقادیر خدمات'!C23</f>
        <v>0</v>
      </c>
      <c r="D23" s="217"/>
      <c r="E23" s="216">
        <f>IFERROR('جدول فروش خدمات'!E21*10^6/'جدول فروش خدمات'!D21,0)</f>
        <v>0</v>
      </c>
      <c r="F23" s="419">
        <f t="shared" si="2"/>
        <v>0</v>
      </c>
      <c r="G23" s="1323" cm="1">
        <f t="array" aca="1" ref="G23" ca="1">IF(ROW()-ROW($A$7)&lt;'الف-ب-ج'!$L$9,IF(روکش!$F$9="سه ماهه",INDIRECT("BudgetDB!AL"&amp;('الف-ب-ج'!$M$9+ROW()-ROW($A$7))),INDIRECT("BudgetDB!AM"&amp;('الف-ب-ج'!$M$9+ROW()-ROW($A$7)))),"")</f>
        <v>0</v>
      </c>
      <c r="H23" s="1324" cm="1">
        <f t="array" aca="1" ref="H23" ca="1">IF(ROW()-ROW($A$7)&lt;'الف-ب-ج'!$L$9,IF(روکش!$F$9="سه ماهه",INDIRECT("BudgetDB!AN"&amp;('الف-ب-ج'!$M$9+ROW()-ROW($A$7))),INDIRECT("BudgetDB!AO"&amp;('الف-ب-ج'!$M$9+ROW()-ROW($A$7)))),"")</f>
        <v>0</v>
      </c>
      <c r="I23" s="419">
        <f t="shared" ca="1" si="34"/>
        <v>0</v>
      </c>
      <c r="J23" s="217"/>
      <c r="K23" s="218"/>
      <c r="L23" s="419">
        <f t="shared" si="4"/>
        <v>0</v>
      </c>
      <c r="M23" s="406" t="str">
        <f t="shared" si="10"/>
        <v>-</v>
      </c>
      <c r="N23" s="417" t="str">
        <f t="shared" si="11"/>
        <v>-</v>
      </c>
      <c r="O23" s="418" t="str">
        <f t="shared" si="12"/>
        <v>-</v>
      </c>
      <c r="P23" s="2120" t="str">
        <f t="shared" ca="1" si="13"/>
        <v>-</v>
      </c>
      <c r="Q23" s="2164">
        <f t="shared" ref="Q23" ca="1" si="43">IFERROR(ABS(P23-100),500)</f>
        <v>500</v>
      </c>
      <c r="R23" s="2170" t="str">
        <f t="shared" ca="1" si="15"/>
        <v>-</v>
      </c>
      <c r="S23" s="2164">
        <f t="shared" ref="S23" ca="1" si="44">IFERROR(ABS(R23-100),500)</f>
        <v>500</v>
      </c>
      <c r="T23" s="418" t="str">
        <f t="shared" ca="1" si="17"/>
        <v>-</v>
      </c>
      <c r="U23" s="37"/>
      <c r="V23" s="82"/>
      <c r="W23" s="1325" t="str">
        <f t="shared" ca="1" si="8"/>
        <v>-</v>
      </c>
      <c r="X23" s="1325" t="str">
        <f t="shared" ca="1" si="9"/>
        <v>-</v>
      </c>
    </row>
    <row r="24" spans="1:24" ht="24" hidden="1" customHeight="1">
      <c r="A24" s="426">
        <v>18</v>
      </c>
      <c r="B24" s="1314">
        <f ca="1">'مقادیر خدمات'!B24</f>
        <v>0</v>
      </c>
      <c r="C24" s="1315">
        <f ca="1">'مقادیر خدمات'!C24</f>
        <v>0</v>
      </c>
      <c r="D24" s="217"/>
      <c r="E24" s="216">
        <f>IFERROR('جدول فروش خدمات'!E22*10^6/'جدول فروش خدمات'!D22,0)</f>
        <v>0</v>
      </c>
      <c r="F24" s="419">
        <f t="shared" si="2"/>
        <v>0</v>
      </c>
      <c r="G24" s="1323" cm="1">
        <f t="array" aca="1" ref="G24" ca="1">IF(ROW()-ROW($A$7)&lt;'الف-ب-ج'!$L$9,IF(روکش!$F$9="سه ماهه",INDIRECT("BudgetDB!AL"&amp;('الف-ب-ج'!$M$9+ROW()-ROW($A$7))),INDIRECT("BudgetDB!AM"&amp;('الف-ب-ج'!$M$9+ROW()-ROW($A$7)))),"")</f>
        <v>0</v>
      </c>
      <c r="H24" s="1324" cm="1">
        <f t="array" aca="1" ref="H24" ca="1">IF(ROW()-ROW($A$7)&lt;'الف-ب-ج'!$L$9,IF(روکش!$F$9="سه ماهه",INDIRECT("BudgetDB!AN"&amp;('الف-ب-ج'!$M$9+ROW()-ROW($A$7))),INDIRECT("BudgetDB!AO"&amp;('الف-ب-ج'!$M$9+ROW()-ROW($A$7)))),"")</f>
        <v>0</v>
      </c>
      <c r="I24" s="419">
        <f t="shared" ca="1" si="34"/>
        <v>0</v>
      </c>
      <c r="J24" s="217"/>
      <c r="K24" s="218"/>
      <c r="L24" s="419">
        <f t="shared" si="4"/>
        <v>0</v>
      </c>
      <c r="M24" s="406" t="str">
        <f t="shared" si="10"/>
        <v>-</v>
      </c>
      <c r="N24" s="417" t="str">
        <f t="shared" si="11"/>
        <v>-</v>
      </c>
      <c r="O24" s="418" t="str">
        <f t="shared" si="12"/>
        <v>-</v>
      </c>
      <c r="P24" s="2120" t="str">
        <f t="shared" ca="1" si="13"/>
        <v>-</v>
      </c>
      <c r="Q24" s="2164">
        <f t="shared" ref="Q24" ca="1" si="45">IFERROR(ABS(P24-100),500)</f>
        <v>500</v>
      </c>
      <c r="R24" s="2170" t="str">
        <f t="shared" ca="1" si="15"/>
        <v>-</v>
      </c>
      <c r="S24" s="2164">
        <f t="shared" ref="S24" ca="1" si="46">IFERROR(ABS(R24-100),500)</f>
        <v>500</v>
      </c>
      <c r="T24" s="418" t="str">
        <f t="shared" ca="1" si="17"/>
        <v>-</v>
      </c>
      <c r="U24" s="37"/>
      <c r="V24" s="82"/>
      <c r="W24" s="1325" t="str">
        <f t="shared" ca="1" si="8"/>
        <v>-</v>
      </c>
      <c r="X24" s="1325" t="str">
        <f t="shared" ca="1" si="9"/>
        <v>-</v>
      </c>
    </row>
    <row r="25" spans="1:24" ht="24" hidden="1" customHeight="1">
      <c r="A25" s="426">
        <v>19</v>
      </c>
      <c r="B25" s="1314">
        <f ca="1">'مقادیر خدمات'!B25</f>
        <v>0</v>
      </c>
      <c r="C25" s="1315">
        <f ca="1">'مقادیر خدمات'!C25</f>
        <v>0</v>
      </c>
      <c r="D25" s="217"/>
      <c r="E25" s="216">
        <f>IFERROR('جدول فروش خدمات'!E23*10^6/'جدول فروش خدمات'!D23,0)</f>
        <v>0</v>
      </c>
      <c r="F25" s="419">
        <f t="shared" si="2"/>
        <v>0</v>
      </c>
      <c r="G25" s="1323" cm="1">
        <f t="array" aca="1" ref="G25" ca="1">IF(ROW()-ROW($A$7)&lt;'الف-ب-ج'!$L$9,IF(روکش!$F$9="سه ماهه",INDIRECT("BudgetDB!AL"&amp;('الف-ب-ج'!$M$9+ROW()-ROW($A$7))),INDIRECT("BudgetDB!AM"&amp;('الف-ب-ج'!$M$9+ROW()-ROW($A$7)))),"")</f>
        <v>0</v>
      </c>
      <c r="H25" s="1324" cm="1">
        <f t="array" aca="1" ref="H25" ca="1">IF(ROW()-ROW($A$7)&lt;'الف-ب-ج'!$L$9,IF(روکش!$F$9="سه ماهه",INDIRECT("BudgetDB!AN"&amp;('الف-ب-ج'!$M$9+ROW()-ROW($A$7))),INDIRECT("BudgetDB!AO"&amp;('الف-ب-ج'!$M$9+ROW()-ROW($A$7)))),"")</f>
        <v>0</v>
      </c>
      <c r="I25" s="419">
        <f t="shared" ca="1" si="34"/>
        <v>0</v>
      </c>
      <c r="J25" s="217"/>
      <c r="K25" s="218"/>
      <c r="L25" s="419">
        <f t="shared" si="4"/>
        <v>0</v>
      </c>
      <c r="M25" s="406" t="str">
        <f t="shared" si="10"/>
        <v>-</v>
      </c>
      <c r="N25" s="417" t="str">
        <f t="shared" si="11"/>
        <v>-</v>
      </c>
      <c r="O25" s="418" t="str">
        <f t="shared" si="12"/>
        <v>-</v>
      </c>
      <c r="P25" s="2120" t="str">
        <f t="shared" ca="1" si="13"/>
        <v>-</v>
      </c>
      <c r="Q25" s="2164">
        <f t="shared" ref="Q25" ca="1" si="47">IFERROR(ABS(P25-100),500)</f>
        <v>500</v>
      </c>
      <c r="R25" s="2170" t="str">
        <f t="shared" ca="1" si="15"/>
        <v>-</v>
      </c>
      <c r="S25" s="2164">
        <f t="shared" ref="S25" ca="1" si="48">IFERROR(ABS(R25-100),500)</f>
        <v>500</v>
      </c>
      <c r="T25" s="418" t="str">
        <f t="shared" ca="1" si="17"/>
        <v>-</v>
      </c>
      <c r="U25" s="37"/>
      <c r="V25" s="82"/>
      <c r="W25" s="1325" t="str">
        <f t="shared" ca="1" si="8"/>
        <v>-</v>
      </c>
      <c r="X25" s="1325" t="str">
        <f t="shared" ca="1" si="9"/>
        <v>-</v>
      </c>
    </row>
    <row r="26" spans="1:24" ht="24" hidden="1" customHeight="1" thickBot="1">
      <c r="A26" s="426">
        <v>20</v>
      </c>
      <c r="B26" s="1314">
        <f ca="1">'مقادیر خدمات'!B26</f>
        <v>0</v>
      </c>
      <c r="C26" s="1315">
        <f ca="1">'مقادیر خدمات'!C26</f>
        <v>0</v>
      </c>
      <c r="D26" s="217"/>
      <c r="E26" s="216">
        <f>IFERROR('جدول فروش خدمات'!E24*10^6/'جدول فروش خدمات'!D24,0)</f>
        <v>0</v>
      </c>
      <c r="F26" s="419">
        <f t="shared" si="2"/>
        <v>0</v>
      </c>
      <c r="G26" s="1323" cm="1">
        <f t="array" aca="1" ref="G26" ca="1">IF(ROW()-ROW($A$7)&lt;'الف-ب-ج'!$L$9,IF(روکش!$F$9="سه ماهه",INDIRECT("BudgetDB!AL"&amp;('الف-ب-ج'!$M$9+ROW()-ROW($A$7))),INDIRECT("BudgetDB!AM"&amp;('الف-ب-ج'!$M$9+ROW()-ROW($A$7)))),"")</f>
        <v>0</v>
      </c>
      <c r="H26" s="1324" cm="1">
        <f t="array" aca="1" ref="H26" ca="1">IF(ROW()-ROW($A$7)&lt;'الف-ب-ج'!$L$9,IF(روکش!$F$9="سه ماهه",INDIRECT("BudgetDB!AN"&amp;('الف-ب-ج'!$M$9+ROW()-ROW($A$7))),INDIRECT("BudgetDB!AO"&amp;('الف-ب-ج'!$M$9+ROW()-ROW($A$7)))),"")</f>
        <v>0</v>
      </c>
      <c r="I26" s="419">
        <f t="shared" ca="1" si="34"/>
        <v>0</v>
      </c>
      <c r="J26" s="217"/>
      <c r="K26" s="218"/>
      <c r="L26" s="419">
        <f t="shared" si="4"/>
        <v>0</v>
      </c>
      <c r="M26" s="406" t="str">
        <f t="shared" si="10"/>
        <v>-</v>
      </c>
      <c r="N26" s="417" t="str">
        <f t="shared" si="11"/>
        <v>-</v>
      </c>
      <c r="O26" s="418" t="str">
        <f t="shared" si="12"/>
        <v>-</v>
      </c>
      <c r="P26" s="2120" t="str">
        <f t="shared" ca="1" si="13"/>
        <v>-</v>
      </c>
      <c r="Q26" s="2164">
        <f t="shared" ref="Q26" ca="1" si="49">IFERROR(ABS(P26-100),500)</f>
        <v>500</v>
      </c>
      <c r="R26" s="2170" t="str">
        <f t="shared" ca="1" si="15"/>
        <v>-</v>
      </c>
      <c r="S26" s="2164">
        <f t="shared" ref="S26" ca="1" si="50">IFERROR(ABS(R26-100),500)</f>
        <v>500</v>
      </c>
      <c r="T26" s="418" t="str">
        <f t="shared" ca="1" si="17"/>
        <v>-</v>
      </c>
      <c r="U26" s="37"/>
      <c r="V26" s="82"/>
      <c r="W26" s="1325" t="str">
        <f t="shared" ca="1" si="8"/>
        <v>-</v>
      </c>
      <c r="X26" s="1325" t="str">
        <f t="shared" ca="1" si="9"/>
        <v>-</v>
      </c>
    </row>
    <row r="27" spans="1:24" ht="24" customHeight="1" thickBot="1">
      <c r="A27" s="2736" t="s">
        <v>13</v>
      </c>
      <c r="B27" s="2737"/>
      <c r="C27" s="2738"/>
      <c r="D27" s="1326"/>
      <c r="E27" s="1326"/>
      <c r="F27" s="1327">
        <f>SUM(F7:F26)</f>
        <v>1091418</v>
      </c>
      <c r="G27" s="1326"/>
      <c r="H27" s="1326"/>
      <c r="I27" s="1327">
        <f ca="1">SUM(I7:I26)</f>
        <v>1753136</v>
      </c>
      <c r="J27" s="1326"/>
      <c r="K27" s="1326"/>
      <c r="L27" s="1327">
        <f>SUM(L7:L26)</f>
        <v>2698410</v>
      </c>
      <c r="M27" s="1328"/>
      <c r="N27" s="1328"/>
      <c r="O27" s="499">
        <f>IFERROR((L27-F27)*100/F27,"-")</f>
        <v>147.23891304706353</v>
      </c>
      <c r="P27" s="2764"/>
      <c r="Q27" s="2765"/>
      <c r="R27" s="2766"/>
      <c r="S27" s="2765"/>
      <c r="T27" s="1327">
        <f ca="1">IFERROR(L27*100/I27,"-")</f>
        <v>153.9190342335107</v>
      </c>
      <c r="U27" s="37"/>
      <c r="V27" s="82"/>
    </row>
    <row r="28" spans="1:24" ht="12.75" customHeight="1">
      <c r="A28" s="746"/>
      <c r="B28" s="747"/>
      <c r="C28" s="747"/>
      <c r="D28" s="747"/>
      <c r="E28" s="747"/>
      <c r="F28" s="747"/>
      <c r="G28" s="747"/>
      <c r="H28" s="747"/>
      <c r="I28" s="747"/>
      <c r="J28" s="747"/>
      <c r="K28" s="747"/>
      <c r="L28" s="747"/>
      <c r="M28" s="747"/>
      <c r="N28" s="747"/>
      <c r="O28" s="747"/>
      <c r="P28" s="747"/>
      <c r="Q28" s="747"/>
      <c r="R28" s="747"/>
      <c r="S28" s="747"/>
      <c r="T28" s="747"/>
      <c r="U28" s="27"/>
      <c r="V28" s="748"/>
    </row>
    <row r="29" spans="1:24" ht="21">
      <c r="A29" s="8"/>
      <c r="B29" s="8"/>
      <c r="C29" s="9"/>
      <c r="E29" s="9"/>
      <c r="F29" s="9"/>
      <c r="G29" s="2752"/>
      <c r="H29" s="2752"/>
      <c r="I29" s="9"/>
      <c r="N29" s="720"/>
    </row>
  </sheetData>
  <sheetProtection algorithmName="SHA-512" hashValue="lxaeLIF/y2x9BvjfRd6KwcGDwtvNDZ3Xds1Ux2EZ7Kng0MN1XsTvxmjBtc51i/sA9NZoKYJh9Ee0dJ9oqitBCw==" saltValue="EtMtt8aCImE9h59cOZGkJw==" spinCount="100000" sheet="1" objects="1" scenarios="1" formatCells="0" formatColumns="0"/>
  <mergeCells count="15">
    <mergeCell ref="A1:T1"/>
    <mergeCell ref="O3:P3"/>
    <mergeCell ref="R3:T3"/>
    <mergeCell ref="A27:C27"/>
    <mergeCell ref="G29:H29"/>
    <mergeCell ref="D5:D6"/>
    <mergeCell ref="E5:E6"/>
    <mergeCell ref="F5:F6"/>
    <mergeCell ref="A4:A6"/>
    <mergeCell ref="B4:B6"/>
    <mergeCell ref="C4:C6"/>
    <mergeCell ref="P6:Q6"/>
    <mergeCell ref="R6:S6"/>
    <mergeCell ref="P27:Q27"/>
    <mergeCell ref="R27:S27"/>
  </mergeCells>
  <conditionalFormatting sqref="K19:K26">
    <cfRule type="expression" dxfId="467" priority="36">
      <formula>AND(C19="میلیون ریال",AND(K19&lt;&gt;"",K19&lt;&gt;1000000))</formula>
    </cfRule>
  </conditionalFormatting>
  <conditionalFormatting sqref="B7:B26">
    <cfRule type="expression" dxfId="466" priority="23">
      <formula>AND(B7=0,OR($D7&lt;&gt;0,$J7&lt;&gt;0))</formula>
    </cfRule>
  </conditionalFormatting>
  <conditionalFormatting sqref="C7:C26">
    <cfRule type="expression" dxfId="465" priority="22">
      <formula>AND(C7=0,OR($D7&lt;&gt;0,$J7&lt;&gt;0))</formula>
    </cfRule>
  </conditionalFormatting>
  <conditionalFormatting sqref="Q7:Q26">
    <cfRule type="iconSet" priority="21">
      <iconSet iconSet="3Symbols" showValue="0" reverse="1">
        <cfvo type="percent" val="0"/>
        <cfvo type="num" val="10" gte="0"/>
        <cfvo type="num" val="40"/>
      </iconSet>
    </cfRule>
  </conditionalFormatting>
  <conditionalFormatting sqref="S7:S26">
    <cfRule type="iconSet" priority="20">
      <iconSet iconSet="3Symbols" showValue="0" reverse="1">
        <cfvo type="percent" val="0"/>
        <cfvo type="num" val="10" gte="0"/>
        <cfvo type="num" val="40"/>
      </iconSet>
    </cfRule>
  </conditionalFormatting>
  <conditionalFormatting sqref="D7:D18">
    <cfRule type="expression" dxfId="464" priority="17">
      <formula>AND(D7=0,OR($D7&lt;&gt;0,$J7&lt;&gt;0))</formula>
    </cfRule>
  </conditionalFormatting>
  <conditionalFormatting sqref="G7:G18">
    <cfRule type="expression" dxfId="463" priority="16">
      <formula>AND(G7=0,OR($D7&lt;&gt;0,$J7&lt;&gt;0))</formula>
    </cfRule>
  </conditionalFormatting>
  <conditionalFormatting sqref="J7:J18">
    <cfRule type="expression" dxfId="462" priority="15">
      <formula>AND(J7=0,OR($D7&lt;&gt;0,$J7&lt;&gt;0))</formula>
    </cfRule>
  </conditionalFormatting>
  <conditionalFormatting sqref="H7:H18">
    <cfRule type="expression" dxfId="461" priority="14">
      <formula>AND(XFD7="میلیون ریال",AND(H7&lt;&gt;"",H7&lt;&gt;1000000))</formula>
    </cfRule>
  </conditionalFormatting>
  <conditionalFormatting sqref="E7">
    <cfRule type="expression" dxfId="460" priority="13">
      <formula>AND(XFA7="میلیون ریال",AND(E7&lt;&gt;"",E7&lt;&gt;1000000))</formula>
    </cfRule>
  </conditionalFormatting>
  <conditionalFormatting sqref="E8:E10 E12:E15 E17 E19:E26">
    <cfRule type="expression" dxfId="459" priority="12">
      <formula>AND(XFA8="میلیون ریال",AND(E8&lt;&gt;"",E8&lt;&gt;1000000))</formula>
    </cfRule>
  </conditionalFormatting>
  <conditionalFormatting sqref="K7:K10 K12:K15 K17:K18">
    <cfRule type="expression" dxfId="458" priority="11">
      <formula>AND(C7="میلیون ریال",AND(K7&lt;&gt;"",K7&lt;&gt;1000000))</formula>
    </cfRule>
  </conditionalFormatting>
  <conditionalFormatting sqref="E11">
    <cfRule type="cellIs" dxfId="457" priority="9" operator="equal">
      <formula>0</formula>
    </cfRule>
    <cfRule type="cellIs" dxfId="456" priority="10" operator="lessThan">
      <formula>0</formula>
    </cfRule>
  </conditionalFormatting>
  <conditionalFormatting sqref="E16">
    <cfRule type="cellIs" dxfId="455" priority="7" operator="equal">
      <formula>0</formula>
    </cfRule>
    <cfRule type="cellIs" dxfId="454" priority="8" operator="lessThan">
      <formula>0</formula>
    </cfRule>
  </conditionalFormatting>
  <conditionalFormatting sqref="E18">
    <cfRule type="cellIs" dxfId="453" priority="5" operator="equal">
      <formula>0</formula>
    </cfRule>
    <cfRule type="cellIs" dxfId="452" priority="6" operator="lessThan">
      <formula>0</formula>
    </cfRule>
  </conditionalFormatting>
  <conditionalFormatting sqref="K11">
    <cfRule type="cellIs" dxfId="451" priority="3" operator="equal">
      <formula>0</formula>
    </cfRule>
    <cfRule type="cellIs" dxfId="450" priority="4" operator="lessThan">
      <formula>0</formula>
    </cfRule>
  </conditionalFormatting>
  <conditionalFormatting sqref="K16">
    <cfRule type="cellIs" dxfId="449" priority="1" operator="equal">
      <formula>0</formula>
    </cfRule>
    <cfRule type="cellIs" dxfId="448" priority="2" operator="lessThan">
      <formula>0</formula>
    </cfRule>
  </conditionalFormatting>
  <printOptions horizontalCentered="1"/>
  <pageMargins left="0.19685039370078741" right="0.19685039370078741" top="0.59055118110236227" bottom="0.78740157480314965" header="0.19685039370078741" footer="0.19685039370078741"/>
  <pageSetup paperSize="9" scale="63"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9" id="{E300829A-56CF-463A-B683-9AA0281C3F9E}">
            <x14:iconSet iconSet="3Symbols" custom="1">
              <x14:cfvo type="percent">
                <xm:f>0</xm:f>
              </x14:cfvo>
              <x14:cfvo type="num">
                <xm:f>0</xm:f>
              </x14:cfvo>
              <x14:cfvo type="num">
                <xm:f>0</xm:f>
              </x14:cfvo>
              <x14:cfIcon iconSet="3Symbols" iconId="1"/>
              <x14:cfIcon iconSet="3Symbols" iconId="1"/>
              <x14:cfIcon iconSet="NoIcons" iconId="0"/>
            </x14:iconSet>
          </x14:cfRule>
          <xm:sqref>M7:N26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1">
    <tabColor rgb="FFFFFF00"/>
    <pageSetUpPr fitToPage="1"/>
  </sheetPr>
  <dimension ref="A1:AD21"/>
  <sheetViews>
    <sheetView rightToLeft="1" view="pageBreakPreview" topLeftCell="A5" zoomScale="60" zoomScaleNormal="100" workbookViewId="0">
      <selection activeCell="C12" sqref="C12"/>
    </sheetView>
  </sheetViews>
  <sheetFormatPr defaultColWidth="9" defaultRowHeight="15"/>
  <cols>
    <col min="1" max="1" width="6.42578125" style="5" customWidth="1"/>
    <col min="2" max="2" width="21.5703125" style="5" customWidth="1"/>
    <col min="3" max="4" width="9" style="5"/>
    <col min="5" max="9" width="10.5703125" style="5" customWidth="1"/>
    <col min="10" max="10" width="12.85546875" style="5" bestFit="1" customWidth="1"/>
    <col min="11" max="12" width="10.5703125" style="5" customWidth="1"/>
    <col min="13" max="13" width="12.7109375" style="5" bestFit="1" customWidth="1"/>
    <col min="14" max="14" width="11.42578125" style="5" bestFit="1" customWidth="1"/>
    <col min="15" max="17" width="10.5703125" style="5" customWidth="1"/>
    <col min="18" max="21" width="8.5703125" style="5" customWidth="1"/>
    <col min="22" max="22" width="3.7109375" style="5" customWidth="1"/>
    <col min="23" max="23" width="8.5703125" style="5" customWidth="1"/>
    <col min="24" max="24" width="3.7109375" style="5" customWidth="1"/>
    <col min="25" max="25" width="8.5703125" style="5" customWidth="1"/>
    <col min="26" max="27" width="9" style="5"/>
    <col min="28" max="29" width="9" style="79" hidden="1" customWidth="1"/>
    <col min="30" max="16384" width="9" style="5"/>
  </cols>
  <sheetData>
    <row r="1" spans="1:30"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c r="U1" s="2685"/>
      <c r="V1" s="2685"/>
      <c r="W1" s="2685"/>
      <c r="X1" s="2685"/>
      <c r="Y1" s="2685"/>
    </row>
    <row r="2" spans="1:30" ht="28.5" customHeight="1">
      <c r="A2" s="1206" t="str">
        <f>"درآمد حاصل از صادرات در دوره " &amp; روکش!F9 &amp; " سال " &amp; روکش!D9</f>
        <v>درآمد حاصل از صادرات در دوره شش ماهه سال 1405</v>
      </c>
      <c r="B2" s="1205"/>
      <c r="C2" s="1205"/>
      <c r="D2" s="1205"/>
      <c r="E2" s="1205"/>
      <c r="F2" s="1205"/>
      <c r="G2" s="1205"/>
      <c r="H2" s="1205"/>
      <c r="I2" s="1205"/>
      <c r="J2" s="1205"/>
      <c r="K2" s="1205"/>
      <c r="L2" s="1205"/>
      <c r="M2" s="1205"/>
      <c r="N2" s="1205"/>
      <c r="O2" s="1205"/>
      <c r="P2" s="1205"/>
      <c r="Q2" s="1205"/>
      <c r="R2" s="1205"/>
      <c r="S2" s="1202"/>
      <c r="T2" s="1202"/>
      <c r="U2" s="1202"/>
      <c r="V2" s="1202"/>
      <c r="W2" s="1202"/>
      <c r="X2" s="1202"/>
      <c r="Y2" s="1202"/>
      <c r="Z2" s="251"/>
      <c r="AA2" s="251"/>
      <c r="AB2" s="81"/>
      <c r="AC2" s="832"/>
    </row>
    <row r="3" spans="1:30" ht="20.100000000000001" customHeight="1" thickBot="1">
      <c r="A3" s="2723"/>
      <c r="B3" s="2723"/>
      <c r="C3" s="2723"/>
      <c r="D3" s="2723"/>
      <c r="E3" s="2723"/>
      <c r="F3" s="2723"/>
      <c r="G3" s="2723"/>
      <c r="H3" s="2723"/>
      <c r="I3" s="430"/>
      <c r="J3" s="430"/>
      <c r="K3"/>
      <c r="L3" s="1330"/>
      <c r="M3" s="1330"/>
      <c r="N3"/>
      <c r="O3" s="1331"/>
      <c r="P3" s="1331"/>
      <c r="Q3"/>
      <c r="R3" s="1332"/>
      <c r="S3" s="1332"/>
      <c r="T3" s="1207" t="s">
        <v>174</v>
      </c>
      <c r="U3"/>
      <c r="V3"/>
      <c r="W3" s="1333"/>
      <c r="X3" s="1333"/>
      <c r="Y3" s="1334" t="s">
        <v>179</v>
      </c>
    </row>
    <row r="4" spans="1:30" ht="24.75" customHeight="1" thickBot="1">
      <c r="A4" s="2733" t="s">
        <v>5</v>
      </c>
      <c r="B4" s="2740" t="s">
        <v>15</v>
      </c>
      <c r="C4" s="2740" t="s">
        <v>16</v>
      </c>
      <c r="D4" s="2740" t="s">
        <v>26</v>
      </c>
      <c r="E4" s="2838" t="s">
        <v>173</v>
      </c>
      <c r="F4" s="2839"/>
      <c r="G4" s="2840"/>
      <c r="H4" s="2740" t="s">
        <v>17</v>
      </c>
      <c r="I4" s="1306" t="s">
        <v>639</v>
      </c>
      <c r="J4" s="1307"/>
      <c r="K4" s="1308"/>
      <c r="L4" s="1306" t="s">
        <v>642</v>
      </c>
      <c r="M4" s="1307"/>
      <c r="N4" s="1307"/>
      <c r="O4" s="1307"/>
      <c r="P4" s="1307"/>
      <c r="Q4" s="1307"/>
      <c r="R4" s="1307"/>
      <c r="S4" s="1307"/>
      <c r="T4" s="1307"/>
      <c r="U4" s="1307"/>
      <c r="V4" s="1307"/>
      <c r="W4" s="1307"/>
      <c r="X4" s="1307"/>
      <c r="Y4" s="1308"/>
    </row>
    <row r="5" spans="1:30" ht="48.75" customHeight="1">
      <c r="A5" s="2734"/>
      <c r="B5" s="2741"/>
      <c r="C5" s="2741"/>
      <c r="D5" s="2741"/>
      <c r="E5" s="2841"/>
      <c r="F5" s="2842"/>
      <c r="G5" s="2843"/>
      <c r="H5" s="2741"/>
      <c r="I5" s="2733" t="s">
        <v>8</v>
      </c>
      <c r="J5" s="2740" t="s">
        <v>9</v>
      </c>
      <c r="K5" s="2731" t="s">
        <v>10</v>
      </c>
      <c r="L5" s="1209" t="s">
        <v>217</v>
      </c>
      <c r="M5" s="1309"/>
      <c r="N5" s="1310"/>
      <c r="O5" s="1209" t="s">
        <v>216</v>
      </c>
      <c r="P5" s="1309"/>
      <c r="Q5" s="1310"/>
      <c r="R5" s="1209" t="s">
        <v>793</v>
      </c>
      <c r="S5" s="1309"/>
      <c r="T5" s="1310"/>
      <c r="U5" s="1209" t="s">
        <v>643</v>
      </c>
      <c r="V5" s="1218"/>
      <c r="W5" s="1309"/>
      <c r="X5" s="1309"/>
      <c r="Y5" s="1310"/>
    </row>
    <row r="6" spans="1:30" ht="63" customHeight="1" thickBot="1">
      <c r="A6" s="2735"/>
      <c r="B6" s="2742"/>
      <c r="C6" s="2742"/>
      <c r="D6" s="2742"/>
      <c r="E6" s="705" t="s">
        <v>172</v>
      </c>
      <c r="F6" s="705" t="s">
        <v>186</v>
      </c>
      <c r="G6" s="705" t="s">
        <v>218</v>
      </c>
      <c r="H6" s="2742"/>
      <c r="I6" s="2735"/>
      <c r="J6" s="2742"/>
      <c r="K6" s="2732"/>
      <c r="L6" s="703" t="s">
        <v>11</v>
      </c>
      <c r="M6" s="705" t="s">
        <v>9</v>
      </c>
      <c r="N6" s="412" t="s">
        <v>12</v>
      </c>
      <c r="O6" s="703" t="s">
        <v>11</v>
      </c>
      <c r="P6" s="705" t="s">
        <v>9</v>
      </c>
      <c r="Q6" s="412" t="s">
        <v>12</v>
      </c>
      <c r="R6" s="703" t="s">
        <v>11</v>
      </c>
      <c r="S6" s="705" t="s">
        <v>9</v>
      </c>
      <c r="T6" s="412" t="s">
        <v>12</v>
      </c>
      <c r="U6" s="2748" t="s">
        <v>11</v>
      </c>
      <c r="V6" s="2747"/>
      <c r="W6" s="2746" t="s">
        <v>9</v>
      </c>
      <c r="X6" s="2747"/>
      <c r="Y6" s="412" t="s">
        <v>12</v>
      </c>
      <c r="AB6" s="1325" t="s">
        <v>784</v>
      </c>
      <c r="AC6" s="1325"/>
      <c r="AD6" s="41"/>
    </row>
    <row r="7" spans="1:30" ht="35.1" customHeight="1">
      <c r="A7" s="1303">
        <v>1</v>
      </c>
      <c r="B7" s="752">
        <f ca="1">IF(ROW()-ROW($A$7)&lt;'الف-ب-ج'!$L$9,INDIRECT("BudgetDB!AP"&amp;('الف-ب-ج'!$M$9+ROW()-ROW($A$7))),"")</f>
        <v>0</v>
      </c>
      <c r="C7" s="1335">
        <f ca="1">IF(ROW()-ROW($A$7)&lt;'الف-ب-ج'!$L$9,INDIRECT("BudgetDB!AQ"&amp;('الف-ب-ج'!$M$9+ROW()-ROW($A$7))),"")</f>
        <v>0</v>
      </c>
      <c r="D7" s="1335">
        <f ca="1">IF(ROW()-ROW($A$7)&lt;'الف-ب-ج'!$L$9,INDIRECT("BudgetDB!AR"&amp;('الف-ب-ج'!$M$9+ROW()-ROW($A$7))),"")</f>
        <v>0</v>
      </c>
      <c r="E7" s="1112"/>
      <c r="F7" s="1338">
        <f ca="1">IF(ROW()-ROW($A$7)&lt;'الف-ب-ج'!$L$9,INDIRECT("BudgetDB!AS"&amp;('الف-ب-ج'!$M$9+ROW()-ROW($A$7))),"")</f>
        <v>0</v>
      </c>
      <c r="G7" s="1112"/>
      <c r="H7" s="1335">
        <f ca="1">IF(ROW()-ROW($A$7)&lt;'الف-ب-ج'!$L$9,INDIRECT("BudgetDB!AT"&amp;('الف-ب-ج'!$M$9+ROW()-ROW($A$7))),"")</f>
        <v>0</v>
      </c>
      <c r="I7" s="215"/>
      <c r="J7" s="216"/>
      <c r="K7" s="413">
        <f>IFERROR(J7*I7*E7/1000000,0)</f>
        <v>0</v>
      </c>
      <c r="L7" s="1319" cm="1">
        <f t="array" aca="1" ref="L7" ca="1">IF(ROW()-ROW($A$7)&lt;'الف-ب-ج'!$L$9,IF(روکش!$F$9="سه ماهه",INDIRECT("BudgetDB!AU"&amp;('الف-ب-ج'!$M$9+ROW()-ROW($A$7))),INDIRECT("BudgetDB!AV"&amp;('الف-ب-ج'!$M$9+ROW()-ROW($A$7)))),"")</f>
        <v>0</v>
      </c>
      <c r="M7" s="1320" cm="1">
        <f t="array" aca="1" ref="M7" ca="1">IF(ROW()-ROW($A$7)&lt;'الف-ب-ج'!$L$9,IF(روکش!$F$9="سه ماهه",INDIRECT("BudgetDB!AW"&amp;('الف-ب-ج'!$M$9+ROW()-ROW($A$7))),INDIRECT("BudgetDB!AX"&amp;('الف-ب-ج'!$M$9+ROW()-ROW($A$7)))),"")</f>
        <v>0</v>
      </c>
      <c r="N7" s="413">
        <f ca="1">IFERROR(M7*L7*F7/1000000,0)</f>
        <v>0</v>
      </c>
      <c r="O7" s="215"/>
      <c r="P7" s="216"/>
      <c r="Q7" s="413">
        <f>IFERROR(P7*O7*G7/1000000,0)</f>
        <v>0</v>
      </c>
      <c r="R7" s="402" t="str">
        <f>IFERROR((O7-I7)*100/I7,"-")</f>
        <v>-</v>
      </c>
      <c r="S7" s="414" t="str">
        <f>IFERROR((P7-J7)*100/J7,"-")</f>
        <v>-</v>
      </c>
      <c r="T7" s="415" t="str">
        <f>IFERROR((Q7-K7)*100/K7,"-")</f>
        <v>-</v>
      </c>
      <c r="U7" s="2119" t="str">
        <f ca="1">IFERROR(O7*100/L7,"-")</f>
        <v>-</v>
      </c>
      <c r="V7" s="2163">
        <f ca="1">IFERROR(ABS(U7-100),500)</f>
        <v>500</v>
      </c>
      <c r="W7" s="2169" t="str">
        <f ca="1">IFERROR(P7*100/M7,"-")</f>
        <v>-</v>
      </c>
      <c r="X7" s="2163">
        <f ca="1">IFERROR(ABS(W7-100),500)</f>
        <v>500</v>
      </c>
      <c r="Y7" s="415" t="str">
        <f ca="1">IFERROR((Q7*100/N7),"-")</f>
        <v>-</v>
      </c>
      <c r="AB7" s="1325" t="str">
        <f ca="1">IF(AND(L7=0,O7&gt;0),100,IFERROR(ABS(U7-100),"-"))</f>
        <v>-</v>
      </c>
      <c r="AC7" s="1325" t="str">
        <f ca="1">IF(AND(M7=0,P7&gt;0),100,IFERROR(ABS(W7-100),"-"))</f>
        <v>-</v>
      </c>
      <c r="AD7" s="41"/>
    </row>
    <row r="8" spans="1:30" ht="35.1" customHeight="1">
      <c r="A8" s="1304">
        <v>2</v>
      </c>
      <c r="B8" s="756">
        <f ca="1">IF(ROW()-ROW($A$7)&lt;'الف-ب-ج'!$L$9,INDIRECT("BudgetDB!AP"&amp;('الف-ب-ج'!$M$9+ROW()-ROW($A$7))),"")</f>
        <v>0</v>
      </c>
      <c r="C8" s="1336">
        <f ca="1">IF(ROW()-ROW($A$7)&lt;'الف-ب-ج'!$L$9,INDIRECT("BudgetDB!AQ"&amp;('الف-ب-ج'!$M$9+ROW()-ROW($A$7))),"")</f>
        <v>0</v>
      </c>
      <c r="D8" s="1336">
        <f ca="1">IF(ROW()-ROW($A$7)&lt;'الف-ب-ج'!$L$9,INDIRECT("BudgetDB!AR"&amp;('الف-ب-ج'!$M$9+ROW()-ROW($A$7))),"")</f>
        <v>0</v>
      </c>
      <c r="E8" s="1113"/>
      <c r="F8" s="1339">
        <f ca="1">IF(ROW()-ROW($A$7)&lt;'الف-ب-ج'!$L$9,INDIRECT("BudgetDB!AS"&amp;('الف-ب-ج'!$M$9+ROW()-ROW($A$7))),"")</f>
        <v>0</v>
      </c>
      <c r="G8" s="1113"/>
      <c r="H8" s="1336">
        <f ca="1">IF(ROW()-ROW($A$7)&lt;'الف-ب-ج'!$L$9,INDIRECT("BudgetDB!AT"&amp;('الف-ب-ج'!$M$9+ROW()-ROW($A$7))),"")</f>
        <v>0</v>
      </c>
      <c r="I8" s="217"/>
      <c r="J8" s="218"/>
      <c r="K8" s="416">
        <f t="shared" ref="K8:K18" si="0">IFERROR(J8*I8*E8/1000000,0)</f>
        <v>0</v>
      </c>
      <c r="L8" s="1321" cm="1">
        <f t="array" aca="1" ref="L8" ca="1">IF(ROW()-ROW($A$7)&lt;'الف-ب-ج'!$L$9,IF(روکش!$F$9="سه ماهه",INDIRECT("BudgetDB!AU"&amp;('الف-ب-ج'!$M$9+ROW()-ROW($A$7))),INDIRECT("BudgetDB!AV"&amp;('الف-ب-ج'!$M$9+ROW()-ROW($A$7)))),"")</f>
        <v>0</v>
      </c>
      <c r="M8" s="1322" cm="1">
        <f t="array" aca="1" ref="M8" ca="1">IF(ROW()-ROW($A$7)&lt;'الف-ب-ج'!$L$9,IF(روکش!$F$9="سه ماهه",INDIRECT("BudgetDB!AW"&amp;('الف-ب-ج'!$M$9+ROW()-ROW($A$7))),INDIRECT("BudgetDB!AX"&amp;('الف-ب-ج'!$M$9+ROW()-ROW($A$7)))),"")</f>
        <v>0</v>
      </c>
      <c r="N8" s="416">
        <f t="shared" ref="N8:N18" ca="1" si="1">IFERROR(M8*L8*F8/1000000,0)</f>
        <v>0</v>
      </c>
      <c r="O8" s="217"/>
      <c r="P8" s="218"/>
      <c r="Q8" s="416">
        <f t="shared" ref="Q8:Q18" si="2">IFERROR(P8*O8*G8/1000000,0)</f>
        <v>0</v>
      </c>
      <c r="R8" s="406" t="str">
        <f t="shared" ref="R8:R9" si="3">IFERROR((O8-I8)*100/I8,"-")</f>
        <v>-</v>
      </c>
      <c r="S8" s="417" t="str">
        <f t="shared" ref="S8:S9" si="4">IFERROR((P8-J8)*100/J8,"-")</f>
        <v>-</v>
      </c>
      <c r="T8" s="418" t="str">
        <f t="shared" ref="T8:T9" si="5">IFERROR((Q8-K8)*100/K8,"-")</f>
        <v>-</v>
      </c>
      <c r="U8" s="2120" t="str">
        <f t="shared" ref="U8:U10" ca="1" si="6">IFERROR(O8*100/L8,"-")</f>
        <v>-</v>
      </c>
      <c r="V8" s="2164">
        <f t="shared" ref="V8:X10" ca="1" si="7">IFERROR(ABS(U8-100),500)</f>
        <v>500</v>
      </c>
      <c r="W8" s="2170" t="str">
        <f t="shared" ref="W8:W10" ca="1" si="8">IFERROR(P8*100/M8,"-")</f>
        <v>-</v>
      </c>
      <c r="X8" s="2164">
        <f t="shared" ca="1" si="7"/>
        <v>500</v>
      </c>
      <c r="Y8" s="418" t="str">
        <f t="shared" ref="Y8:Y9" ca="1" si="9">IFERROR((Q8*100/N8),"-")</f>
        <v>-</v>
      </c>
      <c r="AB8" s="1325" t="str">
        <f t="shared" ref="AB8:AB18" ca="1" si="10">IF(AND(L8=0,O8&gt;0),100,IFERROR(ABS(U8-100),"-"))</f>
        <v>-</v>
      </c>
      <c r="AC8" s="1325" t="str">
        <f t="shared" ref="AC8:AC18" ca="1" si="11">IF(AND(M8=0,P8&gt;0),100,IFERROR(ABS(W8-100),"-"))</f>
        <v>-</v>
      </c>
      <c r="AD8" s="41"/>
    </row>
    <row r="9" spans="1:30" ht="35.1" customHeight="1">
      <c r="A9" s="1304">
        <v>3</v>
      </c>
      <c r="B9" s="756">
        <f ca="1">IF(ROW()-ROW($A$7)&lt;'الف-ب-ج'!$L$9,INDIRECT("BudgetDB!AP"&amp;('الف-ب-ج'!$M$9+ROW()-ROW($A$7))),"")</f>
        <v>0</v>
      </c>
      <c r="C9" s="1336">
        <f ca="1">IF(ROW()-ROW($A$7)&lt;'الف-ب-ج'!$L$9,INDIRECT("BudgetDB!AQ"&amp;('الف-ب-ج'!$M$9+ROW()-ROW($A$7))),"")</f>
        <v>0</v>
      </c>
      <c r="D9" s="1336">
        <f ca="1">IF(ROW()-ROW($A$7)&lt;'الف-ب-ج'!$L$9,INDIRECT("BudgetDB!AR"&amp;('الف-ب-ج'!$M$9+ROW()-ROW($A$7))),"")</f>
        <v>0</v>
      </c>
      <c r="E9" s="1113"/>
      <c r="F9" s="1339">
        <f ca="1">IF(ROW()-ROW($A$7)&lt;'الف-ب-ج'!$L$9,INDIRECT("BudgetDB!AS"&amp;('الف-ب-ج'!$M$9+ROW()-ROW($A$7))),"")</f>
        <v>0</v>
      </c>
      <c r="G9" s="1113"/>
      <c r="H9" s="1336">
        <f ca="1">IF(ROW()-ROW($A$7)&lt;'الف-ب-ج'!$L$9,INDIRECT("BudgetDB!AT"&amp;('الف-ب-ج'!$M$9+ROW()-ROW($A$7))),"")</f>
        <v>0</v>
      </c>
      <c r="I9" s="217"/>
      <c r="J9" s="218"/>
      <c r="K9" s="416">
        <f t="shared" si="0"/>
        <v>0</v>
      </c>
      <c r="L9" s="1321" cm="1">
        <f t="array" aca="1" ref="L9" ca="1">IF(ROW()-ROW($A$7)&lt;'الف-ب-ج'!$L$9,IF(روکش!$F$9="سه ماهه",INDIRECT("BudgetDB!AU"&amp;('الف-ب-ج'!$M$9+ROW()-ROW($A$7))),INDIRECT("BudgetDB!AV"&amp;('الف-ب-ج'!$M$9+ROW()-ROW($A$7)))),"")</f>
        <v>0</v>
      </c>
      <c r="M9" s="1322" cm="1">
        <f t="array" aca="1" ref="M9" ca="1">IF(ROW()-ROW($A$7)&lt;'الف-ب-ج'!$L$9,IF(روکش!$F$9="سه ماهه",INDIRECT("BudgetDB!AW"&amp;('الف-ب-ج'!$M$9+ROW()-ROW($A$7))),INDIRECT("BudgetDB!AX"&amp;('الف-ب-ج'!$M$9+ROW()-ROW($A$7)))),"")</f>
        <v>0</v>
      </c>
      <c r="N9" s="416">
        <f t="shared" ca="1" si="1"/>
        <v>0</v>
      </c>
      <c r="O9" s="217"/>
      <c r="P9" s="218"/>
      <c r="Q9" s="416">
        <f t="shared" si="2"/>
        <v>0</v>
      </c>
      <c r="R9" s="406" t="str">
        <f t="shared" si="3"/>
        <v>-</v>
      </c>
      <c r="S9" s="417" t="str">
        <f t="shared" si="4"/>
        <v>-</v>
      </c>
      <c r="T9" s="418" t="str">
        <f t="shared" si="5"/>
        <v>-</v>
      </c>
      <c r="U9" s="2120" t="str">
        <f t="shared" ca="1" si="6"/>
        <v>-</v>
      </c>
      <c r="V9" s="2164">
        <f t="shared" ca="1" si="7"/>
        <v>500</v>
      </c>
      <c r="W9" s="2170" t="str">
        <f t="shared" ca="1" si="8"/>
        <v>-</v>
      </c>
      <c r="X9" s="2164">
        <f t="shared" ca="1" si="7"/>
        <v>500</v>
      </c>
      <c r="Y9" s="418" t="str">
        <f t="shared" ca="1" si="9"/>
        <v>-</v>
      </c>
      <c r="AB9" s="1325" t="str">
        <f t="shared" ca="1" si="10"/>
        <v>-</v>
      </c>
      <c r="AC9" s="1325" t="str">
        <f t="shared" ca="1" si="11"/>
        <v>-</v>
      </c>
      <c r="AD9" s="41"/>
    </row>
    <row r="10" spans="1:30" ht="35.1" customHeight="1">
      <c r="A10" s="1304">
        <v>4</v>
      </c>
      <c r="B10" s="756">
        <f ca="1">IF(ROW()-ROW($A$7)&lt;'الف-ب-ج'!$L$9,INDIRECT("BudgetDB!AP"&amp;('الف-ب-ج'!$M$9+ROW()-ROW($A$7))),"")</f>
        <v>0</v>
      </c>
      <c r="C10" s="1336">
        <f ca="1">IF(ROW()-ROW($A$7)&lt;'الف-ب-ج'!$L$9,INDIRECT("BudgetDB!AQ"&amp;('الف-ب-ج'!$M$9+ROW()-ROW($A$7))),"")</f>
        <v>0</v>
      </c>
      <c r="D10" s="1336">
        <f ca="1">IF(ROW()-ROW($A$7)&lt;'الف-ب-ج'!$L$9,INDIRECT("BudgetDB!AR"&amp;('الف-ب-ج'!$M$9+ROW()-ROW($A$7))),"")</f>
        <v>0</v>
      </c>
      <c r="E10" s="1113"/>
      <c r="F10" s="1339">
        <f ca="1">IF(ROW()-ROW($A$7)&lt;'الف-ب-ج'!$L$9,INDIRECT("BudgetDB!AS"&amp;('الف-ب-ج'!$M$9+ROW()-ROW($A$7))),"")</f>
        <v>0</v>
      </c>
      <c r="G10" s="1113"/>
      <c r="H10" s="1336">
        <f ca="1">IF(ROW()-ROW($A$7)&lt;'الف-ب-ج'!$L$9,INDIRECT("BudgetDB!AT"&amp;('الف-ب-ج'!$M$9+ROW()-ROW($A$7))),"")</f>
        <v>0</v>
      </c>
      <c r="I10" s="217"/>
      <c r="J10" s="218"/>
      <c r="K10" s="416">
        <f t="shared" si="0"/>
        <v>0</v>
      </c>
      <c r="L10" s="1321" cm="1">
        <f t="array" aca="1" ref="L10" ca="1">IF(ROW()-ROW($A$7)&lt;'الف-ب-ج'!$L$9,IF(روکش!$F$9="سه ماهه",INDIRECT("BudgetDB!AU"&amp;('الف-ب-ج'!$M$9+ROW()-ROW($A$7))),INDIRECT("BudgetDB!AV"&amp;('الف-ب-ج'!$M$9+ROW()-ROW($A$7)))),"")</f>
        <v>0</v>
      </c>
      <c r="M10" s="1322" cm="1">
        <f t="array" aca="1" ref="M10" ca="1">IF(ROW()-ROW($A$7)&lt;'الف-ب-ج'!$L$9,IF(روکش!$F$9="سه ماهه",INDIRECT("BudgetDB!AW"&amp;('الف-ب-ج'!$M$9+ROW()-ROW($A$7))),INDIRECT("BudgetDB!AX"&amp;('الف-ب-ج'!$M$9+ROW()-ROW($A$7)))),"")</f>
        <v>0</v>
      </c>
      <c r="N10" s="416">
        <f t="shared" ca="1" si="1"/>
        <v>0</v>
      </c>
      <c r="O10" s="217"/>
      <c r="P10" s="218"/>
      <c r="Q10" s="416">
        <f>IFERROR(P10*O10*G10/1000000,0)</f>
        <v>0</v>
      </c>
      <c r="R10" s="406" t="str">
        <f>IFERROR((O10-I10)*100/I10,"-")</f>
        <v>-</v>
      </c>
      <c r="S10" s="417" t="str">
        <f t="shared" ref="S10:S18" si="12">IFERROR((P10-J10)*100/J10,"-")</f>
        <v>-</v>
      </c>
      <c r="T10" s="418" t="str">
        <f t="shared" ref="T10:T18" si="13">IFERROR((Q10-K10)*100/K10,"-")</f>
        <v>-</v>
      </c>
      <c r="U10" s="2120" t="str">
        <f t="shared" ca="1" si="6"/>
        <v>-</v>
      </c>
      <c r="V10" s="2164">
        <f t="shared" ca="1" si="7"/>
        <v>500</v>
      </c>
      <c r="W10" s="2170" t="str">
        <f t="shared" ca="1" si="8"/>
        <v>-</v>
      </c>
      <c r="X10" s="2164">
        <f t="shared" ca="1" si="7"/>
        <v>500</v>
      </c>
      <c r="Y10" s="418" t="str">
        <f t="shared" ref="Y10:Y18" ca="1" si="14">IFERROR((Q10*100/N10),"-")</f>
        <v>-</v>
      </c>
      <c r="AB10" s="1325" t="str">
        <f ca="1">IF(AND(L10=0,O10&gt;0),100,IFERROR(ABS(U10-100),"-"))</f>
        <v>-</v>
      </c>
      <c r="AC10" s="1325" t="str">
        <f t="shared" ca="1" si="11"/>
        <v>-</v>
      </c>
      <c r="AD10" s="41"/>
    </row>
    <row r="11" spans="1:30" ht="35.1" customHeight="1">
      <c r="A11" s="1304">
        <v>5</v>
      </c>
      <c r="B11" s="756">
        <f ca="1">IF(ROW()-ROW($A$7)&lt;'الف-ب-ج'!$L$9,INDIRECT("BudgetDB!AP"&amp;('الف-ب-ج'!$M$9+ROW()-ROW($A$7))),"")</f>
        <v>0</v>
      </c>
      <c r="C11" s="1336">
        <f ca="1">IF(ROW()-ROW($A$7)&lt;'الف-ب-ج'!$L$9,INDIRECT("BudgetDB!AQ"&amp;('الف-ب-ج'!$M$9+ROW()-ROW($A$7))),"")</f>
        <v>0</v>
      </c>
      <c r="D11" s="1336">
        <f ca="1">IF(ROW()-ROW($A$7)&lt;'الف-ب-ج'!$L$9,INDIRECT("BudgetDB!AR"&amp;('الف-ب-ج'!$M$9+ROW()-ROW($A$7))),"")</f>
        <v>0</v>
      </c>
      <c r="E11" s="1113"/>
      <c r="F11" s="1339">
        <f ca="1">IF(ROW()-ROW($A$7)&lt;'الف-ب-ج'!$L$9,INDIRECT("BudgetDB!AS"&amp;('الف-ب-ج'!$M$9+ROW()-ROW($A$7))),"")</f>
        <v>0</v>
      </c>
      <c r="G11" s="1113"/>
      <c r="H11" s="1336">
        <f ca="1">IF(ROW()-ROW($A$7)&lt;'الف-ب-ج'!$L$9,INDIRECT("BudgetDB!AT"&amp;('الف-ب-ج'!$M$9+ROW()-ROW($A$7))),"")</f>
        <v>0</v>
      </c>
      <c r="I11" s="217"/>
      <c r="J11" s="218"/>
      <c r="K11" s="416">
        <f t="shared" si="0"/>
        <v>0</v>
      </c>
      <c r="L11" s="1321" cm="1">
        <f t="array" aca="1" ref="L11" ca="1">IF(ROW()-ROW($A$7)&lt;'الف-ب-ج'!$L$9,IF(روکش!$F$9="سه ماهه",INDIRECT("BudgetDB!AU"&amp;('الف-ب-ج'!$M$9+ROW()-ROW($A$7))),INDIRECT("BudgetDB!AV"&amp;('الف-ب-ج'!$M$9+ROW()-ROW($A$7)))),"")</f>
        <v>0</v>
      </c>
      <c r="M11" s="1322" cm="1">
        <f t="array" aca="1" ref="M11" ca="1">IF(ROW()-ROW($A$7)&lt;'الف-ب-ج'!$L$9,IF(روکش!$F$9="سه ماهه",INDIRECT("BudgetDB!AW"&amp;('الف-ب-ج'!$M$9+ROW()-ROW($A$7))),INDIRECT("BudgetDB!AX"&amp;('الف-ب-ج'!$M$9+ROW()-ROW($A$7)))),"")</f>
        <v>0</v>
      </c>
      <c r="N11" s="416">
        <f t="shared" ca="1" si="1"/>
        <v>0</v>
      </c>
      <c r="O11" s="217"/>
      <c r="P11" s="218"/>
      <c r="Q11" s="416">
        <f>IFERROR(P11*O11*G11/1000000,0)</f>
        <v>0</v>
      </c>
      <c r="R11" s="406" t="str">
        <f>IFERROR((O11-I11)*100/I11,"-")</f>
        <v>-</v>
      </c>
      <c r="S11" s="417" t="str">
        <f t="shared" si="12"/>
        <v>-</v>
      </c>
      <c r="T11" s="418" t="str">
        <f t="shared" si="13"/>
        <v>-</v>
      </c>
      <c r="U11" s="2120" t="str">
        <f t="shared" ref="U11:U18" ca="1" si="15">IFERROR(O11*100/L11,"-")</f>
        <v>-</v>
      </c>
      <c r="V11" s="2164">
        <f t="shared" ref="V11" ca="1" si="16">IFERROR(ABS(U11-100),500)</f>
        <v>500</v>
      </c>
      <c r="W11" s="2170" t="str">
        <f t="shared" ref="W11:W18" ca="1" si="17">IFERROR(P11*100/M11,"-")</f>
        <v>-</v>
      </c>
      <c r="X11" s="2164">
        <f t="shared" ref="X11" ca="1" si="18">IFERROR(ABS(W11-100),500)</f>
        <v>500</v>
      </c>
      <c r="Y11" s="418" t="str">
        <f t="shared" ca="1" si="14"/>
        <v>-</v>
      </c>
      <c r="AB11" s="1325" t="str">
        <f ca="1">IF(AND(L11=0,O11&gt;0),100,IFERROR(ABS(U11-100),"-"))</f>
        <v>-</v>
      </c>
      <c r="AC11" s="1325" t="str">
        <f t="shared" ca="1" si="11"/>
        <v>-</v>
      </c>
      <c r="AD11" s="41"/>
    </row>
    <row r="12" spans="1:30" ht="35.1" customHeight="1">
      <c r="A12" s="1304">
        <v>6</v>
      </c>
      <c r="B12" s="756">
        <f ca="1">IF(ROW()-ROW($A$7)&lt;'الف-ب-ج'!$L$9,INDIRECT("BudgetDB!AP"&amp;('الف-ب-ج'!$M$9+ROW()-ROW($A$7))),"")</f>
        <v>0</v>
      </c>
      <c r="C12" s="1336">
        <f ca="1">IF(ROW()-ROW($A$7)&lt;'الف-ب-ج'!$L$9,INDIRECT("BudgetDB!AQ"&amp;('الف-ب-ج'!$M$9+ROW()-ROW($A$7))),"")</f>
        <v>0</v>
      </c>
      <c r="D12" s="1336">
        <f ca="1">IF(ROW()-ROW($A$7)&lt;'الف-ب-ج'!$L$9,INDIRECT("BudgetDB!AR"&amp;('الف-ب-ج'!$M$9+ROW()-ROW($A$7))),"")</f>
        <v>0</v>
      </c>
      <c r="E12" s="1113"/>
      <c r="F12" s="1339">
        <f ca="1">IF(ROW()-ROW($A$7)&lt;'الف-ب-ج'!$L$9,INDIRECT("BudgetDB!AS"&amp;('الف-ب-ج'!$M$9+ROW()-ROW($A$7))),"")</f>
        <v>0</v>
      </c>
      <c r="G12" s="1113"/>
      <c r="H12" s="1336">
        <f ca="1">IF(ROW()-ROW($A$7)&lt;'الف-ب-ج'!$L$9,INDIRECT("BudgetDB!AT"&amp;('الف-ب-ج'!$M$9+ROW()-ROW($A$7))),"")</f>
        <v>0</v>
      </c>
      <c r="I12" s="217"/>
      <c r="J12" s="218"/>
      <c r="K12" s="416">
        <f t="shared" si="0"/>
        <v>0</v>
      </c>
      <c r="L12" s="1321" cm="1">
        <f t="array" aca="1" ref="L12" ca="1">IF(ROW()-ROW($A$7)&lt;'الف-ب-ج'!$L$9,IF(روکش!$F$9="سه ماهه",INDIRECT("BudgetDB!AU"&amp;('الف-ب-ج'!$M$9+ROW()-ROW($A$7))),INDIRECT("BudgetDB!AV"&amp;('الف-ب-ج'!$M$9+ROW()-ROW($A$7)))),"")</f>
        <v>0</v>
      </c>
      <c r="M12" s="1322" cm="1">
        <f t="array" aca="1" ref="M12" ca="1">IF(ROW()-ROW($A$7)&lt;'الف-ب-ج'!$L$9,IF(روکش!$F$9="سه ماهه",INDIRECT("BudgetDB!AW"&amp;('الف-ب-ج'!$M$9+ROW()-ROW($A$7))),INDIRECT("BudgetDB!AX"&amp;('الف-ب-ج'!$M$9+ROW()-ROW($A$7)))),"")</f>
        <v>0</v>
      </c>
      <c r="N12" s="416">
        <f t="shared" ca="1" si="1"/>
        <v>0</v>
      </c>
      <c r="O12" s="217"/>
      <c r="P12" s="218"/>
      <c r="Q12" s="416">
        <f t="shared" si="2"/>
        <v>0</v>
      </c>
      <c r="R12" s="406" t="str">
        <f t="shared" ref="R12:R18" si="19">IFERROR((O12-I12)*100/I12,"-")</f>
        <v>-</v>
      </c>
      <c r="S12" s="417" t="str">
        <f t="shared" si="12"/>
        <v>-</v>
      </c>
      <c r="T12" s="418" t="str">
        <f t="shared" si="13"/>
        <v>-</v>
      </c>
      <c r="U12" s="2120" t="str">
        <f t="shared" ca="1" si="15"/>
        <v>-</v>
      </c>
      <c r="V12" s="2164">
        <f t="shared" ref="V12" ca="1" si="20">IFERROR(ABS(U12-100),500)</f>
        <v>500</v>
      </c>
      <c r="W12" s="2170" t="str">
        <f t="shared" ca="1" si="17"/>
        <v>-</v>
      </c>
      <c r="X12" s="2164">
        <f t="shared" ref="X12" ca="1" si="21">IFERROR(ABS(W12-100),500)</f>
        <v>500</v>
      </c>
      <c r="Y12" s="418" t="str">
        <f t="shared" ca="1" si="14"/>
        <v>-</v>
      </c>
      <c r="AB12" s="1325" t="str">
        <f t="shared" ca="1" si="10"/>
        <v>-</v>
      </c>
      <c r="AC12" s="1325" t="str">
        <f t="shared" ca="1" si="11"/>
        <v>-</v>
      </c>
      <c r="AD12" s="41"/>
    </row>
    <row r="13" spans="1:30" ht="35.1" customHeight="1">
      <c r="A13" s="1304">
        <v>7</v>
      </c>
      <c r="B13" s="756">
        <f ca="1">IF(ROW()-ROW($A$7)&lt;'الف-ب-ج'!$L$9,INDIRECT("BudgetDB!AP"&amp;('الف-ب-ج'!$M$9+ROW()-ROW($A$7))),"")</f>
        <v>0</v>
      </c>
      <c r="C13" s="1336">
        <f ca="1">IF(ROW()-ROW($A$7)&lt;'الف-ب-ج'!$L$9,INDIRECT("BudgetDB!AQ"&amp;('الف-ب-ج'!$M$9+ROW()-ROW($A$7))),"")</f>
        <v>0</v>
      </c>
      <c r="D13" s="1336">
        <f ca="1">IF(ROW()-ROW($A$7)&lt;'الف-ب-ج'!$L$9,INDIRECT("BudgetDB!AR"&amp;('الف-ب-ج'!$M$9+ROW()-ROW($A$7))),"")</f>
        <v>0</v>
      </c>
      <c r="E13" s="1113"/>
      <c r="F13" s="1339">
        <f ca="1">IF(ROW()-ROW($A$7)&lt;'الف-ب-ج'!$L$9,INDIRECT("BudgetDB!AS"&amp;('الف-ب-ج'!$M$9+ROW()-ROW($A$7))),"")</f>
        <v>0</v>
      </c>
      <c r="G13" s="1113"/>
      <c r="H13" s="1336">
        <f ca="1">IF(ROW()-ROW($A$7)&lt;'الف-ب-ج'!$L$9,INDIRECT("BudgetDB!AT"&amp;('الف-ب-ج'!$M$9+ROW()-ROW($A$7))),"")</f>
        <v>0</v>
      </c>
      <c r="I13" s="217"/>
      <c r="J13" s="218"/>
      <c r="K13" s="416">
        <f t="shared" si="0"/>
        <v>0</v>
      </c>
      <c r="L13" s="1321" cm="1">
        <f t="array" aca="1" ref="L13" ca="1">IF(ROW()-ROW($A$7)&lt;'الف-ب-ج'!$L$9,IF(روکش!$F$9="سه ماهه",INDIRECT("BudgetDB!AU"&amp;('الف-ب-ج'!$M$9+ROW()-ROW($A$7))),INDIRECT("BudgetDB!AV"&amp;('الف-ب-ج'!$M$9+ROW()-ROW($A$7)))),"")</f>
        <v>0</v>
      </c>
      <c r="M13" s="1322" cm="1">
        <f t="array" aca="1" ref="M13" ca="1">IF(ROW()-ROW($A$7)&lt;'الف-ب-ج'!$L$9,IF(روکش!$F$9="سه ماهه",INDIRECT("BudgetDB!AW"&amp;('الف-ب-ج'!$M$9+ROW()-ROW($A$7))),INDIRECT("BudgetDB!AX"&amp;('الف-ب-ج'!$M$9+ROW()-ROW($A$7)))),"")</f>
        <v>0</v>
      </c>
      <c r="N13" s="416">
        <f t="shared" ca="1" si="1"/>
        <v>0</v>
      </c>
      <c r="O13" s="217"/>
      <c r="P13" s="218"/>
      <c r="Q13" s="416">
        <f t="shared" si="2"/>
        <v>0</v>
      </c>
      <c r="R13" s="406" t="str">
        <f t="shared" si="19"/>
        <v>-</v>
      </c>
      <c r="S13" s="417" t="str">
        <f t="shared" si="12"/>
        <v>-</v>
      </c>
      <c r="T13" s="418" t="str">
        <f t="shared" si="13"/>
        <v>-</v>
      </c>
      <c r="U13" s="2120" t="str">
        <f t="shared" ca="1" si="15"/>
        <v>-</v>
      </c>
      <c r="V13" s="2164">
        <f t="shared" ref="V13" ca="1" si="22">IFERROR(ABS(U13-100),500)</f>
        <v>500</v>
      </c>
      <c r="W13" s="2170" t="str">
        <f t="shared" ca="1" si="17"/>
        <v>-</v>
      </c>
      <c r="X13" s="2164">
        <f t="shared" ref="X13" ca="1" si="23">IFERROR(ABS(W13-100),500)</f>
        <v>500</v>
      </c>
      <c r="Y13" s="418" t="str">
        <f t="shared" ca="1" si="14"/>
        <v>-</v>
      </c>
      <c r="AB13" s="1325" t="str">
        <f t="shared" ca="1" si="10"/>
        <v>-</v>
      </c>
      <c r="AC13" s="1325" t="str">
        <f t="shared" ca="1" si="11"/>
        <v>-</v>
      </c>
      <c r="AD13" s="41"/>
    </row>
    <row r="14" spans="1:30" ht="35.1" customHeight="1">
      <c r="A14" s="1304">
        <v>8</v>
      </c>
      <c r="B14" s="756">
        <f ca="1">IF(ROW()-ROW($A$7)&lt;'الف-ب-ج'!$L$9,INDIRECT("BudgetDB!AP"&amp;('الف-ب-ج'!$M$9+ROW()-ROW($A$7))),"")</f>
        <v>0</v>
      </c>
      <c r="C14" s="1336">
        <f ca="1">IF(ROW()-ROW($A$7)&lt;'الف-ب-ج'!$L$9,INDIRECT("BudgetDB!AQ"&amp;('الف-ب-ج'!$M$9+ROW()-ROW($A$7))),"")</f>
        <v>0</v>
      </c>
      <c r="D14" s="1336">
        <f ca="1">IF(ROW()-ROW($A$7)&lt;'الف-ب-ج'!$L$9,INDIRECT("BudgetDB!AR"&amp;('الف-ب-ج'!$M$9+ROW()-ROW($A$7))),"")</f>
        <v>0</v>
      </c>
      <c r="E14" s="1113"/>
      <c r="F14" s="1339">
        <f ca="1">IF(ROW()-ROW($A$7)&lt;'الف-ب-ج'!$L$9,INDIRECT("BudgetDB!AS"&amp;('الف-ب-ج'!$M$9+ROW()-ROW($A$7))),"")</f>
        <v>0</v>
      </c>
      <c r="G14" s="1113"/>
      <c r="H14" s="1336">
        <f ca="1">IF(ROW()-ROW($A$7)&lt;'الف-ب-ج'!$L$9,INDIRECT("BudgetDB!AT"&amp;('الف-ب-ج'!$M$9+ROW()-ROW($A$7))),"")</f>
        <v>0</v>
      </c>
      <c r="I14" s="217"/>
      <c r="J14" s="218"/>
      <c r="K14" s="416">
        <f t="shared" si="0"/>
        <v>0</v>
      </c>
      <c r="L14" s="1321" cm="1">
        <f t="array" aca="1" ref="L14" ca="1">IF(ROW()-ROW($A$7)&lt;'الف-ب-ج'!$L$9,IF(روکش!$F$9="سه ماهه",INDIRECT("BudgetDB!AU"&amp;('الف-ب-ج'!$M$9+ROW()-ROW($A$7))),INDIRECT("BudgetDB!AV"&amp;('الف-ب-ج'!$M$9+ROW()-ROW($A$7)))),"")</f>
        <v>0</v>
      </c>
      <c r="M14" s="1322" cm="1">
        <f t="array" aca="1" ref="M14" ca="1">IF(ROW()-ROW($A$7)&lt;'الف-ب-ج'!$L$9,IF(روکش!$F$9="سه ماهه",INDIRECT("BudgetDB!AW"&amp;('الف-ب-ج'!$M$9+ROW()-ROW($A$7))),INDIRECT("BudgetDB!AX"&amp;('الف-ب-ج'!$M$9+ROW()-ROW($A$7)))),"")</f>
        <v>0</v>
      </c>
      <c r="N14" s="416">
        <f t="shared" ca="1" si="1"/>
        <v>0</v>
      </c>
      <c r="O14" s="217"/>
      <c r="P14" s="218"/>
      <c r="Q14" s="416">
        <f t="shared" si="2"/>
        <v>0</v>
      </c>
      <c r="R14" s="406" t="str">
        <f t="shared" si="19"/>
        <v>-</v>
      </c>
      <c r="S14" s="417" t="str">
        <f t="shared" si="12"/>
        <v>-</v>
      </c>
      <c r="T14" s="418" t="str">
        <f t="shared" si="13"/>
        <v>-</v>
      </c>
      <c r="U14" s="2120" t="str">
        <f t="shared" ca="1" si="15"/>
        <v>-</v>
      </c>
      <c r="V14" s="2164">
        <f t="shared" ref="V14" ca="1" si="24">IFERROR(ABS(U14-100),500)</f>
        <v>500</v>
      </c>
      <c r="W14" s="2170" t="str">
        <f t="shared" ca="1" si="17"/>
        <v>-</v>
      </c>
      <c r="X14" s="2164">
        <f t="shared" ref="X14" ca="1" si="25">IFERROR(ABS(W14-100),500)</f>
        <v>500</v>
      </c>
      <c r="Y14" s="418" t="str">
        <f t="shared" ca="1" si="14"/>
        <v>-</v>
      </c>
      <c r="AB14" s="1325" t="str">
        <f t="shared" ca="1" si="10"/>
        <v>-</v>
      </c>
      <c r="AC14" s="1325" t="str">
        <f t="shared" ca="1" si="11"/>
        <v>-</v>
      </c>
      <c r="AD14" s="41"/>
    </row>
    <row r="15" spans="1:30" ht="35.1" customHeight="1">
      <c r="A15" s="1304">
        <v>9</v>
      </c>
      <c r="B15" s="756">
        <f ca="1">IF(ROW()-ROW($A$7)&lt;'الف-ب-ج'!$L$9,INDIRECT("BudgetDB!AP"&amp;('الف-ب-ج'!$M$9+ROW()-ROW($A$7))),"")</f>
        <v>0</v>
      </c>
      <c r="C15" s="1336">
        <f ca="1">IF(ROW()-ROW($A$7)&lt;'الف-ب-ج'!$L$9,INDIRECT("BudgetDB!AQ"&amp;('الف-ب-ج'!$M$9+ROW()-ROW($A$7))),"")</f>
        <v>0</v>
      </c>
      <c r="D15" s="1336">
        <f ca="1">IF(ROW()-ROW($A$7)&lt;'الف-ب-ج'!$L$9,INDIRECT("BudgetDB!AR"&amp;('الف-ب-ج'!$M$9+ROW()-ROW($A$7))),"")</f>
        <v>0</v>
      </c>
      <c r="E15" s="1113"/>
      <c r="F15" s="1339">
        <f ca="1">IF(ROW()-ROW($A$7)&lt;'الف-ب-ج'!$L$9,INDIRECT("BudgetDB!AS"&amp;('الف-ب-ج'!$M$9+ROW()-ROW($A$7))),"")</f>
        <v>0</v>
      </c>
      <c r="G15" s="1113"/>
      <c r="H15" s="1336">
        <f ca="1">IF(ROW()-ROW($A$7)&lt;'الف-ب-ج'!$L$9,INDIRECT("BudgetDB!AT"&amp;('الف-ب-ج'!$M$9+ROW()-ROW($A$7))),"")</f>
        <v>0</v>
      </c>
      <c r="I15" s="217"/>
      <c r="J15" s="218"/>
      <c r="K15" s="416">
        <f t="shared" si="0"/>
        <v>0</v>
      </c>
      <c r="L15" s="1321" cm="1">
        <f t="array" aca="1" ref="L15" ca="1">IF(ROW()-ROW($A$7)&lt;'الف-ب-ج'!$L$9,IF(روکش!$F$9="سه ماهه",INDIRECT("BudgetDB!AU"&amp;('الف-ب-ج'!$M$9+ROW()-ROW($A$7))),INDIRECT("BudgetDB!AV"&amp;('الف-ب-ج'!$M$9+ROW()-ROW($A$7)))),"")</f>
        <v>0</v>
      </c>
      <c r="M15" s="1322" cm="1">
        <f t="array" aca="1" ref="M15" ca="1">IF(ROW()-ROW($A$7)&lt;'الف-ب-ج'!$L$9,IF(روکش!$F$9="سه ماهه",INDIRECT("BudgetDB!AW"&amp;('الف-ب-ج'!$M$9+ROW()-ROW($A$7))),INDIRECT("BudgetDB!AX"&amp;('الف-ب-ج'!$M$9+ROW()-ROW($A$7)))),"")</f>
        <v>0</v>
      </c>
      <c r="N15" s="416">
        <f t="shared" ca="1" si="1"/>
        <v>0</v>
      </c>
      <c r="O15" s="217"/>
      <c r="P15" s="218"/>
      <c r="Q15" s="416">
        <f t="shared" si="2"/>
        <v>0</v>
      </c>
      <c r="R15" s="406" t="str">
        <f t="shared" si="19"/>
        <v>-</v>
      </c>
      <c r="S15" s="417" t="str">
        <f t="shared" si="12"/>
        <v>-</v>
      </c>
      <c r="T15" s="418" t="str">
        <f t="shared" si="13"/>
        <v>-</v>
      </c>
      <c r="U15" s="2120" t="str">
        <f t="shared" ca="1" si="15"/>
        <v>-</v>
      </c>
      <c r="V15" s="2164">
        <f t="shared" ref="V15" ca="1" si="26">IFERROR(ABS(U15-100),500)</f>
        <v>500</v>
      </c>
      <c r="W15" s="2170" t="str">
        <f t="shared" ca="1" si="17"/>
        <v>-</v>
      </c>
      <c r="X15" s="2164">
        <f t="shared" ref="X15" ca="1" si="27">IFERROR(ABS(W15-100),500)</f>
        <v>500</v>
      </c>
      <c r="Y15" s="418" t="str">
        <f t="shared" ca="1" si="14"/>
        <v>-</v>
      </c>
      <c r="AB15" s="1325" t="str">
        <f t="shared" ca="1" si="10"/>
        <v>-</v>
      </c>
      <c r="AC15" s="1325" t="str">
        <f t="shared" ca="1" si="11"/>
        <v>-</v>
      </c>
      <c r="AD15" s="41"/>
    </row>
    <row r="16" spans="1:30" ht="35.1" customHeight="1">
      <c r="A16" s="1305">
        <v>10</v>
      </c>
      <c r="B16" s="760">
        <f ca="1">IF(ROW()-ROW($A$7)&lt;'الف-ب-ج'!$L$9,INDIRECT("BudgetDB!AP"&amp;('الف-ب-ج'!$M$9+ROW()-ROW($A$7))),"")</f>
        <v>0</v>
      </c>
      <c r="C16" s="1337">
        <f ca="1">IF(ROW()-ROW($A$7)&lt;'الف-ب-ج'!$L$9,INDIRECT("BudgetDB!AQ"&amp;('الف-ب-ج'!$M$9+ROW()-ROW($A$7))),"")</f>
        <v>0</v>
      </c>
      <c r="D16" s="1337">
        <f ca="1">IF(ROW()-ROW($A$7)&lt;'الف-ب-ج'!$L$9,INDIRECT("BudgetDB!AR"&amp;('الف-ب-ج'!$M$9+ROW()-ROW($A$7))),"")</f>
        <v>0</v>
      </c>
      <c r="E16" s="1114"/>
      <c r="F16" s="1340">
        <f ca="1">IF(ROW()-ROW($A$7)&lt;'الف-ب-ج'!$L$9,INDIRECT("BudgetDB!AS"&amp;('الف-ب-ج'!$M$9+ROW()-ROW($A$7))),"")</f>
        <v>0</v>
      </c>
      <c r="G16" s="1114"/>
      <c r="H16" s="1337">
        <f ca="1">IF(ROW()-ROW($A$7)&lt;'الف-ب-ج'!$L$9,INDIRECT("BudgetDB!AT"&amp;('الف-ب-ج'!$M$9+ROW()-ROW($A$7))),"")</f>
        <v>0</v>
      </c>
      <c r="I16" s="217"/>
      <c r="J16" s="218"/>
      <c r="K16" s="419">
        <f t="shared" si="0"/>
        <v>0</v>
      </c>
      <c r="L16" s="1323" cm="1">
        <f t="array" aca="1" ref="L16" ca="1">IF(ROW()-ROW($A$7)&lt;'الف-ب-ج'!$L$9,IF(روکش!$F$9="سه ماهه",INDIRECT("BudgetDB!AU"&amp;('الف-ب-ج'!$M$9+ROW()-ROW($A$7))),INDIRECT("BudgetDB!AV"&amp;('الف-ب-ج'!$M$9+ROW()-ROW($A$7)))),"")</f>
        <v>0</v>
      </c>
      <c r="M16" s="1322" cm="1">
        <f t="array" aca="1" ref="M16" ca="1">IF(ROW()-ROW($A$7)&lt;'الف-ب-ج'!$L$9,IF(روکش!$F$9="سه ماهه",INDIRECT("BudgetDB!AW"&amp;('الف-ب-ج'!$M$9+ROW()-ROW($A$7))),INDIRECT("BudgetDB!AX"&amp;('الف-ب-ج'!$M$9+ROW()-ROW($A$7)))),"")</f>
        <v>0</v>
      </c>
      <c r="N16" s="419">
        <f t="shared" ca="1" si="1"/>
        <v>0</v>
      </c>
      <c r="O16" s="217"/>
      <c r="P16" s="218"/>
      <c r="Q16" s="419">
        <f t="shared" si="2"/>
        <v>0</v>
      </c>
      <c r="R16" s="406" t="str">
        <f t="shared" si="19"/>
        <v>-</v>
      </c>
      <c r="S16" s="417" t="str">
        <f t="shared" si="12"/>
        <v>-</v>
      </c>
      <c r="T16" s="418" t="str">
        <f t="shared" si="13"/>
        <v>-</v>
      </c>
      <c r="U16" s="2120" t="str">
        <f t="shared" ca="1" si="15"/>
        <v>-</v>
      </c>
      <c r="V16" s="2164">
        <f t="shared" ref="V16" ca="1" si="28">IFERROR(ABS(U16-100),500)</f>
        <v>500</v>
      </c>
      <c r="W16" s="2170" t="str">
        <f t="shared" ca="1" si="17"/>
        <v>-</v>
      </c>
      <c r="X16" s="2164">
        <f t="shared" ref="X16" ca="1" si="29">IFERROR(ABS(W16-100),500)</f>
        <v>500</v>
      </c>
      <c r="Y16" s="418" t="str">
        <f t="shared" ca="1" si="14"/>
        <v>-</v>
      </c>
      <c r="Z16" s="9"/>
      <c r="AA16" s="9"/>
      <c r="AB16" s="1325" t="str">
        <f t="shared" ca="1" si="10"/>
        <v>-</v>
      </c>
      <c r="AC16" s="1325" t="str">
        <f t="shared" ca="1" si="11"/>
        <v>-</v>
      </c>
      <c r="AD16" s="41"/>
    </row>
    <row r="17" spans="1:30" ht="35.1" customHeight="1">
      <c r="A17" s="1305">
        <v>11</v>
      </c>
      <c r="B17" s="2036">
        <f ca="1">IF(ROW()-ROW($A$7)&lt;'الف-ب-ج'!$L$9,INDIRECT("BudgetDB!AP"&amp;('الف-ب-ج'!$M$9+ROW()-ROW($A$7))),"")</f>
        <v>0</v>
      </c>
      <c r="C17" s="2038">
        <f ca="1">IF(ROW()-ROW($A$7)&lt;'الف-ب-ج'!$L$9,INDIRECT("BudgetDB!AQ"&amp;('الف-ب-ج'!$M$9+ROW()-ROW($A$7))),"")</f>
        <v>0</v>
      </c>
      <c r="D17" s="2038">
        <f ca="1">IF(ROW()-ROW($A$7)&lt;'الف-ب-ج'!$L$9,INDIRECT("BudgetDB!AR"&amp;('الف-ب-ج'!$M$9+ROW()-ROW($A$7))),"")</f>
        <v>0</v>
      </c>
      <c r="E17" s="1114"/>
      <c r="F17" s="1340">
        <f ca="1">IF(ROW()-ROW($A$7)&lt;'الف-ب-ج'!$L$9,INDIRECT("BudgetDB!AS"&amp;('الف-ب-ج'!$M$9+ROW()-ROW($A$7))),"")</f>
        <v>0</v>
      </c>
      <c r="G17" s="1114"/>
      <c r="H17" s="2038">
        <f ca="1">IF(ROW()-ROW($A$7)&lt;'الف-ب-ج'!$L$9,INDIRECT("BudgetDB!AT"&amp;('الف-ب-ج'!$M$9+ROW()-ROW($A$7))),"")</f>
        <v>0</v>
      </c>
      <c r="I17" s="217"/>
      <c r="J17" s="219"/>
      <c r="K17" s="419">
        <f t="shared" si="0"/>
        <v>0</v>
      </c>
      <c r="L17" s="1323" cm="1">
        <f t="array" aca="1" ref="L17" ca="1">IF(ROW()-ROW($A$7)&lt;'الف-ب-ج'!$L$9,IF(روکش!$F$9="سه ماهه",INDIRECT("BudgetDB!AU"&amp;('الف-ب-ج'!$M$9+ROW()-ROW($A$7))),INDIRECT("BudgetDB!AV"&amp;('الف-ب-ج'!$M$9+ROW()-ROW($A$7)))),"")</f>
        <v>0</v>
      </c>
      <c r="M17" s="1324" cm="1">
        <f t="array" aca="1" ref="M17" ca="1">IF(ROW()-ROW($A$7)&lt;'الف-ب-ج'!$L$9,IF(روکش!$F$9="سه ماهه",INDIRECT("BudgetDB!AW"&amp;('الف-ب-ج'!$M$9+ROW()-ROW($A$7))),INDIRECT("BudgetDB!AX"&amp;('الف-ب-ج'!$M$9+ROW()-ROW($A$7)))),"")</f>
        <v>0</v>
      </c>
      <c r="N17" s="419">
        <f t="shared" ca="1" si="1"/>
        <v>0</v>
      </c>
      <c r="O17" s="217"/>
      <c r="P17" s="219"/>
      <c r="Q17" s="419">
        <f t="shared" si="2"/>
        <v>0</v>
      </c>
      <c r="R17" s="406" t="str">
        <f t="shared" si="19"/>
        <v>-</v>
      </c>
      <c r="S17" s="417" t="str">
        <f t="shared" si="12"/>
        <v>-</v>
      </c>
      <c r="T17" s="418" t="str">
        <f t="shared" si="13"/>
        <v>-</v>
      </c>
      <c r="U17" s="2120" t="str">
        <f t="shared" ca="1" si="15"/>
        <v>-</v>
      </c>
      <c r="V17" s="2164">
        <f t="shared" ref="V17" ca="1" si="30">IFERROR(ABS(U17-100),500)</f>
        <v>500</v>
      </c>
      <c r="W17" s="2170" t="str">
        <f t="shared" ca="1" si="17"/>
        <v>-</v>
      </c>
      <c r="X17" s="2164">
        <f t="shared" ref="X17" ca="1" si="31">IFERROR(ABS(W17-100),500)</f>
        <v>500</v>
      </c>
      <c r="Y17" s="418" t="str">
        <f t="shared" ca="1" si="14"/>
        <v>-</v>
      </c>
      <c r="Z17" s="9"/>
      <c r="AA17" s="9"/>
      <c r="AB17" s="1325" t="str">
        <f t="shared" ca="1" si="10"/>
        <v>-</v>
      </c>
      <c r="AC17" s="1325" t="str">
        <f t="shared" ca="1" si="11"/>
        <v>-</v>
      </c>
      <c r="AD17" s="41"/>
    </row>
    <row r="18" spans="1:30" ht="35.1" customHeight="1" thickBot="1">
      <c r="A18" s="1329">
        <v>12</v>
      </c>
      <c r="B18" s="2039">
        <f ca="1">IF(ROW()-ROW($A$7)&lt;'الف-ب-ج'!$L$9,INDIRECT("BudgetDB!AP"&amp;('الف-ب-ج'!$M$9+ROW()-ROW($A$7))),"")</f>
        <v>0</v>
      </c>
      <c r="C18" s="2040">
        <f ca="1">IF(ROW()-ROW($A$7)&lt;'الف-ب-ج'!$L$9,INDIRECT("BudgetDB!AQ"&amp;('الف-ب-ج'!$M$9+ROW()-ROW($A$7))),"")</f>
        <v>0</v>
      </c>
      <c r="D18" s="2040">
        <f ca="1">IF(ROW()-ROW($A$7)&lt;'الف-ب-ج'!$L$9,INDIRECT("BudgetDB!AR"&amp;('الف-ب-ج'!$M$9+ROW()-ROW($A$7))),"")</f>
        <v>0</v>
      </c>
      <c r="E18" s="1115"/>
      <c r="F18" s="1341">
        <f ca="1">IF(ROW()-ROW($A$7)&lt;'الف-ب-ج'!$L$9,INDIRECT("BudgetDB!AS"&amp;('الف-ب-ج'!$M$9+ROW()-ROW($A$7))),"")</f>
        <v>0</v>
      </c>
      <c r="G18" s="1115"/>
      <c r="H18" s="2040">
        <f ca="1">IF(ROW()-ROW($A$7)&lt;'الف-ب-ج'!$L$9,INDIRECT("BudgetDB!AT"&amp;('الف-ب-ج'!$M$9+ROW()-ROW($A$7))),"")</f>
        <v>0</v>
      </c>
      <c r="I18" s="217"/>
      <c r="J18" s="219"/>
      <c r="K18" s="419">
        <f t="shared" si="0"/>
        <v>0</v>
      </c>
      <c r="L18" s="1323" cm="1">
        <f t="array" aca="1" ref="L18" ca="1">IF(ROW()-ROW($A$7)&lt;'الف-ب-ج'!$L$9,IF(روکش!$F$9="سه ماهه",INDIRECT("BudgetDB!AU"&amp;('الف-ب-ج'!$M$9+ROW()-ROW($A$7))),INDIRECT("BudgetDB!AV"&amp;('الف-ب-ج'!$M$9+ROW()-ROW($A$7)))),"")</f>
        <v>0</v>
      </c>
      <c r="M18" s="1324" cm="1">
        <f t="array" aca="1" ref="M18" ca="1">IF(ROW()-ROW($A$7)&lt;'الف-ب-ج'!$L$9,IF(روکش!$F$9="سه ماهه",INDIRECT("BudgetDB!AW"&amp;('الف-ب-ج'!$M$9+ROW()-ROW($A$7))),INDIRECT("BudgetDB!AX"&amp;('الف-ب-ج'!$M$9+ROW()-ROW($A$7)))),"")</f>
        <v>0</v>
      </c>
      <c r="N18" s="419">
        <f t="shared" ca="1" si="1"/>
        <v>0</v>
      </c>
      <c r="O18" s="217"/>
      <c r="P18" s="219"/>
      <c r="Q18" s="419">
        <f t="shared" si="2"/>
        <v>0</v>
      </c>
      <c r="R18" s="406" t="str">
        <f t="shared" si="19"/>
        <v>-</v>
      </c>
      <c r="S18" s="417" t="str">
        <f t="shared" si="12"/>
        <v>-</v>
      </c>
      <c r="T18" s="418" t="str">
        <f t="shared" si="13"/>
        <v>-</v>
      </c>
      <c r="U18" s="2120" t="str">
        <f t="shared" ca="1" si="15"/>
        <v>-</v>
      </c>
      <c r="V18" s="2164">
        <f t="shared" ref="V18" ca="1" si="32">IFERROR(ABS(U18-100),500)</f>
        <v>500</v>
      </c>
      <c r="W18" s="2170" t="str">
        <f t="shared" ca="1" si="17"/>
        <v>-</v>
      </c>
      <c r="X18" s="2164">
        <f t="shared" ref="X18" ca="1" si="33">IFERROR(ABS(W18-100),500)</f>
        <v>500</v>
      </c>
      <c r="Y18" s="418" t="str">
        <f t="shared" ca="1" si="14"/>
        <v>-</v>
      </c>
      <c r="Z18" s="9"/>
      <c r="AA18" s="9"/>
      <c r="AB18" s="1325" t="str">
        <f t="shared" ca="1" si="10"/>
        <v>-</v>
      </c>
      <c r="AC18" s="1325" t="str">
        <f t="shared" ca="1" si="11"/>
        <v>-</v>
      </c>
      <c r="AD18" s="41"/>
    </row>
    <row r="19" spans="1:30" ht="35.1" customHeight="1" thickBot="1">
      <c r="A19" s="2835" t="s">
        <v>19</v>
      </c>
      <c r="B19" s="2836"/>
      <c r="C19" s="2836"/>
      <c r="D19" s="2836"/>
      <c r="E19" s="2836"/>
      <c r="F19" s="2836"/>
      <c r="G19" s="2836"/>
      <c r="H19" s="2837"/>
      <c r="I19" s="1342"/>
      <c r="J19" s="1342"/>
      <c r="K19" s="1327">
        <f>SUM(K7:K18)</f>
        <v>0</v>
      </c>
      <c r="L19" s="1342"/>
      <c r="M19" s="1342"/>
      <c r="N19" s="1327">
        <f ca="1">SUM(N7:N18)</f>
        <v>0</v>
      </c>
      <c r="O19" s="1342"/>
      <c r="P19" s="1342"/>
      <c r="Q19" s="1327">
        <f>SUM(Q7:Q18)</f>
        <v>0</v>
      </c>
      <c r="R19" s="1328"/>
      <c r="S19" s="1328"/>
      <c r="T19" s="499" t="str">
        <f>IFERROR((Q19-K19)*100/K19,"-")</f>
        <v>-</v>
      </c>
      <c r="U19" s="2764"/>
      <c r="V19" s="2765"/>
      <c r="W19" s="2766"/>
      <c r="X19" s="2765"/>
      <c r="Y19" s="1327" t="str">
        <f ca="1">IFERROR((Q19*100/N19),"-")</f>
        <v>-</v>
      </c>
      <c r="Z19" s="833"/>
      <c r="AA19" s="9"/>
    </row>
    <row r="20" spans="1:30" s="834" customFormat="1" ht="19.5">
      <c r="A20" s="29"/>
      <c r="B20" s="29"/>
      <c r="C20" s="29"/>
      <c r="D20" s="29"/>
      <c r="E20" s="29"/>
      <c r="F20" s="29"/>
      <c r="G20" s="29"/>
      <c r="H20" s="29"/>
      <c r="I20" s="29"/>
      <c r="J20" s="29"/>
      <c r="K20" s="29"/>
      <c r="L20" s="29"/>
      <c r="AB20" s="29"/>
      <c r="AC20" s="29"/>
    </row>
    <row r="21" spans="1:30" ht="21">
      <c r="A21" s="8"/>
      <c r="B21" s="8"/>
      <c r="C21" s="9"/>
      <c r="H21" s="9"/>
      <c r="I21" s="9"/>
      <c r="J21" s="2752"/>
      <c r="K21" s="2752"/>
      <c r="L21" s="9"/>
      <c r="O21" s="2834"/>
      <c r="P21" s="2834"/>
    </row>
  </sheetData>
  <mergeCells count="18">
    <mergeCell ref="A1:Y1"/>
    <mergeCell ref="D4:D6"/>
    <mergeCell ref="A19:H19"/>
    <mergeCell ref="A4:A6"/>
    <mergeCell ref="H4:H6"/>
    <mergeCell ref="A3:H3"/>
    <mergeCell ref="B4:B6"/>
    <mergeCell ref="C4:C6"/>
    <mergeCell ref="E4:G5"/>
    <mergeCell ref="I5:I6"/>
    <mergeCell ref="J5:J6"/>
    <mergeCell ref="K5:K6"/>
    <mergeCell ref="U6:V6"/>
    <mergeCell ref="W6:X6"/>
    <mergeCell ref="U19:V19"/>
    <mergeCell ref="W19:X19"/>
    <mergeCell ref="J21:K21"/>
    <mergeCell ref="O21:P21"/>
  </mergeCells>
  <conditionalFormatting sqref="B7:B18">
    <cfRule type="expression" dxfId="447" priority="6">
      <formula>AND(B7=0,OR($I7&lt;&gt;0,$O7&lt;&gt;0))</formula>
    </cfRule>
  </conditionalFormatting>
  <conditionalFormatting sqref="C7:C18">
    <cfRule type="expression" dxfId="446" priority="5">
      <formula>AND(C7=0,OR($I7&lt;&gt;0,$O7&lt;&gt;0))</formula>
    </cfRule>
  </conditionalFormatting>
  <conditionalFormatting sqref="D7:D18">
    <cfRule type="expression" dxfId="445" priority="4">
      <formula>AND(D7=0,OR($I7&lt;&gt;0,$O7&lt;&gt;0))</formula>
    </cfRule>
  </conditionalFormatting>
  <conditionalFormatting sqref="V7:V18">
    <cfRule type="iconSet" priority="3">
      <iconSet iconSet="3Symbols" showValue="0" reverse="1">
        <cfvo type="percent" val="0"/>
        <cfvo type="num" val="10" gte="0"/>
        <cfvo type="num" val="40"/>
      </iconSet>
    </cfRule>
  </conditionalFormatting>
  <conditionalFormatting sqref="X7:X18">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5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76C1AD09-4B44-4673-9BA6-DE8E7141009B}">
            <x14:iconSet iconSet="3Symbols" custom="1">
              <x14:cfvo type="percent">
                <xm:f>0</xm:f>
              </x14:cfvo>
              <x14:cfvo type="num">
                <xm:f>0</xm:f>
              </x14:cfvo>
              <x14:cfvo type="num">
                <xm:f>0</xm:f>
              </x14:cfvo>
              <x14:cfIcon iconSet="3Symbols" iconId="1"/>
              <x14:cfIcon iconSet="3Symbols" iconId="1"/>
              <x14:cfIcon iconSet="NoIcons" iconId="0"/>
            </x14:iconSet>
          </x14:cfRule>
          <xm:sqref>R7:S18</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rgb="FFFFC000"/>
    <pageSetUpPr fitToPage="1"/>
  </sheetPr>
  <dimension ref="A1:AI51"/>
  <sheetViews>
    <sheetView rightToLeft="1" workbookViewId="0"/>
  </sheetViews>
  <sheetFormatPr defaultRowHeight="12.75"/>
  <cols>
    <col min="1" max="1" width="20.5703125" style="31" customWidth="1"/>
    <col min="2" max="2" width="45.5703125" style="31" customWidth="1"/>
    <col min="3" max="3" width="1.5703125" style="31" customWidth="1"/>
    <col min="4" max="4" width="12.5703125" style="31" customWidth="1"/>
    <col min="5" max="5" width="1.5703125" style="31" customWidth="1"/>
    <col min="6" max="6" width="12.5703125" style="31" customWidth="1"/>
    <col min="7" max="7" width="1.5703125" style="31" customWidth="1"/>
    <col min="8" max="8" width="12.5703125" style="31" customWidth="1"/>
    <col min="9" max="9" width="1.5703125" style="31" customWidth="1"/>
    <col min="10" max="11" width="12.5703125" style="31" customWidth="1"/>
    <col min="12" max="12" width="1.5703125" style="31" customWidth="1"/>
    <col min="13" max="14" width="12.5703125" style="31" customWidth="1"/>
    <col min="15" max="15" width="1.5703125" style="31" customWidth="1"/>
    <col min="16" max="17" width="12.5703125" style="31" customWidth="1"/>
    <col min="18" max="18" width="1.5703125" style="31" customWidth="1"/>
    <col min="19" max="20" width="12.5703125" style="31" customWidth="1"/>
    <col min="21" max="21" width="1.5703125" style="31" customWidth="1"/>
    <col min="22" max="22" width="12.5703125" style="31" customWidth="1"/>
    <col min="23" max="23" width="1.5703125" style="31" customWidth="1"/>
    <col min="24" max="24" width="12.5703125" style="31" customWidth="1"/>
    <col min="25" max="25" width="1.5703125" style="31" customWidth="1"/>
    <col min="26" max="26" width="12.5703125" style="31" customWidth="1"/>
    <col min="27" max="27" width="1.5703125" style="31" customWidth="1"/>
    <col min="28" max="28" width="12.5703125" style="31" customWidth="1"/>
    <col min="29" max="29" width="2.140625" style="31" customWidth="1"/>
    <col min="30" max="30" width="9" style="31"/>
    <col min="31" max="33" width="0" style="31" hidden="1" customWidth="1"/>
    <col min="34" max="34" width="9" style="31" hidden="1" customWidth="1"/>
    <col min="35" max="35" width="0" style="231" hidden="1" customWidth="1"/>
    <col min="36" max="255" width="9" style="31"/>
    <col min="256" max="256" width="30.140625" style="31" bestFit="1" customWidth="1"/>
    <col min="257" max="257" width="3.42578125" style="31" customWidth="1"/>
    <col min="258" max="258" width="9" style="31"/>
    <col min="259" max="259" width="3.42578125" style="31" customWidth="1"/>
    <col min="260" max="260" width="16.42578125" style="31" bestFit="1" customWidth="1"/>
    <col min="261" max="261" width="3.42578125" style="31" customWidth="1"/>
    <col min="262" max="262" width="18.7109375" style="31" customWidth="1"/>
    <col min="263" max="263" width="3.42578125" style="31" customWidth="1"/>
    <col min="264" max="266" width="9" style="31"/>
    <col min="267" max="267" width="3.5703125" style="31" customWidth="1"/>
    <col min="268" max="269" width="9" style="31"/>
    <col min="270" max="270" width="8" style="31" customWidth="1"/>
    <col min="271" max="271" width="3.5703125" style="31" customWidth="1"/>
    <col min="272" max="272" width="6.7109375" style="31" bestFit="1" customWidth="1"/>
    <col min="273" max="273" width="2.7109375" style="31" customWidth="1"/>
    <col min="274" max="274" width="12.140625" style="31" bestFit="1" customWidth="1"/>
    <col min="275" max="275" width="3.28515625" style="31" customWidth="1"/>
    <col min="276" max="276" width="16.42578125" style="31" bestFit="1" customWidth="1"/>
    <col min="277" max="277" width="3.28515625" style="31" customWidth="1"/>
    <col min="278" max="278" width="20.7109375" style="31" bestFit="1" customWidth="1"/>
    <col min="279" max="279" width="2.140625" style="31" customWidth="1"/>
    <col min="280" max="511" width="9" style="31"/>
    <col min="512" max="512" width="30.140625" style="31" bestFit="1" customWidth="1"/>
    <col min="513" max="513" width="3.42578125" style="31" customWidth="1"/>
    <col min="514" max="514" width="9" style="31"/>
    <col min="515" max="515" width="3.42578125" style="31" customWidth="1"/>
    <col min="516" max="516" width="16.42578125" style="31" bestFit="1" customWidth="1"/>
    <col min="517" max="517" width="3.42578125" style="31" customWidth="1"/>
    <col min="518" max="518" width="18.7109375" style="31" customWidth="1"/>
    <col min="519" max="519" width="3.42578125" style="31" customWidth="1"/>
    <col min="520" max="522" width="9" style="31"/>
    <col min="523" max="523" width="3.5703125" style="31" customWidth="1"/>
    <col min="524" max="525" width="9" style="31"/>
    <col min="526" max="526" width="8" style="31" customWidth="1"/>
    <col min="527" max="527" width="3.5703125" style="31" customWidth="1"/>
    <col min="528" max="528" width="6.7109375" style="31" bestFit="1" customWidth="1"/>
    <col min="529" max="529" width="2.7109375" style="31" customWidth="1"/>
    <col min="530" max="530" width="12.140625" style="31" bestFit="1" customWidth="1"/>
    <col min="531" max="531" width="3.28515625" style="31" customWidth="1"/>
    <col min="532" max="532" width="16.42578125" style="31" bestFit="1" customWidth="1"/>
    <col min="533" max="533" width="3.28515625" style="31" customWidth="1"/>
    <col min="534" max="534" width="20.7109375" style="31" bestFit="1" customWidth="1"/>
    <col min="535" max="535" width="2.140625" style="31" customWidth="1"/>
    <col min="536" max="767" width="9" style="31"/>
    <col min="768" max="768" width="30.140625" style="31" bestFit="1" customWidth="1"/>
    <col min="769" max="769" width="3.42578125" style="31" customWidth="1"/>
    <col min="770" max="770" width="9" style="31"/>
    <col min="771" max="771" width="3.42578125" style="31" customWidth="1"/>
    <col min="772" max="772" width="16.42578125" style="31" bestFit="1" customWidth="1"/>
    <col min="773" max="773" width="3.42578125" style="31" customWidth="1"/>
    <col min="774" max="774" width="18.7109375" style="31" customWidth="1"/>
    <col min="775" max="775" width="3.42578125" style="31" customWidth="1"/>
    <col min="776" max="778" width="9" style="31"/>
    <col min="779" max="779" width="3.5703125" style="31" customWidth="1"/>
    <col min="780" max="781" width="9" style="31"/>
    <col min="782" max="782" width="8" style="31" customWidth="1"/>
    <col min="783" max="783" width="3.5703125" style="31" customWidth="1"/>
    <col min="784" max="784" width="6.7109375" style="31" bestFit="1" customWidth="1"/>
    <col min="785" max="785" width="2.7109375" style="31" customWidth="1"/>
    <col min="786" max="786" width="12.140625" style="31" bestFit="1" customWidth="1"/>
    <col min="787" max="787" width="3.28515625" style="31" customWidth="1"/>
    <col min="788" max="788" width="16.42578125" style="31" bestFit="1" customWidth="1"/>
    <col min="789" max="789" width="3.28515625" style="31" customWidth="1"/>
    <col min="790" max="790" width="20.7109375" style="31" bestFit="1" customWidth="1"/>
    <col min="791" max="791" width="2.140625" style="31" customWidth="1"/>
    <col min="792" max="1023" width="9" style="31"/>
    <col min="1024" max="1024" width="30.140625" style="31" bestFit="1" customWidth="1"/>
    <col min="1025" max="1025" width="3.42578125" style="31" customWidth="1"/>
    <col min="1026" max="1026" width="9" style="31"/>
    <col min="1027" max="1027" width="3.42578125" style="31" customWidth="1"/>
    <col min="1028" max="1028" width="16.42578125" style="31" bestFit="1" customWidth="1"/>
    <col min="1029" max="1029" width="3.42578125" style="31" customWidth="1"/>
    <col min="1030" max="1030" width="18.7109375" style="31" customWidth="1"/>
    <col min="1031" max="1031" width="3.42578125" style="31" customWidth="1"/>
    <col min="1032" max="1034" width="9" style="31"/>
    <col min="1035" max="1035" width="3.5703125" style="31" customWidth="1"/>
    <col min="1036" max="1037" width="9" style="31"/>
    <col min="1038" max="1038" width="8" style="31" customWidth="1"/>
    <col min="1039" max="1039" width="3.5703125" style="31" customWidth="1"/>
    <col min="1040" max="1040" width="6.7109375" style="31" bestFit="1" customWidth="1"/>
    <col min="1041" max="1041" width="2.7109375" style="31" customWidth="1"/>
    <col min="1042" max="1042" width="12.140625" style="31" bestFit="1" customWidth="1"/>
    <col min="1043" max="1043" width="3.28515625" style="31" customWidth="1"/>
    <col min="1044" max="1044" width="16.42578125" style="31" bestFit="1" customWidth="1"/>
    <col min="1045" max="1045" width="3.28515625" style="31" customWidth="1"/>
    <col min="1046" max="1046" width="20.7109375" style="31" bestFit="1" customWidth="1"/>
    <col min="1047" max="1047" width="2.140625" style="31" customWidth="1"/>
    <col min="1048" max="1279" width="9" style="31"/>
    <col min="1280" max="1280" width="30.140625" style="31" bestFit="1" customWidth="1"/>
    <col min="1281" max="1281" width="3.42578125" style="31" customWidth="1"/>
    <col min="1282" max="1282" width="9" style="31"/>
    <col min="1283" max="1283" width="3.42578125" style="31" customWidth="1"/>
    <col min="1284" max="1284" width="16.42578125" style="31" bestFit="1" customWidth="1"/>
    <col min="1285" max="1285" width="3.42578125" style="31" customWidth="1"/>
    <col min="1286" max="1286" width="18.7109375" style="31" customWidth="1"/>
    <col min="1287" max="1287" width="3.42578125" style="31" customWidth="1"/>
    <col min="1288" max="1290" width="9" style="31"/>
    <col min="1291" max="1291" width="3.5703125" style="31" customWidth="1"/>
    <col min="1292" max="1293" width="9" style="31"/>
    <col min="1294" max="1294" width="8" style="31" customWidth="1"/>
    <col min="1295" max="1295" width="3.5703125" style="31" customWidth="1"/>
    <col min="1296" max="1296" width="6.7109375" style="31" bestFit="1" customWidth="1"/>
    <col min="1297" max="1297" width="2.7109375" style="31" customWidth="1"/>
    <col min="1298" max="1298" width="12.140625" style="31" bestFit="1" customWidth="1"/>
    <col min="1299" max="1299" width="3.28515625" style="31" customWidth="1"/>
    <col min="1300" max="1300" width="16.42578125" style="31" bestFit="1" customWidth="1"/>
    <col min="1301" max="1301" width="3.28515625" style="31" customWidth="1"/>
    <col min="1302" max="1302" width="20.7109375" style="31" bestFit="1" customWidth="1"/>
    <col min="1303" max="1303" width="2.140625" style="31" customWidth="1"/>
    <col min="1304" max="1535" width="9" style="31"/>
    <col min="1536" max="1536" width="30.140625" style="31" bestFit="1" customWidth="1"/>
    <col min="1537" max="1537" width="3.42578125" style="31" customWidth="1"/>
    <col min="1538" max="1538" width="9" style="31"/>
    <col min="1539" max="1539" width="3.42578125" style="31" customWidth="1"/>
    <col min="1540" max="1540" width="16.42578125" style="31" bestFit="1" customWidth="1"/>
    <col min="1541" max="1541" width="3.42578125" style="31" customWidth="1"/>
    <col min="1542" max="1542" width="18.7109375" style="31" customWidth="1"/>
    <col min="1543" max="1543" width="3.42578125" style="31" customWidth="1"/>
    <col min="1544" max="1546" width="9" style="31"/>
    <col min="1547" max="1547" width="3.5703125" style="31" customWidth="1"/>
    <col min="1548" max="1549" width="9" style="31"/>
    <col min="1550" max="1550" width="8" style="31" customWidth="1"/>
    <col min="1551" max="1551" width="3.5703125" style="31" customWidth="1"/>
    <col min="1552" max="1552" width="6.7109375" style="31" bestFit="1" customWidth="1"/>
    <col min="1553" max="1553" width="2.7109375" style="31" customWidth="1"/>
    <col min="1554" max="1554" width="12.140625" style="31" bestFit="1" customWidth="1"/>
    <col min="1555" max="1555" width="3.28515625" style="31" customWidth="1"/>
    <col min="1556" max="1556" width="16.42578125" style="31" bestFit="1" customWidth="1"/>
    <col min="1557" max="1557" width="3.28515625" style="31" customWidth="1"/>
    <col min="1558" max="1558" width="20.7109375" style="31" bestFit="1" customWidth="1"/>
    <col min="1559" max="1559" width="2.140625" style="31" customWidth="1"/>
    <col min="1560" max="1791" width="9" style="31"/>
    <col min="1792" max="1792" width="30.140625" style="31" bestFit="1" customWidth="1"/>
    <col min="1793" max="1793" width="3.42578125" style="31" customWidth="1"/>
    <col min="1794" max="1794" width="9" style="31"/>
    <col min="1795" max="1795" width="3.42578125" style="31" customWidth="1"/>
    <col min="1796" max="1796" width="16.42578125" style="31" bestFit="1" customWidth="1"/>
    <col min="1797" max="1797" width="3.42578125" style="31" customWidth="1"/>
    <col min="1798" max="1798" width="18.7109375" style="31" customWidth="1"/>
    <col min="1799" max="1799" width="3.42578125" style="31" customWidth="1"/>
    <col min="1800" max="1802" width="9" style="31"/>
    <col min="1803" max="1803" width="3.5703125" style="31" customWidth="1"/>
    <col min="1804" max="1805" width="9" style="31"/>
    <col min="1806" max="1806" width="8" style="31" customWidth="1"/>
    <col min="1807" max="1807" width="3.5703125" style="31" customWidth="1"/>
    <col min="1808" max="1808" width="6.7109375" style="31" bestFit="1" customWidth="1"/>
    <col min="1809" max="1809" width="2.7109375" style="31" customWidth="1"/>
    <col min="1810" max="1810" width="12.140625" style="31" bestFit="1" customWidth="1"/>
    <col min="1811" max="1811" width="3.28515625" style="31" customWidth="1"/>
    <col min="1812" max="1812" width="16.42578125" style="31" bestFit="1" customWidth="1"/>
    <col min="1813" max="1813" width="3.28515625" style="31" customWidth="1"/>
    <col min="1814" max="1814" width="20.7109375" style="31" bestFit="1" customWidth="1"/>
    <col min="1815" max="1815" width="2.140625" style="31" customWidth="1"/>
    <col min="1816" max="2047" width="9" style="31"/>
    <col min="2048" max="2048" width="30.140625" style="31" bestFit="1" customWidth="1"/>
    <col min="2049" max="2049" width="3.42578125" style="31" customWidth="1"/>
    <col min="2050" max="2050" width="9" style="31"/>
    <col min="2051" max="2051" width="3.42578125" style="31" customWidth="1"/>
    <col min="2052" max="2052" width="16.42578125" style="31" bestFit="1" customWidth="1"/>
    <col min="2053" max="2053" width="3.42578125" style="31" customWidth="1"/>
    <col min="2054" max="2054" width="18.7109375" style="31" customWidth="1"/>
    <col min="2055" max="2055" width="3.42578125" style="31" customWidth="1"/>
    <col min="2056" max="2058" width="9" style="31"/>
    <col min="2059" max="2059" width="3.5703125" style="31" customWidth="1"/>
    <col min="2060" max="2061" width="9" style="31"/>
    <col min="2062" max="2062" width="8" style="31" customWidth="1"/>
    <col min="2063" max="2063" width="3.5703125" style="31" customWidth="1"/>
    <col min="2064" max="2064" width="6.7109375" style="31" bestFit="1" customWidth="1"/>
    <col min="2065" max="2065" width="2.7109375" style="31" customWidth="1"/>
    <col min="2066" max="2066" width="12.140625" style="31" bestFit="1" customWidth="1"/>
    <col min="2067" max="2067" width="3.28515625" style="31" customWidth="1"/>
    <col min="2068" max="2068" width="16.42578125" style="31" bestFit="1" customWidth="1"/>
    <col min="2069" max="2069" width="3.28515625" style="31" customWidth="1"/>
    <col min="2070" max="2070" width="20.7109375" style="31" bestFit="1" customWidth="1"/>
    <col min="2071" max="2071" width="2.140625" style="31" customWidth="1"/>
    <col min="2072" max="2303" width="9" style="31"/>
    <col min="2304" max="2304" width="30.140625" style="31" bestFit="1" customWidth="1"/>
    <col min="2305" max="2305" width="3.42578125" style="31" customWidth="1"/>
    <col min="2306" max="2306" width="9" style="31"/>
    <col min="2307" max="2307" width="3.42578125" style="31" customWidth="1"/>
    <col min="2308" max="2308" width="16.42578125" style="31" bestFit="1" customWidth="1"/>
    <col min="2309" max="2309" width="3.42578125" style="31" customWidth="1"/>
    <col min="2310" max="2310" width="18.7109375" style="31" customWidth="1"/>
    <col min="2311" max="2311" width="3.42578125" style="31" customWidth="1"/>
    <col min="2312" max="2314" width="9" style="31"/>
    <col min="2315" max="2315" width="3.5703125" style="31" customWidth="1"/>
    <col min="2316" max="2317" width="9" style="31"/>
    <col min="2318" max="2318" width="8" style="31" customWidth="1"/>
    <col min="2319" max="2319" width="3.5703125" style="31" customWidth="1"/>
    <col min="2320" max="2320" width="6.7109375" style="31" bestFit="1" customWidth="1"/>
    <col min="2321" max="2321" width="2.7109375" style="31" customWidth="1"/>
    <col min="2322" max="2322" width="12.140625" style="31" bestFit="1" customWidth="1"/>
    <col min="2323" max="2323" width="3.28515625" style="31" customWidth="1"/>
    <col min="2324" max="2324" width="16.42578125" style="31" bestFit="1" customWidth="1"/>
    <col min="2325" max="2325" width="3.28515625" style="31" customWidth="1"/>
    <col min="2326" max="2326" width="20.7109375" style="31" bestFit="1" customWidth="1"/>
    <col min="2327" max="2327" width="2.140625" style="31" customWidth="1"/>
    <col min="2328" max="2559" width="9" style="31"/>
    <col min="2560" max="2560" width="30.140625" style="31" bestFit="1" customWidth="1"/>
    <col min="2561" max="2561" width="3.42578125" style="31" customWidth="1"/>
    <col min="2562" max="2562" width="9" style="31"/>
    <col min="2563" max="2563" width="3.42578125" style="31" customWidth="1"/>
    <col min="2564" max="2564" width="16.42578125" style="31" bestFit="1" customWidth="1"/>
    <col min="2565" max="2565" width="3.42578125" style="31" customWidth="1"/>
    <col min="2566" max="2566" width="18.7109375" style="31" customWidth="1"/>
    <col min="2567" max="2567" width="3.42578125" style="31" customWidth="1"/>
    <col min="2568" max="2570" width="9" style="31"/>
    <col min="2571" max="2571" width="3.5703125" style="31" customWidth="1"/>
    <col min="2572" max="2573" width="9" style="31"/>
    <col min="2574" max="2574" width="8" style="31" customWidth="1"/>
    <col min="2575" max="2575" width="3.5703125" style="31" customWidth="1"/>
    <col min="2576" max="2576" width="6.7109375" style="31" bestFit="1" customWidth="1"/>
    <col min="2577" max="2577" width="2.7109375" style="31" customWidth="1"/>
    <col min="2578" max="2578" width="12.140625" style="31" bestFit="1" customWidth="1"/>
    <col min="2579" max="2579" width="3.28515625" style="31" customWidth="1"/>
    <col min="2580" max="2580" width="16.42578125" style="31" bestFit="1" customWidth="1"/>
    <col min="2581" max="2581" width="3.28515625" style="31" customWidth="1"/>
    <col min="2582" max="2582" width="20.7109375" style="31" bestFit="1" customWidth="1"/>
    <col min="2583" max="2583" width="2.140625" style="31" customWidth="1"/>
    <col min="2584" max="2815" width="9" style="31"/>
    <col min="2816" max="2816" width="30.140625" style="31" bestFit="1" customWidth="1"/>
    <col min="2817" max="2817" width="3.42578125" style="31" customWidth="1"/>
    <col min="2818" max="2818" width="9" style="31"/>
    <col min="2819" max="2819" width="3.42578125" style="31" customWidth="1"/>
    <col min="2820" max="2820" width="16.42578125" style="31" bestFit="1" customWidth="1"/>
    <col min="2821" max="2821" width="3.42578125" style="31" customWidth="1"/>
    <col min="2822" max="2822" width="18.7109375" style="31" customWidth="1"/>
    <col min="2823" max="2823" width="3.42578125" style="31" customWidth="1"/>
    <col min="2824" max="2826" width="9" style="31"/>
    <col min="2827" max="2827" width="3.5703125" style="31" customWidth="1"/>
    <col min="2828" max="2829" width="9" style="31"/>
    <col min="2830" max="2830" width="8" style="31" customWidth="1"/>
    <col min="2831" max="2831" width="3.5703125" style="31" customWidth="1"/>
    <col min="2832" max="2832" width="6.7109375" style="31" bestFit="1" customWidth="1"/>
    <col min="2833" max="2833" width="2.7109375" style="31" customWidth="1"/>
    <col min="2834" max="2834" width="12.140625" style="31" bestFit="1" customWidth="1"/>
    <col min="2835" max="2835" width="3.28515625" style="31" customWidth="1"/>
    <col min="2836" max="2836" width="16.42578125" style="31" bestFit="1" customWidth="1"/>
    <col min="2837" max="2837" width="3.28515625" style="31" customWidth="1"/>
    <col min="2838" max="2838" width="20.7109375" style="31" bestFit="1" customWidth="1"/>
    <col min="2839" max="2839" width="2.140625" style="31" customWidth="1"/>
    <col min="2840" max="3071" width="9" style="31"/>
    <col min="3072" max="3072" width="30.140625" style="31" bestFit="1" customWidth="1"/>
    <col min="3073" max="3073" width="3.42578125" style="31" customWidth="1"/>
    <col min="3074" max="3074" width="9" style="31"/>
    <col min="3075" max="3075" width="3.42578125" style="31" customWidth="1"/>
    <col min="3076" max="3076" width="16.42578125" style="31" bestFit="1" customWidth="1"/>
    <col min="3077" max="3077" width="3.42578125" style="31" customWidth="1"/>
    <col min="3078" max="3078" width="18.7109375" style="31" customWidth="1"/>
    <col min="3079" max="3079" width="3.42578125" style="31" customWidth="1"/>
    <col min="3080" max="3082" width="9" style="31"/>
    <col min="3083" max="3083" width="3.5703125" style="31" customWidth="1"/>
    <col min="3084" max="3085" width="9" style="31"/>
    <col min="3086" max="3086" width="8" style="31" customWidth="1"/>
    <col min="3087" max="3087" width="3.5703125" style="31" customWidth="1"/>
    <col min="3088" max="3088" width="6.7109375" style="31" bestFit="1" customWidth="1"/>
    <col min="3089" max="3089" width="2.7109375" style="31" customWidth="1"/>
    <col min="3090" max="3090" width="12.140625" style="31" bestFit="1" customWidth="1"/>
    <col min="3091" max="3091" width="3.28515625" style="31" customWidth="1"/>
    <col min="3092" max="3092" width="16.42578125" style="31" bestFit="1" customWidth="1"/>
    <col min="3093" max="3093" width="3.28515625" style="31" customWidth="1"/>
    <col min="3094" max="3094" width="20.7109375" style="31" bestFit="1" customWidth="1"/>
    <col min="3095" max="3095" width="2.140625" style="31" customWidth="1"/>
    <col min="3096" max="3327" width="9" style="31"/>
    <col min="3328" max="3328" width="30.140625" style="31" bestFit="1" customWidth="1"/>
    <col min="3329" max="3329" width="3.42578125" style="31" customWidth="1"/>
    <col min="3330" max="3330" width="9" style="31"/>
    <col min="3331" max="3331" width="3.42578125" style="31" customWidth="1"/>
    <col min="3332" max="3332" width="16.42578125" style="31" bestFit="1" customWidth="1"/>
    <col min="3333" max="3333" width="3.42578125" style="31" customWidth="1"/>
    <col min="3334" max="3334" width="18.7109375" style="31" customWidth="1"/>
    <col min="3335" max="3335" width="3.42578125" style="31" customWidth="1"/>
    <col min="3336" max="3338" width="9" style="31"/>
    <col min="3339" max="3339" width="3.5703125" style="31" customWidth="1"/>
    <col min="3340" max="3341" width="9" style="31"/>
    <col min="3342" max="3342" width="8" style="31" customWidth="1"/>
    <col min="3343" max="3343" width="3.5703125" style="31" customWidth="1"/>
    <col min="3344" max="3344" width="6.7109375" style="31" bestFit="1" customWidth="1"/>
    <col min="3345" max="3345" width="2.7109375" style="31" customWidth="1"/>
    <col min="3346" max="3346" width="12.140625" style="31" bestFit="1" customWidth="1"/>
    <col min="3347" max="3347" width="3.28515625" style="31" customWidth="1"/>
    <col min="3348" max="3348" width="16.42578125" style="31" bestFit="1" customWidth="1"/>
    <col min="3349" max="3349" width="3.28515625" style="31" customWidth="1"/>
    <col min="3350" max="3350" width="20.7109375" style="31" bestFit="1" customWidth="1"/>
    <col min="3351" max="3351" width="2.140625" style="31" customWidth="1"/>
    <col min="3352" max="3583" width="9" style="31"/>
    <col min="3584" max="3584" width="30.140625" style="31" bestFit="1" customWidth="1"/>
    <col min="3585" max="3585" width="3.42578125" style="31" customWidth="1"/>
    <col min="3586" max="3586" width="9" style="31"/>
    <col min="3587" max="3587" width="3.42578125" style="31" customWidth="1"/>
    <col min="3588" max="3588" width="16.42578125" style="31" bestFit="1" customWidth="1"/>
    <col min="3589" max="3589" width="3.42578125" style="31" customWidth="1"/>
    <col min="3590" max="3590" width="18.7109375" style="31" customWidth="1"/>
    <col min="3591" max="3591" width="3.42578125" style="31" customWidth="1"/>
    <col min="3592" max="3594" width="9" style="31"/>
    <col min="3595" max="3595" width="3.5703125" style="31" customWidth="1"/>
    <col min="3596" max="3597" width="9" style="31"/>
    <col min="3598" max="3598" width="8" style="31" customWidth="1"/>
    <col min="3599" max="3599" width="3.5703125" style="31" customWidth="1"/>
    <col min="3600" max="3600" width="6.7109375" style="31" bestFit="1" customWidth="1"/>
    <col min="3601" max="3601" width="2.7109375" style="31" customWidth="1"/>
    <col min="3602" max="3602" width="12.140625" style="31" bestFit="1" customWidth="1"/>
    <col min="3603" max="3603" width="3.28515625" style="31" customWidth="1"/>
    <col min="3604" max="3604" width="16.42578125" style="31" bestFit="1" customWidth="1"/>
    <col min="3605" max="3605" width="3.28515625" style="31" customWidth="1"/>
    <col min="3606" max="3606" width="20.7109375" style="31" bestFit="1" customWidth="1"/>
    <col min="3607" max="3607" width="2.140625" style="31" customWidth="1"/>
    <col min="3608" max="3839" width="9" style="31"/>
    <col min="3840" max="3840" width="30.140625" style="31" bestFit="1" customWidth="1"/>
    <col min="3841" max="3841" width="3.42578125" style="31" customWidth="1"/>
    <col min="3842" max="3842" width="9" style="31"/>
    <col min="3843" max="3843" width="3.42578125" style="31" customWidth="1"/>
    <col min="3844" max="3844" width="16.42578125" style="31" bestFit="1" customWidth="1"/>
    <col min="3845" max="3845" width="3.42578125" style="31" customWidth="1"/>
    <col min="3846" max="3846" width="18.7109375" style="31" customWidth="1"/>
    <col min="3847" max="3847" width="3.42578125" style="31" customWidth="1"/>
    <col min="3848" max="3850" width="9" style="31"/>
    <col min="3851" max="3851" width="3.5703125" style="31" customWidth="1"/>
    <col min="3852" max="3853" width="9" style="31"/>
    <col min="3854" max="3854" width="8" style="31" customWidth="1"/>
    <col min="3855" max="3855" width="3.5703125" style="31" customWidth="1"/>
    <col min="3856" max="3856" width="6.7109375" style="31" bestFit="1" customWidth="1"/>
    <col min="3857" max="3857" width="2.7109375" style="31" customWidth="1"/>
    <col min="3858" max="3858" width="12.140625" style="31" bestFit="1" customWidth="1"/>
    <col min="3859" max="3859" width="3.28515625" style="31" customWidth="1"/>
    <col min="3860" max="3860" width="16.42578125" style="31" bestFit="1" customWidth="1"/>
    <col min="3861" max="3861" width="3.28515625" style="31" customWidth="1"/>
    <col min="3862" max="3862" width="20.7109375" style="31" bestFit="1" customWidth="1"/>
    <col min="3863" max="3863" width="2.140625" style="31" customWidth="1"/>
    <col min="3864" max="4095" width="9" style="31"/>
    <col min="4096" max="4096" width="30.140625" style="31" bestFit="1" customWidth="1"/>
    <col min="4097" max="4097" width="3.42578125" style="31" customWidth="1"/>
    <col min="4098" max="4098" width="9" style="31"/>
    <col min="4099" max="4099" width="3.42578125" style="31" customWidth="1"/>
    <col min="4100" max="4100" width="16.42578125" style="31" bestFit="1" customWidth="1"/>
    <col min="4101" max="4101" width="3.42578125" style="31" customWidth="1"/>
    <col min="4102" max="4102" width="18.7109375" style="31" customWidth="1"/>
    <col min="4103" max="4103" width="3.42578125" style="31" customWidth="1"/>
    <col min="4104" max="4106" width="9" style="31"/>
    <col min="4107" max="4107" width="3.5703125" style="31" customWidth="1"/>
    <col min="4108" max="4109" width="9" style="31"/>
    <col min="4110" max="4110" width="8" style="31" customWidth="1"/>
    <col min="4111" max="4111" width="3.5703125" style="31" customWidth="1"/>
    <col min="4112" max="4112" width="6.7109375" style="31" bestFit="1" customWidth="1"/>
    <col min="4113" max="4113" width="2.7109375" style="31" customWidth="1"/>
    <col min="4114" max="4114" width="12.140625" style="31" bestFit="1" customWidth="1"/>
    <col min="4115" max="4115" width="3.28515625" style="31" customWidth="1"/>
    <col min="4116" max="4116" width="16.42578125" style="31" bestFit="1" customWidth="1"/>
    <col min="4117" max="4117" width="3.28515625" style="31" customWidth="1"/>
    <col min="4118" max="4118" width="20.7109375" style="31" bestFit="1" customWidth="1"/>
    <col min="4119" max="4119" width="2.140625" style="31" customWidth="1"/>
    <col min="4120" max="4351" width="9" style="31"/>
    <col min="4352" max="4352" width="30.140625" style="31" bestFit="1" customWidth="1"/>
    <col min="4353" max="4353" width="3.42578125" style="31" customWidth="1"/>
    <col min="4354" max="4354" width="9" style="31"/>
    <col min="4355" max="4355" width="3.42578125" style="31" customWidth="1"/>
    <col min="4356" max="4356" width="16.42578125" style="31" bestFit="1" customWidth="1"/>
    <col min="4357" max="4357" width="3.42578125" style="31" customWidth="1"/>
    <col min="4358" max="4358" width="18.7109375" style="31" customWidth="1"/>
    <col min="4359" max="4359" width="3.42578125" style="31" customWidth="1"/>
    <col min="4360" max="4362" width="9" style="31"/>
    <col min="4363" max="4363" width="3.5703125" style="31" customWidth="1"/>
    <col min="4364" max="4365" width="9" style="31"/>
    <col min="4366" max="4366" width="8" style="31" customWidth="1"/>
    <col min="4367" max="4367" width="3.5703125" style="31" customWidth="1"/>
    <col min="4368" max="4368" width="6.7109375" style="31" bestFit="1" customWidth="1"/>
    <col min="4369" max="4369" width="2.7109375" style="31" customWidth="1"/>
    <col min="4370" max="4370" width="12.140625" style="31" bestFit="1" customWidth="1"/>
    <col min="4371" max="4371" width="3.28515625" style="31" customWidth="1"/>
    <col min="4372" max="4372" width="16.42578125" style="31" bestFit="1" customWidth="1"/>
    <col min="4373" max="4373" width="3.28515625" style="31" customWidth="1"/>
    <col min="4374" max="4374" width="20.7109375" style="31" bestFit="1" customWidth="1"/>
    <col min="4375" max="4375" width="2.140625" style="31" customWidth="1"/>
    <col min="4376" max="4607" width="9" style="31"/>
    <col min="4608" max="4608" width="30.140625" style="31" bestFit="1" customWidth="1"/>
    <col min="4609" max="4609" width="3.42578125" style="31" customWidth="1"/>
    <col min="4610" max="4610" width="9" style="31"/>
    <col min="4611" max="4611" width="3.42578125" style="31" customWidth="1"/>
    <col min="4612" max="4612" width="16.42578125" style="31" bestFit="1" customWidth="1"/>
    <col min="4613" max="4613" width="3.42578125" style="31" customWidth="1"/>
    <col min="4614" max="4614" width="18.7109375" style="31" customWidth="1"/>
    <col min="4615" max="4615" width="3.42578125" style="31" customWidth="1"/>
    <col min="4616" max="4618" width="9" style="31"/>
    <col min="4619" max="4619" width="3.5703125" style="31" customWidth="1"/>
    <col min="4620" max="4621" width="9" style="31"/>
    <col min="4622" max="4622" width="8" style="31" customWidth="1"/>
    <col min="4623" max="4623" width="3.5703125" style="31" customWidth="1"/>
    <col min="4624" max="4624" width="6.7109375" style="31" bestFit="1" customWidth="1"/>
    <col min="4625" max="4625" width="2.7109375" style="31" customWidth="1"/>
    <col min="4626" max="4626" width="12.140625" style="31" bestFit="1" customWidth="1"/>
    <col min="4627" max="4627" width="3.28515625" style="31" customWidth="1"/>
    <col min="4628" max="4628" width="16.42578125" style="31" bestFit="1" customWidth="1"/>
    <col min="4629" max="4629" width="3.28515625" style="31" customWidth="1"/>
    <col min="4630" max="4630" width="20.7109375" style="31" bestFit="1" customWidth="1"/>
    <col min="4631" max="4631" width="2.140625" style="31" customWidth="1"/>
    <col min="4632" max="4863" width="9" style="31"/>
    <col min="4864" max="4864" width="30.140625" style="31" bestFit="1" customWidth="1"/>
    <col min="4865" max="4865" width="3.42578125" style="31" customWidth="1"/>
    <col min="4866" max="4866" width="9" style="31"/>
    <col min="4867" max="4867" width="3.42578125" style="31" customWidth="1"/>
    <col min="4868" max="4868" width="16.42578125" style="31" bestFit="1" customWidth="1"/>
    <col min="4869" max="4869" width="3.42578125" style="31" customWidth="1"/>
    <col min="4870" max="4870" width="18.7109375" style="31" customWidth="1"/>
    <col min="4871" max="4871" width="3.42578125" style="31" customWidth="1"/>
    <col min="4872" max="4874" width="9" style="31"/>
    <col min="4875" max="4875" width="3.5703125" style="31" customWidth="1"/>
    <col min="4876" max="4877" width="9" style="31"/>
    <col min="4878" max="4878" width="8" style="31" customWidth="1"/>
    <col min="4879" max="4879" width="3.5703125" style="31" customWidth="1"/>
    <col min="4880" max="4880" width="6.7109375" style="31" bestFit="1" customWidth="1"/>
    <col min="4881" max="4881" width="2.7109375" style="31" customWidth="1"/>
    <col min="4882" max="4882" width="12.140625" style="31" bestFit="1" customWidth="1"/>
    <col min="4883" max="4883" width="3.28515625" style="31" customWidth="1"/>
    <col min="4884" max="4884" width="16.42578125" style="31" bestFit="1" customWidth="1"/>
    <col min="4885" max="4885" width="3.28515625" style="31" customWidth="1"/>
    <col min="4886" max="4886" width="20.7109375" style="31" bestFit="1" customWidth="1"/>
    <col min="4887" max="4887" width="2.140625" style="31" customWidth="1"/>
    <col min="4888" max="5119" width="9" style="31"/>
    <col min="5120" max="5120" width="30.140625" style="31" bestFit="1" customWidth="1"/>
    <col min="5121" max="5121" width="3.42578125" style="31" customWidth="1"/>
    <col min="5122" max="5122" width="9" style="31"/>
    <col min="5123" max="5123" width="3.42578125" style="31" customWidth="1"/>
    <col min="5124" max="5124" width="16.42578125" style="31" bestFit="1" customWidth="1"/>
    <col min="5125" max="5125" width="3.42578125" style="31" customWidth="1"/>
    <col min="5126" max="5126" width="18.7109375" style="31" customWidth="1"/>
    <col min="5127" max="5127" width="3.42578125" style="31" customWidth="1"/>
    <col min="5128" max="5130" width="9" style="31"/>
    <col min="5131" max="5131" width="3.5703125" style="31" customWidth="1"/>
    <col min="5132" max="5133" width="9" style="31"/>
    <col min="5134" max="5134" width="8" style="31" customWidth="1"/>
    <col min="5135" max="5135" width="3.5703125" style="31" customWidth="1"/>
    <col min="5136" max="5136" width="6.7109375" style="31" bestFit="1" customWidth="1"/>
    <col min="5137" max="5137" width="2.7109375" style="31" customWidth="1"/>
    <col min="5138" max="5138" width="12.140625" style="31" bestFit="1" customWidth="1"/>
    <col min="5139" max="5139" width="3.28515625" style="31" customWidth="1"/>
    <col min="5140" max="5140" width="16.42578125" style="31" bestFit="1" customWidth="1"/>
    <col min="5141" max="5141" width="3.28515625" style="31" customWidth="1"/>
    <col min="5142" max="5142" width="20.7109375" style="31" bestFit="1" customWidth="1"/>
    <col min="5143" max="5143" width="2.140625" style="31" customWidth="1"/>
    <col min="5144" max="5375" width="9" style="31"/>
    <col min="5376" max="5376" width="30.140625" style="31" bestFit="1" customWidth="1"/>
    <col min="5377" max="5377" width="3.42578125" style="31" customWidth="1"/>
    <col min="5378" max="5378" width="9" style="31"/>
    <col min="5379" max="5379" width="3.42578125" style="31" customWidth="1"/>
    <col min="5380" max="5380" width="16.42578125" style="31" bestFit="1" customWidth="1"/>
    <col min="5381" max="5381" width="3.42578125" style="31" customWidth="1"/>
    <col min="5382" max="5382" width="18.7109375" style="31" customWidth="1"/>
    <col min="5383" max="5383" width="3.42578125" style="31" customWidth="1"/>
    <col min="5384" max="5386" width="9" style="31"/>
    <col min="5387" max="5387" width="3.5703125" style="31" customWidth="1"/>
    <col min="5388" max="5389" width="9" style="31"/>
    <col min="5390" max="5390" width="8" style="31" customWidth="1"/>
    <col min="5391" max="5391" width="3.5703125" style="31" customWidth="1"/>
    <col min="5392" max="5392" width="6.7109375" style="31" bestFit="1" customWidth="1"/>
    <col min="5393" max="5393" width="2.7109375" style="31" customWidth="1"/>
    <col min="5394" max="5394" width="12.140625" style="31" bestFit="1" customWidth="1"/>
    <col min="5395" max="5395" width="3.28515625" style="31" customWidth="1"/>
    <col min="5396" max="5396" width="16.42578125" style="31" bestFit="1" customWidth="1"/>
    <col min="5397" max="5397" width="3.28515625" style="31" customWidth="1"/>
    <col min="5398" max="5398" width="20.7109375" style="31" bestFit="1" customWidth="1"/>
    <col min="5399" max="5399" width="2.140625" style="31" customWidth="1"/>
    <col min="5400" max="5631" width="9" style="31"/>
    <col min="5632" max="5632" width="30.140625" style="31" bestFit="1" customWidth="1"/>
    <col min="5633" max="5633" width="3.42578125" style="31" customWidth="1"/>
    <col min="5634" max="5634" width="9" style="31"/>
    <col min="5635" max="5635" width="3.42578125" style="31" customWidth="1"/>
    <col min="5636" max="5636" width="16.42578125" style="31" bestFit="1" customWidth="1"/>
    <col min="5637" max="5637" width="3.42578125" style="31" customWidth="1"/>
    <col min="5638" max="5638" width="18.7109375" style="31" customWidth="1"/>
    <col min="5639" max="5639" width="3.42578125" style="31" customWidth="1"/>
    <col min="5640" max="5642" width="9" style="31"/>
    <col min="5643" max="5643" width="3.5703125" style="31" customWidth="1"/>
    <col min="5644" max="5645" width="9" style="31"/>
    <col min="5646" max="5646" width="8" style="31" customWidth="1"/>
    <col min="5647" max="5647" width="3.5703125" style="31" customWidth="1"/>
    <col min="5648" max="5648" width="6.7109375" style="31" bestFit="1" customWidth="1"/>
    <col min="5649" max="5649" width="2.7109375" style="31" customWidth="1"/>
    <col min="5650" max="5650" width="12.140625" style="31" bestFit="1" customWidth="1"/>
    <col min="5651" max="5651" width="3.28515625" style="31" customWidth="1"/>
    <col min="5652" max="5652" width="16.42578125" style="31" bestFit="1" customWidth="1"/>
    <col min="5653" max="5653" width="3.28515625" style="31" customWidth="1"/>
    <col min="5654" max="5654" width="20.7109375" style="31" bestFit="1" customWidth="1"/>
    <col min="5655" max="5655" width="2.140625" style="31" customWidth="1"/>
    <col min="5656" max="5887" width="9" style="31"/>
    <col min="5888" max="5888" width="30.140625" style="31" bestFit="1" customWidth="1"/>
    <col min="5889" max="5889" width="3.42578125" style="31" customWidth="1"/>
    <col min="5890" max="5890" width="9" style="31"/>
    <col min="5891" max="5891" width="3.42578125" style="31" customWidth="1"/>
    <col min="5892" max="5892" width="16.42578125" style="31" bestFit="1" customWidth="1"/>
    <col min="5893" max="5893" width="3.42578125" style="31" customWidth="1"/>
    <col min="5894" max="5894" width="18.7109375" style="31" customWidth="1"/>
    <col min="5895" max="5895" width="3.42578125" style="31" customWidth="1"/>
    <col min="5896" max="5898" width="9" style="31"/>
    <col min="5899" max="5899" width="3.5703125" style="31" customWidth="1"/>
    <col min="5900" max="5901" width="9" style="31"/>
    <col min="5902" max="5902" width="8" style="31" customWidth="1"/>
    <col min="5903" max="5903" width="3.5703125" style="31" customWidth="1"/>
    <col min="5904" max="5904" width="6.7109375" style="31" bestFit="1" customWidth="1"/>
    <col min="5905" max="5905" width="2.7109375" style="31" customWidth="1"/>
    <col min="5906" max="5906" width="12.140625" style="31" bestFit="1" customWidth="1"/>
    <col min="5907" max="5907" width="3.28515625" style="31" customWidth="1"/>
    <col min="5908" max="5908" width="16.42578125" style="31" bestFit="1" customWidth="1"/>
    <col min="5909" max="5909" width="3.28515625" style="31" customWidth="1"/>
    <col min="5910" max="5910" width="20.7109375" style="31" bestFit="1" customWidth="1"/>
    <col min="5911" max="5911" width="2.140625" style="31" customWidth="1"/>
    <col min="5912" max="6143" width="9" style="31"/>
    <col min="6144" max="6144" width="30.140625" style="31" bestFit="1" customWidth="1"/>
    <col min="6145" max="6145" width="3.42578125" style="31" customWidth="1"/>
    <col min="6146" max="6146" width="9" style="31"/>
    <col min="6147" max="6147" width="3.42578125" style="31" customWidth="1"/>
    <col min="6148" max="6148" width="16.42578125" style="31" bestFit="1" customWidth="1"/>
    <col min="6149" max="6149" width="3.42578125" style="31" customWidth="1"/>
    <col min="6150" max="6150" width="18.7109375" style="31" customWidth="1"/>
    <col min="6151" max="6151" width="3.42578125" style="31" customWidth="1"/>
    <col min="6152" max="6154" width="9" style="31"/>
    <col min="6155" max="6155" width="3.5703125" style="31" customWidth="1"/>
    <col min="6156" max="6157" width="9" style="31"/>
    <col min="6158" max="6158" width="8" style="31" customWidth="1"/>
    <col min="6159" max="6159" width="3.5703125" style="31" customWidth="1"/>
    <col min="6160" max="6160" width="6.7109375" style="31" bestFit="1" customWidth="1"/>
    <col min="6161" max="6161" width="2.7109375" style="31" customWidth="1"/>
    <col min="6162" max="6162" width="12.140625" style="31" bestFit="1" customWidth="1"/>
    <col min="6163" max="6163" width="3.28515625" style="31" customWidth="1"/>
    <col min="6164" max="6164" width="16.42578125" style="31" bestFit="1" customWidth="1"/>
    <col min="6165" max="6165" width="3.28515625" style="31" customWidth="1"/>
    <col min="6166" max="6166" width="20.7109375" style="31" bestFit="1" customWidth="1"/>
    <col min="6167" max="6167" width="2.140625" style="31" customWidth="1"/>
    <col min="6168" max="6399" width="9" style="31"/>
    <col min="6400" max="6400" width="30.140625" style="31" bestFit="1" customWidth="1"/>
    <col min="6401" max="6401" width="3.42578125" style="31" customWidth="1"/>
    <col min="6402" max="6402" width="9" style="31"/>
    <col min="6403" max="6403" width="3.42578125" style="31" customWidth="1"/>
    <col min="6404" max="6404" width="16.42578125" style="31" bestFit="1" customWidth="1"/>
    <col min="6405" max="6405" width="3.42578125" style="31" customWidth="1"/>
    <col min="6406" max="6406" width="18.7109375" style="31" customWidth="1"/>
    <col min="6407" max="6407" width="3.42578125" style="31" customWidth="1"/>
    <col min="6408" max="6410" width="9" style="31"/>
    <col min="6411" max="6411" width="3.5703125" style="31" customWidth="1"/>
    <col min="6412" max="6413" width="9" style="31"/>
    <col min="6414" max="6414" width="8" style="31" customWidth="1"/>
    <col min="6415" max="6415" width="3.5703125" style="31" customWidth="1"/>
    <col min="6416" max="6416" width="6.7109375" style="31" bestFit="1" customWidth="1"/>
    <col min="6417" max="6417" width="2.7109375" style="31" customWidth="1"/>
    <col min="6418" max="6418" width="12.140625" style="31" bestFit="1" customWidth="1"/>
    <col min="6419" max="6419" width="3.28515625" style="31" customWidth="1"/>
    <col min="6420" max="6420" width="16.42578125" style="31" bestFit="1" customWidth="1"/>
    <col min="6421" max="6421" width="3.28515625" style="31" customWidth="1"/>
    <col min="6422" max="6422" width="20.7109375" style="31" bestFit="1" customWidth="1"/>
    <col min="6423" max="6423" width="2.140625" style="31" customWidth="1"/>
    <col min="6424" max="6655" width="9" style="31"/>
    <col min="6656" max="6656" width="30.140625" style="31" bestFit="1" customWidth="1"/>
    <col min="6657" max="6657" width="3.42578125" style="31" customWidth="1"/>
    <col min="6658" max="6658" width="9" style="31"/>
    <col min="6659" max="6659" width="3.42578125" style="31" customWidth="1"/>
    <col min="6660" max="6660" width="16.42578125" style="31" bestFit="1" customWidth="1"/>
    <col min="6661" max="6661" width="3.42578125" style="31" customWidth="1"/>
    <col min="6662" max="6662" width="18.7109375" style="31" customWidth="1"/>
    <col min="6663" max="6663" width="3.42578125" style="31" customWidth="1"/>
    <col min="6664" max="6666" width="9" style="31"/>
    <col min="6667" max="6667" width="3.5703125" style="31" customWidth="1"/>
    <col min="6668" max="6669" width="9" style="31"/>
    <col min="6670" max="6670" width="8" style="31" customWidth="1"/>
    <col min="6671" max="6671" width="3.5703125" style="31" customWidth="1"/>
    <col min="6672" max="6672" width="6.7109375" style="31" bestFit="1" customWidth="1"/>
    <col min="6673" max="6673" width="2.7109375" style="31" customWidth="1"/>
    <col min="6674" max="6674" width="12.140625" style="31" bestFit="1" customWidth="1"/>
    <col min="6675" max="6675" width="3.28515625" style="31" customWidth="1"/>
    <col min="6676" max="6676" width="16.42578125" style="31" bestFit="1" customWidth="1"/>
    <col min="6677" max="6677" width="3.28515625" style="31" customWidth="1"/>
    <col min="6678" max="6678" width="20.7109375" style="31" bestFit="1" customWidth="1"/>
    <col min="6679" max="6679" width="2.140625" style="31" customWidth="1"/>
    <col min="6680" max="6911" width="9" style="31"/>
    <col min="6912" max="6912" width="30.140625" style="31" bestFit="1" customWidth="1"/>
    <col min="6913" max="6913" width="3.42578125" style="31" customWidth="1"/>
    <col min="6914" max="6914" width="9" style="31"/>
    <col min="6915" max="6915" width="3.42578125" style="31" customWidth="1"/>
    <col min="6916" max="6916" width="16.42578125" style="31" bestFit="1" customWidth="1"/>
    <col min="6917" max="6917" width="3.42578125" style="31" customWidth="1"/>
    <col min="6918" max="6918" width="18.7109375" style="31" customWidth="1"/>
    <col min="6919" max="6919" width="3.42578125" style="31" customWidth="1"/>
    <col min="6920" max="6922" width="9" style="31"/>
    <col min="6923" max="6923" width="3.5703125" style="31" customWidth="1"/>
    <col min="6924" max="6925" width="9" style="31"/>
    <col min="6926" max="6926" width="8" style="31" customWidth="1"/>
    <col min="6927" max="6927" width="3.5703125" style="31" customWidth="1"/>
    <col min="6928" max="6928" width="6.7109375" style="31" bestFit="1" customWidth="1"/>
    <col min="6929" max="6929" width="2.7109375" style="31" customWidth="1"/>
    <col min="6930" max="6930" width="12.140625" style="31" bestFit="1" customWidth="1"/>
    <col min="6931" max="6931" width="3.28515625" style="31" customWidth="1"/>
    <col min="6932" max="6932" width="16.42578125" style="31" bestFit="1" customWidth="1"/>
    <col min="6933" max="6933" width="3.28515625" style="31" customWidth="1"/>
    <col min="6934" max="6934" width="20.7109375" style="31" bestFit="1" customWidth="1"/>
    <col min="6935" max="6935" width="2.140625" style="31" customWidth="1"/>
    <col min="6936" max="7167" width="9" style="31"/>
    <col min="7168" max="7168" width="30.140625" style="31" bestFit="1" customWidth="1"/>
    <col min="7169" max="7169" width="3.42578125" style="31" customWidth="1"/>
    <col min="7170" max="7170" width="9" style="31"/>
    <col min="7171" max="7171" width="3.42578125" style="31" customWidth="1"/>
    <col min="7172" max="7172" width="16.42578125" style="31" bestFit="1" customWidth="1"/>
    <col min="7173" max="7173" width="3.42578125" style="31" customWidth="1"/>
    <col min="7174" max="7174" width="18.7109375" style="31" customWidth="1"/>
    <col min="7175" max="7175" width="3.42578125" style="31" customWidth="1"/>
    <col min="7176" max="7178" width="9" style="31"/>
    <col min="7179" max="7179" width="3.5703125" style="31" customWidth="1"/>
    <col min="7180" max="7181" width="9" style="31"/>
    <col min="7182" max="7182" width="8" style="31" customWidth="1"/>
    <col min="7183" max="7183" width="3.5703125" style="31" customWidth="1"/>
    <col min="7184" max="7184" width="6.7109375" style="31" bestFit="1" customWidth="1"/>
    <col min="7185" max="7185" width="2.7109375" style="31" customWidth="1"/>
    <col min="7186" max="7186" width="12.140625" style="31" bestFit="1" customWidth="1"/>
    <col min="7187" max="7187" width="3.28515625" style="31" customWidth="1"/>
    <col min="7188" max="7188" width="16.42578125" style="31" bestFit="1" customWidth="1"/>
    <col min="7189" max="7189" width="3.28515625" style="31" customWidth="1"/>
    <col min="7190" max="7190" width="20.7109375" style="31" bestFit="1" customWidth="1"/>
    <col min="7191" max="7191" width="2.140625" style="31" customWidth="1"/>
    <col min="7192" max="7423" width="9" style="31"/>
    <col min="7424" max="7424" width="30.140625" style="31" bestFit="1" customWidth="1"/>
    <col min="7425" max="7425" width="3.42578125" style="31" customWidth="1"/>
    <col min="7426" max="7426" width="9" style="31"/>
    <col min="7427" max="7427" width="3.42578125" style="31" customWidth="1"/>
    <col min="7428" max="7428" width="16.42578125" style="31" bestFit="1" customWidth="1"/>
    <col min="7429" max="7429" width="3.42578125" style="31" customWidth="1"/>
    <col min="7430" max="7430" width="18.7109375" style="31" customWidth="1"/>
    <col min="7431" max="7431" width="3.42578125" style="31" customWidth="1"/>
    <col min="7432" max="7434" width="9" style="31"/>
    <col min="7435" max="7435" width="3.5703125" style="31" customWidth="1"/>
    <col min="7436" max="7437" width="9" style="31"/>
    <col min="7438" max="7438" width="8" style="31" customWidth="1"/>
    <col min="7439" max="7439" width="3.5703125" style="31" customWidth="1"/>
    <col min="7440" max="7440" width="6.7109375" style="31" bestFit="1" customWidth="1"/>
    <col min="7441" max="7441" width="2.7109375" style="31" customWidth="1"/>
    <col min="7442" max="7442" width="12.140625" style="31" bestFit="1" customWidth="1"/>
    <col min="7443" max="7443" width="3.28515625" style="31" customWidth="1"/>
    <col min="7444" max="7444" width="16.42578125" style="31" bestFit="1" customWidth="1"/>
    <col min="7445" max="7445" width="3.28515625" style="31" customWidth="1"/>
    <col min="7446" max="7446" width="20.7109375" style="31" bestFit="1" customWidth="1"/>
    <col min="7447" max="7447" width="2.140625" style="31" customWidth="1"/>
    <col min="7448" max="7679" width="9" style="31"/>
    <col min="7680" max="7680" width="30.140625" style="31" bestFit="1" customWidth="1"/>
    <col min="7681" max="7681" width="3.42578125" style="31" customWidth="1"/>
    <col min="7682" max="7682" width="9" style="31"/>
    <col min="7683" max="7683" width="3.42578125" style="31" customWidth="1"/>
    <col min="7684" max="7684" width="16.42578125" style="31" bestFit="1" customWidth="1"/>
    <col min="7685" max="7685" width="3.42578125" style="31" customWidth="1"/>
    <col min="7686" max="7686" width="18.7109375" style="31" customWidth="1"/>
    <col min="7687" max="7687" width="3.42578125" style="31" customWidth="1"/>
    <col min="7688" max="7690" width="9" style="31"/>
    <col min="7691" max="7691" width="3.5703125" style="31" customWidth="1"/>
    <col min="7692" max="7693" width="9" style="31"/>
    <col min="7694" max="7694" width="8" style="31" customWidth="1"/>
    <col min="7695" max="7695" width="3.5703125" style="31" customWidth="1"/>
    <col min="7696" max="7696" width="6.7109375" style="31" bestFit="1" customWidth="1"/>
    <col min="7697" max="7697" width="2.7109375" style="31" customWidth="1"/>
    <col min="7698" max="7698" width="12.140625" style="31" bestFit="1" customWidth="1"/>
    <col min="7699" max="7699" width="3.28515625" style="31" customWidth="1"/>
    <col min="7700" max="7700" width="16.42578125" style="31" bestFit="1" customWidth="1"/>
    <col min="7701" max="7701" width="3.28515625" style="31" customWidth="1"/>
    <col min="7702" max="7702" width="20.7109375" style="31" bestFit="1" customWidth="1"/>
    <col min="7703" max="7703" width="2.140625" style="31" customWidth="1"/>
    <col min="7704" max="7935" width="9" style="31"/>
    <col min="7936" max="7936" width="30.140625" style="31" bestFit="1" customWidth="1"/>
    <col min="7937" max="7937" width="3.42578125" style="31" customWidth="1"/>
    <col min="7938" max="7938" width="9" style="31"/>
    <col min="7939" max="7939" width="3.42578125" style="31" customWidth="1"/>
    <col min="7940" max="7940" width="16.42578125" style="31" bestFit="1" customWidth="1"/>
    <col min="7941" max="7941" width="3.42578125" style="31" customWidth="1"/>
    <col min="7942" max="7942" width="18.7109375" style="31" customWidth="1"/>
    <col min="7943" max="7943" width="3.42578125" style="31" customWidth="1"/>
    <col min="7944" max="7946" width="9" style="31"/>
    <col min="7947" max="7947" width="3.5703125" style="31" customWidth="1"/>
    <col min="7948" max="7949" width="9" style="31"/>
    <col min="7950" max="7950" width="8" style="31" customWidth="1"/>
    <col min="7951" max="7951" width="3.5703125" style="31" customWidth="1"/>
    <col min="7952" max="7952" width="6.7109375" style="31" bestFit="1" customWidth="1"/>
    <col min="7953" max="7953" width="2.7109375" style="31" customWidth="1"/>
    <col min="7954" max="7954" width="12.140625" style="31" bestFit="1" customWidth="1"/>
    <col min="7955" max="7955" width="3.28515625" style="31" customWidth="1"/>
    <col min="7956" max="7956" width="16.42578125" style="31" bestFit="1" customWidth="1"/>
    <col min="7957" max="7957" width="3.28515625" style="31" customWidth="1"/>
    <col min="7958" max="7958" width="20.7109375" style="31" bestFit="1" customWidth="1"/>
    <col min="7959" max="7959" width="2.140625" style="31" customWidth="1"/>
    <col min="7960" max="8191" width="9" style="31"/>
    <col min="8192" max="8192" width="30.140625" style="31" bestFit="1" customWidth="1"/>
    <col min="8193" max="8193" width="3.42578125" style="31" customWidth="1"/>
    <col min="8194" max="8194" width="9" style="31"/>
    <col min="8195" max="8195" width="3.42578125" style="31" customWidth="1"/>
    <col min="8196" max="8196" width="16.42578125" style="31" bestFit="1" customWidth="1"/>
    <col min="8197" max="8197" width="3.42578125" style="31" customWidth="1"/>
    <col min="8198" max="8198" width="18.7109375" style="31" customWidth="1"/>
    <col min="8199" max="8199" width="3.42578125" style="31" customWidth="1"/>
    <col min="8200" max="8202" width="9" style="31"/>
    <col min="8203" max="8203" width="3.5703125" style="31" customWidth="1"/>
    <col min="8204" max="8205" width="9" style="31"/>
    <col min="8206" max="8206" width="8" style="31" customWidth="1"/>
    <col min="8207" max="8207" width="3.5703125" style="31" customWidth="1"/>
    <col min="8208" max="8208" width="6.7109375" style="31" bestFit="1" customWidth="1"/>
    <col min="8209" max="8209" width="2.7109375" style="31" customWidth="1"/>
    <col min="8210" max="8210" width="12.140625" style="31" bestFit="1" customWidth="1"/>
    <col min="8211" max="8211" width="3.28515625" style="31" customWidth="1"/>
    <col min="8212" max="8212" width="16.42578125" style="31" bestFit="1" customWidth="1"/>
    <col min="8213" max="8213" width="3.28515625" style="31" customWidth="1"/>
    <col min="8214" max="8214" width="20.7109375" style="31" bestFit="1" customWidth="1"/>
    <col min="8215" max="8215" width="2.140625" style="31" customWidth="1"/>
    <col min="8216" max="8447" width="9" style="31"/>
    <col min="8448" max="8448" width="30.140625" style="31" bestFit="1" customWidth="1"/>
    <col min="8449" max="8449" width="3.42578125" style="31" customWidth="1"/>
    <col min="8450" max="8450" width="9" style="31"/>
    <col min="8451" max="8451" width="3.42578125" style="31" customWidth="1"/>
    <col min="8452" max="8452" width="16.42578125" style="31" bestFit="1" customWidth="1"/>
    <col min="8453" max="8453" width="3.42578125" style="31" customWidth="1"/>
    <col min="8454" max="8454" width="18.7109375" style="31" customWidth="1"/>
    <col min="8455" max="8455" width="3.42578125" style="31" customWidth="1"/>
    <col min="8456" max="8458" width="9" style="31"/>
    <col min="8459" max="8459" width="3.5703125" style="31" customWidth="1"/>
    <col min="8460" max="8461" width="9" style="31"/>
    <col min="8462" max="8462" width="8" style="31" customWidth="1"/>
    <col min="8463" max="8463" width="3.5703125" style="31" customWidth="1"/>
    <col min="8464" max="8464" width="6.7109375" style="31" bestFit="1" customWidth="1"/>
    <col min="8465" max="8465" width="2.7109375" style="31" customWidth="1"/>
    <col min="8466" max="8466" width="12.140625" style="31" bestFit="1" customWidth="1"/>
    <col min="8467" max="8467" width="3.28515625" style="31" customWidth="1"/>
    <col min="8468" max="8468" width="16.42578125" style="31" bestFit="1" customWidth="1"/>
    <col min="8469" max="8469" width="3.28515625" style="31" customWidth="1"/>
    <col min="8470" max="8470" width="20.7109375" style="31" bestFit="1" customWidth="1"/>
    <col min="8471" max="8471" width="2.140625" style="31" customWidth="1"/>
    <col min="8472" max="8703" width="9" style="31"/>
    <col min="8704" max="8704" width="30.140625" style="31" bestFit="1" customWidth="1"/>
    <col min="8705" max="8705" width="3.42578125" style="31" customWidth="1"/>
    <col min="8706" max="8706" width="9" style="31"/>
    <col min="8707" max="8707" width="3.42578125" style="31" customWidth="1"/>
    <col min="8708" max="8708" width="16.42578125" style="31" bestFit="1" customWidth="1"/>
    <col min="8709" max="8709" width="3.42578125" style="31" customWidth="1"/>
    <col min="8710" max="8710" width="18.7109375" style="31" customWidth="1"/>
    <col min="8711" max="8711" width="3.42578125" style="31" customWidth="1"/>
    <col min="8712" max="8714" width="9" style="31"/>
    <col min="8715" max="8715" width="3.5703125" style="31" customWidth="1"/>
    <col min="8716" max="8717" width="9" style="31"/>
    <col min="8718" max="8718" width="8" style="31" customWidth="1"/>
    <col min="8719" max="8719" width="3.5703125" style="31" customWidth="1"/>
    <col min="8720" max="8720" width="6.7109375" style="31" bestFit="1" customWidth="1"/>
    <col min="8721" max="8721" width="2.7109375" style="31" customWidth="1"/>
    <col min="8722" max="8722" width="12.140625" style="31" bestFit="1" customWidth="1"/>
    <col min="8723" max="8723" width="3.28515625" style="31" customWidth="1"/>
    <col min="8724" max="8724" width="16.42578125" style="31" bestFit="1" customWidth="1"/>
    <col min="8725" max="8725" width="3.28515625" style="31" customWidth="1"/>
    <col min="8726" max="8726" width="20.7109375" style="31" bestFit="1" customWidth="1"/>
    <col min="8727" max="8727" width="2.140625" style="31" customWidth="1"/>
    <col min="8728" max="8959" width="9" style="31"/>
    <col min="8960" max="8960" width="30.140625" style="31" bestFit="1" customWidth="1"/>
    <col min="8961" max="8961" width="3.42578125" style="31" customWidth="1"/>
    <col min="8962" max="8962" width="9" style="31"/>
    <col min="8963" max="8963" width="3.42578125" style="31" customWidth="1"/>
    <col min="8964" max="8964" width="16.42578125" style="31" bestFit="1" customWidth="1"/>
    <col min="8965" max="8965" width="3.42578125" style="31" customWidth="1"/>
    <col min="8966" max="8966" width="18.7109375" style="31" customWidth="1"/>
    <col min="8967" max="8967" width="3.42578125" style="31" customWidth="1"/>
    <col min="8968" max="8970" width="9" style="31"/>
    <col min="8971" max="8971" width="3.5703125" style="31" customWidth="1"/>
    <col min="8972" max="8973" width="9" style="31"/>
    <col min="8974" max="8974" width="8" style="31" customWidth="1"/>
    <col min="8975" max="8975" width="3.5703125" style="31" customWidth="1"/>
    <col min="8976" max="8976" width="6.7109375" style="31" bestFit="1" customWidth="1"/>
    <col min="8977" max="8977" width="2.7109375" style="31" customWidth="1"/>
    <col min="8978" max="8978" width="12.140625" style="31" bestFit="1" customWidth="1"/>
    <col min="8979" max="8979" width="3.28515625" style="31" customWidth="1"/>
    <col min="8980" max="8980" width="16.42578125" style="31" bestFit="1" customWidth="1"/>
    <col min="8981" max="8981" width="3.28515625" style="31" customWidth="1"/>
    <col min="8982" max="8982" width="20.7109375" style="31" bestFit="1" customWidth="1"/>
    <col min="8983" max="8983" width="2.140625" style="31" customWidth="1"/>
    <col min="8984" max="9215" width="9" style="31"/>
    <col min="9216" max="9216" width="30.140625" style="31" bestFit="1" customWidth="1"/>
    <col min="9217" max="9217" width="3.42578125" style="31" customWidth="1"/>
    <col min="9218" max="9218" width="9" style="31"/>
    <col min="9219" max="9219" width="3.42578125" style="31" customWidth="1"/>
    <col min="9220" max="9220" width="16.42578125" style="31" bestFit="1" customWidth="1"/>
    <col min="9221" max="9221" width="3.42578125" style="31" customWidth="1"/>
    <col min="9222" max="9222" width="18.7109375" style="31" customWidth="1"/>
    <col min="9223" max="9223" width="3.42578125" style="31" customWidth="1"/>
    <col min="9224" max="9226" width="9" style="31"/>
    <col min="9227" max="9227" width="3.5703125" style="31" customWidth="1"/>
    <col min="9228" max="9229" width="9" style="31"/>
    <col min="9230" max="9230" width="8" style="31" customWidth="1"/>
    <col min="9231" max="9231" width="3.5703125" style="31" customWidth="1"/>
    <col min="9232" max="9232" width="6.7109375" style="31" bestFit="1" customWidth="1"/>
    <col min="9233" max="9233" width="2.7109375" style="31" customWidth="1"/>
    <col min="9234" max="9234" width="12.140625" style="31" bestFit="1" customWidth="1"/>
    <col min="9235" max="9235" width="3.28515625" style="31" customWidth="1"/>
    <col min="9236" max="9236" width="16.42578125" style="31" bestFit="1" customWidth="1"/>
    <col min="9237" max="9237" width="3.28515625" style="31" customWidth="1"/>
    <col min="9238" max="9238" width="20.7109375" style="31" bestFit="1" customWidth="1"/>
    <col min="9239" max="9239" width="2.140625" style="31" customWidth="1"/>
    <col min="9240" max="9471" width="9" style="31"/>
    <col min="9472" max="9472" width="30.140625" style="31" bestFit="1" customWidth="1"/>
    <col min="9473" max="9473" width="3.42578125" style="31" customWidth="1"/>
    <col min="9474" max="9474" width="9" style="31"/>
    <col min="9475" max="9475" width="3.42578125" style="31" customWidth="1"/>
    <col min="9476" max="9476" width="16.42578125" style="31" bestFit="1" customWidth="1"/>
    <col min="9477" max="9477" width="3.42578125" style="31" customWidth="1"/>
    <col min="9478" max="9478" width="18.7109375" style="31" customWidth="1"/>
    <col min="9479" max="9479" width="3.42578125" style="31" customWidth="1"/>
    <col min="9480" max="9482" width="9" style="31"/>
    <col min="9483" max="9483" width="3.5703125" style="31" customWidth="1"/>
    <col min="9484" max="9485" width="9" style="31"/>
    <col min="9486" max="9486" width="8" style="31" customWidth="1"/>
    <col min="9487" max="9487" width="3.5703125" style="31" customWidth="1"/>
    <col min="9488" max="9488" width="6.7109375" style="31" bestFit="1" customWidth="1"/>
    <col min="9489" max="9489" width="2.7109375" style="31" customWidth="1"/>
    <col min="9490" max="9490" width="12.140625" style="31" bestFit="1" customWidth="1"/>
    <col min="9491" max="9491" width="3.28515625" style="31" customWidth="1"/>
    <col min="9492" max="9492" width="16.42578125" style="31" bestFit="1" customWidth="1"/>
    <col min="9493" max="9493" width="3.28515625" style="31" customWidth="1"/>
    <col min="9494" max="9494" width="20.7109375" style="31" bestFit="1" customWidth="1"/>
    <col min="9495" max="9495" width="2.140625" style="31" customWidth="1"/>
    <col min="9496" max="9727" width="9" style="31"/>
    <col min="9728" max="9728" width="30.140625" style="31" bestFit="1" customWidth="1"/>
    <col min="9729" max="9729" width="3.42578125" style="31" customWidth="1"/>
    <col min="9730" max="9730" width="9" style="31"/>
    <col min="9731" max="9731" width="3.42578125" style="31" customWidth="1"/>
    <col min="9732" max="9732" width="16.42578125" style="31" bestFit="1" customWidth="1"/>
    <col min="9733" max="9733" width="3.42578125" style="31" customWidth="1"/>
    <col min="9734" max="9734" width="18.7109375" style="31" customWidth="1"/>
    <col min="9735" max="9735" width="3.42578125" style="31" customWidth="1"/>
    <col min="9736" max="9738" width="9" style="31"/>
    <col min="9739" max="9739" width="3.5703125" style="31" customWidth="1"/>
    <col min="9740" max="9741" width="9" style="31"/>
    <col min="9742" max="9742" width="8" style="31" customWidth="1"/>
    <col min="9743" max="9743" width="3.5703125" style="31" customWidth="1"/>
    <col min="9744" max="9744" width="6.7109375" style="31" bestFit="1" customWidth="1"/>
    <col min="9745" max="9745" width="2.7109375" style="31" customWidth="1"/>
    <col min="9746" max="9746" width="12.140625" style="31" bestFit="1" customWidth="1"/>
    <col min="9747" max="9747" width="3.28515625" style="31" customWidth="1"/>
    <col min="9748" max="9748" width="16.42578125" style="31" bestFit="1" customWidth="1"/>
    <col min="9749" max="9749" width="3.28515625" style="31" customWidth="1"/>
    <col min="9750" max="9750" width="20.7109375" style="31" bestFit="1" customWidth="1"/>
    <col min="9751" max="9751" width="2.140625" style="31" customWidth="1"/>
    <col min="9752" max="9983" width="9" style="31"/>
    <col min="9984" max="9984" width="30.140625" style="31" bestFit="1" customWidth="1"/>
    <col min="9985" max="9985" width="3.42578125" style="31" customWidth="1"/>
    <col min="9986" max="9986" width="9" style="31"/>
    <col min="9987" max="9987" width="3.42578125" style="31" customWidth="1"/>
    <col min="9988" max="9988" width="16.42578125" style="31" bestFit="1" customWidth="1"/>
    <col min="9989" max="9989" width="3.42578125" style="31" customWidth="1"/>
    <col min="9990" max="9990" width="18.7109375" style="31" customWidth="1"/>
    <col min="9991" max="9991" width="3.42578125" style="31" customWidth="1"/>
    <col min="9992" max="9994" width="9" style="31"/>
    <col min="9995" max="9995" width="3.5703125" style="31" customWidth="1"/>
    <col min="9996" max="9997" width="9" style="31"/>
    <col min="9998" max="9998" width="8" style="31" customWidth="1"/>
    <col min="9999" max="9999" width="3.5703125" style="31" customWidth="1"/>
    <col min="10000" max="10000" width="6.7109375" style="31" bestFit="1" customWidth="1"/>
    <col min="10001" max="10001" width="2.7109375" style="31" customWidth="1"/>
    <col min="10002" max="10002" width="12.140625" style="31" bestFit="1" customWidth="1"/>
    <col min="10003" max="10003" width="3.28515625" style="31" customWidth="1"/>
    <col min="10004" max="10004" width="16.42578125" style="31" bestFit="1" customWidth="1"/>
    <col min="10005" max="10005" width="3.28515625" style="31" customWidth="1"/>
    <col min="10006" max="10006" width="20.7109375" style="31" bestFit="1" customWidth="1"/>
    <col min="10007" max="10007" width="2.140625" style="31" customWidth="1"/>
    <col min="10008" max="10239" width="9" style="31"/>
    <col min="10240" max="10240" width="30.140625" style="31" bestFit="1" customWidth="1"/>
    <col min="10241" max="10241" width="3.42578125" style="31" customWidth="1"/>
    <col min="10242" max="10242" width="9" style="31"/>
    <col min="10243" max="10243" width="3.42578125" style="31" customWidth="1"/>
    <col min="10244" max="10244" width="16.42578125" style="31" bestFit="1" customWidth="1"/>
    <col min="10245" max="10245" width="3.42578125" style="31" customWidth="1"/>
    <col min="10246" max="10246" width="18.7109375" style="31" customWidth="1"/>
    <col min="10247" max="10247" width="3.42578125" style="31" customWidth="1"/>
    <col min="10248" max="10250" width="9" style="31"/>
    <col min="10251" max="10251" width="3.5703125" style="31" customWidth="1"/>
    <col min="10252" max="10253" width="9" style="31"/>
    <col min="10254" max="10254" width="8" style="31" customWidth="1"/>
    <col min="10255" max="10255" width="3.5703125" style="31" customWidth="1"/>
    <col min="10256" max="10256" width="6.7109375" style="31" bestFit="1" customWidth="1"/>
    <col min="10257" max="10257" width="2.7109375" style="31" customWidth="1"/>
    <col min="10258" max="10258" width="12.140625" style="31" bestFit="1" customWidth="1"/>
    <col min="10259" max="10259" width="3.28515625" style="31" customWidth="1"/>
    <col min="10260" max="10260" width="16.42578125" style="31" bestFit="1" customWidth="1"/>
    <col min="10261" max="10261" width="3.28515625" style="31" customWidth="1"/>
    <col min="10262" max="10262" width="20.7109375" style="31" bestFit="1" customWidth="1"/>
    <col min="10263" max="10263" width="2.140625" style="31" customWidth="1"/>
    <col min="10264" max="10495" width="9" style="31"/>
    <col min="10496" max="10496" width="30.140625" style="31" bestFit="1" customWidth="1"/>
    <col min="10497" max="10497" width="3.42578125" style="31" customWidth="1"/>
    <col min="10498" max="10498" width="9" style="31"/>
    <col min="10499" max="10499" width="3.42578125" style="31" customWidth="1"/>
    <col min="10500" max="10500" width="16.42578125" style="31" bestFit="1" customWidth="1"/>
    <col min="10501" max="10501" width="3.42578125" style="31" customWidth="1"/>
    <col min="10502" max="10502" width="18.7109375" style="31" customWidth="1"/>
    <col min="10503" max="10503" width="3.42578125" style="31" customWidth="1"/>
    <col min="10504" max="10506" width="9" style="31"/>
    <col min="10507" max="10507" width="3.5703125" style="31" customWidth="1"/>
    <col min="10508" max="10509" width="9" style="31"/>
    <col min="10510" max="10510" width="8" style="31" customWidth="1"/>
    <col min="10511" max="10511" width="3.5703125" style="31" customWidth="1"/>
    <col min="10512" max="10512" width="6.7109375" style="31" bestFit="1" customWidth="1"/>
    <col min="10513" max="10513" width="2.7109375" style="31" customWidth="1"/>
    <col min="10514" max="10514" width="12.140625" style="31" bestFit="1" customWidth="1"/>
    <col min="10515" max="10515" width="3.28515625" style="31" customWidth="1"/>
    <col min="10516" max="10516" width="16.42578125" style="31" bestFit="1" customWidth="1"/>
    <col min="10517" max="10517" width="3.28515625" style="31" customWidth="1"/>
    <col min="10518" max="10518" width="20.7109375" style="31" bestFit="1" customWidth="1"/>
    <col min="10519" max="10519" width="2.140625" style="31" customWidth="1"/>
    <col min="10520" max="10751" width="9" style="31"/>
    <col min="10752" max="10752" width="30.140625" style="31" bestFit="1" customWidth="1"/>
    <col min="10753" max="10753" width="3.42578125" style="31" customWidth="1"/>
    <col min="10754" max="10754" width="9" style="31"/>
    <col min="10755" max="10755" width="3.42578125" style="31" customWidth="1"/>
    <col min="10756" max="10756" width="16.42578125" style="31" bestFit="1" customWidth="1"/>
    <col min="10757" max="10757" width="3.42578125" style="31" customWidth="1"/>
    <col min="10758" max="10758" width="18.7109375" style="31" customWidth="1"/>
    <col min="10759" max="10759" width="3.42578125" style="31" customWidth="1"/>
    <col min="10760" max="10762" width="9" style="31"/>
    <col min="10763" max="10763" width="3.5703125" style="31" customWidth="1"/>
    <col min="10764" max="10765" width="9" style="31"/>
    <col min="10766" max="10766" width="8" style="31" customWidth="1"/>
    <col min="10767" max="10767" width="3.5703125" style="31" customWidth="1"/>
    <col min="10768" max="10768" width="6.7109375" style="31" bestFit="1" customWidth="1"/>
    <col min="10769" max="10769" width="2.7109375" style="31" customWidth="1"/>
    <col min="10770" max="10770" width="12.140625" style="31" bestFit="1" customWidth="1"/>
    <col min="10771" max="10771" width="3.28515625" style="31" customWidth="1"/>
    <col min="10772" max="10772" width="16.42578125" style="31" bestFit="1" customWidth="1"/>
    <col min="10773" max="10773" width="3.28515625" style="31" customWidth="1"/>
    <col min="10774" max="10774" width="20.7109375" style="31" bestFit="1" customWidth="1"/>
    <col min="10775" max="10775" width="2.140625" style="31" customWidth="1"/>
    <col min="10776" max="11007" width="9" style="31"/>
    <col min="11008" max="11008" width="30.140625" style="31" bestFit="1" customWidth="1"/>
    <col min="11009" max="11009" width="3.42578125" style="31" customWidth="1"/>
    <col min="11010" max="11010" width="9" style="31"/>
    <col min="11011" max="11011" width="3.42578125" style="31" customWidth="1"/>
    <col min="11012" max="11012" width="16.42578125" style="31" bestFit="1" customWidth="1"/>
    <col min="11013" max="11013" width="3.42578125" style="31" customWidth="1"/>
    <col min="11014" max="11014" width="18.7109375" style="31" customWidth="1"/>
    <col min="11015" max="11015" width="3.42578125" style="31" customWidth="1"/>
    <col min="11016" max="11018" width="9" style="31"/>
    <col min="11019" max="11019" width="3.5703125" style="31" customWidth="1"/>
    <col min="11020" max="11021" width="9" style="31"/>
    <col min="11022" max="11022" width="8" style="31" customWidth="1"/>
    <col min="11023" max="11023" width="3.5703125" style="31" customWidth="1"/>
    <col min="11024" max="11024" width="6.7109375" style="31" bestFit="1" customWidth="1"/>
    <col min="11025" max="11025" width="2.7109375" style="31" customWidth="1"/>
    <col min="11026" max="11026" width="12.140625" style="31" bestFit="1" customWidth="1"/>
    <col min="11027" max="11027" width="3.28515625" style="31" customWidth="1"/>
    <col min="11028" max="11028" width="16.42578125" style="31" bestFit="1" customWidth="1"/>
    <col min="11029" max="11029" width="3.28515625" style="31" customWidth="1"/>
    <col min="11030" max="11030" width="20.7109375" style="31" bestFit="1" customWidth="1"/>
    <col min="11031" max="11031" width="2.140625" style="31" customWidth="1"/>
    <col min="11032" max="11263" width="9" style="31"/>
    <col min="11264" max="11264" width="30.140625" style="31" bestFit="1" customWidth="1"/>
    <col min="11265" max="11265" width="3.42578125" style="31" customWidth="1"/>
    <col min="11266" max="11266" width="9" style="31"/>
    <col min="11267" max="11267" width="3.42578125" style="31" customWidth="1"/>
    <col min="11268" max="11268" width="16.42578125" style="31" bestFit="1" customWidth="1"/>
    <col min="11269" max="11269" width="3.42578125" style="31" customWidth="1"/>
    <col min="11270" max="11270" width="18.7109375" style="31" customWidth="1"/>
    <col min="11271" max="11271" width="3.42578125" style="31" customWidth="1"/>
    <col min="11272" max="11274" width="9" style="31"/>
    <col min="11275" max="11275" width="3.5703125" style="31" customWidth="1"/>
    <col min="11276" max="11277" width="9" style="31"/>
    <col min="11278" max="11278" width="8" style="31" customWidth="1"/>
    <col min="11279" max="11279" width="3.5703125" style="31" customWidth="1"/>
    <col min="11280" max="11280" width="6.7109375" style="31" bestFit="1" customWidth="1"/>
    <col min="11281" max="11281" width="2.7109375" style="31" customWidth="1"/>
    <col min="11282" max="11282" width="12.140625" style="31" bestFit="1" customWidth="1"/>
    <col min="11283" max="11283" width="3.28515625" style="31" customWidth="1"/>
    <col min="11284" max="11284" width="16.42578125" style="31" bestFit="1" customWidth="1"/>
    <col min="11285" max="11285" width="3.28515625" style="31" customWidth="1"/>
    <col min="11286" max="11286" width="20.7109375" style="31" bestFit="1" customWidth="1"/>
    <col min="11287" max="11287" width="2.140625" style="31" customWidth="1"/>
    <col min="11288" max="11519" width="9" style="31"/>
    <col min="11520" max="11520" width="30.140625" style="31" bestFit="1" customWidth="1"/>
    <col min="11521" max="11521" width="3.42578125" style="31" customWidth="1"/>
    <col min="11522" max="11522" width="9" style="31"/>
    <col min="11523" max="11523" width="3.42578125" style="31" customWidth="1"/>
    <col min="11524" max="11524" width="16.42578125" style="31" bestFit="1" customWidth="1"/>
    <col min="11525" max="11525" width="3.42578125" style="31" customWidth="1"/>
    <col min="11526" max="11526" width="18.7109375" style="31" customWidth="1"/>
    <col min="11527" max="11527" width="3.42578125" style="31" customWidth="1"/>
    <col min="11528" max="11530" width="9" style="31"/>
    <col min="11531" max="11531" width="3.5703125" style="31" customWidth="1"/>
    <col min="11532" max="11533" width="9" style="31"/>
    <col min="11534" max="11534" width="8" style="31" customWidth="1"/>
    <col min="11535" max="11535" width="3.5703125" style="31" customWidth="1"/>
    <col min="11536" max="11536" width="6.7109375" style="31" bestFit="1" customWidth="1"/>
    <col min="11537" max="11537" width="2.7109375" style="31" customWidth="1"/>
    <col min="11538" max="11538" width="12.140625" style="31" bestFit="1" customWidth="1"/>
    <col min="11539" max="11539" width="3.28515625" style="31" customWidth="1"/>
    <col min="11540" max="11540" width="16.42578125" style="31" bestFit="1" customWidth="1"/>
    <col min="11541" max="11541" width="3.28515625" style="31" customWidth="1"/>
    <col min="11542" max="11542" width="20.7109375" style="31" bestFit="1" customWidth="1"/>
    <col min="11543" max="11543" width="2.140625" style="31" customWidth="1"/>
    <col min="11544" max="11775" width="9" style="31"/>
    <col min="11776" max="11776" width="30.140625" style="31" bestFit="1" customWidth="1"/>
    <col min="11777" max="11777" width="3.42578125" style="31" customWidth="1"/>
    <col min="11778" max="11778" width="9" style="31"/>
    <col min="11779" max="11779" width="3.42578125" style="31" customWidth="1"/>
    <col min="11780" max="11780" width="16.42578125" style="31" bestFit="1" customWidth="1"/>
    <col min="11781" max="11781" width="3.42578125" style="31" customWidth="1"/>
    <col min="11782" max="11782" width="18.7109375" style="31" customWidth="1"/>
    <col min="11783" max="11783" width="3.42578125" style="31" customWidth="1"/>
    <col min="11784" max="11786" width="9" style="31"/>
    <col min="11787" max="11787" width="3.5703125" style="31" customWidth="1"/>
    <col min="11788" max="11789" width="9" style="31"/>
    <col min="11790" max="11790" width="8" style="31" customWidth="1"/>
    <col min="11791" max="11791" width="3.5703125" style="31" customWidth="1"/>
    <col min="11792" max="11792" width="6.7109375" style="31" bestFit="1" customWidth="1"/>
    <col min="11793" max="11793" width="2.7109375" style="31" customWidth="1"/>
    <col min="11794" max="11794" width="12.140625" style="31" bestFit="1" customWidth="1"/>
    <col min="11795" max="11795" width="3.28515625" style="31" customWidth="1"/>
    <col min="11796" max="11796" width="16.42578125" style="31" bestFit="1" customWidth="1"/>
    <col min="11797" max="11797" width="3.28515625" style="31" customWidth="1"/>
    <col min="11798" max="11798" width="20.7109375" style="31" bestFit="1" customWidth="1"/>
    <col min="11799" max="11799" width="2.140625" style="31" customWidth="1"/>
    <col min="11800" max="12031" width="9" style="31"/>
    <col min="12032" max="12032" width="30.140625" style="31" bestFit="1" customWidth="1"/>
    <col min="12033" max="12033" width="3.42578125" style="31" customWidth="1"/>
    <col min="12034" max="12034" width="9" style="31"/>
    <col min="12035" max="12035" width="3.42578125" style="31" customWidth="1"/>
    <col min="12036" max="12036" width="16.42578125" style="31" bestFit="1" customWidth="1"/>
    <col min="12037" max="12037" width="3.42578125" style="31" customWidth="1"/>
    <col min="12038" max="12038" width="18.7109375" style="31" customWidth="1"/>
    <col min="12039" max="12039" width="3.42578125" style="31" customWidth="1"/>
    <col min="12040" max="12042" width="9" style="31"/>
    <col min="12043" max="12043" width="3.5703125" style="31" customWidth="1"/>
    <col min="12044" max="12045" width="9" style="31"/>
    <col min="12046" max="12046" width="8" style="31" customWidth="1"/>
    <col min="12047" max="12047" width="3.5703125" style="31" customWidth="1"/>
    <col min="12048" max="12048" width="6.7109375" style="31" bestFit="1" customWidth="1"/>
    <col min="12049" max="12049" width="2.7109375" style="31" customWidth="1"/>
    <col min="12050" max="12050" width="12.140625" style="31" bestFit="1" customWidth="1"/>
    <col min="12051" max="12051" width="3.28515625" style="31" customWidth="1"/>
    <col min="12052" max="12052" width="16.42578125" style="31" bestFit="1" customWidth="1"/>
    <col min="12053" max="12053" width="3.28515625" style="31" customWidth="1"/>
    <col min="12054" max="12054" width="20.7109375" style="31" bestFit="1" customWidth="1"/>
    <col min="12055" max="12055" width="2.140625" style="31" customWidth="1"/>
    <col min="12056" max="12287" width="9" style="31"/>
    <col min="12288" max="12288" width="30.140625" style="31" bestFit="1" customWidth="1"/>
    <col min="12289" max="12289" width="3.42578125" style="31" customWidth="1"/>
    <col min="12290" max="12290" width="9" style="31"/>
    <col min="12291" max="12291" width="3.42578125" style="31" customWidth="1"/>
    <col min="12292" max="12292" width="16.42578125" style="31" bestFit="1" customWidth="1"/>
    <col min="12293" max="12293" width="3.42578125" style="31" customWidth="1"/>
    <col min="12294" max="12294" width="18.7109375" style="31" customWidth="1"/>
    <col min="12295" max="12295" width="3.42578125" style="31" customWidth="1"/>
    <col min="12296" max="12298" width="9" style="31"/>
    <col min="12299" max="12299" width="3.5703125" style="31" customWidth="1"/>
    <col min="12300" max="12301" width="9" style="31"/>
    <col min="12302" max="12302" width="8" style="31" customWidth="1"/>
    <col min="12303" max="12303" width="3.5703125" style="31" customWidth="1"/>
    <col min="12304" max="12304" width="6.7109375" style="31" bestFit="1" customWidth="1"/>
    <col min="12305" max="12305" width="2.7109375" style="31" customWidth="1"/>
    <col min="12306" max="12306" width="12.140625" style="31" bestFit="1" customWidth="1"/>
    <col min="12307" max="12307" width="3.28515625" style="31" customWidth="1"/>
    <col min="12308" max="12308" width="16.42578125" style="31" bestFit="1" customWidth="1"/>
    <col min="12309" max="12309" width="3.28515625" style="31" customWidth="1"/>
    <col min="12310" max="12310" width="20.7109375" style="31" bestFit="1" customWidth="1"/>
    <col min="12311" max="12311" width="2.140625" style="31" customWidth="1"/>
    <col min="12312" max="12543" width="9" style="31"/>
    <col min="12544" max="12544" width="30.140625" style="31" bestFit="1" customWidth="1"/>
    <col min="12545" max="12545" width="3.42578125" style="31" customWidth="1"/>
    <col min="12546" max="12546" width="9" style="31"/>
    <col min="12547" max="12547" width="3.42578125" style="31" customWidth="1"/>
    <col min="12548" max="12548" width="16.42578125" style="31" bestFit="1" customWidth="1"/>
    <col min="12549" max="12549" width="3.42578125" style="31" customWidth="1"/>
    <col min="12550" max="12550" width="18.7109375" style="31" customWidth="1"/>
    <col min="12551" max="12551" width="3.42578125" style="31" customWidth="1"/>
    <col min="12552" max="12554" width="9" style="31"/>
    <col min="12555" max="12555" width="3.5703125" style="31" customWidth="1"/>
    <col min="12556" max="12557" width="9" style="31"/>
    <col min="12558" max="12558" width="8" style="31" customWidth="1"/>
    <col min="12559" max="12559" width="3.5703125" style="31" customWidth="1"/>
    <col min="12560" max="12560" width="6.7109375" style="31" bestFit="1" customWidth="1"/>
    <col min="12561" max="12561" width="2.7109375" style="31" customWidth="1"/>
    <col min="12562" max="12562" width="12.140625" style="31" bestFit="1" customWidth="1"/>
    <col min="12563" max="12563" width="3.28515625" style="31" customWidth="1"/>
    <col min="12564" max="12564" width="16.42578125" style="31" bestFit="1" customWidth="1"/>
    <col min="12565" max="12565" width="3.28515625" style="31" customWidth="1"/>
    <col min="12566" max="12566" width="20.7109375" style="31" bestFit="1" customWidth="1"/>
    <col min="12567" max="12567" width="2.140625" style="31" customWidth="1"/>
    <col min="12568" max="12799" width="9" style="31"/>
    <col min="12800" max="12800" width="30.140625" style="31" bestFit="1" customWidth="1"/>
    <col min="12801" max="12801" width="3.42578125" style="31" customWidth="1"/>
    <col min="12802" max="12802" width="9" style="31"/>
    <col min="12803" max="12803" width="3.42578125" style="31" customWidth="1"/>
    <col min="12804" max="12804" width="16.42578125" style="31" bestFit="1" customWidth="1"/>
    <col min="12805" max="12805" width="3.42578125" style="31" customWidth="1"/>
    <col min="12806" max="12806" width="18.7109375" style="31" customWidth="1"/>
    <col min="12807" max="12807" width="3.42578125" style="31" customWidth="1"/>
    <col min="12808" max="12810" width="9" style="31"/>
    <col min="12811" max="12811" width="3.5703125" style="31" customWidth="1"/>
    <col min="12812" max="12813" width="9" style="31"/>
    <col min="12814" max="12814" width="8" style="31" customWidth="1"/>
    <col min="12815" max="12815" width="3.5703125" style="31" customWidth="1"/>
    <col min="12816" max="12816" width="6.7109375" style="31" bestFit="1" customWidth="1"/>
    <col min="12817" max="12817" width="2.7109375" style="31" customWidth="1"/>
    <col min="12818" max="12818" width="12.140625" style="31" bestFit="1" customWidth="1"/>
    <col min="12819" max="12819" width="3.28515625" style="31" customWidth="1"/>
    <col min="12820" max="12820" width="16.42578125" style="31" bestFit="1" customWidth="1"/>
    <col min="12821" max="12821" width="3.28515625" style="31" customWidth="1"/>
    <col min="12822" max="12822" width="20.7109375" style="31" bestFit="1" customWidth="1"/>
    <col min="12823" max="12823" width="2.140625" style="31" customWidth="1"/>
    <col min="12824" max="13055" width="9" style="31"/>
    <col min="13056" max="13056" width="30.140625" style="31" bestFit="1" customWidth="1"/>
    <col min="13057" max="13057" width="3.42578125" style="31" customWidth="1"/>
    <col min="13058" max="13058" width="9" style="31"/>
    <col min="13059" max="13059" width="3.42578125" style="31" customWidth="1"/>
    <col min="13060" max="13060" width="16.42578125" style="31" bestFit="1" customWidth="1"/>
    <col min="13061" max="13061" width="3.42578125" style="31" customWidth="1"/>
    <col min="13062" max="13062" width="18.7109375" style="31" customWidth="1"/>
    <col min="13063" max="13063" width="3.42578125" style="31" customWidth="1"/>
    <col min="13064" max="13066" width="9" style="31"/>
    <col min="13067" max="13067" width="3.5703125" style="31" customWidth="1"/>
    <col min="13068" max="13069" width="9" style="31"/>
    <col min="13070" max="13070" width="8" style="31" customWidth="1"/>
    <col min="13071" max="13071" width="3.5703125" style="31" customWidth="1"/>
    <col min="13072" max="13072" width="6.7109375" style="31" bestFit="1" customWidth="1"/>
    <col min="13073" max="13073" width="2.7109375" style="31" customWidth="1"/>
    <col min="13074" max="13074" width="12.140625" style="31" bestFit="1" customWidth="1"/>
    <col min="13075" max="13075" width="3.28515625" style="31" customWidth="1"/>
    <col min="13076" max="13076" width="16.42578125" style="31" bestFit="1" customWidth="1"/>
    <col min="13077" max="13077" width="3.28515625" style="31" customWidth="1"/>
    <col min="13078" max="13078" width="20.7109375" style="31" bestFit="1" customWidth="1"/>
    <col min="13079" max="13079" width="2.140625" style="31" customWidth="1"/>
    <col min="13080" max="13311" width="9" style="31"/>
    <col min="13312" max="13312" width="30.140625" style="31" bestFit="1" customWidth="1"/>
    <col min="13313" max="13313" width="3.42578125" style="31" customWidth="1"/>
    <col min="13314" max="13314" width="9" style="31"/>
    <col min="13315" max="13315" width="3.42578125" style="31" customWidth="1"/>
    <col min="13316" max="13316" width="16.42578125" style="31" bestFit="1" customWidth="1"/>
    <col min="13317" max="13317" width="3.42578125" style="31" customWidth="1"/>
    <col min="13318" max="13318" width="18.7109375" style="31" customWidth="1"/>
    <col min="13319" max="13319" width="3.42578125" style="31" customWidth="1"/>
    <col min="13320" max="13322" width="9" style="31"/>
    <col min="13323" max="13323" width="3.5703125" style="31" customWidth="1"/>
    <col min="13324" max="13325" width="9" style="31"/>
    <col min="13326" max="13326" width="8" style="31" customWidth="1"/>
    <col min="13327" max="13327" width="3.5703125" style="31" customWidth="1"/>
    <col min="13328" max="13328" width="6.7109375" style="31" bestFit="1" customWidth="1"/>
    <col min="13329" max="13329" width="2.7109375" style="31" customWidth="1"/>
    <col min="13330" max="13330" width="12.140625" style="31" bestFit="1" customWidth="1"/>
    <col min="13331" max="13331" width="3.28515625" style="31" customWidth="1"/>
    <col min="13332" max="13332" width="16.42578125" style="31" bestFit="1" customWidth="1"/>
    <col min="13333" max="13333" width="3.28515625" style="31" customWidth="1"/>
    <col min="13334" max="13334" width="20.7109375" style="31" bestFit="1" customWidth="1"/>
    <col min="13335" max="13335" width="2.140625" style="31" customWidth="1"/>
    <col min="13336" max="13567" width="9" style="31"/>
    <col min="13568" max="13568" width="30.140625" style="31" bestFit="1" customWidth="1"/>
    <col min="13569" max="13569" width="3.42578125" style="31" customWidth="1"/>
    <col min="13570" max="13570" width="9" style="31"/>
    <col min="13571" max="13571" width="3.42578125" style="31" customWidth="1"/>
    <col min="13572" max="13572" width="16.42578125" style="31" bestFit="1" customWidth="1"/>
    <col min="13573" max="13573" width="3.42578125" style="31" customWidth="1"/>
    <col min="13574" max="13574" width="18.7109375" style="31" customWidth="1"/>
    <col min="13575" max="13575" width="3.42578125" style="31" customWidth="1"/>
    <col min="13576" max="13578" width="9" style="31"/>
    <col min="13579" max="13579" width="3.5703125" style="31" customWidth="1"/>
    <col min="13580" max="13581" width="9" style="31"/>
    <col min="13582" max="13582" width="8" style="31" customWidth="1"/>
    <col min="13583" max="13583" width="3.5703125" style="31" customWidth="1"/>
    <col min="13584" max="13584" width="6.7109375" style="31" bestFit="1" customWidth="1"/>
    <col min="13585" max="13585" width="2.7109375" style="31" customWidth="1"/>
    <col min="13586" max="13586" width="12.140625" style="31" bestFit="1" customWidth="1"/>
    <col min="13587" max="13587" width="3.28515625" style="31" customWidth="1"/>
    <col min="13588" max="13588" width="16.42578125" style="31" bestFit="1" customWidth="1"/>
    <col min="13589" max="13589" width="3.28515625" style="31" customWidth="1"/>
    <col min="13590" max="13590" width="20.7109375" style="31" bestFit="1" customWidth="1"/>
    <col min="13591" max="13591" width="2.140625" style="31" customWidth="1"/>
    <col min="13592" max="13823" width="9" style="31"/>
    <col min="13824" max="13824" width="30.140625" style="31" bestFit="1" customWidth="1"/>
    <col min="13825" max="13825" width="3.42578125" style="31" customWidth="1"/>
    <col min="13826" max="13826" width="9" style="31"/>
    <col min="13827" max="13827" width="3.42578125" style="31" customWidth="1"/>
    <col min="13828" max="13828" width="16.42578125" style="31" bestFit="1" customWidth="1"/>
    <col min="13829" max="13829" width="3.42578125" style="31" customWidth="1"/>
    <col min="13830" max="13830" width="18.7109375" style="31" customWidth="1"/>
    <col min="13831" max="13831" width="3.42578125" style="31" customWidth="1"/>
    <col min="13832" max="13834" width="9" style="31"/>
    <col min="13835" max="13835" width="3.5703125" style="31" customWidth="1"/>
    <col min="13836" max="13837" width="9" style="31"/>
    <col min="13838" max="13838" width="8" style="31" customWidth="1"/>
    <col min="13839" max="13839" width="3.5703125" style="31" customWidth="1"/>
    <col min="13840" max="13840" width="6.7109375" style="31" bestFit="1" customWidth="1"/>
    <col min="13841" max="13841" width="2.7109375" style="31" customWidth="1"/>
    <col min="13842" max="13842" width="12.140625" style="31" bestFit="1" customWidth="1"/>
    <col min="13843" max="13843" width="3.28515625" style="31" customWidth="1"/>
    <col min="13844" max="13844" width="16.42578125" style="31" bestFit="1" customWidth="1"/>
    <col min="13845" max="13845" width="3.28515625" style="31" customWidth="1"/>
    <col min="13846" max="13846" width="20.7109375" style="31" bestFit="1" customWidth="1"/>
    <col min="13847" max="13847" width="2.140625" style="31" customWidth="1"/>
    <col min="13848" max="14079" width="9" style="31"/>
    <col min="14080" max="14080" width="30.140625" style="31" bestFit="1" customWidth="1"/>
    <col min="14081" max="14081" width="3.42578125" style="31" customWidth="1"/>
    <col min="14082" max="14082" width="9" style="31"/>
    <col min="14083" max="14083" width="3.42578125" style="31" customWidth="1"/>
    <col min="14084" max="14084" width="16.42578125" style="31" bestFit="1" customWidth="1"/>
    <col min="14085" max="14085" width="3.42578125" style="31" customWidth="1"/>
    <col min="14086" max="14086" width="18.7109375" style="31" customWidth="1"/>
    <col min="14087" max="14087" width="3.42578125" style="31" customWidth="1"/>
    <col min="14088" max="14090" width="9" style="31"/>
    <col min="14091" max="14091" width="3.5703125" style="31" customWidth="1"/>
    <col min="14092" max="14093" width="9" style="31"/>
    <col min="14094" max="14094" width="8" style="31" customWidth="1"/>
    <col min="14095" max="14095" width="3.5703125" style="31" customWidth="1"/>
    <col min="14096" max="14096" width="6.7109375" style="31" bestFit="1" customWidth="1"/>
    <col min="14097" max="14097" width="2.7109375" style="31" customWidth="1"/>
    <col min="14098" max="14098" width="12.140625" style="31" bestFit="1" customWidth="1"/>
    <col min="14099" max="14099" width="3.28515625" style="31" customWidth="1"/>
    <col min="14100" max="14100" width="16.42578125" style="31" bestFit="1" customWidth="1"/>
    <col min="14101" max="14101" width="3.28515625" style="31" customWidth="1"/>
    <col min="14102" max="14102" width="20.7109375" style="31" bestFit="1" customWidth="1"/>
    <col min="14103" max="14103" width="2.140625" style="31" customWidth="1"/>
    <col min="14104" max="14335" width="9" style="31"/>
    <col min="14336" max="14336" width="30.140625" style="31" bestFit="1" customWidth="1"/>
    <col min="14337" max="14337" width="3.42578125" style="31" customWidth="1"/>
    <col min="14338" max="14338" width="9" style="31"/>
    <col min="14339" max="14339" width="3.42578125" style="31" customWidth="1"/>
    <col min="14340" max="14340" width="16.42578125" style="31" bestFit="1" customWidth="1"/>
    <col min="14341" max="14341" width="3.42578125" style="31" customWidth="1"/>
    <col min="14342" max="14342" width="18.7109375" style="31" customWidth="1"/>
    <col min="14343" max="14343" width="3.42578125" style="31" customWidth="1"/>
    <col min="14344" max="14346" width="9" style="31"/>
    <col min="14347" max="14347" width="3.5703125" style="31" customWidth="1"/>
    <col min="14348" max="14349" width="9" style="31"/>
    <col min="14350" max="14350" width="8" style="31" customWidth="1"/>
    <col min="14351" max="14351" width="3.5703125" style="31" customWidth="1"/>
    <col min="14352" max="14352" width="6.7109375" style="31" bestFit="1" customWidth="1"/>
    <col min="14353" max="14353" width="2.7109375" style="31" customWidth="1"/>
    <col min="14354" max="14354" width="12.140625" style="31" bestFit="1" customWidth="1"/>
    <col min="14355" max="14355" width="3.28515625" style="31" customWidth="1"/>
    <col min="14356" max="14356" width="16.42578125" style="31" bestFit="1" customWidth="1"/>
    <col min="14357" max="14357" width="3.28515625" style="31" customWidth="1"/>
    <col min="14358" max="14358" width="20.7109375" style="31" bestFit="1" customWidth="1"/>
    <col min="14359" max="14359" width="2.140625" style="31" customWidth="1"/>
    <col min="14360" max="14591" width="9" style="31"/>
    <col min="14592" max="14592" width="30.140625" style="31" bestFit="1" customWidth="1"/>
    <col min="14593" max="14593" width="3.42578125" style="31" customWidth="1"/>
    <col min="14594" max="14594" width="9" style="31"/>
    <col min="14595" max="14595" width="3.42578125" style="31" customWidth="1"/>
    <col min="14596" max="14596" width="16.42578125" style="31" bestFit="1" customWidth="1"/>
    <col min="14597" max="14597" width="3.42578125" style="31" customWidth="1"/>
    <col min="14598" max="14598" width="18.7109375" style="31" customWidth="1"/>
    <col min="14599" max="14599" width="3.42578125" style="31" customWidth="1"/>
    <col min="14600" max="14602" width="9" style="31"/>
    <col min="14603" max="14603" width="3.5703125" style="31" customWidth="1"/>
    <col min="14604" max="14605" width="9" style="31"/>
    <col min="14606" max="14606" width="8" style="31" customWidth="1"/>
    <col min="14607" max="14607" width="3.5703125" style="31" customWidth="1"/>
    <col min="14608" max="14608" width="6.7109375" style="31" bestFit="1" customWidth="1"/>
    <col min="14609" max="14609" width="2.7109375" style="31" customWidth="1"/>
    <col min="14610" max="14610" width="12.140625" style="31" bestFit="1" customWidth="1"/>
    <col min="14611" max="14611" width="3.28515625" style="31" customWidth="1"/>
    <col min="14612" max="14612" width="16.42578125" style="31" bestFit="1" customWidth="1"/>
    <col min="14613" max="14613" width="3.28515625" style="31" customWidth="1"/>
    <col min="14614" max="14614" width="20.7109375" style="31" bestFit="1" customWidth="1"/>
    <col min="14615" max="14615" width="2.140625" style="31" customWidth="1"/>
    <col min="14616" max="14847" width="9" style="31"/>
    <col min="14848" max="14848" width="30.140625" style="31" bestFit="1" customWidth="1"/>
    <col min="14849" max="14849" width="3.42578125" style="31" customWidth="1"/>
    <col min="14850" max="14850" width="9" style="31"/>
    <col min="14851" max="14851" width="3.42578125" style="31" customWidth="1"/>
    <col min="14852" max="14852" width="16.42578125" style="31" bestFit="1" customWidth="1"/>
    <col min="14853" max="14853" width="3.42578125" style="31" customWidth="1"/>
    <col min="14854" max="14854" width="18.7109375" style="31" customWidth="1"/>
    <col min="14855" max="14855" width="3.42578125" style="31" customWidth="1"/>
    <col min="14856" max="14858" width="9" style="31"/>
    <col min="14859" max="14859" width="3.5703125" style="31" customWidth="1"/>
    <col min="14860" max="14861" width="9" style="31"/>
    <col min="14862" max="14862" width="8" style="31" customWidth="1"/>
    <col min="14863" max="14863" width="3.5703125" style="31" customWidth="1"/>
    <col min="14864" max="14864" width="6.7109375" style="31" bestFit="1" customWidth="1"/>
    <col min="14865" max="14865" width="2.7109375" style="31" customWidth="1"/>
    <col min="14866" max="14866" width="12.140625" style="31" bestFit="1" customWidth="1"/>
    <col min="14867" max="14867" width="3.28515625" style="31" customWidth="1"/>
    <col min="14868" max="14868" width="16.42578125" style="31" bestFit="1" customWidth="1"/>
    <col min="14869" max="14869" width="3.28515625" style="31" customWidth="1"/>
    <col min="14870" max="14870" width="20.7109375" style="31" bestFit="1" customWidth="1"/>
    <col min="14871" max="14871" width="2.140625" style="31" customWidth="1"/>
    <col min="14872" max="15103" width="9" style="31"/>
    <col min="15104" max="15104" width="30.140625" style="31" bestFit="1" customWidth="1"/>
    <col min="15105" max="15105" width="3.42578125" style="31" customWidth="1"/>
    <col min="15106" max="15106" width="9" style="31"/>
    <col min="15107" max="15107" width="3.42578125" style="31" customWidth="1"/>
    <col min="15108" max="15108" width="16.42578125" style="31" bestFit="1" customWidth="1"/>
    <col min="15109" max="15109" width="3.42578125" style="31" customWidth="1"/>
    <col min="15110" max="15110" width="18.7109375" style="31" customWidth="1"/>
    <col min="15111" max="15111" width="3.42578125" style="31" customWidth="1"/>
    <col min="15112" max="15114" width="9" style="31"/>
    <col min="15115" max="15115" width="3.5703125" style="31" customWidth="1"/>
    <col min="15116" max="15117" width="9" style="31"/>
    <col min="15118" max="15118" width="8" style="31" customWidth="1"/>
    <col min="15119" max="15119" width="3.5703125" style="31" customWidth="1"/>
    <col min="15120" max="15120" width="6.7109375" style="31" bestFit="1" customWidth="1"/>
    <col min="15121" max="15121" width="2.7109375" style="31" customWidth="1"/>
    <col min="15122" max="15122" width="12.140625" style="31" bestFit="1" customWidth="1"/>
    <col min="15123" max="15123" width="3.28515625" style="31" customWidth="1"/>
    <col min="15124" max="15124" width="16.42578125" style="31" bestFit="1" customWidth="1"/>
    <col min="15125" max="15125" width="3.28515625" style="31" customWidth="1"/>
    <col min="15126" max="15126" width="20.7109375" style="31" bestFit="1" customWidth="1"/>
    <col min="15127" max="15127" width="2.140625" style="31" customWidth="1"/>
    <col min="15128" max="15359" width="9" style="31"/>
    <col min="15360" max="15360" width="30.140625" style="31" bestFit="1" customWidth="1"/>
    <col min="15361" max="15361" width="3.42578125" style="31" customWidth="1"/>
    <col min="15362" max="15362" width="9" style="31"/>
    <col min="15363" max="15363" width="3.42578125" style="31" customWidth="1"/>
    <col min="15364" max="15364" width="16.42578125" style="31" bestFit="1" customWidth="1"/>
    <col min="15365" max="15365" width="3.42578125" style="31" customWidth="1"/>
    <col min="15366" max="15366" width="18.7109375" style="31" customWidth="1"/>
    <col min="15367" max="15367" width="3.42578125" style="31" customWidth="1"/>
    <col min="15368" max="15370" width="9" style="31"/>
    <col min="15371" max="15371" width="3.5703125" style="31" customWidth="1"/>
    <col min="15372" max="15373" width="9" style="31"/>
    <col min="15374" max="15374" width="8" style="31" customWidth="1"/>
    <col min="15375" max="15375" width="3.5703125" style="31" customWidth="1"/>
    <col min="15376" max="15376" width="6.7109375" style="31" bestFit="1" customWidth="1"/>
    <col min="15377" max="15377" width="2.7109375" style="31" customWidth="1"/>
    <col min="15378" max="15378" width="12.140625" style="31" bestFit="1" customWidth="1"/>
    <col min="15379" max="15379" width="3.28515625" style="31" customWidth="1"/>
    <col min="15380" max="15380" width="16.42578125" style="31" bestFit="1" customWidth="1"/>
    <col min="15381" max="15381" width="3.28515625" style="31" customWidth="1"/>
    <col min="15382" max="15382" width="20.7109375" style="31" bestFit="1" customWidth="1"/>
    <col min="15383" max="15383" width="2.140625" style="31" customWidth="1"/>
    <col min="15384" max="15615" width="9" style="31"/>
    <col min="15616" max="15616" width="30.140625" style="31" bestFit="1" customWidth="1"/>
    <col min="15617" max="15617" width="3.42578125" style="31" customWidth="1"/>
    <col min="15618" max="15618" width="9" style="31"/>
    <col min="15619" max="15619" width="3.42578125" style="31" customWidth="1"/>
    <col min="15620" max="15620" width="16.42578125" style="31" bestFit="1" customWidth="1"/>
    <col min="15621" max="15621" width="3.42578125" style="31" customWidth="1"/>
    <col min="15622" max="15622" width="18.7109375" style="31" customWidth="1"/>
    <col min="15623" max="15623" width="3.42578125" style="31" customWidth="1"/>
    <col min="15624" max="15626" width="9" style="31"/>
    <col min="15627" max="15627" width="3.5703125" style="31" customWidth="1"/>
    <col min="15628" max="15629" width="9" style="31"/>
    <col min="15630" max="15630" width="8" style="31" customWidth="1"/>
    <col min="15631" max="15631" width="3.5703125" style="31" customWidth="1"/>
    <col min="15632" max="15632" width="6.7109375" style="31" bestFit="1" customWidth="1"/>
    <col min="15633" max="15633" width="2.7109375" style="31" customWidth="1"/>
    <col min="15634" max="15634" width="12.140625" style="31" bestFit="1" customWidth="1"/>
    <col min="15635" max="15635" width="3.28515625" style="31" customWidth="1"/>
    <col min="15636" max="15636" width="16.42578125" style="31" bestFit="1" customWidth="1"/>
    <col min="15637" max="15637" width="3.28515625" style="31" customWidth="1"/>
    <col min="15638" max="15638" width="20.7109375" style="31" bestFit="1" customWidth="1"/>
    <col min="15639" max="15639" width="2.140625" style="31" customWidth="1"/>
    <col min="15640" max="15871" width="9" style="31"/>
    <col min="15872" max="15872" width="30.140625" style="31" bestFit="1" customWidth="1"/>
    <col min="15873" max="15873" width="3.42578125" style="31" customWidth="1"/>
    <col min="15874" max="15874" width="9" style="31"/>
    <col min="15875" max="15875" width="3.42578125" style="31" customWidth="1"/>
    <col min="15876" max="15876" width="16.42578125" style="31" bestFit="1" customWidth="1"/>
    <col min="15877" max="15877" width="3.42578125" style="31" customWidth="1"/>
    <col min="15878" max="15878" width="18.7109375" style="31" customWidth="1"/>
    <col min="15879" max="15879" width="3.42578125" style="31" customWidth="1"/>
    <col min="15880" max="15882" width="9" style="31"/>
    <col min="15883" max="15883" width="3.5703125" style="31" customWidth="1"/>
    <col min="15884" max="15885" width="9" style="31"/>
    <col min="15886" max="15886" width="8" style="31" customWidth="1"/>
    <col min="15887" max="15887" width="3.5703125" style="31" customWidth="1"/>
    <col min="15888" max="15888" width="6.7109375" style="31" bestFit="1" customWidth="1"/>
    <col min="15889" max="15889" width="2.7109375" style="31" customWidth="1"/>
    <col min="15890" max="15890" width="12.140625" style="31" bestFit="1" customWidth="1"/>
    <col min="15891" max="15891" width="3.28515625" style="31" customWidth="1"/>
    <col min="15892" max="15892" width="16.42578125" style="31" bestFit="1" customWidth="1"/>
    <col min="15893" max="15893" width="3.28515625" style="31" customWidth="1"/>
    <col min="15894" max="15894" width="20.7109375" style="31" bestFit="1" customWidth="1"/>
    <col min="15895" max="15895" width="2.140625" style="31" customWidth="1"/>
    <col min="15896" max="16127" width="9" style="31"/>
    <col min="16128" max="16128" width="30.140625" style="31" bestFit="1" customWidth="1"/>
    <col min="16129" max="16129" width="3.42578125" style="31" customWidth="1"/>
    <col min="16130" max="16130" width="9" style="31"/>
    <col min="16131" max="16131" width="3.42578125" style="31" customWidth="1"/>
    <col min="16132" max="16132" width="16.42578125" style="31" bestFit="1" customWidth="1"/>
    <col min="16133" max="16133" width="3.42578125" style="31" customWidth="1"/>
    <col min="16134" max="16134" width="18.7109375" style="31" customWidth="1"/>
    <col min="16135" max="16135" width="3.42578125" style="31" customWidth="1"/>
    <col min="16136" max="16138" width="9" style="31"/>
    <col min="16139" max="16139" width="3.5703125" style="31" customWidth="1"/>
    <col min="16140" max="16141" width="9" style="31"/>
    <col min="16142" max="16142" width="8" style="31" customWidth="1"/>
    <col min="16143" max="16143" width="3.5703125" style="31" customWidth="1"/>
    <col min="16144" max="16144" width="6.7109375" style="31" bestFit="1" customWidth="1"/>
    <col min="16145" max="16145" width="2.7109375" style="31" customWidth="1"/>
    <col min="16146" max="16146" width="12.140625" style="31" bestFit="1" customWidth="1"/>
    <col min="16147" max="16147" width="3.28515625" style="31" customWidth="1"/>
    <col min="16148" max="16148" width="16.42578125" style="31" bestFit="1" customWidth="1"/>
    <col min="16149" max="16149" width="3.28515625" style="31" customWidth="1"/>
    <col min="16150" max="16150" width="20.7109375" style="31" bestFit="1" customWidth="1"/>
    <col min="16151" max="16151" width="2.140625" style="31" customWidth="1"/>
    <col min="16152" max="16384" width="9" style="31"/>
  </cols>
  <sheetData>
    <row r="1" spans="1:35" s="30" customFormat="1" ht="15.75" customHeight="1">
      <c r="A1" s="433"/>
      <c r="B1" s="433"/>
      <c r="C1" s="2851"/>
      <c r="D1" s="2851"/>
      <c r="E1" s="2851"/>
      <c r="F1" s="2851"/>
      <c r="G1" s="2851"/>
      <c r="H1" s="2851"/>
      <c r="I1" s="2851"/>
      <c r="J1" s="2851"/>
      <c r="K1" s="2851"/>
      <c r="L1" s="2851"/>
      <c r="M1" s="2851"/>
      <c r="N1" s="2851"/>
      <c r="O1" s="2851"/>
      <c r="P1" s="2851"/>
      <c r="Q1" s="2851"/>
      <c r="R1" s="2851"/>
      <c r="S1" s="2851"/>
      <c r="T1" s="2851"/>
      <c r="U1" s="2851"/>
      <c r="V1" s="2851"/>
      <c r="W1" s="434"/>
      <c r="X1" s="434"/>
      <c r="Y1" s="433"/>
      <c r="Z1" s="433"/>
      <c r="AA1" s="433"/>
      <c r="AB1" s="433"/>
      <c r="AC1" s="433"/>
      <c r="AI1" s="230"/>
    </row>
    <row r="2" spans="1:35" s="30" customFormat="1" ht="24" customHeight="1">
      <c r="A2" s="2852" t="str">
        <f>'درآمد صادرات'!A1:Y1</f>
        <v>انبارهای عمومی و خدمات گمرکی ایران</v>
      </c>
      <c r="B2" s="2852"/>
      <c r="C2" s="2852"/>
      <c r="D2" s="2852"/>
      <c r="E2" s="2852"/>
      <c r="F2" s="2852"/>
      <c r="G2" s="2852"/>
      <c r="H2" s="2852"/>
      <c r="I2" s="2852"/>
      <c r="J2" s="2852"/>
      <c r="K2" s="2852"/>
      <c r="L2" s="2852"/>
      <c r="M2" s="2852"/>
      <c r="N2" s="2852"/>
      <c r="O2" s="2852"/>
      <c r="P2" s="2852"/>
      <c r="Q2" s="2852"/>
      <c r="R2" s="2852"/>
      <c r="S2" s="2852"/>
      <c r="T2" s="2852"/>
      <c r="U2" s="2852"/>
      <c r="V2" s="2852"/>
      <c r="W2" s="2852"/>
      <c r="X2" s="2852"/>
      <c r="Y2" s="2852"/>
      <c r="Z2" s="2852"/>
      <c r="AA2" s="2852"/>
      <c r="AB2" s="2852"/>
      <c r="AC2" s="2852"/>
      <c r="AI2" s="230"/>
    </row>
    <row r="3" spans="1:35" s="30" customFormat="1" ht="20.25" customHeight="1">
      <c r="A3" s="709"/>
      <c r="B3" s="709"/>
      <c r="C3" s="709"/>
      <c r="D3" s="709"/>
      <c r="E3" s="709"/>
      <c r="F3" s="709"/>
      <c r="G3" s="709"/>
      <c r="H3" s="709"/>
      <c r="I3" s="709"/>
      <c r="J3" s="709"/>
      <c r="K3" s="709"/>
      <c r="L3" s="709"/>
      <c r="M3" s="709"/>
      <c r="N3" s="709"/>
      <c r="O3" s="709"/>
      <c r="P3" s="709"/>
      <c r="Q3" s="709"/>
      <c r="R3" s="709"/>
      <c r="S3" s="709"/>
      <c r="T3" s="709"/>
      <c r="U3" s="434"/>
      <c r="V3" s="709"/>
      <c r="W3" s="434"/>
      <c r="X3" s="434"/>
      <c r="Y3" s="433"/>
      <c r="Z3" s="433"/>
      <c r="AA3" s="433"/>
      <c r="AB3" s="433"/>
      <c r="AC3" s="433"/>
      <c r="AI3" s="230"/>
    </row>
    <row r="4" spans="1:35" s="30" customFormat="1" ht="25.5" customHeight="1">
      <c r="A4" s="1117" t="s">
        <v>196</v>
      </c>
      <c r="B4" s="1117"/>
      <c r="C4" s="1117"/>
      <c r="D4" s="1117"/>
      <c r="E4" s="1117"/>
      <c r="F4" s="1117"/>
      <c r="G4" s="1117"/>
      <c r="H4" s="1117"/>
      <c r="I4" s="1117"/>
      <c r="J4" s="1117"/>
      <c r="K4" s="1117"/>
      <c r="L4" s="1117"/>
      <c r="M4" s="1117"/>
      <c r="N4" s="1117"/>
      <c r="O4" s="1117"/>
      <c r="P4" s="1117"/>
      <c r="Q4" s="1117"/>
      <c r="R4" s="1117"/>
      <c r="S4" s="1117"/>
      <c r="T4" s="1117"/>
      <c r="U4" s="1117"/>
      <c r="V4" s="1088" t="s">
        <v>1246</v>
      </c>
      <c r="X4" s="1089" t="str">
        <f>روکش!$F$9</f>
        <v>شش ماهه</v>
      </c>
      <c r="Z4" s="1089" t="s">
        <v>379</v>
      </c>
      <c r="AA4" s="1117"/>
      <c r="AB4" s="1088">
        <f>روکش!$D$9</f>
        <v>1405</v>
      </c>
      <c r="AC4" s="1117"/>
      <c r="AI4" s="230"/>
    </row>
    <row r="5" spans="1:35" s="30" customFormat="1" ht="20.25" customHeight="1">
      <c r="A5" s="709"/>
      <c r="B5" s="709"/>
      <c r="C5" s="709"/>
      <c r="D5" s="709"/>
      <c r="E5" s="709"/>
      <c r="F5" s="709"/>
      <c r="G5" s="709"/>
      <c r="H5" s="709"/>
      <c r="I5" s="709"/>
      <c r="J5" s="709"/>
      <c r="K5" s="709"/>
      <c r="L5" s="709"/>
      <c r="M5" s="709"/>
      <c r="N5" s="709"/>
      <c r="O5" s="709"/>
      <c r="P5" s="709"/>
      <c r="Q5" s="709"/>
      <c r="R5" s="709"/>
      <c r="S5" s="709"/>
      <c r="T5" s="709"/>
      <c r="U5" s="434"/>
      <c r="V5" s="709"/>
      <c r="W5" s="434"/>
      <c r="X5" s="434"/>
      <c r="Y5" s="433"/>
      <c r="AA5" s="433"/>
      <c r="AB5" s="433"/>
      <c r="AC5" s="433"/>
      <c r="AI5" s="230"/>
    </row>
    <row r="6" spans="1:35" s="30" customFormat="1" ht="25.5" customHeight="1">
      <c r="A6" s="2853"/>
      <c r="B6" s="2853"/>
      <c r="C6" s="2853"/>
      <c r="D6" s="2853"/>
      <c r="E6" s="2853"/>
      <c r="F6" s="2853"/>
      <c r="G6" s="1085"/>
      <c r="H6" s="1085"/>
      <c r="I6" s="435"/>
      <c r="J6" s="435"/>
      <c r="K6" s="435"/>
      <c r="L6" s="435"/>
      <c r="M6" s="435"/>
      <c r="N6" s="436"/>
      <c r="O6" s="435"/>
      <c r="P6" s="435"/>
      <c r="Q6" s="435"/>
      <c r="R6" s="435"/>
      <c r="S6" s="435"/>
      <c r="T6" s="436"/>
      <c r="U6" s="437"/>
      <c r="V6" s="710"/>
      <c r="W6" s="437"/>
      <c r="X6" s="2854" t="s">
        <v>214</v>
      </c>
      <c r="Y6" s="2854"/>
      <c r="Z6" s="2854"/>
      <c r="AA6" s="433"/>
      <c r="AB6" s="2854" t="s">
        <v>30</v>
      </c>
      <c r="AC6" s="2854"/>
      <c r="AI6" s="230"/>
    </row>
    <row r="7" spans="1:35" ht="18">
      <c r="A7" s="438"/>
      <c r="B7" s="438"/>
      <c r="C7" s="438"/>
      <c r="D7" s="439"/>
      <c r="E7" s="439"/>
      <c r="F7" s="439"/>
      <c r="G7" s="439"/>
      <c r="H7" s="439"/>
      <c r="I7" s="439"/>
      <c r="J7" s="439"/>
      <c r="K7" s="439"/>
      <c r="L7" s="439"/>
      <c r="M7" s="439"/>
      <c r="N7" s="439"/>
      <c r="O7" s="439"/>
      <c r="P7" s="439"/>
      <c r="Q7" s="439"/>
      <c r="R7" s="439"/>
      <c r="S7" s="439"/>
      <c r="T7" s="439"/>
      <c r="U7" s="439"/>
      <c r="V7" s="439"/>
      <c r="W7" s="439"/>
      <c r="X7" s="439"/>
      <c r="Y7" s="439"/>
      <c r="Z7" s="439"/>
      <c r="AA7" s="439"/>
      <c r="AB7" s="439"/>
      <c r="AC7" s="439"/>
    </row>
    <row r="8" spans="1:35" ht="24.75">
      <c r="A8" s="2845" t="s">
        <v>209</v>
      </c>
      <c r="B8" s="2845" t="s">
        <v>197</v>
      </c>
      <c r="C8" s="440"/>
      <c r="D8" s="2846" t="s">
        <v>187</v>
      </c>
      <c r="E8" s="2846"/>
      <c r="F8" s="2846"/>
      <c r="G8" s="2846"/>
      <c r="H8" s="2846"/>
      <c r="I8" s="441"/>
      <c r="J8" s="2846" t="s">
        <v>674</v>
      </c>
      <c r="K8" s="2846" t="s">
        <v>198</v>
      </c>
      <c r="L8" s="2846" t="s">
        <v>198</v>
      </c>
      <c r="M8" s="2846" t="s">
        <v>198</v>
      </c>
      <c r="N8" s="2846" t="s">
        <v>198</v>
      </c>
      <c r="O8" s="441"/>
      <c r="P8" s="2846" t="s">
        <v>675</v>
      </c>
      <c r="Q8" s="2846"/>
      <c r="R8" s="2846"/>
      <c r="S8" s="2846"/>
      <c r="T8" s="2846"/>
      <c r="U8" s="442"/>
      <c r="V8" s="2855" t="s">
        <v>718</v>
      </c>
      <c r="W8" s="2855"/>
      <c r="X8" s="2855"/>
      <c r="Y8" s="2855"/>
      <c r="Z8" s="2855"/>
      <c r="AA8" s="2855"/>
      <c r="AB8" s="2855"/>
      <c r="AC8" s="2855"/>
      <c r="AG8" s="31" t="s">
        <v>586</v>
      </c>
    </row>
    <row r="9" spans="1:35" ht="24.75" customHeight="1">
      <c r="A9" s="2845" t="s">
        <v>199</v>
      </c>
      <c r="B9" s="2845" t="s">
        <v>199</v>
      </c>
      <c r="C9" s="440"/>
      <c r="D9" s="2847" t="s">
        <v>200</v>
      </c>
      <c r="E9" s="443"/>
      <c r="F9" s="2849" t="s">
        <v>201</v>
      </c>
      <c r="G9" s="443"/>
      <c r="H9" s="2849" t="s">
        <v>1269</v>
      </c>
      <c r="I9" s="444"/>
      <c r="J9" s="2848" t="s">
        <v>220</v>
      </c>
      <c r="K9" s="2848" t="s">
        <v>203</v>
      </c>
      <c r="L9" s="443"/>
      <c r="M9" s="2848" t="s">
        <v>181</v>
      </c>
      <c r="N9" s="2848" t="s">
        <v>181</v>
      </c>
      <c r="O9" s="444"/>
      <c r="P9" s="2848" t="s">
        <v>220</v>
      </c>
      <c r="Q9" s="2848" t="s">
        <v>203</v>
      </c>
      <c r="R9" s="443"/>
      <c r="S9" s="2848" t="s">
        <v>181</v>
      </c>
      <c r="T9" s="2848" t="s">
        <v>181</v>
      </c>
      <c r="U9" s="444"/>
      <c r="V9" s="2847" t="s">
        <v>200</v>
      </c>
      <c r="W9" s="443"/>
      <c r="X9" s="2847" t="s">
        <v>204</v>
      </c>
      <c r="Y9" s="443"/>
      <c r="Z9" s="2849" t="s">
        <v>201</v>
      </c>
      <c r="AA9" s="443"/>
      <c r="AB9" s="2849" t="s">
        <v>1269</v>
      </c>
      <c r="AC9" s="445"/>
      <c r="AG9" s="212">
        <f>ROW(B11)</f>
        <v>11</v>
      </c>
      <c r="AH9" s="212">
        <f>COUNTA(B11:B100)+AG9-1</f>
        <v>10</v>
      </c>
    </row>
    <row r="10" spans="1:35" ht="33" customHeight="1">
      <c r="A10" s="2846" t="s">
        <v>199</v>
      </c>
      <c r="B10" s="2846" t="s">
        <v>199</v>
      </c>
      <c r="C10" s="440"/>
      <c r="D10" s="2848" t="s">
        <v>200</v>
      </c>
      <c r="E10" s="446"/>
      <c r="F10" s="2850" t="s">
        <v>201</v>
      </c>
      <c r="G10" s="446"/>
      <c r="H10" s="2850" t="s">
        <v>201</v>
      </c>
      <c r="I10" s="444"/>
      <c r="J10" s="708" t="s">
        <v>200</v>
      </c>
      <c r="K10" s="707" t="s">
        <v>201</v>
      </c>
      <c r="L10" s="443"/>
      <c r="M10" s="447" t="s">
        <v>200</v>
      </c>
      <c r="N10" s="448" t="s">
        <v>205</v>
      </c>
      <c r="O10" s="444"/>
      <c r="P10" s="708" t="s">
        <v>200</v>
      </c>
      <c r="Q10" s="707" t="s">
        <v>201</v>
      </c>
      <c r="R10" s="443"/>
      <c r="S10" s="447" t="s">
        <v>200</v>
      </c>
      <c r="T10" s="448" t="s">
        <v>205</v>
      </c>
      <c r="U10" s="444"/>
      <c r="V10" s="2848" t="s">
        <v>200</v>
      </c>
      <c r="W10" s="443"/>
      <c r="X10" s="2848" t="s">
        <v>204</v>
      </c>
      <c r="Y10" s="443"/>
      <c r="Z10" s="2850" t="s">
        <v>201</v>
      </c>
      <c r="AA10" s="443"/>
      <c r="AB10" s="2850" t="s">
        <v>202</v>
      </c>
      <c r="AC10" s="445"/>
      <c r="AE10" s="31" t="s">
        <v>791</v>
      </c>
    </row>
    <row r="11" spans="1:35" ht="20.100000000000001" customHeight="1">
      <c r="A11" s="32"/>
      <c r="B11" s="32"/>
      <c r="C11" s="33"/>
      <c r="D11" s="34"/>
      <c r="E11" s="35"/>
      <c r="F11" s="36"/>
      <c r="G11" s="36"/>
      <c r="H11" s="36"/>
      <c r="I11" s="36"/>
      <c r="J11" s="36"/>
      <c r="K11" s="36"/>
      <c r="L11" s="36"/>
      <c r="M11" s="36"/>
      <c r="N11" s="36"/>
      <c r="O11" s="36"/>
      <c r="P11" s="36"/>
      <c r="Q11" s="36"/>
      <c r="R11" s="36"/>
      <c r="S11" s="36"/>
      <c r="T11" s="36"/>
      <c r="U11" s="36"/>
      <c r="V11" s="449">
        <f>D11+P11-S11</f>
        <v>0</v>
      </c>
      <c r="W11" s="36"/>
      <c r="X11" s="36"/>
      <c r="Y11" s="36"/>
      <c r="Z11" s="449">
        <f>IF(S11=0,Q11+F11,((Q11+F11)/(P11+D11))*V11)</f>
        <v>0</v>
      </c>
      <c r="AA11" s="36"/>
      <c r="AB11" s="449">
        <f>X11*V11/1000000</f>
        <v>0</v>
      </c>
      <c r="AC11" s="33"/>
      <c r="AE11" s="31">
        <f>IFERROR(T11-(((Q11+F11)/(P11+D11))*S11),0)</f>
        <v>0</v>
      </c>
    </row>
    <row r="12" spans="1:35" ht="20.100000000000001" customHeight="1">
      <c r="A12" s="33"/>
      <c r="B12" s="33"/>
      <c r="C12" s="33"/>
      <c r="D12" s="34"/>
      <c r="E12" s="35"/>
      <c r="F12" s="36"/>
      <c r="G12" s="36"/>
      <c r="H12" s="36"/>
      <c r="I12" s="36"/>
      <c r="J12" s="36"/>
      <c r="K12" s="36"/>
      <c r="L12" s="36"/>
      <c r="M12" s="36"/>
      <c r="N12" s="36"/>
      <c r="O12" s="36"/>
      <c r="P12" s="36"/>
      <c r="Q12" s="36"/>
      <c r="R12" s="36"/>
      <c r="S12" s="36"/>
      <c r="T12" s="36"/>
      <c r="U12" s="36"/>
      <c r="V12" s="449">
        <f t="shared" ref="V12:V48" si="0">D12+P12-S12</f>
        <v>0</v>
      </c>
      <c r="W12" s="36"/>
      <c r="X12" s="36"/>
      <c r="Y12" s="36"/>
      <c r="Z12" s="449">
        <f t="shared" ref="Z12:Z48" si="1">IF(S12=0,Q12+F12,((Q12+F12)/(P12+D12))*V12)</f>
        <v>0</v>
      </c>
      <c r="AA12" s="36"/>
      <c r="AB12" s="449">
        <f t="shared" ref="AB12:AB48" si="2">X12*V12/1000000</f>
        <v>0</v>
      </c>
      <c r="AC12" s="33"/>
      <c r="AE12" s="31">
        <f t="shared" ref="AE12:AE48" si="3">IFERROR(T12-(((Q12+F12)/(P12+D12))*S12),0)</f>
        <v>0</v>
      </c>
    </row>
    <row r="13" spans="1:35" ht="20.100000000000001" customHeight="1">
      <c r="A13" s="33"/>
      <c r="B13" s="33"/>
      <c r="C13" s="33"/>
      <c r="D13" s="34"/>
      <c r="E13" s="35"/>
      <c r="F13" s="36"/>
      <c r="G13" s="36"/>
      <c r="H13" s="36"/>
      <c r="I13" s="36"/>
      <c r="J13" s="36"/>
      <c r="K13" s="36"/>
      <c r="L13" s="36"/>
      <c r="M13" s="36"/>
      <c r="N13" s="36"/>
      <c r="O13" s="36"/>
      <c r="P13" s="36"/>
      <c r="Q13" s="36"/>
      <c r="R13" s="36"/>
      <c r="S13" s="36"/>
      <c r="T13" s="36"/>
      <c r="U13" s="36"/>
      <c r="V13" s="449">
        <f t="shared" si="0"/>
        <v>0</v>
      </c>
      <c r="W13" s="36"/>
      <c r="X13" s="36"/>
      <c r="Y13" s="36"/>
      <c r="Z13" s="449">
        <f t="shared" si="1"/>
        <v>0</v>
      </c>
      <c r="AA13" s="36"/>
      <c r="AB13" s="449">
        <f t="shared" si="2"/>
        <v>0</v>
      </c>
      <c r="AC13" s="33"/>
      <c r="AE13" s="31">
        <f t="shared" si="3"/>
        <v>0</v>
      </c>
    </row>
    <row r="14" spans="1:35" ht="20.100000000000001" customHeight="1">
      <c r="A14" s="33"/>
      <c r="B14" s="33"/>
      <c r="C14" s="33"/>
      <c r="D14" s="34"/>
      <c r="E14" s="35"/>
      <c r="F14" s="36"/>
      <c r="G14" s="36"/>
      <c r="H14" s="36"/>
      <c r="I14" s="36"/>
      <c r="J14" s="36"/>
      <c r="K14" s="36"/>
      <c r="L14" s="36"/>
      <c r="M14" s="36"/>
      <c r="N14" s="36"/>
      <c r="O14" s="36"/>
      <c r="P14" s="36"/>
      <c r="Q14" s="36"/>
      <c r="R14" s="36"/>
      <c r="S14" s="36"/>
      <c r="T14" s="36"/>
      <c r="U14" s="36"/>
      <c r="V14" s="449">
        <f t="shared" si="0"/>
        <v>0</v>
      </c>
      <c r="W14" s="36"/>
      <c r="X14" s="36"/>
      <c r="Y14" s="36"/>
      <c r="Z14" s="449">
        <f t="shared" si="1"/>
        <v>0</v>
      </c>
      <c r="AA14" s="36"/>
      <c r="AB14" s="449">
        <f t="shared" si="2"/>
        <v>0</v>
      </c>
      <c r="AC14" s="33"/>
      <c r="AE14" s="31">
        <f t="shared" si="3"/>
        <v>0</v>
      </c>
    </row>
    <row r="15" spans="1:35" ht="20.100000000000001" customHeight="1">
      <c r="A15" s="33"/>
      <c r="B15" s="33"/>
      <c r="C15" s="33"/>
      <c r="D15" s="34"/>
      <c r="E15" s="35"/>
      <c r="F15" s="36"/>
      <c r="G15" s="36"/>
      <c r="H15" s="36"/>
      <c r="I15" s="36"/>
      <c r="J15" s="36"/>
      <c r="K15" s="36"/>
      <c r="L15" s="36"/>
      <c r="M15" s="36"/>
      <c r="N15" s="36"/>
      <c r="O15" s="36"/>
      <c r="P15" s="36"/>
      <c r="Q15" s="36"/>
      <c r="R15" s="36"/>
      <c r="S15" s="36"/>
      <c r="T15" s="36"/>
      <c r="U15" s="36"/>
      <c r="V15" s="449">
        <f t="shared" si="0"/>
        <v>0</v>
      </c>
      <c r="W15" s="36"/>
      <c r="X15" s="36"/>
      <c r="Y15" s="36"/>
      <c r="Z15" s="449">
        <f t="shared" si="1"/>
        <v>0</v>
      </c>
      <c r="AA15" s="36"/>
      <c r="AB15" s="449">
        <f t="shared" si="2"/>
        <v>0</v>
      </c>
      <c r="AC15" s="33"/>
      <c r="AE15" s="31">
        <f t="shared" si="3"/>
        <v>0</v>
      </c>
    </row>
    <row r="16" spans="1:35" ht="20.100000000000001" customHeight="1">
      <c r="A16" s="33"/>
      <c r="B16" s="33"/>
      <c r="C16" s="33"/>
      <c r="D16" s="34"/>
      <c r="E16" s="35"/>
      <c r="F16" s="36"/>
      <c r="G16" s="36"/>
      <c r="H16" s="36"/>
      <c r="I16" s="36"/>
      <c r="J16" s="36"/>
      <c r="K16" s="36"/>
      <c r="L16" s="36"/>
      <c r="M16" s="36"/>
      <c r="N16" s="36"/>
      <c r="O16" s="36"/>
      <c r="P16" s="36"/>
      <c r="Q16" s="36"/>
      <c r="R16" s="36"/>
      <c r="S16" s="36"/>
      <c r="T16" s="36"/>
      <c r="U16" s="36"/>
      <c r="V16" s="449">
        <f t="shared" si="0"/>
        <v>0</v>
      </c>
      <c r="W16" s="36"/>
      <c r="X16" s="36"/>
      <c r="Y16" s="36"/>
      <c r="Z16" s="449">
        <f t="shared" si="1"/>
        <v>0</v>
      </c>
      <c r="AA16" s="36"/>
      <c r="AB16" s="449">
        <f t="shared" si="2"/>
        <v>0</v>
      </c>
      <c r="AC16" s="33"/>
      <c r="AE16" s="31">
        <f t="shared" si="3"/>
        <v>0</v>
      </c>
    </row>
    <row r="17" spans="1:31" ht="20.100000000000001" customHeight="1">
      <c r="A17" s="33"/>
      <c r="B17" s="33"/>
      <c r="C17" s="33"/>
      <c r="D17" s="34"/>
      <c r="E17" s="35"/>
      <c r="F17" s="36"/>
      <c r="G17" s="36"/>
      <c r="H17" s="36"/>
      <c r="I17" s="36"/>
      <c r="J17" s="36"/>
      <c r="K17" s="36"/>
      <c r="L17" s="36"/>
      <c r="M17" s="36"/>
      <c r="N17" s="36"/>
      <c r="O17" s="36"/>
      <c r="P17" s="36"/>
      <c r="Q17" s="36"/>
      <c r="R17" s="36"/>
      <c r="S17" s="36"/>
      <c r="T17" s="36"/>
      <c r="U17" s="36"/>
      <c r="V17" s="449">
        <f t="shared" si="0"/>
        <v>0</v>
      </c>
      <c r="W17" s="36"/>
      <c r="X17" s="36"/>
      <c r="Y17" s="36"/>
      <c r="Z17" s="449">
        <f t="shared" si="1"/>
        <v>0</v>
      </c>
      <c r="AA17" s="36"/>
      <c r="AB17" s="449">
        <f t="shared" si="2"/>
        <v>0</v>
      </c>
      <c r="AC17" s="33"/>
      <c r="AE17" s="31">
        <f t="shared" si="3"/>
        <v>0</v>
      </c>
    </row>
    <row r="18" spans="1:31" ht="20.100000000000001" customHeight="1">
      <c r="A18" s="33"/>
      <c r="B18" s="33"/>
      <c r="C18" s="33"/>
      <c r="D18" s="34"/>
      <c r="E18" s="35"/>
      <c r="F18" s="36"/>
      <c r="G18" s="36"/>
      <c r="H18" s="36"/>
      <c r="I18" s="36"/>
      <c r="J18" s="36"/>
      <c r="K18" s="36"/>
      <c r="L18" s="36"/>
      <c r="M18" s="36"/>
      <c r="N18" s="36"/>
      <c r="O18" s="36"/>
      <c r="P18" s="36"/>
      <c r="Q18" s="36"/>
      <c r="R18" s="36"/>
      <c r="S18" s="36"/>
      <c r="T18" s="36"/>
      <c r="U18" s="36"/>
      <c r="V18" s="449">
        <f t="shared" si="0"/>
        <v>0</v>
      </c>
      <c r="W18" s="36"/>
      <c r="X18" s="36"/>
      <c r="Y18" s="36"/>
      <c r="Z18" s="449">
        <f t="shared" si="1"/>
        <v>0</v>
      </c>
      <c r="AA18" s="36"/>
      <c r="AB18" s="449">
        <f t="shared" si="2"/>
        <v>0</v>
      </c>
      <c r="AC18" s="33"/>
      <c r="AE18" s="31">
        <f t="shared" si="3"/>
        <v>0</v>
      </c>
    </row>
    <row r="19" spans="1:31" ht="20.100000000000001" customHeight="1">
      <c r="A19" s="33"/>
      <c r="B19" s="33"/>
      <c r="C19" s="33"/>
      <c r="D19" s="34"/>
      <c r="E19" s="35"/>
      <c r="F19" s="36"/>
      <c r="G19" s="36"/>
      <c r="H19" s="36"/>
      <c r="I19" s="36"/>
      <c r="J19" s="36"/>
      <c r="K19" s="36"/>
      <c r="L19" s="36"/>
      <c r="M19" s="36"/>
      <c r="N19" s="36"/>
      <c r="O19" s="36"/>
      <c r="P19" s="36"/>
      <c r="Q19" s="36"/>
      <c r="R19" s="36"/>
      <c r="S19" s="36"/>
      <c r="T19" s="36"/>
      <c r="U19" s="36"/>
      <c r="V19" s="449">
        <f t="shared" si="0"/>
        <v>0</v>
      </c>
      <c r="W19" s="36"/>
      <c r="X19" s="36"/>
      <c r="Y19" s="36"/>
      <c r="Z19" s="449">
        <f t="shared" si="1"/>
        <v>0</v>
      </c>
      <c r="AA19" s="36"/>
      <c r="AB19" s="449">
        <f t="shared" si="2"/>
        <v>0</v>
      </c>
      <c r="AC19" s="33"/>
      <c r="AE19" s="31">
        <f t="shared" si="3"/>
        <v>0</v>
      </c>
    </row>
    <row r="20" spans="1:31" ht="20.100000000000001" customHeight="1">
      <c r="A20" s="33"/>
      <c r="B20" s="33"/>
      <c r="C20" s="33"/>
      <c r="D20" s="34"/>
      <c r="E20" s="35"/>
      <c r="F20" s="36"/>
      <c r="G20" s="36"/>
      <c r="H20" s="36"/>
      <c r="I20" s="36"/>
      <c r="J20" s="36"/>
      <c r="K20" s="36"/>
      <c r="L20" s="36"/>
      <c r="M20" s="36"/>
      <c r="N20" s="36"/>
      <c r="O20" s="36"/>
      <c r="P20" s="36"/>
      <c r="Q20" s="36"/>
      <c r="R20" s="36"/>
      <c r="S20" s="36"/>
      <c r="T20" s="36"/>
      <c r="U20" s="36"/>
      <c r="V20" s="449">
        <f t="shared" si="0"/>
        <v>0</v>
      </c>
      <c r="W20" s="36"/>
      <c r="X20" s="36"/>
      <c r="Y20" s="36"/>
      <c r="Z20" s="449">
        <f t="shared" si="1"/>
        <v>0</v>
      </c>
      <c r="AA20" s="36"/>
      <c r="AB20" s="449">
        <f t="shared" si="2"/>
        <v>0</v>
      </c>
      <c r="AC20" s="33"/>
      <c r="AE20" s="31">
        <f t="shared" si="3"/>
        <v>0</v>
      </c>
    </row>
    <row r="21" spans="1:31" ht="20.100000000000001" customHeight="1">
      <c r="A21" s="33"/>
      <c r="B21" s="33"/>
      <c r="C21" s="33"/>
      <c r="D21" s="34"/>
      <c r="E21" s="35"/>
      <c r="F21" s="36"/>
      <c r="G21" s="36"/>
      <c r="H21" s="36"/>
      <c r="I21" s="36"/>
      <c r="J21" s="36"/>
      <c r="K21" s="36"/>
      <c r="L21" s="36"/>
      <c r="M21" s="36"/>
      <c r="N21" s="36"/>
      <c r="O21" s="36"/>
      <c r="P21" s="36"/>
      <c r="Q21" s="36"/>
      <c r="R21" s="36"/>
      <c r="S21" s="36"/>
      <c r="T21" s="36"/>
      <c r="U21" s="36"/>
      <c r="V21" s="449">
        <f t="shared" si="0"/>
        <v>0</v>
      </c>
      <c r="W21" s="36"/>
      <c r="X21" s="36"/>
      <c r="Y21" s="36"/>
      <c r="Z21" s="449">
        <f t="shared" si="1"/>
        <v>0</v>
      </c>
      <c r="AA21" s="36"/>
      <c r="AB21" s="449">
        <f t="shared" si="2"/>
        <v>0</v>
      </c>
      <c r="AC21" s="33"/>
      <c r="AE21" s="31">
        <f t="shared" si="3"/>
        <v>0</v>
      </c>
    </row>
    <row r="22" spans="1:31" ht="20.100000000000001" customHeight="1">
      <c r="A22" s="33"/>
      <c r="B22" s="33"/>
      <c r="C22" s="33"/>
      <c r="D22" s="34"/>
      <c r="E22" s="35"/>
      <c r="F22" s="36"/>
      <c r="G22" s="36"/>
      <c r="H22" s="36"/>
      <c r="I22" s="36"/>
      <c r="J22" s="36"/>
      <c r="K22" s="36"/>
      <c r="L22" s="36"/>
      <c r="M22" s="36"/>
      <c r="N22" s="36"/>
      <c r="O22" s="36"/>
      <c r="P22" s="36"/>
      <c r="Q22" s="36"/>
      <c r="R22" s="36"/>
      <c r="S22" s="36"/>
      <c r="T22" s="36"/>
      <c r="U22" s="36"/>
      <c r="V22" s="449">
        <f t="shared" si="0"/>
        <v>0</v>
      </c>
      <c r="W22" s="36"/>
      <c r="X22" s="36"/>
      <c r="Y22" s="36"/>
      <c r="Z22" s="449">
        <f t="shared" si="1"/>
        <v>0</v>
      </c>
      <c r="AA22" s="36"/>
      <c r="AB22" s="449">
        <f t="shared" si="2"/>
        <v>0</v>
      </c>
      <c r="AC22" s="33"/>
      <c r="AE22" s="31">
        <f t="shared" si="3"/>
        <v>0</v>
      </c>
    </row>
    <row r="23" spans="1:31" ht="20.100000000000001" customHeight="1">
      <c r="A23" s="33"/>
      <c r="B23" s="33"/>
      <c r="C23" s="33"/>
      <c r="D23" s="34"/>
      <c r="E23" s="35"/>
      <c r="F23" s="36"/>
      <c r="G23" s="36"/>
      <c r="H23" s="36"/>
      <c r="I23" s="36"/>
      <c r="J23" s="36"/>
      <c r="K23" s="36"/>
      <c r="L23" s="36"/>
      <c r="M23" s="36"/>
      <c r="N23" s="36"/>
      <c r="O23" s="36"/>
      <c r="P23" s="36"/>
      <c r="Q23" s="36"/>
      <c r="R23" s="36"/>
      <c r="S23" s="36"/>
      <c r="T23" s="36"/>
      <c r="U23" s="36"/>
      <c r="V23" s="449">
        <f t="shared" si="0"/>
        <v>0</v>
      </c>
      <c r="W23" s="36"/>
      <c r="X23" s="36"/>
      <c r="Y23" s="36"/>
      <c r="Z23" s="449">
        <f t="shared" si="1"/>
        <v>0</v>
      </c>
      <c r="AA23" s="36"/>
      <c r="AB23" s="449">
        <f t="shared" si="2"/>
        <v>0</v>
      </c>
      <c r="AC23" s="33"/>
      <c r="AE23" s="31">
        <f t="shared" si="3"/>
        <v>0</v>
      </c>
    </row>
    <row r="24" spans="1:31" ht="20.100000000000001" customHeight="1">
      <c r="A24" s="33"/>
      <c r="B24" s="33"/>
      <c r="C24" s="33"/>
      <c r="D24" s="34"/>
      <c r="E24" s="35"/>
      <c r="F24" s="36"/>
      <c r="G24" s="36"/>
      <c r="H24" s="36"/>
      <c r="I24" s="36"/>
      <c r="J24" s="36"/>
      <c r="K24" s="36"/>
      <c r="L24" s="36"/>
      <c r="M24" s="36"/>
      <c r="N24" s="36"/>
      <c r="O24" s="36"/>
      <c r="P24" s="36"/>
      <c r="Q24" s="36"/>
      <c r="R24" s="36"/>
      <c r="S24" s="36"/>
      <c r="T24" s="36"/>
      <c r="U24" s="36"/>
      <c r="V24" s="449">
        <f t="shared" si="0"/>
        <v>0</v>
      </c>
      <c r="W24" s="36"/>
      <c r="X24" s="36"/>
      <c r="Y24" s="36"/>
      <c r="Z24" s="449">
        <f t="shared" si="1"/>
        <v>0</v>
      </c>
      <c r="AA24" s="36"/>
      <c r="AB24" s="449">
        <f t="shared" si="2"/>
        <v>0</v>
      </c>
      <c r="AC24" s="33"/>
      <c r="AE24" s="31">
        <f t="shared" si="3"/>
        <v>0</v>
      </c>
    </row>
    <row r="25" spans="1:31" ht="20.100000000000001" customHeight="1">
      <c r="A25" s="33"/>
      <c r="B25" s="33"/>
      <c r="C25" s="33"/>
      <c r="D25" s="34"/>
      <c r="E25" s="35"/>
      <c r="F25" s="36"/>
      <c r="G25" s="36"/>
      <c r="H25" s="36"/>
      <c r="I25" s="36"/>
      <c r="J25" s="36"/>
      <c r="K25" s="36"/>
      <c r="L25" s="36"/>
      <c r="M25" s="36"/>
      <c r="N25" s="36"/>
      <c r="O25" s="36"/>
      <c r="P25" s="36"/>
      <c r="Q25" s="36"/>
      <c r="R25" s="36"/>
      <c r="S25" s="36"/>
      <c r="T25" s="36"/>
      <c r="U25" s="36"/>
      <c r="V25" s="449">
        <f t="shared" si="0"/>
        <v>0</v>
      </c>
      <c r="W25" s="36"/>
      <c r="X25" s="36"/>
      <c r="Y25" s="36"/>
      <c r="Z25" s="449">
        <f t="shared" si="1"/>
        <v>0</v>
      </c>
      <c r="AA25" s="36"/>
      <c r="AB25" s="449">
        <f t="shared" si="2"/>
        <v>0</v>
      </c>
      <c r="AC25" s="33"/>
      <c r="AE25" s="31">
        <f t="shared" si="3"/>
        <v>0</v>
      </c>
    </row>
    <row r="26" spans="1:31" ht="20.100000000000001" customHeight="1">
      <c r="A26" s="33"/>
      <c r="B26" s="33"/>
      <c r="C26" s="33"/>
      <c r="D26" s="34"/>
      <c r="E26" s="35"/>
      <c r="F26" s="36"/>
      <c r="G26" s="36"/>
      <c r="H26" s="36"/>
      <c r="I26" s="36"/>
      <c r="J26" s="36"/>
      <c r="K26" s="36"/>
      <c r="L26" s="36"/>
      <c r="M26" s="36"/>
      <c r="N26" s="36"/>
      <c r="O26" s="36"/>
      <c r="P26" s="36"/>
      <c r="Q26" s="36"/>
      <c r="R26" s="36"/>
      <c r="S26" s="36"/>
      <c r="T26" s="36"/>
      <c r="U26" s="36"/>
      <c r="V26" s="449">
        <f t="shared" si="0"/>
        <v>0</v>
      </c>
      <c r="W26" s="36"/>
      <c r="X26" s="36"/>
      <c r="Y26" s="36"/>
      <c r="Z26" s="449">
        <f t="shared" si="1"/>
        <v>0</v>
      </c>
      <c r="AA26" s="36"/>
      <c r="AB26" s="449">
        <f t="shared" si="2"/>
        <v>0</v>
      </c>
      <c r="AC26" s="33"/>
      <c r="AE26" s="31">
        <f t="shared" si="3"/>
        <v>0</v>
      </c>
    </row>
    <row r="27" spans="1:31" ht="20.100000000000001" customHeight="1">
      <c r="A27" s="33"/>
      <c r="B27" s="33"/>
      <c r="C27" s="33"/>
      <c r="D27" s="34"/>
      <c r="E27" s="35"/>
      <c r="F27" s="36"/>
      <c r="G27" s="36"/>
      <c r="H27" s="36"/>
      <c r="I27" s="36"/>
      <c r="J27" s="36"/>
      <c r="K27" s="36"/>
      <c r="L27" s="36"/>
      <c r="M27" s="36"/>
      <c r="N27" s="36"/>
      <c r="O27" s="36"/>
      <c r="P27" s="36"/>
      <c r="Q27" s="36"/>
      <c r="R27" s="36"/>
      <c r="S27" s="36"/>
      <c r="T27" s="36"/>
      <c r="U27" s="36"/>
      <c r="V27" s="449">
        <f t="shared" si="0"/>
        <v>0</v>
      </c>
      <c r="W27" s="36"/>
      <c r="X27" s="36"/>
      <c r="Y27" s="36"/>
      <c r="Z27" s="449">
        <f t="shared" si="1"/>
        <v>0</v>
      </c>
      <c r="AA27" s="36"/>
      <c r="AB27" s="449">
        <f t="shared" si="2"/>
        <v>0</v>
      </c>
      <c r="AC27" s="33"/>
      <c r="AE27" s="31">
        <f t="shared" si="3"/>
        <v>0</v>
      </c>
    </row>
    <row r="28" spans="1:31" ht="20.100000000000001" customHeight="1">
      <c r="A28" s="33"/>
      <c r="B28" s="33"/>
      <c r="C28" s="33"/>
      <c r="D28" s="34"/>
      <c r="E28" s="35"/>
      <c r="F28" s="36"/>
      <c r="G28" s="36"/>
      <c r="H28" s="36"/>
      <c r="I28" s="36"/>
      <c r="J28" s="36"/>
      <c r="K28" s="36"/>
      <c r="L28" s="36"/>
      <c r="M28" s="36"/>
      <c r="N28" s="36"/>
      <c r="O28" s="36"/>
      <c r="P28" s="36"/>
      <c r="Q28" s="36"/>
      <c r="R28" s="36"/>
      <c r="S28" s="36"/>
      <c r="T28" s="36"/>
      <c r="U28" s="36"/>
      <c r="V28" s="449">
        <f t="shared" si="0"/>
        <v>0</v>
      </c>
      <c r="W28" s="36"/>
      <c r="X28" s="36"/>
      <c r="Y28" s="36"/>
      <c r="Z28" s="449">
        <f t="shared" si="1"/>
        <v>0</v>
      </c>
      <c r="AA28" s="36"/>
      <c r="AB28" s="449">
        <f t="shared" si="2"/>
        <v>0</v>
      </c>
      <c r="AC28" s="33"/>
      <c r="AE28" s="31">
        <f t="shared" si="3"/>
        <v>0</v>
      </c>
    </row>
    <row r="29" spans="1:31" ht="20.100000000000001" customHeight="1">
      <c r="A29" s="33"/>
      <c r="B29" s="33"/>
      <c r="C29" s="33"/>
      <c r="D29" s="34"/>
      <c r="E29" s="35"/>
      <c r="F29" s="36"/>
      <c r="G29" s="36"/>
      <c r="H29" s="36"/>
      <c r="I29" s="36"/>
      <c r="J29" s="36"/>
      <c r="K29" s="36"/>
      <c r="L29" s="36"/>
      <c r="M29" s="36"/>
      <c r="N29" s="36"/>
      <c r="O29" s="36"/>
      <c r="P29" s="36"/>
      <c r="Q29" s="36"/>
      <c r="R29" s="36"/>
      <c r="S29" s="36"/>
      <c r="T29" s="36"/>
      <c r="U29" s="36"/>
      <c r="V29" s="449">
        <f t="shared" si="0"/>
        <v>0</v>
      </c>
      <c r="W29" s="36"/>
      <c r="X29" s="36"/>
      <c r="Y29" s="36"/>
      <c r="Z29" s="449">
        <f t="shared" si="1"/>
        <v>0</v>
      </c>
      <c r="AA29" s="36"/>
      <c r="AB29" s="449">
        <f t="shared" si="2"/>
        <v>0</v>
      </c>
      <c r="AC29" s="33"/>
      <c r="AE29" s="31">
        <f t="shared" si="3"/>
        <v>0</v>
      </c>
    </row>
    <row r="30" spans="1:31" ht="20.100000000000001" customHeight="1">
      <c r="A30" s="33"/>
      <c r="B30" s="33"/>
      <c r="C30" s="33"/>
      <c r="D30" s="34"/>
      <c r="E30" s="35"/>
      <c r="F30" s="36"/>
      <c r="G30" s="36"/>
      <c r="H30" s="36"/>
      <c r="I30" s="36"/>
      <c r="J30" s="36"/>
      <c r="K30" s="36"/>
      <c r="L30" s="36"/>
      <c r="M30" s="36"/>
      <c r="N30" s="36"/>
      <c r="O30" s="36"/>
      <c r="P30" s="36"/>
      <c r="Q30" s="36"/>
      <c r="R30" s="36"/>
      <c r="S30" s="36"/>
      <c r="T30" s="36"/>
      <c r="U30" s="36"/>
      <c r="V30" s="449">
        <f t="shared" si="0"/>
        <v>0</v>
      </c>
      <c r="W30" s="36"/>
      <c r="X30" s="36"/>
      <c r="Y30" s="36"/>
      <c r="Z30" s="449">
        <f t="shared" si="1"/>
        <v>0</v>
      </c>
      <c r="AA30" s="36"/>
      <c r="AB30" s="449">
        <f t="shared" si="2"/>
        <v>0</v>
      </c>
      <c r="AC30" s="33"/>
      <c r="AE30" s="31">
        <f t="shared" si="3"/>
        <v>0</v>
      </c>
    </row>
    <row r="31" spans="1:31" ht="20.100000000000001" customHeight="1">
      <c r="A31" s="33"/>
      <c r="B31" s="33"/>
      <c r="C31" s="33"/>
      <c r="D31" s="34"/>
      <c r="E31" s="35"/>
      <c r="F31" s="36"/>
      <c r="G31" s="36"/>
      <c r="H31" s="36"/>
      <c r="I31" s="36"/>
      <c r="J31" s="36"/>
      <c r="K31" s="36"/>
      <c r="L31" s="36"/>
      <c r="M31" s="36"/>
      <c r="N31" s="36"/>
      <c r="O31" s="36"/>
      <c r="P31" s="36"/>
      <c r="Q31" s="36"/>
      <c r="R31" s="36"/>
      <c r="S31" s="36"/>
      <c r="T31" s="36"/>
      <c r="U31" s="36"/>
      <c r="V31" s="449">
        <f t="shared" si="0"/>
        <v>0</v>
      </c>
      <c r="W31" s="36"/>
      <c r="X31" s="36"/>
      <c r="Y31" s="36"/>
      <c r="Z31" s="449">
        <f t="shared" si="1"/>
        <v>0</v>
      </c>
      <c r="AA31" s="36"/>
      <c r="AB31" s="449">
        <f t="shared" si="2"/>
        <v>0</v>
      </c>
      <c r="AC31" s="33"/>
      <c r="AE31" s="31">
        <f t="shared" si="3"/>
        <v>0</v>
      </c>
    </row>
    <row r="32" spans="1:31" ht="20.100000000000001" customHeight="1">
      <c r="A32" s="33"/>
      <c r="B32" s="33"/>
      <c r="C32" s="33"/>
      <c r="D32" s="34"/>
      <c r="E32" s="35"/>
      <c r="F32" s="36"/>
      <c r="G32" s="36"/>
      <c r="H32" s="36"/>
      <c r="I32" s="36"/>
      <c r="J32" s="36"/>
      <c r="K32" s="36"/>
      <c r="L32" s="36"/>
      <c r="M32" s="36"/>
      <c r="N32" s="36"/>
      <c r="O32" s="36"/>
      <c r="P32" s="36"/>
      <c r="Q32" s="36"/>
      <c r="R32" s="36"/>
      <c r="S32" s="36"/>
      <c r="T32" s="36"/>
      <c r="U32" s="36"/>
      <c r="V32" s="449">
        <f t="shared" si="0"/>
        <v>0</v>
      </c>
      <c r="W32" s="36"/>
      <c r="X32" s="36"/>
      <c r="Y32" s="36"/>
      <c r="Z32" s="449">
        <f t="shared" si="1"/>
        <v>0</v>
      </c>
      <c r="AA32" s="36"/>
      <c r="AB32" s="449">
        <f t="shared" si="2"/>
        <v>0</v>
      </c>
      <c r="AC32" s="33"/>
      <c r="AE32" s="31">
        <f t="shared" si="3"/>
        <v>0</v>
      </c>
    </row>
    <row r="33" spans="1:31" ht="20.100000000000001" customHeight="1">
      <c r="A33" s="33"/>
      <c r="B33" s="33"/>
      <c r="C33" s="33"/>
      <c r="D33" s="34"/>
      <c r="E33" s="35"/>
      <c r="F33" s="36"/>
      <c r="G33" s="36"/>
      <c r="H33" s="36"/>
      <c r="I33" s="36"/>
      <c r="J33" s="36"/>
      <c r="K33" s="36"/>
      <c r="L33" s="36"/>
      <c r="M33" s="36"/>
      <c r="N33" s="36"/>
      <c r="O33" s="36"/>
      <c r="P33" s="36"/>
      <c r="Q33" s="36"/>
      <c r="R33" s="36"/>
      <c r="S33" s="36"/>
      <c r="T33" s="36"/>
      <c r="U33" s="36"/>
      <c r="V33" s="449">
        <f t="shared" si="0"/>
        <v>0</v>
      </c>
      <c r="W33" s="36"/>
      <c r="X33" s="36"/>
      <c r="Y33" s="36"/>
      <c r="Z33" s="449">
        <f t="shared" si="1"/>
        <v>0</v>
      </c>
      <c r="AA33" s="36"/>
      <c r="AB33" s="449">
        <f t="shared" si="2"/>
        <v>0</v>
      </c>
      <c r="AC33" s="33"/>
      <c r="AE33" s="31">
        <f t="shared" si="3"/>
        <v>0</v>
      </c>
    </row>
    <row r="34" spans="1:31" ht="20.100000000000001" customHeight="1">
      <c r="A34" s="33"/>
      <c r="B34" s="33"/>
      <c r="C34" s="33"/>
      <c r="D34" s="34"/>
      <c r="E34" s="35"/>
      <c r="F34" s="36"/>
      <c r="G34" s="36"/>
      <c r="H34" s="36"/>
      <c r="I34" s="36"/>
      <c r="J34" s="36"/>
      <c r="K34" s="36"/>
      <c r="L34" s="36"/>
      <c r="M34" s="36"/>
      <c r="N34" s="36"/>
      <c r="O34" s="36"/>
      <c r="P34" s="36"/>
      <c r="Q34" s="36"/>
      <c r="R34" s="36"/>
      <c r="S34" s="36"/>
      <c r="T34" s="36"/>
      <c r="U34" s="36"/>
      <c r="V34" s="449">
        <f t="shared" si="0"/>
        <v>0</v>
      </c>
      <c r="W34" s="36"/>
      <c r="X34" s="36"/>
      <c r="Y34" s="36"/>
      <c r="Z34" s="449">
        <f t="shared" si="1"/>
        <v>0</v>
      </c>
      <c r="AA34" s="36"/>
      <c r="AB34" s="449">
        <f t="shared" si="2"/>
        <v>0</v>
      </c>
      <c r="AC34" s="33"/>
      <c r="AE34" s="31">
        <f t="shared" si="3"/>
        <v>0</v>
      </c>
    </row>
    <row r="35" spans="1:31" ht="20.100000000000001" customHeight="1">
      <c r="A35" s="33"/>
      <c r="B35" s="33"/>
      <c r="C35" s="33"/>
      <c r="D35" s="34"/>
      <c r="E35" s="35"/>
      <c r="F35" s="36"/>
      <c r="G35" s="36"/>
      <c r="H35" s="36"/>
      <c r="I35" s="36"/>
      <c r="J35" s="36"/>
      <c r="K35" s="36"/>
      <c r="L35" s="36"/>
      <c r="M35" s="36"/>
      <c r="N35" s="36"/>
      <c r="O35" s="36"/>
      <c r="P35" s="36"/>
      <c r="Q35" s="36"/>
      <c r="R35" s="36"/>
      <c r="S35" s="36"/>
      <c r="T35" s="36"/>
      <c r="U35" s="36"/>
      <c r="V35" s="449">
        <f t="shared" si="0"/>
        <v>0</v>
      </c>
      <c r="W35" s="36"/>
      <c r="X35" s="36"/>
      <c r="Y35" s="36"/>
      <c r="Z35" s="449">
        <f t="shared" si="1"/>
        <v>0</v>
      </c>
      <c r="AA35" s="36"/>
      <c r="AB35" s="449">
        <f t="shared" si="2"/>
        <v>0</v>
      </c>
      <c r="AC35" s="33"/>
      <c r="AE35" s="31">
        <f t="shared" si="3"/>
        <v>0</v>
      </c>
    </row>
    <row r="36" spans="1:31" ht="20.100000000000001" customHeight="1">
      <c r="A36" s="33"/>
      <c r="B36" s="33"/>
      <c r="C36" s="33"/>
      <c r="D36" s="34"/>
      <c r="E36" s="35"/>
      <c r="F36" s="36"/>
      <c r="G36" s="36"/>
      <c r="H36" s="36"/>
      <c r="I36" s="36"/>
      <c r="J36" s="36"/>
      <c r="K36" s="36"/>
      <c r="L36" s="36"/>
      <c r="M36" s="36"/>
      <c r="N36" s="36"/>
      <c r="O36" s="36"/>
      <c r="P36" s="36"/>
      <c r="Q36" s="36"/>
      <c r="R36" s="36"/>
      <c r="S36" s="36"/>
      <c r="T36" s="36"/>
      <c r="U36" s="36"/>
      <c r="V36" s="449">
        <f t="shared" si="0"/>
        <v>0</v>
      </c>
      <c r="W36" s="36"/>
      <c r="X36" s="36"/>
      <c r="Y36" s="36"/>
      <c r="Z36" s="449">
        <f t="shared" si="1"/>
        <v>0</v>
      </c>
      <c r="AA36" s="36"/>
      <c r="AB36" s="449">
        <f t="shared" si="2"/>
        <v>0</v>
      </c>
      <c r="AC36" s="33"/>
      <c r="AE36" s="31">
        <f t="shared" si="3"/>
        <v>0</v>
      </c>
    </row>
    <row r="37" spans="1:31" ht="20.100000000000001" customHeight="1">
      <c r="A37" s="33"/>
      <c r="B37" s="33"/>
      <c r="C37" s="33"/>
      <c r="D37" s="34"/>
      <c r="E37" s="35"/>
      <c r="F37" s="36"/>
      <c r="G37" s="36"/>
      <c r="H37" s="36"/>
      <c r="I37" s="36"/>
      <c r="J37" s="36"/>
      <c r="K37" s="36"/>
      <c r="L37" s="36"/>
      <c r="M37" s="36"/>
      <c r="N37" s="36"/>
      <c r="O37" s="36"/>
      <c r="P37" s="36"/>
      <c r="Q37" s="36"/>
      <c r="R37" s="36"/>
      <c r="S37" s="36"/>
      <c r="T37" s="36"/>
      <c r="U37" s="36"/>
      <c r="V37" s="449">
        <f t="shared" si="0"/>
        <v>0</v>
      </c>
      <c r="W37" s="36"/>
      <c r="X37" s="36"/>
      <c r="Y37" s="36"/>
      <c r="Z37" s="449">
        <f t="shared" si="1"/>
        <v>0</v>
      </c>
      <c r="AA37" s="36"/>
      <c r="AB37" s="449">
        <f t="shared" si="2"/>
        <v>0</v>
      </c>
      <c r="AC37" s="33"/>
      <c r="AE37" s="31">
        <f t="shared" si="3"/>
        <v>0</v>
      </c>
    </row>
    <row r="38" spans="1:31" ht="20.100000000000001" customHeight="1">
      <c r="A38" s="33"/>
      <c r="B38" s="33"/>
      <c r="C38" s="33"/>
      <c r="D38" s="34"/>
      <c r="E38" s="35"/>
      <c r="F38" s="36"/>
      <c r="G38" s="36"/>
      <c r="H38" s="36"/>
      <c r="I38" s="36"/>
      <c r="J38" s="36"/>
      <c r="K38" s="36"/>
      <c r="L38" s="36"/>
      <c r="M38" s="36"/>
      <c r="N38" s="36"/>
      <c r="O38" s="36"/>
      <c r="P38" s="36"/>
      <c r="Q38" s="36"/>
      <c r="R38" s="36"/>
      <c r="S38" s="36"/>
      <c r="T38" s="36"/>
      <c r="U38" s="36"/>
      <c r="V38" s="449">
        <f t="shared" si="0"/>
        <v>0</v>
      </c>
      <c r="W38" s="36"/>
      <c r="X38" s="36"/>
      <c r="Y38" s="36"/>
      <c r="Z38" s="449">
        <f t="shared" si="1"/>
        <v>0</v>
      </c>
      <c r="AA38" s="36"/>
      <c r="AB38" s="449">
        <f t="shared" si="2"/>
        <v>0</v>
      </c>
      <c r="AC38" s="33"/>
      <c r="AE38" s="31">
        <f t="shared" si="3"/>
        <v>0</v>
      </c>
    </row>
    <row r="39" spans="1:31" ht="20.100000000000001" customHeight="1">
      <c r="A39" s="33"/>
      <c r="B39" s="33"/>
      <c r="C39" s="33"/>
      <c r="D39" s="34"/>
      <c r="E39" s="35"/>
      <c r="F39" s="36"/>
      <c r="G39" s="36"/>
      <c r="H39" s="36"/>
      <c r="I39" s="36"/>
      <c r="J39" s="36"/>
      <c r="K39" s="36"/>
      <c r="L39" s="36"/>
      <c r="M39" s="36"/>
      <c r="N39" s="36"/>
      <c r="O39" s="36"/>
      <c r="P39" s="36"/>
      <c r="Q39" s="36"/>
      <c r="R39" s="36"/>
      <c r="S39" s="36"/>
      <c r="T39" s="36"/>
      <c r="U39" s="36"/>
      <c r="V39" s="449">
        <f t="shared" si="0"/>
        <v>0</v>
      </c>
      <c r="W39" s="36"/>
      <c r="X39" s="36"/>
      <c r="Y39" s="36"/>
      <c r="Z39" s="449">
        <f t="shared" si="1"/>
        <v>0</v>
      </c>
      <c r="AA39" s="36"/>
      <c r="AB39" s="449">
        <f t="shared" si="2"/>
        <v>0</v>
      </c>
      <c r="AC39" s="33"/>
      <c r="AE39" s="31">
        <f t="shared" si="3"/>
        <v>0</v>
      </c>
    </row>
    <row r="40" spans="1:31" ht="20.100000000000001" customHeight="1">
      <c r="A40" s="33"/>
      <c r="B40" s="33"/>
      <c r="C40" s="33"/>
      <c r="D40" s="34"/>
      <c r="E40" s="35"/>
      <c r="F40" s="36"/>
      <c r="G40" s="36"/>
      <c r="H40" s="36"/>
      <c r="I40" s="36"/>
      <c r="J40" s="36"/>
      <c r="K40" s="36"/>
      <c r="L40" s="36"/>
      <c r="M40" s="36"/>
      <c r="N40" s="36"/>
      <c r="O40" s="36"/>
      <c r="P40" s="36"/>
      <c r="Q40" s="36"/>
      <c r="R40" s="36"/>
      <c r="S40" s="36"/>
      <c r="T40" s="36"/>
      <c r="U40" s="36"/>
      <c r="V40" s="449">
        <f t="shared" si="0"/>
        <v>0</v>
      </c>
      <c r="W40" s="36"/>
      <c r="X40" s="36"/>
      <c r="Y40" s="36"/>
      <c r="Z40" s="449">
        <f t="shared" si="1"/>
        <v>0</v>
      </c>
      <c r="AA40" s="36"/>
      <c r="AB40" s="449">
        <f t="shared" si="2"/>
        <v>0</v>
      </c>
      <c r="AC40" s="33"/>
      <c r="AE40" s="31">
        <f t="shared" si="3"/>
        <v>0</v>
      </c>
    </row>
    <row r="41" spans="1:31" ht="20.100000000000001" customHeight="1">
      <c r="A41" s="33"/>
      <c r="B41" s="33"/>
      <c r="C41" s="33"/>
      <c r="D41" s="34"/>
      <c r="E41" s="35"/>
      <c r="F41" s="36"/>
      <c r="G41" s="36"/>
      <c r="H41" s="36"/>
      <c r="I41" s="36"/>
      <c r="J41" s="36"/>
      <c r="K41" s="36"/>
      <c r="L41" s="36"/>
      <c r="M41" s="36"/>
      <c r="N41" s="36"/>
      <c r="O41" s="36"/>
      <c r="P41" s="36"/>
      <c r="Q41" s="36"/>
      <c r="R41" s="36"/>
      <c r="S41" s="36"/>
      <c r="T41" s="36"/>
      <c r="U41" s="36"/>
      <c r="V41" s="449">
        <f t="shared" si="0"/>
        <v>0</v>
      </c>
      <c r="W41" s="36"/>
      <c r="X41" s="36"/>
      <c r="Y41" s="36"/>
      <c r="Z41" s="449">
        <f t="shared" si="1"/>
        <v>0</v>
      </c>
      <c r="AA41" s="36"/>
      <c r="AB41" s="449">
        <f t="shared" si="2"/>
        <v>0</v>
      </c>
      <c r="AC41" s="33"/>
      <c r="AE41" s="31">
        <f t="shared" si="3"/>
        <v>0</v>
      </c>
    </row>
    <row r="42" spans="1:31" ht="20.100000000000001" customHeight="1">
      <c r="A42" s="33"/>
      <c r="B42" s="33"/>
      <c r="C42" s="33"/>
      <c r="D42" s="34"/>
      <c r="E42" s="35"/>
      <c r="F42" s="36"/>
      <c r="G42" s="36"/>
      <c r="H42" s="36"/>
      <c r="I42" s="36"/>
      <c r="J42" s="36"/>
      <c r="K42" s="36"/>
      <c r="L42" s="36"/>
      <c r="M42" s="36"/>
      <c r="N42" s="36"/>
      <c r="O42" s="36"/>
      <c r="P42" s="36"/>
      <c r="Q42" s="36"/>
      <c r="R42" s="36"/>
      <c r="S42" s="36"/>
      <c r="T42" s="36"/>
      <c r="U42" s="36"/>
      <c r="V42" s="449">
        <f t="shared" si="0"/>
        <v>0</v>
      </c>
      <c r="W42" s="36"/>
      <c r="X42" s="36"/>
      <c r="Y42" s="36"/>
      <c r="Z42" s="449">
        <f t="shared" si="1"/>
        <v>0</v>
      </c>
      <c r="AA42" s="36"/>
      <c r="AB42" s="449">
        <f t="shared" si="2"/>
        <v>0</v>
      </c>
      <c r="AC42" s="33"/>
      <c r="AE42" s="31">
        <f t="shared" si="3"/>
        <v>0</v>
      </c>
    </row>
    <row r="43" spans="1:31" ht="20.100000000000001" customHeight="1">
      <c r="A43" s="33"/>
      <c r="B43" s="33"/>
      <c r="C43" s="33"/>
      <c r="D43" s="34"/>
      <c r="E43" s="35"/>
      <c r="F43" s="36"/>
      <c r="G43" s="36"/>
      <c r="H43" s="36"/>
      <c r="I43" s="36"/>
      <c r="J43" s="36"/>
      <c r="K43" s="36"/>
      <c r="L43" s="36"/>
      <c r="M43" s="36"/>
      <c r="N43" s="36"/>
      <c r="O43" s="36"/>
      <c r="P43" s="36"/>
      <c r="Q43" s="36"/>
      <c r="R43" s="36"/>
      <c r="S43" s="36"/>
      <c r="T43" s="36"/>
      <c r="U43" s="36"/>
      <c r="V43" s="449">
        <f t="shared" si="0"/>
        <v>0</v>
      </c>
      <c r="W43" s="36"/>
      <c r="X43" s="36"/>
      <c r="Y43" s="36"/>
      <c r="Z43" s="449">
        <f t="shared" si="1"/>
        <v>0</v>
      </c>
      <c r="AA43" s="36"/>
      <c r="AB43" s="449">
        <f t="shared" si="2"/>
        <v>0</v>
      </c>
      <c r="AC43" s="33"/>
      <c r="AE43" s="31">
        <f t="shared" si="3"/>
        <v>0</v>
      </c>
    </row>
    <row r="44" spans="1:31" ht="20.100000000000001" customHeight="1">
      <c r="A44" s="33"/>
      <c r="B44" s="33"/>
      <c r="C44" s="33"/>
      <c r="D44" s="34"/>
      <c r="E44" s="35"/>
      <c r="F44" s="36"/>
      <c r="G44" s="36"/>
      <c r="H44" s="36"/>
      <c r="I44" s="36"/>
      <c r="J44" s="36"/>
      <c r="K44" s="36"/>
      <c r="L44" s="36"/>
      <c r="M44" s="36"/>
      <c r="N44" s="36"/>
      <c r="O44" s="36"/>
      <c r="P44" s="36"/>
      <c r="Q44" s="36"/>
      <c r="R44" s="36"/>
      <c r="S44" s="36"/>
      <c r="T44" s="36"/>
      <c r="U44" s="36"/>
      <c r="V44" s="449">
        <f t="shared" si="0"/>
        <v>0</v>
      </c>
      <c r="W44" s="36"/>
      <c r="X44" s="36"/>
      <c r="Y44" s="36"/>
      <c r="Z44" s="449">
        <f t="shared" si="1"/>
        <v>0</v>
      </c>
      <c r="AA44" s="36"/>
      <c r="AB44" s="449">
        <f t="shared" si="2"/>
        <v>0</v>
      </c>
      <c r="AC44" s="33"/>
      <c r="AE44" s="31">
        <f t="shared" si="3"/>
        <v>0</v>
      </c>
    </row>
    <row r="45" spans="1:31" ht="20.100000000000001" customHeight="1">
      <c r="A45" s="33"/>
      <c r="B45" s="33"/>
      <c r="C45" s="33"/>
      <c r="D45" s="34"/>
      <c r="E45" s="35"/>
      <c r="F45" s="36"/>
      <c r="G45" s="36"/>
      <c r="H45" s="36"/>
      <c r="I45" s="36"/>
      <c r="J45" s="36"/>
      <c r="K45" s="36"/>
      <c r="L45" s="36"/>
      <c r="M45" s="36"/>
      <c r="N45" s="36"/>
      <c r="O45" s="36"/>
      <c r="P45" s="36"/>
      <c r="Q45" s="36"/>
      <c r="R45" s="36"/>
      <c r="S45" s="36"/>
      <c r="T45" s="36"/>
      <c r="U45" s="36"/>
      <c r="V45" s="449">
        <f t="shared" si="0"/>
        <v>0</v>
      </c>
      <c r="W45" s="36"/>
      <c r="X45" s="36"/>
      <c r="Y45" s="36"/>
      <c r="Z45" s="449">
        <f t="shared" si="1"/>
        <v>0</v>
      </c>
      <c r="AA45" s="36"/>
      <c r="AB45" s="449">
        <f t="shared" si="2"/>
        <v>0</v>
      </c>
      <c r="AC45" s="33"/>
      <c r="AE45" s="31">
        <f t="shared" si="3"/>
        <v>0</v>
      </c>
    </row>
    <row r="46" spans="1:31" ht="20.100000000000001" customHeight="1">
      <c r="A46" s="33"/>
      <c r="B46" s="33"/>
      <c r="C46" s="33"/>
      <c r="D46" s="34"/>
      <c r="E46" s="35"/>
      <c r="F46" s="36"/>
      <c r="G46" s="36"/>
      <c r="H46" s="36"/>
      <c r="I46" s="36"/>
      <c r="J46" s="36"/>
      <c r="K46" s="36"/>
      <c r="L46" s="36"/>
      <c r="M46" s="36"/>
      <c r="N46" s="36"/>
      <c r="O46" s="36"/>
      <c r="P46" s="36"/>
      <c r="Q46" s="36"/>
      <c r="R46" s="36"/>
      <c r="S46" s="36"/>
      <c r="T46" s="36"/>
      <c r="U46" s="36"/>
      <c r="V46" s="449">
        <f t="shared" si="0"/>
        <v>0</v>
      </c>
      <c r="W46" s="36"/>
      <c r="X46" s="36"/>
      <c r="Y46" s="36"/>
      <c r="Z46" s="449">
        <f t="shared" si="1"/>
        <v>0</v>
      </c>
      <c r="AA46" s="36"/>
      <c r="AB46" s="449">
        <f t="shared" si="2"/>
        <v>0</v>
      </c>
      <c r="AC46" s="33"/>
      <c r="AE46" s="31">
        <f t="shared" si="3"/>
        <v>0</v>
      </c>
    </row>
    <row r="47" spans="1:31" ht="20.100000000000001" customHeight="1">
      <c r="A47" s="33"/>
      <c r="B47" s="33"/>
      <c r="C47" s="33"/>
      <c r="D47" s="34"/>
      <c r="E47" s="35"/>
      <c r="F47" s="36"/>
      <c r="G47" s="36"/>
      <c r="H47" s="36"/>
      <c r="I47" s="36"/>
      <c r="J47" s="36"/>
      <c r="K47" s="36"/>
      <c r="L47" s="36"/>
      <c r="M47" s="36"/>
      <c r="N47" s="36"/>
      <c r="O47" s="36"/>
      <c r="P47" s="36"/>
      <c r="Q47" s="36"/>
      <c r="R47" s="36"/>
      <c r="S47" s="36"/>
      <c r="T47" s="36"/>
      <c r="U47" s="36"/>
      <c r="V47" s="449">
        <f t="shared" si="0"/>
        <v>0</v>
      </c>
      <c r="W47" s="36"/>
      <c r="X47" s="36"/>
      <c r="Y47" s="36"/>
      <c r="Z47" s="449">
        <f t="shared" si="1"/>
        <v>0</v>
      </c>
      <c r="AA47" s="36"/>
      <c r="AB47" s="449">
        <f t="shared" si="2"/>
        <v>0</v>
      </c>
      <c r="AC47" s="33"/>
      <c r="AE47" s="31">
        <f t="shared" si="3"/>
        <v>0</v>
      </c>
    </row>
    <row r="48" spans="1:31" ht="20.100000000000001" customHeight="1">
      <c r="A48" s="33"/>
      <c r="B48" s="33"/>
      <c r="C48" s="33"/>
      <c r="D48" s="34"/>
      <c r="E48" s="35"/>
      <c r="F48" s="36"/>
      <c r="G48" s="36"/>
      <c r="H48" s="36"/>
      <c r="I48" s="36"/>
      <c r="J48" s="36"/>
      <c r="K48" s="36"/>
      <c r="L48" s="36"/>
      <c r="M48" s="36"/>
      <c r="N48" s="36"/>
      <c r="O48" s="36"/>
      <c r="P48" s="36"/>
      <c r="Q48" s="36"/>
      <c r="R48" s="36"/>
      <c r="S48" s="36"/>
      <c r="T48" s="36"/>
      <c r="U48" s="36"/>
      <c r="V48" s="449">
        <f t="shared" si="0"/>
        <v>0</v>
      </c>
      <c r="W48" s="36"/>
      <c r="X48" s="36"/>
      <c r="Y48" s="36"/>
      <c r="Z48" s="449">
        <f t="shared" si="1"/>
        <v>0</v>
      </c>
      <c r="AA48" s="36"/>
      <c r="AB48" s="449">
        <f t="shared" si="2"/>
        <v>0</v>
      </c>
      <c r="AC48" s="33"/>
      <c r="AE48" s="31">
        <f t="shared" si="3"/>
        <v>0</v>
      </c>
    </row>
    <row r="49" spans="1:31" ht="20.100000000000001" customHeight="1" thickBot="1">
      <c r="A49" s="33"/>
      <c r="B49" s="33"/>
      <c r="C49" s="33"/>
      <c r="D49" s="835">
        <f>SUM(D11:D48)</f>
        <v>0</v>
      </c>
      <c r="E49" s="36"/>
      <c r="F49" s="835">
        <f>SUM(F11:F48)</f>
        <v>0</v>
      </c>
      <c r="G49" s="1116"/>
      <c r="H49" s="1116"/>
      <c r="I49" s="36"/>
      <c r="J49" s="835">
        <f>SUM(J11:J48)</f>
        <v>0</v>
      </c>
      <c r="K49" s="835">
        <f>SUM(K11:K48)</f>
        <v>0</v>
      </c>
      <c r="L49" s="36"/>
      <c r="M49" s="835">
        <f>SUM(M11:M48)</f>
        <v>0</v>
      </c>
      <c r="N49" s="835">
        <f>SUM(N11:N40)</f>
        <v>0</v>
      </c>
      <c r="O49" s="36"/>
      <c r="P49" s="835">
        <f>SUM(P11:P48)</f>
        <v>0</v>
      </c>
      <c r="Q49" s="835">
        <f>SUM(Q11:Q48)</f>
        <v>0</v>
      </c>
      <c r="R49" s="36"/>
      <c r="S49" s="835">
        <f>SUM(S11:S48)</f>
        <v>0</v>
      </c>
      <c r="T49" s="835">
        <f>SUM(T11:T40)</f>
        <v>0</v>
      </c>
      <c r="U49" s="36"/>
      <c r="V49" s="450">
        <f>SUM(V11:V48)</f>
        <v>0</v>
      </c>
      <c r="W49" s="36"/>
      <c r="X49" s="836"/>
      <c r="Y49" s="36"/>
      <c r="Z49" s="450">
        <f>SUM(Z11:Z48)</f>
        <v>0</v>
      </c>
      <c r="AA49" s="36"/>
      <c r="AB49" s="450">
        <f>SUM(AB11:AB48)</f>
        <v>0</v>
      </c>
      <c r="AC49" s="96"/>
      <c r="AE49" s="31">
        <f>SUM(AE11:AE48)</f>
        <v>0</v>
      </c>
    </row>
    <row r="50" spans="1:31" ht="16.5" customHeight="1" thickTop="1">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row>
    <row r="51" spans="1:31" ht="24">
      <c r="A51" s="15"/>
      <c r="B51" s="15"/>
      <c r="C51" s="15"/>
      <c r="D51" s="711"/>
      <c r="E51" s="711"/>
      <c r="F51" s="15"/>
      <c r="G51" s="15"/>
      <c r="H51" s="15"/>
      <c r="I51" s="2844"/>
      <c r="J51" s="2844"/>
      <c r="K51" s="2844"/>
      <c r="L51" s="15"/>
      <c r="M51" s="15"/>
      <c r="O51" s="2844"/>
      <c r="P51" s="2844"/>
      <c r="Q51" s="2844"/>
      <c r="R51" s="15"/>
      <c r="S51" s="15"/>
      <c r="V51" s="15"/>
      <c r="Z51" s="2844"/>
      <c r="AA51" s="2844"/>
    </row>
  </sheetData>
  <mergeCells count="25">
    <mergeCell ref="AB9:AB10"/>
    <mergeCell ref="J8:N8"/>
    <mergeCell ref="J9:K9"/>
    <mergeCell ref="M9:N9"/>
    <mergeCell ref="P8:T8"/>
    <mergeCell ref="V8:AC8"/>
    <mergeCell ref="X9:X10"/>
    <mergeCell ref="Z9:Z10"/>
    <mergeCell ref="C1:V1"/>
    <mergeCell ref="A2:AC2"/>
    <mergeCell ref="A6:F6"/>
    <mergeCell ref="AB6:AC6"/>
    <mergeCell ref="X6:Z6"/>
    <mergeCell ref="I51:K51"/>
    <mergeCell ref="O51:Q51"/>
    <mergeCell ref="Z51:AA51"/>
    <mergeCell ref="A8:A10"/>
    <mergeCell ref="B8:B10"/>
    <mergeCell ref="D9:D10"/>
    <mergeCell ref="F9:F10"/>
    <mergeCell ref="P9:Q9"/>
    <mergeCell ref="S9:T9"/>
    <mergeCell ref="V9:V10"/>
    <mergeCell ref="D8:H8"/>
    <mergeCell ref="H9:H10"/>
  </mergeCells>
  <printOptions horizontalCentered="1"/>
  <pageMargins left="0.19685039370078741" right="0.19685039370078741" top="0.59055118110236227" bottom="0.78740157480314965" header="0.19685039370078741" footer="0.19685039370078741"/>
  <pageSetup paperSize="9" scale="50"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9">
    <tabColor rgb="FFFFC000"/>
    <pageSetUpPr fitToPage="1"/>
  </sheetPr>
  <dimension ref="A1:AF51"/>
  <sheetViews>
    <sheetView rightToLeft="1" workbookViewId="0"/>
  </sheetViews>
  <sheetFormatPr defaultColWidth="9" defaultRowHeight="12.75"/>
  <cols>
    <col min="1" max="1" width="27.140625" style="31" customWidth="1"/>
    <col min="2" max="2" width="45.5703125" style="31" customWidth="1"/>
    <col min="3" max="3" width="1.5703125" style="31" customWidth="1"/>
    <col min="4" max="4" width="13.5703125" style="31" customWidth="1"/>
    <col min="5" max="5" width="1.5703125" style="31" customWidth="1"/>
    <col min="6" max="6" width="13.5703125" style="31" customWidth="1"/>
    <col min="7" max="7" width="1.5703125" style="31" customWidth="1"/>
    <col min="8" max="8" width="13.5703125" style="31" customWidth="1"/>
    <col min="9" max="9" width="1.5703125" style="31" customWidth="1"/>
    <col min="10" max="10" width="13.5703125" style="31" customWidth="1"/>
    <col min="11" max="11" width="1.5703125" style="31" customWidth="1"/>
    <col min="12" max="12" width="13.5703125" style="31" customWidth="1"/>
    <col min="13" max="13" width="1.5703125" style="31" customWidth="1"/>
    <col min="14" max="14" width="13.5703125" style="31" customWidth="1"/>
    <col min="15" max="15" width="1.5703125" style="31" customWidth="1"/>
    <col min="16" max="16" width="13.5703125" style="31" customWidth="1"/>
    <col min="17" max="17" width="1.5703125" style="31" customWidth="1"/>
    <col min="18" max="18" width="13.5703125" style="31" customWidth="1"/>
    <col min="19" max="19" width="1.5703125" style="31" customWidth="1"/>
    <col min="20" max="20" width="13.5703125" style="31" customWidth="1"/>
    <col min="21" max="21" width="1.5703125" style="31" customWidth="1"/>
    <col min="22" max="22" width="13.5703125" style="31" customWidth="1"/>
    <col min="23" max="23" width="1.5703125" style="31" customWidth="1"/>
    <col min="24" max="24" width="13.5703125" style="31" customWidth="1"/>
    <col min="25" max="25" width="1.5703125" style="31" customWidth="1"/>
    <col min="26" max="26" width="13.5703125" style="31" customWidth="1"/>
    <col min="27" max="28" width="1.5703125" style="31" customWidth="1"/>
    <col min="29" max="30" width="9" style="31"/>
    <col min="31" max="32" width="0" style="31" hidden="1" customWidth="1"/>
    <col min="33" max="16384" width="9" style="31"/>
  </cols>
  <sheetData>
    <row r="1" spans="1:32" s="30" customFormat="1" ht="15.75" customHeight="1">
      <c r="A1" s="433"/>
      <c r="B1" s="433"/>
      <c r="C1" s="2851"/>
      <c r="D1" s="2851"/>
      <c r="E1" s="2851"/>
      <c r="F1" s="2851"/>
      <c r="G1" s="2851"/>
      <c r="H1" s="2851"/>
      <c r="I1" s="2851"/>
      <c r="J1" s="2851"/>
      <c r="K1" s="2851"/>
      <c r="L1" s="2851"/>
      <c r="M1" s="2851"/>
      <c r="N1" s="2851"/>
      <c r="O1" s="2851"/>
      <c r="P1" s="2851"/>
      <c r="Q1" s="2851"/>
      <c r="R1" s="2851"/>
      <c r="S1" s="2851"/>
      <c r="T1" s="2851"/>
      <c r="U1" s="2851"/>
      <c r="V1" s="2851"/>
      <c r="W1" s="2851"/>
      <c r="X1" s="2851"/>
      <c r="Y1" s="2851"/>
      <c r="Z1" s="2851"/>
      <c r="AA1" s="2851"/>
      <c r="AB1" s="709"/>
    </row>
    <row r="2" spans="1:32" s="30" customFormat="1" ht="24" customHeight="1">
      <c r="A2" s="2852" t="str">
        <f>'گردش سهام'!A2:AC2</f>
        <v>انبارهای عمومی و خدمات گمرکی ایران</v>
      </c>
      <c r="B2" s="2852"/>
      <c r="C2" s="2852"/>
      <c r="D2" s="2852"/>
      <c r="E2" s="2852"/>
      <c r="F2" s="2852"/>
      <c r="G2" s="2852"/>
      <c r="H2" s="2852"/>
      <c r="I2" s="2852"/>
      <c r="J2" s="2852"/>
      <c r="K2" s="2852"/>
      <c r="L2" s="2852"/>
      <c r="M2" s="2852"/>
      <c r="N2" s="2852"/>
      <c r="O2" s="2852"/>
      <c r="P2" s="2852"/>
      <c r="Q2" s="2852"/>
      <c r="R2" s="2852"/>
      <c r="S2" s="2852"/>
      <c r="T2" s="2852"/>
      <c r="U2" s="2852"/>
      <c r="V2" s="2852"/>
      <c r="W2" s="2852"/>
      <c r="X2" s="2852"/>
      <c r="Y2" s="2852"/>
      <c r="Z2" s="2852"/>
      <c r="AA2" s="2852"/>
      <c r="AB2" s="2852"/>
    </row>
    <row r="3" spans="1:32" s="30" customFormat="1" ht="20.25" customHeight="1">
      <c r="A3" s="709"/>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c r="AB3" s="709"/>
    </row>
    <row r="4" spans="1:32" s="30" customFormat="1" ht="24" customHeight="1">
      <c r="A4" s="1117" t="s">
        <v>447</v>
      </c>
      <c r="B4" s="1117"/>
      <c r="C4" s="1117"/>
      <c r="D4" s="1117"/>
      <c r="E4" s="1117"/>
      <c r="F4" s="1117"/>
      <c r="G4" s="1117"/>
      <c r="H4" s="1117"/>
      <c r="I4" s="1117"/>
      <c r="J4" s="1117"/>
      <c r="K4" s="1117"/>
      <c r="L4" s="1117"/>
      <c r="M4" s="1117"/>
      <c r="N4" s="1117"/>
      <c r="O4" s="1117"/>
      <c r="P4" s="1117"/>
      <c r="Q4" s="1117"/>
      <c r="R4" s="1117"/>
      <c r="S4" s="1117"/>
      <c r="T4" s="1088" t="s">
        <v>1246</v>
      </c>
      <c r="V4" s="1089" t="str">
        <f>روکش!$F$9</f>
        <v>شش ماهه</v>
      </c>
      <c r="X4" s="1089" t="s">
        <v>379</v>
      </c>
      <c r="Y4" s="1117"/>
      <c r="Z4" s="1088">
        <f>روکش!$D$9</f>
        <v>1405</v>
      </c>
      <c r="AA4" s="1117"/>
      <c r="AB4" s="1117"/>
    </row>
    <row r="5" spans="1:32" s="30" customFormat="1" ht="15.75" customHeight="1">
      <c r="A5" s="709"/>
      <c r="B5" s="709"/>
      <c r="C5" s="709"/>
      <c r="D5" s="709"/>
      <c r="E5" s="709"/>
      <c r="F5" s="709"/>
      <c r="G5" s="709"/>
      <c r="H5" s="709"/>
      <c r="I5" s="709"/>
      <c r="J5" s="709"/>
      <c r="K5" s="709"/>
      <c r="L5" s="709"/>
      <c r="M5" s="709"/>
      <c r="N5" s="709"/>
      <c r="O5" s="709"/>
      <c r="P5" s="709"/>
      <c r="Q5" s="709"/>
      <c r="R5" s="709"/>
      <c r="S5" s="709"/>
      <c r="T5" s="709"/>
      <c r="U5" s="709"/>
      <c r="V5" s="709"/>
      <c r="W5" s="709"/>
      <c r="X5" s="709"/>
      <c r="Y5" s="709"/>
      <c r="Z5" s="709"/>
      <c r="AA5" s="709"/>
      <c r="AB5" s="709"/>
    </row>
    <row r="6" spans="1:32" s="30" customFormat="1" ht="30.75" customHeight="1">
      <c r="A6" s="2853"/>
      <c r="B6" s="2853"/>
      <c r="C6" s="2853"/>
      <c r="D6" s="2853"/>
      <c r="E6" s="2853"/>
      <c r="F6" s="2853"/>
      <c r="G6" s="435"/>
      <c r="H6" s="435"/>
      <c r="I6" s="435"/>
      <c r="J6" s="435"/>
      <c r="K6" s="435"/>
      <c r="L6" s="435"/>
      <c r="M6" s="435"/>
      <c r="N6" s="435"/>
      <c r="O6" s="435"/>
      <c r="P6" s="435"/>
      <c r="Q6" s="435"/>
      <c r="R6" s="435"/>
      <c r="S6" s="435"/>
      <c r="T6" s="435"/>
      <c r="U6" s="435"/>
      <c r="V6" s="451" t="s">
        <v>392</v>
      </c>
      <c r="W6" s="435"/>
      <c r="X6" s="435"/>
      <c r="Y6" s="435"/>
      <c r="Z6" s="435"/>
      <c r="AA6" s="435"/>
      <c r="AB6" s="435"/>
    </row>
    <row r="7" spans="1:32" ht="24.75" customHeight="1">
      <c r="A7" s="2845" t="s">
        <v>209</v>
      </c>
      <c r="B7" s="2845" t="s">
        <v>197</v>
      </c>
      <c r="C7" s="444"/>
      <c r="D7" s="2846" t="s">
        <v>683</v>
      </c>
      <c r="E7" s="2846"/>
      <c r="F7" s="2846"/>
      <c r="G7" s="2846"/>
      <c r="H7" s="2846"/>
      <c r="I7" s="2846"/>
      <c r="J7" s="2846"/>
      <c r="K7" s="441"/>
      <c r="L7" s="2856" t="s">
        <v>674</v>
      </c>
      <c r="M7" s="2856"/>
      <c r="N7" s="2856"/>
      <c r="O7" s="2856"/>
      <c r="P7" s="2856"/>
      <c r="Q7" s="2856"/>
      <c r="R7" s="2856"/>
      <c r="S7" s="441"/>
      <c r="T7" s="2856" t="s">
        <v>675</v>
      </c>
      <c r="U7" s="2856"/>
      <c r="V7" s="2856"/>
      <c r="W7" s="2856"/>
      <c r="X7" s="2856"/>
      <c r="Y7" s="2856"/>
      <c r="Z7" s="2856"/>
      <c r="AA7" s="444"/>
      <c r="AB7" s="444"/>
      <c r="AE7" s="31" t="s">
        <v>586</v>
      </c>
    </row>
    <row r="8" spans="1:32" ht="42" customHeight="1">
      <c r="A8" s="2845" t="s">
        <v>199</v>
      </c>
      <c r="B8" s="2845" t="s">
        <v>199</v>
      </c>
      <c r="C8" s="444"/>
      <c r="D8" s="448" t="s">
        <v>210</v>
      </c>
      <c r="E8" s="443"/>
      <c r="F8" s="448" t="s">
        <v>211</v>
      </c>
      <c r="G8" s="443"/>
      <c r="H8" s="448" t="s">
        <v>212</v>
      </c>
      <c r="I8" s="443"/>
      <c r="J8" s="448" t="s">
        <v>213</v>
      </c>
      <c r="K8" s="444"/>
      <c r="L8" s="448" t="s">
        <v>210</v>
      </c>
      <c r="M8" s="443"/>
      <c r="N8" s="448" t="s">
        <v>211</v>
      </c>
      <c r="O8" s="443"/>
      <c r="P8" s="448" t="s">
        <v>212</v>
      </c>
      <c r="Q8" s="443"/>
      <c r="R8" s="448" t="s">
        <v>213</v>
      </c>
      <c r="S8" s="444"/>
      <c r="T8" s="707" t="s">
        <v>210</v>
      </c>
      <c r="U8" s="443"/>
      <c r="V8" s="707" t="s">
        <v>211</v>
      </c>
      <c r="W8" s="443"/>
      <c r="X8" s="707" t="s">
        <v>212</v>
      </c>
      <c r="Y8" s="443"/>
      <c r="Z8" s="707" t="s">
        <v>213</v>
      </c>
      <c r="AA8" s="444"/>
      <c r="AB8" s="452"/>
      <c r="AE8" s="5">
        <f>ROW(B9)</f>
        <v>9</v>
      </c>
      <c r="AF8" s="5">
        <f>COUNTA(B9:B98)+AE8-1</f>
        <v>46</v>
      </c>
    </row>
    <row r="9" spans="1:32" ht="20.100000000000001" customHeight="1">
      <c r="A9" s="453">
        <f>'گردش سهام'!A11</f>
        <v>0</v>
      </c>
      <c r="B9" s="453">
        <f>'گردش سهام'!B11</f>
        <v>0</v>
      </c>
      <c r="C9" s="33"/>
      <c r="D9" s="34"/>
      <c r="E9" s="35"/>
      <c r="F9" s="36"/>
      <c r="G9" s="36"/>
      <c r="H9" s="36"/>
      <c r="I9" s="36"/>
      <c r="J9" s="449">
        <f>H9*D9/1000000</f>
        <v>0</v>
      </c>
      <c r="K9" s="35"/>
      <c r="L9" s="34"/>
      <c r="M9" s="35"/>
      <c r="N9" s="36"/>
      <c r="O9" s="36"/>
      <c r="P9" s="36"/>
      <c r="Q9" s="36"/>
      <c r="R9" s="449">
        <f>P9*L9/1000000</f>
        <v>0</v>
      </c>
      <c r="S9" s="35"/>
      <c r="T9" s="34"/>
      <c r="U9" s="35"/>
      <c r="V9" s="36"/>
      <c r="W9" s="36"/>
      <c r="X9" s="36"/>
      <c r="Y9" s="36"/>
      <c r="Z9" s="449">
        <f>X9*T9/1000000</f>
        <v>0</v>
      </c>
      <c r="AA9" s="35"/>
      <c r="AB9" s="36"/>
    </row>
    <row r="10" spans="1:32" ht="20.100000000000001" customHeight="1">
      <c r="A10" s="454">
        <f>'گردش سهام'!A12</f>
        <v>0</v>
      </c>
      <c r="B10" s="454">
        <f>'گردش سهام'!B12</f>
        <v>0</v>
      </c>
      <c r="C10" s="33"/>
      <c r="D10" s="34"/>
      <c r="E10" s="35"/>
      <c r="F10" s="36"/>
      <c r="G10" s="36"/>
      <c r="H10" s="36"/>
      <c r="I10" s="36"/>
      <c r="J10" s="449">
        <f t="shared" ref="J10:J38" si="0">H10*D10/1000000</f>
        <v>0</v>
      </c>
      <c r="K10" s="35"/>
      <c r="L10" s="34"/>
      <c r="M10" s="35"/>
      <c r="N10" s="36"/>
      <c r="O10" s="36"/>
      <c r="P10" s="36"/>
      <c r="Q10" s="36"/>
      <c r="R10" s="449">
        <f t="shared" ref="R10:R38" si="1">P10*L10/1000000</f>
        <v>0</v>
      </c>
      <c r="S10" s="35"/>
      <c r="T10" s="34"/>
      <c r="U10" s="35"/>
      <c r="V10" s="36"/>
      <c r="W10" s="36"/>
      <c r="X10" s="36"/>
      <c r="Y10" s="36"/>
      <c r="Z10" s="449">
        <f t="shared" ref="Z10:Z46" si="2">X10*T10/1000000</f>
        <v>0</v>
      </c>
      <c r="AA10" s="35"/>
      <c r="AB10" s="36"/>
    </row>
    <row r="11" spans="1:32" ht="20.100000000000001" customHeight="1">
      <c r="A11" s="454">
        <f>'گردش سهام'!A13</f>
        <v>0</v>
      </c>
      <c r="B11" s="454">
        <f>'گردش سهام'!B13</f>
        <v>0</v>
      </c>
      <c r="C11" s="33"/>
      <c r="D11" s="34"/>
      <c r="E11" s="35"/>
      <c r="F11" s="36"/>
      <c r="G11" s="36"/>
      <c r="H11" s="36"/>
      <c r="I11" s="36"/>
      <c r="J11" s="449">
        <f t="shared" si="0"/>
        <v>0</v>
      </c>
      <c r="K11" s="35"/>
      <c r="L11" s="34"/>
      <c r="M11" s="35"/>
      <c r="N11" s="36"/>
      <c r="O11" s="36"/>
      <c r="P11" s="36"/>
      <c r="Q11" s="36"/>
      <c r="R11" s="449">
        <f t="shared" si="1"/>
        <v>0</v>
      </c>
      <c r="S11" s="35"/>
      <c r="T11" s="34"/>
      <c r="U11" s="35"/>
      <c r="V11" s="36"/>
      <c r="W11" s="36"/>
      <c r="X11" s="36"/>
      <c r="Y11" s="36"/>
      <c r="Z11" s="449">
        <f t="shared" si="2"/>
        <v>0</v>
      </c>
      <c r="AA11" s="35"/>
      <c r="AB11" s="36"/>
    </row>
    <row r="12" spans="1:32" ht="20.100000000000001" customHeight="1">
      <c r="A12" s="454">
        <f>'گردش سهام'!A14</f>
        <v>0</v>
      </c>
      <c r="B12" s="454">
        <f>'گردش سهام'!B14</f>
        <v>0</v>
      </c>
      <c r="C12" s="33"/>
      <c r="D12" s="34"/>
      <c r="E12" s="35"/>
      <c r="F12" s="36"/>
      <c r="G12" s="36"/>
      <c r="H12" s="36"/>
      <c r="I12" s="36"/>
      <c r="J12" s="449">
        <f t="shared" si="0"/>
        <v>0</v>
      </c>
      <c r="K12" s="35"/>
      <c r="L12" s="34"/>
      <c r="M12" s="35"/>
      <c r="N12" s="36"/>
      <c r="O12" s="36"/>
      <c r="P12" s="36"/>
      <c r="Q12" s="36"/>
      <c r="R12" s="449">
        <f t="shared" si="1"/>
        <v>0</v>
      </c>
      <c r="S12" s="35"/>
      <c r="T12" s="34"/>
      <c r="U12" s="35"/>
      <c r="V12" s="36"/>
      <c r="W12" s="36"/>
      <c r="X12" s="36"/>
      <c r="Y12" s="36"/>
      <c r="Z12" s="449">
        <f t="shared" si="2"/>
        <v>0</v>
      </c>
      <c r="AA12" s="35"/>
      <c r="AB12" s="36"/>
    </row>
    <row r="13" spans="1:32" ht="20.100000000000001" customHeight="1">
      <c r="A13" s="454">
        <f>'گردش سهام'!A15</f>
        <v>0</v>
      </c>
      <c r="B13" s="454">
        <f>'گردش سهام'!B15</f>
        <v>0</v>
      </c>
      <c r="C13" s="33"/>
      <c r="D13" s="34"/>
      <c r="E13" s="35"/>
      <c r="F13" s="36"/>
      <c r="G13" s="36"/>
      <c r="H13" s="36"/>
      <c r="I13" s="36"/>
      <c r="J13" s="449">
        <f t="shared" si="0"/>
        <v>0</v>
      </c>
      <c r="K13" s="35"/>
      <c r="L13" s="34"/>
      <c r="M13" s="35"/>
      <c r="N13" s="36"/>
      <c r="O13" s="36"/>
      <c r="P13" s="36"/>
      <c r="Q13" s="36"/>
      <c r="R13" s="449">
        <f t="shared" si="1"/>
        <v>0</v>
      </c>
      <c r="S13" s="35"/>
      <c r="T13" s="34"/>
      <c r="U13" s="35"/>
      <c r="V13" s="36"/>
      <c r="W13" s="36"/>
      <c r="X13" s="36"/>
      <c r="Y13" s="36"/>
      <c r="Z13" s="449">
        <f t="shared" si="2"/>
        <v>0</v>
      </c>
      <c r="AA13" s="35"/>
      <c r="AB13" s="36"/>
    </row>
    <row r="14" spans="1:32" ht="20.100000000000001" customHeight="1">
      <c r="A14" s="454">
        <f>'گردش سهام'!A16</f>
        <v>0</v>
      </c>
      <c r="B14" s="454">
        <f>'گردش سهام'!B16</f>
        <v>0</v>
      </c>
      <c r="C14" s="33"/>
      <c r="D14" s="34"/>
      <c r="E14" s="35"/>
      <c r="F14" s="36"/>
      <c r="G14" s="36"/>
      <c r="H14" s="36"/>
      <c r="I14" s="36"/>
      <c r="J14" s="449">
        <f t="shared" si="0"/>
        <v>0</v>
      </c>
      <c r="K14" s="35"/>
      <c r="L14" s="34"/>
      <c r="M14" s="35"/>
      <c r="N14" s="36"/>
      <c r="O14" s="36"/>
      <c r="P14" s="36"/>
      <c r="Q14" s="36"/>
      <c r="R14" s="449">
        <f t="shared" si="1"/>
        <v>0</v>
      </c>
      <c r="S14" s="35"/>
      <c r="T14" s="34"/>
      <c r="U14" s="35"/>
      <c r="V14" s="36"/>
      <c r="W14" s="36"/>
      <c r="X14" s="36"/>
      <c r="Y14" s="36"/>
      <c r="Z14" s="449">
        <f t="shared" si="2"/>
        <v>0</v>
      </c>
      <c r="AA14" s="35"/>
      <c r="AB14" s="36"/>
    </row>
    <row r="15" spans="1:32" ht="20.100000000000001" customHeight="1">
      <c r="A15" s="454">
        <f>'گردش سهام'!A17</f>
        <v>0</v>
      </c>
      <c r="B15" s="454">
        <f>'گردش سهام'!B17</f>
        <v>0</v>
      </c>
      <c r="C15" s="33"/>
      <c r="D15" s="34"/>
      <c r="E15" s="35"/>
      <c r="F15" s="36"/>
      <c r="G15" s="36"/>
      <c r="H15" s="36"/>
      <c r="I15" s="36"/>
      <c r="J15" s="449">
        <f t="shared" si="0"/>
        <v>0</v>
      </c>
      <c r="K15" s="35"/>
      <c r="L15" s="34"/>
      <c r="M15" s="35"/>
      <c r="N15" s="36"/>
      <c r="O15" s="36"/>
      <c r="P15" s="36"/>
      <c r="Q15" s="36"/>
      <c r="R15" s="449">
        <f t="shared" si="1"/>
        <v>0</v>
      </c>
      <c r="S15" s="35"/>
      <c r="T15" s="34"/>
      <c r="U15" s="35"/>
      <c r="V15" s="36"/>
      <c r="W15" s="36"/>
      <c r="X15" s="36"/>
      <c r="Y15" s="36"/>
      <c r="Z15" s="449">
        <f t="shared" si="2"/>
        <v>0</v>
      </c>
      <c r="AA15" s="35"/>
      <c r="AB15" s="36"/>
    </row>
    <row r="16" spans="1:32" ht="20.100000000000001" customHeight="1">
      <c r="A16" s="454">
        <f>'گردش سهام'!A18</f>
        <v>0</v>
      </c>
      <c r="B16" s="454">
        <f>'گردش سهام'!B18</f>
        <v>0</v>
      </c>
      <c r="C16" s="33"/>
      <c r="D16" s="34"/>
      <c r="E16" s="35"/>
      <c r="F16" s="36"/>
      <c r="G16" s="36"/>
      <c r="H16" s="36"/>
      <c r="I16" s="36"/>
      <c r="J16" s="449">
        <f t="shared" si="0"/>
        <v>0</v>
      </c>
      <c r="K16" s="35"/>
      <c r="L16" s="34"/>
      <c r="M16" s="35"/>
      <c r="N16" s="36"/>
      <c r="O16" s="36"/>
      <c r="P16" s="36"/>
      <c r="Q16" s="36"/>
      <c r="R16" s="449">
        <f t="shared" si="1"/>
        <v>0</v>
      </c>
      <c r="S16" s="35"/>
      <c r="T16" s="34"/>
      <c r="U16" s="35"/>
      <c r="V16" s="36"/>
      <c r="W16" s="36"/>
      <c r="X16" s="36"/>
      <c r="Y16" s="36"/>
      <c r="Z16" s="449">
        <f t="shared" si="2"/>
        <v>0</v>
      </c>
      <c r="AA16" s="35"/>
      <c r="AB16" s="36"/>
    </row>
    <row r="17" spans="1:28" ht="20.100000000000001" customHeight="1">
      <c r="A17" s="454">
        <f>'گردش سهام'!A19</f>
        <v>0</v>
      </c>
      <c r="B17" s="454">
        <f>'گردش سهام'!B19</f>
        <v>0</v>
      </c>
      <c r="C17" s="33"/>
      <c r="D17" s="34"/>
      <c r="E17" s="35"/>
      <c r="F17" s="36"/>
      <c r="G17" s="36"/>
      <c r="H17" s="36"/>
      <c r="I17" s="36"/>
      <c r="J17" s="449">
        <f t="shared" si="0"/>
        <v>0</v>
      </c>
      <c r="K17" s="35"/>
      <c r="L17" s="34"/>
      <c r="M17" s="35"/>
      <c r="N17" s="36"/>
      <c r="O17" s="36"/>
      <c r="P17" s="36"/>
      <c r="Q17" s="36"/>
      <c r="R17" s="449">
        <f t="shared" si="1"/>
        <v>0</v>
      </c>
      <c r="S17" s="35"/>
      <c r="T17" s="34"/>
      <c r="U17" s="35"/>
      <c r="V17" s="36"/>
      <c r="W17" s="36"/>
      <c r="X17" s="36"/>
      <c r="Y17" s="36"/>
      <c r="Z17" s="449">
        <f t="shared" si="2"/>
        <v>0</v>
      </c>
      <c r="AA17" s="35"/>
      <c r="AB17" s="36"/>
    </row>
    <row r="18" spans="1:28" ht="20.100000000000001" customHeight="1">
      <c r="A18" s="454">
        <f>'گردش سهام'!A20</f>
        <v>0</v>
      </c>
      <c r="B18" s="454">
        <f>'گردش سهام'!B20</f>
        <v>0</v>
      </c>
      <c r="C18" s="33"/>
      <c r="D18" s="34"/>
      <c r="E18" s="35"/>
      <c r="F18" s="36"/>
      <c r="G18" s="36"/>
      <c r="H18" s="36"/>
      <c r="I18" s="36"/>
      <c r="J18" s="449">
        <f t="shared" si="0"/>
        <v>0</v>
      </c>
      <c r="K18" s="35"/>
      <c r="L18" s="34"/>
      <c r="M18" s="35"/>
      <c r="N18" s="36"/>
      <c r="O18" s="36"/>
      <c r="P18" s="36"/>
      <c r="Q18" s="36"/>
      <c r="R18" s="449">
        <f t="shared" si="1"/>
        <v>0</v>
      </c>
      <c r="S18" s="35"/>
      <c r="T18" s="34"/>
      <c r="U18" s="35"/>
      <c r="V18" s="36"/>
      <c r="W18" s="36"/>
      <c r="X18" s="36"/>
      <c r="Y18" s="36"/>
      <c r="Z18" s="449">
        <f t="shared" si="2"/>
        <v>0</v>
      </c>
      <c r="AA18" s="35"/>
      <c r="AB18" s="36"/>
    </row>
    <row r="19" spans="1:28" ht="20.100000000000001" customHeight="1">
      <c r="A19" s="454">
        <f>'گردش سهام'!A21</f>
        <v>0</v>
      </c>
      <c r="B19" s="454">
        <f>'گردش سهام'!B21</f>
        <v>0</v>
      </c>
      <c r="C19" s="33"/>
      <c r="D19" s="34"/>
      <c r="E19" s="35"/>
      <c r="F19" s="36"/>
      <c r="G19" s="36"/>
      <c r="H19" s="36"/>
      <c r="I19" s="36"/>
      <c r="J19" s="449">
        <f t="shared" si="0"/>
        <v>0</v>
      </c>
      <c r="K19" s="35"/>
      <c r="L19" s="34"/>
      <c r="M19" s="35"/>
      <c r="N19" s="36"/>
      <c r="O19" s="36"/>
      <c r="P19" s="36"/>
      <c r="Q19" s="36"/>
      <c r="R19" s="449">
        <f t="shared" si="1"/>
        <v>0</v>
      </c>
      <c r="S19" s="35"/>
      <c r="T19" s="34"/>
      <c r="U19" s="35"/>
      <c r="V19" s="36"/>
      <c r="W19" s="36"/>
      <c r="X19" s="36"/>
      <c r="Y19" s="36"/>
      <c r="Z19" s="449">
        <f t="shared" si="2"/>
        <v>0</v>
      </c>
      <c r="AA19" s="35"/>
      <c r="AB19" s="36"/>
    </row>
    <row r="20" spans="1:28" ht="20.100000000000001" customHeight="1">
      <c r="A20" s="454">
        <f>'گردش سهام'!A22</f>
        <v>0</v>
      </c>
      <c r="B20" s="454">
        <f>'گردش سهام'!B22</f>
        <v>0</v>
      </c>
      <c r="C20" s="33"/>
      <c r="D20" s="34"/>
      <c r="E20" s="35"/>
      <c r="F20" s="36"/>
      <c r="G20" s="36"/>
      <c r="H20" s="36"/>
      <c r="I20" s="36"/>
      <c r="J20" s="449">
        <f t="shared" si="0"/>
        <v>0</v>
      </c>
      <c r="K20" s="35"/>
      <c r="L20" s="34"/>
      <c r="M20" s="35"/>
      <c r="N20" s="36"/>
      <c r="O20" s="36"/>
      <c r="P20" s="36"/>
      <c r="Q20" s="36"/>
      <c r="R20" s="449">
        <f t="shared" si="1"/>
        <v>0</v>
      </c>
      <c r="S20" s="35"/>
      <c r="T20" s="34"/>
      <c r="U20" s="35"/>
      <c r="V20" s="36"/>
      <c r="W20" s="36"/>
      <c r="X20" s="36"/>
      <c r="Y20" s="36"/>
      <c r="Z20" s="449">
        <f t="shared" si="2"/>
        <v>0</v>
      </c>
      <c r="AA20" s="35"/>
      <c r="AB20" s="36"/>
    </row>
    <row r="21" spans="1:28" ht="20.100000000000001" customHeight="1">
      <c r="A21" s="454">
        <f>'گردش سهام'!A23</f>
        <v>0</v>
      </c>
      <c r="B21" s="454">
        <f>'گردش سهام'!B23</f>
        <v>0</v>
      </c>
      <c r="C21" s="33"/>
      <c r="D21" s="34"/>
      <c r="E21" s="35"/>
      <c r="F21" s="36"/>
      <c r="G21" s="36"/>
      <c r="H21" s="36"/>
      <c r="I21" s="36"/>
      <c r="J21" s="449">
        <f t="shared" si="0"/>
        <v>0</v>
      </c>
      <c r="K21" s="35"/>
      <c r="L21" s="34"/>
      <c r="M21" s="35"/>
      <c r="N21" s="36"/>
      <c r="O21" s="36"/>
      <c r="P21" s="36"/>
      <c r="Q21" s="36"/>
      <c r="R21" s="449">
        <f t="shared" si="1"/>
        <v>0</v>
      </c>
      <c r="S21" s="35"/>
      <c r="T21" s="34"/>
      <c r="U21" s="35"/>
      <c r="V21" s="36"/>
      <c r="W21" s="36"/>
      <c r="X21" s="36"/>
      <c r="Y21" s="36"/>
      <c r="Z21" s="449">
        <f t="shared" si="2"/>
        <v>0</v>
      </c>
      <c r="AA21" s="35"/>
      <c r="AB21" s="36"/>
    </row>
    <row r="22" spans="1:28" ht="20.100000000000001" customHeight="1">
      <c r="A22" s="454">
        <f>'گردش سهام'!A24</f>
        <v>0</v>
      </c>
      <c r="B22" s="454">
        <f>'گردش سهام'!B24</f>
        <v>0</v>
      </c>
      <c r="C22" s="33"/>
      <c r="D22" s="34"/>
      <c r="E22" s="35"/>
      <c r="F22" s="36"/>
      <c r="G22" s="36"/>
      <c r="H22" s="36"/>
      <c r="I22" s="36"/>
      <c r="J22" s="449">
        <f t="shared" si="0"/>
        <v>0</v>
      </c>
      <c r="K22" s="35"/>
      <c r="L22" s="34"/>
      <c r="M22" s="35"/>
      <c r="N22" s="36"/>
      <c r="O22" s="36"/>
      <c r="P22" s="36"/>
      <c r="Q22" s="36"/>
      <c r="R22" s="449">
        <f t="shared" si="1"/>
        <v>0</v>
      </c>
      <c r="S22" s="35"/>
      <c r="T22" s="34"/>
      <c r="U22" s="35"/>
      <c r="V22" s="36"/>
      <c r="W22" s="36"/>
      <c r="X22" s="36"/>
      <c r="Y22" s="36"/>
      <c r="Z22" s="449">
        <f t="shared" si="2"/>
        <v>0</v>
      </c>
      <c r="AA22" s="35"/>
      <c r="AB22" s="36"/>
    </row>
    <row r="23" spans="1:28" ht="20.100000000000001" customHeight="1">
      <c r="A23" s="454">
        <f>'گردش سهام'!A25</f>
        <v>0</v>
      </c>
      <c r="B23" s="454">
        <f>'گردش سهام'!B25</f>
        <v>0</v>
      </c>
      <c r="C23" s="33"/>
      <c r="D23" s="34"/>
      <c r="E23" s="35"/>
      <c r="F23" s="36"/>
      <c r="G23" s="36"/>
      <c r="H23" s="36"/>
      <c r="I23" s="36"/>
      <c r="J23" s="449">
        <f t="shared" si="0"/>
        <v>0</v>
      </c>
      <c r="K23" s="35"/>
      <c r="L23" s="34"/>
      <c r="M23" s="35"/>
      <c r="N23" s="36"/>
      <c r="O23" s="36"/>
      <c r="P23" s="36"/>
      <c r="Q23" s="36"/>
      <c r="R23" s="449">
        <f t="shared" si="1"/>
        <v>0</v>
      </c>
      <c r="S23" s="35"/>
      <c r="T23" s="34"/>
      <c r="U23" s="35"/>
      <c r="V23" s="36"/>
      <c r="W23" s="36"/>
      <c r="X23" s="36"/>
      <c r="Y23" s="36"/>
      <c r="Z23" s="449">
        <f t="shared" si="2"/>
        <v>0</v>
      </c>
      <c r="AA23" s="35"/>
      <c r="AB23" s="36"/>
    </row>
    <row r="24" spans="1:28" ht="20.100000000000001" customHeight="1">
      <c r="A24" s="454">
        <f>'گردش سهام'!A26</f>
        <v>0</v>
      </c>
      <c r="B24" s="454">
        <f>'گردش سهام'!B26</f>
        <v>0</v>
      </c>
      <c r="C24" s="33"/>
      <c r="D24" s="34"/>
      <c r="E24" s="35"/>
      <c r="F24" s="36"/>
      <c r="G24" s="36"/>
      <c r="H24" s="36"/>
      <c r="I24" s="36"/>
      <c r="J24" s="449">
        <f t="shared" si="0"/>
        <v>0</v>
      </c>
      <c r="K24" s="35"/>
      <c r="L24" s="34"/>
      <c r="M24" s="35"/>
      <c r="N24" s="36"/>
      <c r="O24" s="36"/>
      <c r="P24" s="36"/>
      <c r="Q24" s="36"/>
      <c r="R24" s="449">
        <f t="shared" si="1"/>
        <v>0</v>
      </c>
      <c r="S24" s="35"/>
      <c r="T24" s="34"/>
      <c r="U24" s="35"/>
      <c r="V24" s="36"/>
      <c r="W24" s="36"/>
      <c r="X24" s="36"/>
      <c r="Y24" s="36"/>
      <c r="Z24" s="449">
        <f t="shared" si="2"/>
        <v>0</v>
      </c>
      <c r="AA24" s="35"/>
      <c r="AB24" s="36"/>
    </row>
    <row r="25" spans="1:28" ht="20.100000000000001" customHeight="1">
      <c r="A25" s="454">
        <f>'گردش سهام'!A27</f>
        <v>0</v>
      </c>
      <c r="B25" s="454">
        <f>'گردش سهام'!B27</f>
        <v>0</v>
      </c>
      <c r="C25" s="33"/>
      <c r="D25" s="34"/>
      <c r="E25" s="35"/>
      <c r="F25" s="36"/>
      <c r="G25" s="36"/>
      <c r="H25" s="36"/>
      <c r="I25" s="36"/>
      <c r="J25" s="449">
        <f t="shared" si="0"/>
        <v>0</v>
      </c>
      <c r="K25" s="35"/>
      <c r="L25" s="34"/>
      <c r="M25" s="35"/>
      <c r="N25" s="36"/>
      <c r="O25" s="36"/>
      <c r="P25" s="36"/>
      <c r="Q25" s="36"/>
      <c r="R25" s="449">
        <f t="shared" si="1"/>
        <v>0</v>
      </c>
      <c r="S25" s="35"/>
      <c r="T25" s="34"/>
      <c r="U25" s="35"/>
      <c r="V25" s="36"/>
      <c r="W25" s="36"/>
      <c r="X25" s="36"/>
      <c r="Y25" s="36"/>
      <c r="Z25" s="449">
        <f t="shared" si="2"/>
        <v>0</v>
      </c>
      <c r="AA25" s="35"/>
      <c r="AB25" s="36"/>
    </row>
    <row r="26" spans="1:28" ht="20.100000000000001" customHeight="1">
      <c r="A26" s="454">
        <f>'گردش سهام'!A28</f>
        <v>0</v>
      </c>
      <c r="B26" s="454">
        <f>'گردش سهام'!B28</f>
        <v>0</v>
      </c>
      <c r="C26" s="33"/>
      <c r="D26" s="34"/>
      <c r="E26" s="35"/>
      <c r="F26" s="36"/>
      <c r="G26" s="36"/>
      <c r="H26" s="36"/>
      <c r="I26" s="36"/>
      <c r="J26" s="449">
        <f t="shared" si="0"/>
        <v>0</v>
      </c>
      <c r="K26" s="35"/>
      <c r="L26" s="34"/>
      <c r="M26" s="35"/>
      <c r="N26" s="36"/>
      <c r="O26" s="36"/>
      <c r="P26" s="36"/>
      <c r="Q26" s="36"/>
      <c r="R26" s="449">
        <f t="shared" si="1"/>
        <v>0</v>
      </c>
      <c r="S26" s="35"/>
      <c r="T26" s="34"/>
      <c r="U26" s="35"/>
      <c r="V26" s="36"/>
      <c r="W26" s="36"/>
      <c r="X26" s="36"/>
      <c r="Y26" s="36"/>
      <c r="Z26" s="449">
        <f t="shared" si="2"/>
        <v>0</v>
      </c>
      <c r="AA26" s="35"/>
      <c r="AB26" s="36"/>
    </row>
    <row r="27" spans="1:28" ht="20.100000000000001" customHeight="1">
      <c r="A27" s="454">
        <f>'گردش سهام'!A29</f>
        <v>0</v>
      </c>
      <c r="B27" s="454">
        <f>'گردش سهام'!B29</f>
        <v>0</v>
      </c>
      <c r="C27" s="33"/>
      <c r="D27" s="34"/>
      <c r="E27" s="35"/>
      <c r="F27" s="36"/>
      <c r="G27" s="36"/>
      <c r="H27" s="36"/>
      <c r="I27" s="36"/>
      <c r="J27" s="449">
        <f t="shared" si="0"/>
        <v>0</v>
      </c>
      <c r="K27" s="35"/>
      <c r="L27" s="34"/>
      <c r="M27" s="35"/>
      <c r="N27" s="36"/>
      <c r="O27" s="36"/>
      <c r="P27" s="36"/>
      <c r="Q27" s="36"/>
      <c r="R27" s="449">
        <f t="shared" si="1"/>
        <v>0</v>
      </c>
      <c r="S27" s="35"/>
      <c r="T27" s="34"/>
      <c r="U27" s="35"/>
      <c r="V27" s="36"/>
      <c r="W27" s="36"/>
      <c r="X27" s="36"/>
      <c r="Y27" s="36"/>
      <c r="Z27" s="449">
        <f t="shared" si="2"/>
        <v>0</v>
      </c>
      <c r="AA27" s="35"/>
      <c r="AB27" s="36"/>
    </row>
    <row r="28" spans="1:28" ht="20.100000000000001" customHeight="1">
      <c r="A28" s="454">
        <f>'گردش سهام'!A30</f>
        <v>0</v>
      </c>
      <c r="B28" s="454">
        <f>'گردش سهام'!B30</f>
        <v>0</v>
      </c>
      <c r="C28" s="33"/>
      <c r="D28" s="34"/>
      <c r="E28" s="35"/>
      <c r="F28" s="36"/>
      <c r="G28" s="36"/>
      <c r="H28" s="36"/>
      <c r="I28" s="36"/>
      <c r="J28" s="449">
        <f t="shared" si="0"/>
        <v>0</v>
      </c>
      <c r="K28" s="35"/>
      <c r="L28" s="34"/>
      <c r="M28" s="35"/>
      <c r="N28" s="36"/>
      <c r="O28" s="36"/>
      <c r="P28" s="36"/>
      <c r="Q28" s="36"/>
      <c r="R28" s="449">
        <f t="shared" si="1"/>
        <v>0</v>
      </c>
      <c r="S28" s="35"/>
      <c r="T28" s="34"/>
      <c r="U28" s="35"/>
      <c r="V28" s="36"/>
      <c r="W28" s="36"/>
      <c r="X28" s="36"/>
      <c r="Y28" s="36"/>
      <c r="Z28" s="449">
        <f t="shared" si="2"/>
        <v>0</v>
      </c>
      <c r="AA28" s="35"/>
      <c r="AB28" s="36"/>
    </row>
    <row r="29" spans="1:28" ht="20.100000000000001" customHeight="1">
      <c r="A29" s="454">
        <f>'گردش سهام'!A31</f>
        <v>0</v>
      </c>
      <c r="B29" s="454">
        <f>'گردش سهام'!B31</f>
        <v>0</v>
      </c>
      <c r="C29" s="33"/>
      <c r="D29" s="34"/>
      <c r="E29" s="35"/>
      <c r="F29" s="36"/>
      <c r="G29" s="36"/>
      <c r="H29" s="36"/>
      <c r="I29" s="36"/>
      <c r="J29" s="449">
        <f t="shared" si="0"/>
        <v>0</v>
      </c>
      <c r="K29" s="35"/>
      <c r="L29" s="34"/>
      <c r="M29" s="35"/>
      <c r="N29" s="36"/>
      <c r="O29" s="36"/>
      <c r="P29" s="36"/>
      <c r="Q29" s="36"/>
      <c r="R29" s="449">
        <f t="shared" si="1"/>
        <v>0</v>
      </c>
      <c r="S29" s="35"/>
      <c r="T29" s="34"/>
      <c r="U29" s="35"/>
      <c r="V29" s="36"/>
      <c r="W29" s="36"/>
      <c r="X29" s="36"/>
      <c r="Y29" s="36"/>
      <c r="Z29" s="449">
        <f t="shared" si="2"/>
        <v>0</v>
      </c>
      <c r="AA29" s="35"/>
      <c r="AB29" s="36"/>
    </row>
    <row r="30" spans="1:28" ht="20.100000000000001" customHeight="1">
      <c r="A30" s="454">
        <f>'گردش سهام'!A32</f>
        <v>0</v>
      </c>
      <c r="B30" s="454">
        <f>'گردش سهام'!B32</f>
        <v>0</v>
      </c>
      <c r="C30" s="33"/>
      <c r="D30" s="34"/>
      <c r="E30" s="35"/>
      <c r="F30" s="36"/>
      <c r="G30" s="36"/>
      <c r="H30" s="36"/>
      <c r="I30" s="36"/>
      <c r="J30" s="449">
        <f t="shared" si="0"/>
        <v>0</v>
      </c>
      <c r="K30" s="35"/>
      <c r="L30" s="34"/>
      <c r="M30" s="35"/>
      <c r="N30" s="36"/>
      <c r="O30" s="36"/>
      <c r="P30" s="36"/>
      <c r="Q30" s="36"/>
      <c r="R30" s="449">
        <f t="shared" si="1"/>
        <v>0</v>
      </c>
      <c r="S30" s="35"/>
      <c r="T30" s="34"/>
      <c r="U30" s="35"/>
      <c r="V30" s="36"/>
      <c r="W30" s="36"/>
      <c r="X30" s="36"/>
      <c r="Y30" s="36"/>
      <c r="Z30" s="449">
        <f t="shared" si="2"/>
        <v>0</v>
      </c>
      <c r="AA30" s="35"/>
      <c r="AB30" s="36"/>
    </row>
    <row r="31" spans="1:28" ht="20.100000000000001" customHeight="1">
      <c r="A31" s="454">
        <f>'گردش سهام'!A33</f>
        <v>0</v>
      </c>
      <c r="B31" s="454">
        <f>'گردش سهام'!B33</f>
        <v>0</v>
      </c>
      <c r="C31" s="33"/>
      <c r="D31" s="34"/>
      <c r="E31" s="35"/>
      <c r="F31" s="36"/>
      <c r="G31" s="36"/>
      <c r="H31" s="36"/>
      <c r="I31" s="36"/>
      <c r="J31" s="449">
        <f t="shared" si="0"/>
        <v>0</v>
      </c>
      <c r="K31" s="35"/>
      <c r="L31" s="34"/>
      <c r="M31" s="35"/>
      <c r="N31" s="36"/>
      <c r="O31" s="36"/>
      <c r="P31" s="36"/>
      <c r="Q31" s="36"/>
      <c r="R31" s="449">
        <f t="shared" si="1"/>
        <v>0</v>
      </c>
      <c r="S31" s="35"/>
      <c r="T31" s="34"/>
      <c r="U31" s="35"/>
      <c r="V31" s="36"/>
      <c r="W31" s="36"/>
      <c r="X31" s="36"/>
      <c r="Y31" s="36"/>
      <c r="Z31" s="449">
        <f t="shared" si="2"/>
        <v>0</v>
      </c>
      <c r="AA31" s="35"/>
      <c r="AB31" s="36"/>
    </row>
    <row r="32" spans="1:28" ht="20.100000000000001" customHeight="1">
      <c r="A32" s="454">
        <f>'گردش سهام'!A34</f>
        <v>0</v>
      </c>
      <c r="B32" s="454">
        <f>'گردش سهام'!B34</f>
        <v>0</v>
      </c>
      <c r="C32" s="33"/>
      <c r="D32" s="34"/>
      <c r="E32" s="35"/>
      <c r="F32" s="36"/>
      <c r="G32" s="36"/>
      <c r="H32" s="36"/>
      <c r="I32" s="36"/>
      <c r="J32" s="449">
        <f t="shared" si="0"/>
        <v>0</v>
      </c>
      <c r="K32" s="35"/>
      <c r="L32" s="34"/>
      <c r="M32" s="35"/>
      <c r="N32" s="36"/>
      <c r="O32" s="36"/>
      <c r="P32" s="36"/>
      <c r="Q32" s="36"/>
      <c r="R32" s="449">
        <f t="shared" si="1"/>
        <v>0</v>
      </c>
      <c r="S32" s="35"/>
      <c r="T32" s="34"/>
      <c r="U32" s="35"/>
      <c r="V32" s="36"/>
      <c r="W32" s="36"/>
      <c r="X32" s="36"/>
      <c r="Y32" s="36"/>
      <c r="Z32" s="449">
        <f t="shared" si="2"/>
        <v>0</v>
      </c>
      <c r="AA32" s="35"/>
      <c r="AB32" s="36"/>
    </row>
    <row r="33" spans="1:28" ht="20.100000000000001" customHeight="1">
      <c r="A33" s="454">
        <f>'گردش سهام'!A35</f>
        <v>0</v>
      </c>
      <c r="B33" s="454">
        <f>'گردش سهام'!B35</f>
        <v>0</v>
      </c>
      <c r="C33" s="33"/>
      <c r="D33" s="34"/>
      <c r="E33" s="35"/>
      <c r="F33" s="36"/>
      <c r="G33" s="36"/>
      <c r="H33" s="36"/>
      <c r="I33" s="36"/>
      <c r="J33" s="449">
        <f t="shared" si="0"/>
        <v>0</v>
      </c>
      <c r="K33" s="35"/>
      <c r="L33" s="34"/>
      <c r="M33" s="35"/>
      <c r="N33" s="36"/>
      <c r="O33" s="36"/>
      <c r="P33" s="36"/>
      <c r="Q33" s="36"/>
      <c r="R33" s="449">
        <f t="shared" si="1"/>
        <v>0</v>
      </c>
      <c r="S33" s="35"/>
      <c r="T33" s="34"/>
      <c r="U33" s="35"/>
      <c r="V33" s="36"/>
      <c r="W33" s="36"/>
      <c r="X33" s="36"/>
      <c r="Y33" s="36"/>
      <c r="Z33" s="449">
        <f t="shared" si="2"/>
        <v>0</v>
      </c>
      <c r="AA33" s="35"/>
      <c r="AB33" s="36"/>
    </row>
    <row r="34" spans="1:28" ht="20.100000000000001" customHeight="1">
      <c r="A34" s="454">
        <f>'گردش سهام'!A36</f>
        <v>0</v>
      </c>
      <c r="B34" s="454">
        <f>'گردش سهام'!B36</f>
        <v>0</v>
      </c>
      <c r="C34" s="33"/>
      <c r="D34" s="34"/>
      <c r="E34" s="35"/>
      <c r="F34" s="36"/>
      <c r="G34" s="36"/>
      <c r="H34" s="36"/>
      <c r="I34" s="36"/>
      <c r="J34" s="449">
        <f t="shared" si="0"/>
        <v>0</v>
      </c>
      <c r="K34" s="35"/>
      <c r="L34" s="34"/>
      <c r="M34" s="35"/>
      <c r="N34" s="36"/>
      <c r="O34" s="36"/>
      <c r="P34" s="36"/>
      <c r="Q34" s="36"/>
      <c r="R34" s="449">
        <f t="shared" si="1"/>
        <v>0</v>
      </c>
      <c r="S34" s="35"/>
      <c r="T34" s="34"/>
      <c r="U34" s="35"/>
      <c r="V34" s="36"/>
      <c r="W34" s="36"/>
      <c r="X34" s="36"/>
      <c r="Y34" s="36"/>
      <c r="Z34" s="449">
        <f t="shared" si="2"/>
        <v>0</v>
      </c>
      <c r="AA34" s="35"/>
      <c r="AB34" s="36"/>
    </row>
    <row r="35" spans="1:28" ht="20.100000000000001" customHeight="1">
      <c r="A35" s="454">
        <f>'گردش سهام'!A37</f>
        <v>0</v>
      </c>
      <c r="B35" s="454">
        <f>'گردش سهام'!B37</f>
        <v>0</v>
      </c>
      <c r="C35" s="33"/>
      <c r="D35" s="34"/>
      <c r="E35" s="35"/>
      <c r="F35" s="36"/>
      <c r="G35" s="36"/>
      <c r="H35" s="36"/>
      <c r="I35" s="36"/>
      <c r="J35" s="449">
        <f t="shared" si="0"/>
        <v>0</v>
      </c>
      <c r="K35" s="35"/>
      <c r="L35" s="34"/>
      <c r="M35" s="35"/>
      <c r="N35" s="36"/>
      <c r="O35" s="36"/>
      <c r="P35" s="36"/>
      <c r="Q35" s="36"/>
      <c r="R35" s="449">
        <f t="shared" si="1"/>
        <v>0</v>
      </c>
      <c r="S35" s="35"/>
      <c r="T35" s="34"/>
      <c r="U35" s="35"/>
      <c r="V35" s="36"/>
      <c r="W35" s="36"/>
      <c r="X35" s="36"/>
      <c r="Y35" s="36"/>
      <c r="Z35" s="449">
        <f t="shared" si="2"/>
        <v>0</v>
      </c>
      <c r="AA35" s="35"/>
      <c r="AB35" s="36"/>
    </row>
    <row r="36" spans="1:28" ht="20.100000000000001" customHeight="1">
      <c r="A36" s="454">
        <f>'گردش سهام'!A38</f>
        <v>0</v>
      </c>
      <c r="B36" s="454">
        <f>'گردش سهام'!B38</f>
        <v>0</v>
      </c>
      <c r="C36" s="33"/>
      <c r="D36" s="34"/>
      <c r="E36" s="35"/>
      <c r="F36" s="36"/>
      <c r="G36" s="36"/>
      <c r="H36" s="36"/>
      <c r="I36" s="36"/>
      <c r="J36" s="449">
        <f t="shared" si="0"/>
        <v>0</v>
      </c>
      <c r="K36" s="35"/>
      <c r="L36" s="34"/>
      <c r="M36" s="35"/>
      <c r="N36" s="36"/>
      <c r="O36" s="36"/>
      <c r="P36" s="36"/>
      <c r="Q36" s="36"/>
      <c r="R36" s="449">
        <f t="shared" si="1"/>
        <v>0</v>
      </c>
      <c r="S36" s="35"/>
      <c r="T36" s="34"/>
      <c r="U36" s="35"/>
      <c r="V36" s="36"/>
      <c r="W36" s="36"/>
      <c r="X36" s="36"/>
      <c r="Y36" s="36"/>
      <c r="Z36" s="449">
        <f t="shared" si="2"/>
        <v>0</v>
      </c>
      <c r="AA36" s="35"/>
      <c r="AB36" s="36"/>
    </row>
    <row r="37" spans="1:28" ht="20.100000000000001" customHeight="1">
      <c r="A37" s="454">
        <f>'گردش سهام'!A39</f>
        <v>0</v>
      </c>
      <c r="B37" s="454">
        <f>'گردش سهام'!B39</f>
        <v>0</v>
      </c>
      <c r="C37" s="33"/>
      <c r="D37" s="34"/>
      <c r="E37" s="35"/>
      <c r="F37" s="36"/>
      <c r="G37" s="36"/>
      <c r="H37" s="36"/>
      <c r="I37" s="36"/>
      <c r="J37" s="449">
        <f t="shared" si="0"/>
        <v>0</v>
      </c>
      <c r="K37" s="35"/>
      <c r="L37" s="34"/>
      <c r="M37" s="35"/>
      <c r="N37" s="36"/>
      <c r="O37" s="36"/>
      <c r="P37" s="36"/>
      <c r="Q37" s="36"/>
      <c r="R37" s="449">
        <f t="shared" si="1"/>
        <v>0</v>
      </c>
      <c r="S37" s="35"/>
      <c r="T37" s="34"/>
      <c r="U37" s="35"/>
      <c r="V37" s="36"/>
      <c r="W37" s="36"/>
      <c r="X37" s="36"/>
      <c r="Y37" s="36"/>
      <c r="Z37" s="449">
        <f t="shared" si="2"/>
        <v>0</v>
      </c>
      <c r="AA37" s="35"/>
      <c r="AB37" s="36"/>
    </row>
    <row r="38" spans="1:28" ht="20.100000000000001" customHeight="1">
      <c r="A38" s="454">
        <f>'گردش سهام'!A40</f>
        <v>0</v>
      </c>
      <c r="B38" s="454">
        <f>'گردش سهام'!B40</f>
        <v>0</v>
      </c>
      <c r="C38" s="33"/>
      <c r="D38" s="34"/>
      <c r="E38" s="35"/>
      <c r="F38" s="36"/>
      <c r="G38" s="36"/>
      <c r="H38" s="36"/>
      <c r="I38" s="36"/>
      <c r="J38" s="449">
        <f t="shared" si="0"/>
        <v>0</v>
      </c>
      <c r="K38" s="35"/>
      <c r="L38" s="34"/>
      <c r="M38" s="35"/>
      <c r="N38" s="36"/>
      <c r="O38" s="36"/>
      <c r="P38" s="36"/>
      <c r="Q38" s="36"/>
      <c r="R38" s="449">
        <f t="shared" si="1"/>
        <v>0</v>
      </c>
      <c r="S38" s="35"/>
      <c r="T38" s="34"/>
      <c r="U38" s="35"/>
      <c r="V38" s="36"/>
      <c r="W38" s="36"/>
      <c r="X38" s="36"/>
      <c r="Y38" s="36"/>
      <c r="Z38" s="449">
        <f t="shared" si="2"/>
        <v>0</v>
      </c>
      <c r="AA38" s="35"/>
      <c r="AB38" s="36"/>
    </row>
    <row r="39" spans="1:28" ht="20.100000000000001" customHeight="1">
      <c r="A39" s="454">
        <f>'گردش سهام'!A41</f>
        <v>0</v>
      </c>
      <c r="B39" s="454">
        <f>'گردش سهام'!B41</f>
        <v>0</v>
      </c>
      <c r="C39" s="33"/>
      <c r="D39" s="34"/>
      <c r="E39" s="35"/>
      <c r="F39" s="36"/>
      <c r="G39" s="36"/>
      <c r="H39" s="36"/>
      <c r="I39" s="36"/>
      <c r="J39" s="449">
        <f t="shared" ref="J39:J45" si="3">H39*D39/1000000</f>
        <v>0</v>
      </c>
      <c r="K39" s="35"/>
      <c r="L39" s="34"/>
      <c r="M39" s="35"/>
      <c r="N39" s="36"/>
      <c r="O39" s="36"/>
      <c r="P39" s="36"/>
      <c r="Q39" s="36"/>
      <c r="R39" s="449">
        <f t="shared" ref="R39:R45" si="4">P39*L39/1000000</f>
        <v>0</v>
      </c>
      <c r="S39" s="35"/>
      <c r="T39" s="34"/>
      <c r="U39" s="35"/>
      <c r="V39" s="36"/>
      <c r="W39" s="36"/>
      <c r="X39" s="36"/>
      <c r="Y39" s="36"/>
      <c r="Z39" s="449">
        <f t="shared" si="2"/>
        <v>0</v>
      </c>
      <c r="AA39" s="35"/>
      <c r="AB39" s="36"/>
    </row>
    <row r="40" spans="1:28" ht="20.100000000000001" customHeight="1">
      <c r="A40" s="454">
        <f>'گردش سهام'!A42</f>
        <v>0</v>
      </c>
      <c r="B40" s="454">
        <f>'گردش سهام'!B42</f>
        <v>0</v>
      </c>
      <c r="C40" s="33"/>
      <c r="D40" s="34"/>
      <c r="E40" s="35"/>
      <c r="F40" s="36"/>
      <c r="G40" s="36"/>
      <c r="H40" s="36"/>
      <c r="I40" s="36"/>
      <c r="J40" s="449">
        <f t="shared" si="3"/>
        <v>0</v>
      </c>
      <c r="K40" s="35"/>
      <c r="L40" s="34"/>
      <c r="M40" s="35"/>
      <c r="N40" s="36"/>
      <c r="O40" s="36"/>
      <c r="P40" s="36"/>
      <c r="Q40" s="36"/>
      <c r="R40" s="449">
        <f t="shared" si="4"/>
        <v>0</v>
      </c>
      <c r="S40" s="35"/>
      <c r="T40" s="34"/>
      <c r="U40" s="35"/>
      <c r="V40" s="36"/>
      <c r="W40" s="36"/>
      <c r="X40" s="36"/>
      <c r="Y40" s="36"/>
      <c r="Z40" s="449">
        <f t="shared" si="2"/>
        <v>0</v>
      </c>
      <c r="AA40" s="35"/>
      <c r="AB40" s="36"/>
    </row>
    <row r="41" spans="1:28" ht="20.100000000000001" customHeight="1">
      <c r="A41" s="454">
        <f>'گردش سهام'!A43</f>
        <v>0</v>
      </c>
      <c r="B41" s="454">
        <f>'گردش سهام'!B43</f>
        <v>0</v>
      </c>
      <c r="C41" s="33"/>
      <c r="D41" s="34"/>
      <c r="E41" s="35"/>
      <c r="F41" s="36"/>
      <c r="G41" s="36"/>
      <c r="H41" s="36"/>
      <c r="I41" s="36"/>
      <c r="J41" s="449">
        <f t="shared" si="3"/>
        <v>0</v>
      </c>
      <c r="K41" s="35"/>
      <c r="L41" s="34"/>
      <c r="M41" s="35"/>
      <c r="N41" s="36"/>
      <c r="O41" s="36"/>
      <c r="P41" s="36"/>
      <c r="Q41" s="36"/>
      <c r="R41" s="449">
        <f t="shared" si="4"/>
        <v>0</v>
      </c>
      <c r="S41" s="35"/>
      <c r="T41" s="34"/>
      <c r="U41" s="35"/>
      <c r="V41" s="36"/>
      <c r="W41" s="36"/>
      <c r="X41" s="36"/>
      <c r="Y41" s="36"/>
      <c r="Z41" s="449">
        <f t="shared" si="2"/>
        <v>0</v>
      </c>
      <c r="AA41" s="35"/>
      <c r="AB41" s="36"/>
    </row>
    <row r="42" spans="1:28" ht="20.100000000000001" customHeight="1">
      <c r="A42" s="454">
        <f>'گردش سهام'!A44</f>
        <v>0</v>
      </c>
      <c r="B42" s="454">
        <f>'گردش سهام'!B44</f>
        <v>0</v>
      </c>
      <c r="C42" s="33"/>
      <c r="D42" s="34"/>
      <c r="E42" s="35"/>
      <c r="F42" s="36"/>
      <c r="G42" s="36"/>
      <c r="H42" s="36"/>
      <c r="I42" s="36"/>
      <c r="J42" s="449">
        <f t="shared" si="3"/>
        <v>0</v>
      </c>
      <c r="K42" s="35"/>
      <c r="L42" s="34"/>
      <c r="M42" s="35"/>
      <c r="N42" s="36"/>
      <c r="O42" s="36"/>
      <c r="P42" s="36"/>
      <c r="Q42" s="36"/>
      <c r="R42" s="449">
        <f t="shared" si="4"/>
        <v>0</v>
      </c>
      <c r="S42" s="35"/>
      <c r="T42" s="34"/>
      <c r="U42" s="35"/>
      <c r="V42" s="36"/>
      <c r="W42" s="36"/>
      <c r="X42" s="36"/>
      <c r="Y42" s="36"/>
      <c r="Z42" s="449">
        <f t="shared" si="2"/>
        <v>0</v>
      </c>
      <c r="AA42" s="35"/>
      <c r="AB42" s="36"/>
    </row>
    <row r="43" spans="1:28" ht="20.100000000000001" customHeight="1">
      <c r="A43" s="454">
        <f>'گردش سهام'!A45</f>
        <v>0</v>
      </c>
      <c r="B43" s="454">
        <f>'گردش سهام'!B45</f>
        <v>0</v>
      </c>
      <c r="C43" s="33"/>
      <c r="D43" s="34"/>
      <c r="E43" s="35"/>
      <c r="F43" s="36"/>
      <c r="G43" s="36"/>
      <c r="H43" s="36"/>
      <c r="I43" s="36"/>
      <c r="J43" s="449">
        <f t="shared" si="3"/>
        <v>0</v>
      </c>
      <c r="K43" s="35"/>
      <c r="L43" s="34"/>
      <c r="M43" s="35"/>
      <c r="N43" s="36"/>
      <c r="O43" s="36"/>
      <c r="P43" s="36"/>
      <c r="Q43" s="36"/>
      <c r="R43" s="449">
        <f t="shared" si="4"/>
        <v>0</v>
      </c>
      <c r="S43" s="35"/>
      <c r="T43" s="34"/>
      <c r="U43" s="35"/>
      <c r="V43" s="36"/>
      <c r="W43" s="36"/>
      <c r="X43" s="36"/>
      <c r="Y43" s="36"/>
      <c r="Z43" s="449">
        <f t="shared" si="2"/>
        <v>0</v>
      </c>
      <c r="AA43" s="35"/>
      <c r="AB43" s="36"/>
    </row>
    <row r="44" spans="1:28" ht="17.25" customHeight="1">
      <c r="A44" s="454">
        <f>'گردش سهام'!A46</f>
        <v>0</v>
      </c>
      <c r="B44" s="454">
        <f>'گردش سهام'!B46</f>
        <v>0</v>
      </c>
      <c r="C44" s="33"/>
      <c r="D44" s="34"/>
      <c r="E44" s="35"/>
      <c r="F44" s="36"/>
      <c r="G44" s="36"/>
      <c r="H44" s="36"/>
      <c r="I44" s="36"/>
      <c r="J44" s="449">
        <f t="shared" si="3"/>
        <v>0</v>
      </c>
      <c r="K44" s="35"/>
      <c r="L44" s="34"/>
      <c r="M44" s="35"/>
      <c r="N44" s="36"/>
      <c r="O44" s="36"/>
      <c r="P44" s="36"/>
      <c r="Q44" s="36"/>
      <c r="R44" s="449">
        <f t="shared" si="4"/>
        <v>0</v>
      </c>
      <c r="S44" s="35"/>
      <c r="T44" s="34"/>
      <c r="U44" s="35"/>
      <c r="V44" s="36"/>
      <c r="W44" s="36"/>
      <c r="X44" s="36"/>
      <c r="Y44" s="36"/>
      <c r="Z44" s="449">
        <f t="shared" si="2"/>
        <v>0</v>
      </c>
      <c r="AA44" s="35"/>
      <c r="AB44" s="36"/>
    </row>
    <row r="45" spans="1:28" ht="17.25" customHeight="1">
      <c r="A45" s="454">
        <f>'گردش سهام'!A47</f>
        <v>0</v>
      </c>
      <c r="B45" s="454">
        <f>'گردش سهام'!B47</f>
        <v>0</v>
      </c>
      <c r="C45" s="33"/>
      <c r="D45" s="34"/>
      <c r="E45" s="35"/>
      <c r="F45" s="36"/>
      <c r="G45" s="36"/>
      <c r="H45" s="36"/>
      <c r="I45" s="36"/>
      <c r="J45" s="449">
        <f t="shared" si="3"/>
        <v>0</v>
      </c>
      <c r="K45" s="35"/>
      <c r="L45" s="34"/>
      <c r="M45" s="35"/>
      <c r="N45" s="36"/>
      <c r="O45" s="36"/>
      <c r="P45" s="36"/>
      <c r="Q45" s="36"/>
      <c r="R45" s="449">
        <f t="shared" si="4"/>
        <v>0</v>
      </c>
      <c r="S45" s="35"/>
      <c r="T45" s="34"/>
      <c r="U45" s="35"/>
      <c r="V45" s="36"/>
      <c r="W45" s="36"/>
      <c r="X45" s="36"/>
      <c r="Y45" s="36"/>
      <c r="Z45" s="449">
        <f t="shared" si="2"/>
        <v>0</v>
      </c>
      <c r="AA45" s="35"/>
      <c r="AB45" s="36"/>
    </row>
    <row r="46" spans="1:28" ht="17.25" customHeight="1">
      <c r="A46" s="454">
        <f>'گردش سهام'!A48</f>
        <v>0</v>
      </c>
      <c r="B46" s="454">
        <f>'گردش سهام'!B48</f>
        <v>0</v>
      </c>
      <c r="C46" s="33"/>
      <c r="D46" s="34"/>
      <c r="E46" s="35"/>
      <c r="F46" s="36"/>
      <c r="G46" s="36"/>
      <c r="H46" s="36"/>
      <c r="I46" s="36"/>
      <c r="J46" s="449">
        <f>H46*D46/1000000</f>
        <v>0</v>
      </c>
      <c r="K46" s="35"/>
      <c r="L46" s="34"/>
      <c r="M46" s="35"/>
      <c r="N46" s="36"/>
      <c r="O46" s="36"/>
      <c r="P46" s="36"/>
      <c r="Q46" s="36"/>
      <c r="R46" s="449">
        <f>P46*L46/1000000</f>
        <v>0</v>
      </c>
      <c r="S46" s="35"/>
      <c r="T46" s="34"/>
      <c r="U46" s="35"/>
      <c r="V46" s="36"/>
      <c r="W46" s="36"/>
      <c r="X46" s="36"/>
      <c r="Y46" s="36"/>
      <c r="Z46" s="449">
        <f t="shared" si="2"/>
        <v>0</v>
      </c>
      <c r="AA46" s="35"/>
      <c r="AB46" s="36"/>
    </row>
    <row r="47" spans="1:28" ht="21.75" thickBot="1">
      <c r="A47" s="454"/>
      <c r="B47" s="454"/>
      <c r="C47" s="33"/>
      <c r="D47" s="835">
        <f>SUM(D9:D46)</f>
        <v>0</v>
      </c>
      <c r="E47" s="36"/>
      <c r="F47" s="835" t="s">
        <v>206</v>
      </c>
      <c r="G47" s="36"/>
      <c r="H47" s="835" t="s">
        <v>206</v>
      </c>
      <c r="I47" s="36"/>
      <c r="J47" s="450">
        <f>SUM(J9:J46)</f>
        <v>0</v>
      </c>
      <c r="K47" s="35"/>
      <c r="L47" s="835">
        <f>SUM(L9:L46)</f>
        <v>0</v>
      </c>
      <c r="M47" s="36"/>
      <c r="N47" s="835" t="s">
        <v>206</v>
      </c>
      <c r="O47" s="36"/>
      <c r="P47" s="835" t="s">
        <v>206</v>
      </c>
      <c r="Q47" s="36"/>
      <c r="R47" s="450">
        <f>SUM(R9:R46)</f>
        <v>0</v>
      </c>
      <c r="S47" s="35"/>
      <c r="T47" s="835">
        <f>SUM(T9:T46)</f>
        <v>0</v>
      </c>
      <c r="U47" s="36"/>
      <c r="V47" s="835" t="s">
        <v>206</v>
      </c>
      <c r="W47" s="36"/>
      <c r="X47" s="835" t="s">
        <v>206</v>
      </c>
      <c r="Y47" s="36"/>
      <c r="Z47" s="450">
        <f>SUM(Z9:Z46)</f>
        <v>0</v>
      </c>
      <c r="AA47" s="35"/>
      <c r="AB47" s="36"/>
    </row>
    <row r="48" spans="1:28" ht="16.5" thickTop="1">
      <c r="A48" s="51"/>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B48" s="51"/>
    </row>
    <row r="49" spans="1:28" ht="24" customHeight="1">
      <c r="A49" s="2844"/>
      <c r="B49" s="2844"/>
      <c r="C49" s="2844"/>
      <c r="D49" s="711"/>
      <c r="E49" s="711"/>
      <c r="F49" s="15"/>
      <c r="G49" s="15"/>
      <c r="H49" s="15"/>
      <c r="I49" s="15"/>
      <c r="J49" s="15"/>
      <c r="K49" s="15"/>
      <c r="L49" s="15"/>
      <c r="M49" s="15"/>
      <c r="N49" s="15"/>
      <c r="O49" s="15"/>
      <c r="P49" s="15"/>
      <c r="Q49" s="15"/>
      <c r="R49" s="15"/>
      <c r="S49" s="15"/>
      <c r="T49" s="15"/>
      <c r="U49" s="15"/>
      <c r="V49" s="15"/>
      <c r="W49" s="15"/>
      <c r="X49" s="15"/>
      <c r="Y49" s="15"/>
      <c r="Z49" s="15"/>
      <c r="AA49" s="15"/>
      <c r="AB49" s="15"/>
    </row>
    <row r="51" spans="1:28" s="30" customFormat="1" ht="26.25" customHeight="1">
      <c r="C51" s="2857"/>
      <c r="D51" s="2857"/>
      <c r="E51" s="2857"/>
      <c r="F51" s="2857"/>
      <c r="G51" s="2857"/>
      <c r="H51" s="2857"/>
      <c r="I51" s="2857"/>
      <c r="J51" s="2857"/>
      <c r="K51" s="2857"/>
      <c r="L51" s="2857"/>
      <c r="M51" s="2857"/>
      <c r="N51" s="2857"/>
      <c r="O51" s="2857"/>
      <c r="P51" s="2857"/>
      <c r="Q51" s="2857"/>
      <c r="R51" s="2857"/>
      <c r="S51" s="2857"/>
      <c r="T51" s="2857"/>
      <c r="U51" s="2857"/>
      <c r="V51" s="2857"/>
      <c r="W51" s="2857"/>
      <c r="X51" s="2857"/>
      <c r="Y51" s="2857"/>
      <c r="Z51" s="2857"/>
      <c r="AA51" s="2857"/>
      <c r="AB51" s="712"/>
    </row>
  </sheetData>
  <mergeCells count="10">
    <mergeCell ref="C51:AA51"/>
    <mergeCell ref="A7:A8"/>
    <mergeCell ref="B7:B8"/>
    <mergeCell ref="D7:J7"/>
    <mergeCell ref="L7:R7"/>
    <mergeCell ref="C1:AA1"/>
    <mergeCell ref="A6:F6"/>
    <mergeCell ref="A49:C49"/>
    <mergeCell ref="T7:Z7"/>
    <mergeCell ref="A2:AB2"/>
  </mergeCells>
  <printOptions horizontalCentered="1"/>
  <pageMargins left="0.19685039370078741" right="0.19685039370078741" top="0.59055118110236227" bottom="0.78740157480314965" header="0.19685039370078741" footer="0.19685039370078741"/>
  <pageSetup paperSize="9" scale="5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rgb="FF00B0F0"/>
    <pageSetUpPr fitToPage="1"/>
  </sheetPr>
  <dimension ref="A1:AH28"/>
  <sheetViews>
    <sheetView rightToLeft="1" view="pageBreakPreview" zoomScale="60" zoomScaleNormal="85" workbookViewId="0">
      <selection activeCell="G16" sqref="G16"/>
    </sheetView>
  </sheetViews>
  <sheetFormatPr defaultColWidth="9" defaultRowHeight="21"/>
  <cols>
    <col min="1" max="1" width="6.28515625" style="37" customWidth="1"/>
    <col min="2" max="2" width="33" style="37" bestFit="1" customWidth="1"/>
    <col min="3" max="3" width="10.28515625" style="37" customWidth="1"/>
    <col min="4" max="7" width="13.5703125" style="37" customWidth="1"/>
    <col min="8" max="8" width="12.5703125" style="37" customWidth="1"/>
    <col min="9" max="10" width="13.5703125" style="37" customWidth="1"/>
    <col min="11" max="11" width="12.42578125" style="37" customWidth="1"/>
    <col min="12" max="12" width="11.5703125" style="37" customWidth="1"/>
    <col min="13" max="13" width="3.7109375" style="37" customWidth="1"/>
    <col min="14" max="14" width="13.5703125" style="37" customWidth="1"/>
    <col min="15" max="15" width="11.5703125" style="37" customWidth="1"/>
    <col min="16" max="17" width="12" style="82" customWidth="1"/>
    <col min="18" max="18" width="9.28515625" style="82" hidden="1" customWidth="1"/>
    <col min="19" max="34" width="9" style="82" hidden="1" customWidth="1"/>
    <col min="35" max="38" width="0" style="37" hidden="1" customWidth="1"/>
    <col min="39" max="16384" width="9" style="37"/>
  </cols>
  <sheetData>
    <row r="1" spans="1:34" s="5" customFormat="1" ht="26.25">
      <c r="A1" s="2685" t="str">
        <f>روکش!D4</f>
        <v>انبارهای عمومی و خدمات گمرکی ایران</v>
      </c>
      <c r="B1" s="2685"/>
      <c r="C1" s="2685"/>
      <c r="D1" s="2685"/>
      <c r="E1" s="2685"/>
      <c r="F1" s="2685"/>
      <c r="G1" s="2685"/>
      <c r="H1" s="2685"/>
      <c r="I1" s="2685"/>
      <c r="J1" s="2685"/>
      <c r="K1" s="2685"/>
      <c r="L1" s="2685"/>
      <c r="M1" s="2685"/>
      <c r="N1" s="2685"/>
      <c r="O1" s="2685"/>
      <c r="P1" s="95"/>
      <c r="Q1" s="95"/>
      <c r="R1" s="79"/>
      <c r="S1" s="79"/>
      <c r="T1" s="79"/>
      <c r="U1" s="79"/>
      <c r="V1" s="79"/>
      <c r="W1" s="79"/>
      <c r="X1" s="79"/>
      <c r="Y1" s="79"/>
      <c r="Z1" s="79"/>
      <c r="AA1" s="79"/>
      <c r="AB1" s="79"/>
      <c r="AC1" s="79"/>
      <c r="AD1" s="79"/>
      <c r="AE1" s="79"/>
      <c r="AF1" s="79"/>
      <c r="AG1" s="79"/>
      <c r="AH1" s="79"/>
    </row>
    <row r="2" spans="1:34" s="5" customFormat="1" ht="28.5" customHeight="1">
      <c r="A2" s="1206" t="str">
        <f xml:space="preserve"> "گزارش مقادیر توليد در دوره " &amp; روکش!F9 &amp; " سال " &amp; روکش!D9</f>
        <v>گزارش مقادیر توليد در دوره شش ماهه سال 1405</v>
      </c>
      <c r="B2" s="1206"/>
      <c r="C2" s="1206"/>
      <c r="D2" s="1206"/>
      <c r="E2" s="1206"/>
      <c r="F2" s="1206"/>
      <c r="G2" s="1206"/>
      <c r="H2" s="1206"/>
      <c r="I2" s="1206"/>
      <c r="J2" s="1206"/>
      <c r="K2" s="1203"/>
      <c r="L2" s="1203"/>
      <c r="M2" s="1203"/>
      <c r="N2" s="1203"/>
      <c r="O2" s="1203"/>
      <c r="P2" s="184"/>
      <c r="Q2" s="184"/>
      <c r="R2" s="79"/>
      <c r="S2" s="79"/>
      <c r="T2" s="79"/>
      <c r="U2" s="79"/>
      <c r="V2" s="79"/>
      <c r="W2" s="79"/>
      <c r="X2" s="79"/>
      <c r="Y2" s="79"/>
      <c r="Z2" s="79"/>
      <c r="AA2" s="79"/>
      <c r="AB2" s="79"/>
      <c r="AC2" s="79"/>
      <c r="AD2" s="79"/>
      <c r="AE2" s="79"/>
      <c r="AF2" s="79"/>
      <c r="AG2" s="79"/>
      <c r="AH2" s="79"/>
    </row>
    <row r="3" spans="1:34" ht="20.100000000000001" customHeight="1" thickBot="1">
      <c r="A3" s="2859"/>
      <c r="B3" s="2859"/>
      <c r="C3" s="2859"/>
      <c r="D3" s="2859"/>
      <c r="E3" s="2859"/>
      <c r="F3" s="456"/>
      <c r="G3" s="456"/>
      <c r="H3" s="456"/>
      <c r="I3" s="456"/>
      <c r="J3" s="455"/>
      <c r="K3" s="1371"/>
      <c r="L3" s="1371"/>
      <c r="M3" s="1371"/>
      <c r="N3" s="456"/>
      <c r="O3" s="1208" t="s">
        <v>28</v>
      </c>
    </row>
    <row r="4" spans="1:34" ht="19.5" customHeight="1">
      <c r="A4" s="2860" t="s">
        <v>5</v>
      </c>
      <c r="B4" s="2862" t="s">
        <v>29</v>
      </c>
      <c r="C4" s="2864" t="s">
        <v>16</v>
      </c>
      <c r="D4" s="2864" t="s">
        <v>222</v>
      </c>
      <c r="E4" s="2866" t="s">
        <v>221</v>
      </c>
      <c r="F4" s="1220" t="s">
        <v>683</v>
      </c>
      <c r="G4" s="1372"/>
      <c r="H4" s="1373"/>
      <c r="I4" s="1374" t="s">
        <v>642</v>
      </c>
      <c r="J4" s="1375"/>
      <c r="K4" s="1375"/>
      <c r="L4" s="1375"/>
      <c r="M4" s="1375"/>
      <c r="N4" s="1375"/>
      <c r="O4" s="1376"/>
      <c r="P4" s="185"/>
      <c r="Q4" s="185"/>
    </row>
    <row r="5" spans="1:34" ht="84.75" thickBot="1">
      <c r="A5" s="2861"/>
      <c r="B5" s="2863"/>
      <c r="C5" s="2865"/>
      <c r="D5" s="2865"/>
      <c r="E5" s="2867"/>
      <c r="F5" s="713" t="s">
        <v>226</v>
      </c>
      <c r="G5" s="2118" t="s">
        <v>227</v>
      </c>
      <c r="H5" s="1351" t="s">
        <v>225</v>
      </c>
      <c r="I5" s="713" t="s">
        <v>53</v>
      </c>
      <c r="J5" s="714" t="s">
        <v>216</v>
      </c>
      <c r="K5" s="714" t="s">
        <v>793</v>
      </c>
      <c r="L5" s="2875" t="s">
        <v>230</v>
      </c>
      <c r="M5" s="2876"/>
      <c r="N5" s="713" t="s">
        <v>227</v>
      </c>
      <c r="O5" s="715" t="s">
        <v>224</v>
      </c>
      <c r="P5" s="1186"/>
      <c r="Q5" s="1186"/>
      <c r="R5" s="1359"/>
      <c r="S5" s="1359"/>
      <c r="T5" s="208"/>
      <c r="U5" s="208"/>
      <c r="V5" s="1359"/>
      <c r="W5" s="1359"/>
      <c r="X5" s="1359"/>
      <c r="Y5" s="1359"/>
      <c r="Z5" s="1359"/>
      <c r="AA5" s="1359"/>
      <c r="AB5" s="1359"/>
      <c r="AC5" s="1359"/>
      <c r="AD5" s="1359"/>
      <c r="AE5" s="1359"/>
      <c r="AF5" s="1359"/>
      <c r="AG5" s="1359"/>
    </row>
    <row r="6" spans="1:34" ht="23.1" customHeight="1">
      <c r="A6" s="1356">
        <v>1</v>
      </c>
      <c r="B6" s="1311">
        <f ca="1">IF(ROW()-ROW($A$6)&lt;'الف-ب-ج'!$L$9,INDIRECT("BudgetDB!B"&amp;('الف-ب-ج'!$M$9+ROW()-ROW($A$6))),"")</f>
        <v>0</v>
      </c>
      <c r="C6" s="2136">
        <f ca="1">IF(ROW()-ROW($A$6)&lt;'الف-ب-ج'!$L$9,INDIRECT("BudgetDB!C"&amp;('الف-ب-ج'!$M$9+ROW()-ROW($A$6))),"")</f>
        <v>0</v>
      </c>
      <c r="D6" s="838">
        <f ca="1">IF(ROW()-ROW($A$6)&lt;'الف-ب-ج'!$L$9,INDIRECT("BudgetDB!V"&amp;('الف-ب-ج'!$M$9+ROW()-ROW($A$6))),"")</f>
        <v>0</v>
      </c>
      <c r="E6" s="1361">
        <f ca="1">IF(ROW()-ROW($A$6)&lt;'الف-ب-ج'!$L$9,INDIRECT("BudgetDB!W"&amp;('الف-ب-ج'!$M$9+ROW()-ROW($A$6))),"")</f>
        <v>0</v>
      </c>
      <c r="F6" s="215"/>
      <c r="G6" s="462"/>
      <c r="H6" s="1369">
        <f>IFERROR((G6*'فروش داخلی تولیدی'!E7)/1000000,"")</f>
        <v>0</v>
      </c>
      <c r="I6" s="2308" cm="1">
        <f t="array" aca="1" ref="I6" ca="1">IF(ROW()-ROW($A$6)&lt;'الف-ب-ج'!$L$9,IF(روکش!$F$9="سه ماهه",INDIRECT("BudgetDB!AY"&amp;('الف-ب-ج'!$M$9+ROW()-ROW($A$6))),INDIRECT("BudgetDB!AZ"&amp;('الف-ب-ج'!$M$9+ROW()-ROW($A$6)))),"")</f>
        <v>0</v>
      </c>
      <c r="J6" s="216"/>
      <c r="K6" s="2176" t="str">
        <f t="shared" ref="K6:K25" si="0">IFERROR((J6-F6)*100/F6,"-")</f>
        <v>-</v>
      </c>
      <c r="L6" s="2169" t="str">
        <f t="shared" ref="L6:L25" ca="1" si="1">IFERROR((J6*100/I6),"-")</f>
        <v>-</v>
      </c>
      <c r="M6" s="415">
        <f ca="1">IFERROR(ABS(L6-100),500)</f>
        <v>500</v>
      </c>
      <c r="N6" s="462"/>
      <c r="O6" s="1369">
        <f>IFERROR((N6*'فروش داخلی تولیدی'!K7)/1000000,"-")</f>
        <v>0</v>
      </c>
      <c r="P6" s="186"/>
      <c r="Q6" s="186"/>
      <c r="R6" s="1360" t="str">
        <f ca="1">IF(AND(I6=0,J6&gt;0),100,IFERROR(ABS(L6-100),"-"))</f>
        <v>-</v>
      </c>
      <c r="S6" s="1359"/>
      <c r="T6" s="1359"/>
      <c r="U6" s="1359"/>
      <c r="V6" s="1359"/>
      <c r="W6" s="1359"/>
      <c r="X6" s="1359"/>
      <c r="Y6" s="1359"/>
      <c r="Z6" s="1359"/>
      <c r="AA6" s="1359"/>
      <c r="AB6" s="1360" t="s">
        <v>792</v>
      </c>
      <c r="AC6" s="1359"/>
      <c r="AD6" s="1359"/>
      <c r="AE6" s="1360">
        <f>ROUNDUP(AF6/3,0)*3+AF6*7+1</f>
        <v>1</v>
      </c>
      <c r="AF6" s="1360">
        <v>0</v>
      </c>
      <c r="AG6" s="1360">
        <f>AE6</f>
        <v>1</v>
      </c>
    </row>
    <row r="7" spans="1:34" ht="23.1" customHeight="1">
      <c r="A7" s="1357">
        <v>2</v>
      </c>
      <c r="B7" s="1312">
        <f ca="1">IF(ROW()-ROW($A$6)&lt;'الف-ب-ج'!$L$9,INDIRECT("BudgetDB!B"&amp;('الف-ب-ج'!$M$9+ROW()-ROW($A$6))),"")</f>
        <v>0</v>
      </c>
      <c r="C7" s="2137">
        <f ca="1">IF(ROW()-ROW($A$6)&lt;'الف-ب-ج'!$L$9,INDIRECT("BudgetDB!C"&amp;('الف-ب-ج'!$M$9+ROW()-ROW($A$6))),"")</f>
        <v>0</v>
      </c>
      <c r="D7" s="839">
        <f ca="1">IF(ROW()-ROW($A$6)&lt;'الف-ب-ج'!$L$9,INDIRECT("BudgetDB!V"&amp;('الف-ب-ج'!$M$9+ROW()-ROW($A$6))),"")</f>
        <v>0</v>
      </c>
      <c r="E7" s="1363">
        <f ca="1">IF(ROW()-ROW($A$6)&lt;'الف-ب-ج'!$L$9,INDIRECT("BudgetDB!W"&amp;('الف-ب-ج'!$M$9+ROW()-ROW($A$6))),"")</f>
        <v>0</v>
      </c>
      <c r="F7" s="217"/>
      <c r="G7" s="2127"/>
      <c r="H7" s="457">
        <f>IFERROR((G7*'فروش داخلی تولیدی'!E8)/1000000,"")</f>
        <v>0</v>
      </c>
      <c r="I7" s="2309" cm="1">
        <f t="array" aca="1" ref="I7" ca="1">IF(ROW()-ROW($A$6)&lt;'الف-ب-ج'!$L$9,IF(روکش!$F$9="سه ماهه",INDIRECT("BudgetDB!AY"&amp;('الف-ب-ج'!$M$9+ROW()-ROW($A$6))),INDIRECT("BudgetDB!AZ"&amp;('الف-ب-ج'!$M$9+ROW()-ROW($A$6)))),"")</f>
        <v>0</v>
      </c>
      <c r="J7" s="218"/>
      <c r="K7" s="2177" t="str">
        <f t="shared" si="0"/>
        <v>-</v>
      </c>
      <c r="L7" s="2170" t="str">
        <f t="shared" ca="1" si="1"/>
        <v>-</v>
      </c>
      <c r="M7" s="418">
        <f t="shared" ref="M7:M25" ca="1" si="2">IFERROR(ABS(L7-100),500)</f>
        <v>500</v>
      </c>
      <c r="N7" s="2127"/>
      <c r="O7" s="457">
        <f>IFERROR((N7*'فروش داخلی تولیدی'!K8)/1000000,"-")</f>
        <v>0</v>
      </c>
      <c r="P7" s="186"/>
      <c r="Q7" s="186"/>
      <c r="R7" s="1360" t="str">
        <f t="shared" ref="R7:R25" ca="1" si="3">IF(AND(I7=0,J7&gt;0),100,IFERROR(ABS(L7-100),"-"))</f>
        <v>-</v>
      </c>
      <c r="S7" s="1359"/>
      <c r="T7" s="1359"/>
      <c r="U7" s="1359"/>
      <c r="V7" s="1359"/>
      <c r="W7" s="1359"/>
      <c r="X7" s="1359"/>
      <c r="Y7" s="1359"/>
      <c r="Z7" s="1359"/>
      <c r="AA7" s="1359"/>
      <c r="AB7" s="1360">
        <f ca="1">20-COUNTIF(B6:B25,0)+COUNTIF(B6:B25,"")</f>
        <v>0</v>
      </c>
      <c r="AC7" s="1359"/>
      <c r="AD7" s="1359"/>
      <c r="AE7" s="1360">
        <f>'مقادیر مصرف مواد'!H24</f>
        <v>8</v>
      </c>
      <c r="AF7" s="1360">
        <v>1</v>
      </c>
      <c r="AG7" s="1360">
        <f t="shared" ref="AG7:AG26" si="4">AE7</f>
        <v>8</v>
      </c>
    </row>
    <row r="8" spans="1:34" ht="23.1" customHeight="1">
      <c r="A8" s="1357">
        <v>3</v>
      </c>
      <c r="B8" s="1312">
        <f ca="1">IF(ROW()-ROW($A$6)&lt;'الف-ب-ج'!$L$9,INDIRECT("BudgetDB!B"&amp;('الف-ب-ج'!$M$9+ROW()-ROW($A$6))),"")</f>
        <v>0</v>
      </c>
      <c r="C8" s="2137">
        <f ca="1">IF(ROW()-ROW($A$6)&lt;'الف-ب-ج'!$L$9,INDIRECT("BudgetDB!C"&amp;('الف-ب-ج'!$M$9+ROW()-ROW($A$6))),"")</f>
        <v>0</v>
      </c>
      <c r="D8" s="839">
        <f ca="1">IF(ROW()-ROW($A$6)&lt;'الف-ب-ج'!$L$9,INDIRECT("BudgetDB!V"&amp;('الف-ب-ج'!$M$9+ROW()-ROW($A$6))),"")</f>
        <v>0</v>
      </c>
      <c r="E8" s="1363">
        <f ca="1">IF(ROW()-ROW($A$6)&lt;'الف-ب-ج'!$L$9,INDIRECT("BudgetDB!W"&amp;('الف-ب-ج'!$M$9+ROW()-ROW($A$6))),"")</f>
        <v>0</v>
      </c>
      <c r="F8" s="217"/>
      <c r="G8" s="463"/>
      <c r="H8" s="457">
        <f>IFERROR((G8*'فروش داخلی تولیدی'!E9)/1000000,"")</f>
        <v>0</v>
      </c>
      <c r="I8" s="2309" cm="1">
        <f t="array" aca="1" ref="I8" ca="1">IF(ROW()-ROW($A$6)&lt;'الف-ب-ج'!$L$9,IF(روکش!$F$9="سه ماهه",INDIRECT("BudgetDB!AY"&amp;('الف-ب-ج'!$M$9+ROW()-ROW($A$6))),INDIRECT("BudgetDB!AZ"&amp;('الف-ب-ج'!$M$9+ROW()-ROW($A$6)))),"")</f>
        <v>0</v>
      </c>
      <c r="J8" s="218"/>
      <c r="K8" s="2177" t="str">
        <f t="shared" si="0"/>
        <v>-</v>
      </c>
      <c r="L8" s="2170" t="str">
        <f t="shared" ca="1" si="1"/>
        <v>-</v>
      </c>
      <c r="M8" s="418">
        <f t="shared" ca="1" si="2"/>
        <v>500</v>
      </c>
      <c r="N8" s="463"/>
      <c r="O8" s="457">
        <f>IFERROR((N8*'فروش داخلی تولیدی'!K9)/1000000,"-")</f>
        <v>0</v>
      </c>
      <c r="P8" s="186"/>
      <c r="Q8" s="186"/>
      <c r="R8" s="1360" t="str">
        <f t="shared" ca="1" si="3"/>
        <v>-</v>
      </c>
      <c r="S8" s="1359"/>
      <c r="T8" s="1359"/>
      <c r="U8" s="1359"/>
      <c r="V8" s="1359"/>
      <c r="W8" s="1359"/>
      <c r="X8" s="1359"/>
      <c r="Y8" s="1359"/>
      <c r="Z8" s="1359"/>
      <c r="AA8" s="1359"/>
      <c r="AB8" s="1359"/>
      <c r="AC8" s="1359"/>
      <c r="AD8" s="1359"/>
      <c r="AE8" s="1360">
        <f>'مقادیر مصرف مواد'!L24</f>
        <v>12</v>
      </c>
      <c r="AF8" s="1360">
        <v>2</v>
      </c>
      <c r="AG8" s="1360">
        <f t="shared" si="4"/>
        <v>12</v>
      </c>
    </row>
    <row r="9" spans="1:34" ht="23.1" customHeight="1">
      <c r="A9" s="1357">
        <v>4</v>
      </c>
      <c r="B9" s="1312">
        <f ca="1">IF(ROW()-ROW($A$6)&lt;'الف-ب-ج'!$L$9,INDIRECT("BudgetDB!B"&amp;('الف-ب-ج'!$M$9+ROW()-ROW($A$6))),"")</f>
        <v>0</v>
      </c>
      <c r="C9" s="2137">
        <f ca="1">IF(ROW()-ROW($A$6)&lt;'الف-ب-ج'!$L$9,INDIRECT("BudgetDB!C"&amp;('الف-ب-ج'!$M$9+ROW()-ROW($A$6))),"")</f>
        <v>0</v>
      </c>
      <c r="D9" s="839">
        <f ca="1">IF(ROW()-ROW($A$6)&lt;'الف-ب-ج'!$L$9,INDIRECT("BudgetDB!V"&amp;('الف-ب-ج'!$M$9+ROW()-ROW($A$6))),"")</f>
        <v>0</v>
      </c>
      <c r="E9" s="1363">
        <f ca="1">IF(ROW()-ROW($A$6)&lt;'الف-ب-ج'!$L$9,INDIRECT("BudgetDB!W"&amp;('الف-ب-ج'!$M$9+ROW()-ROW($A$6))),"")</f>
        <v>0</v>
      </c>
      <c r="F9" s="217"/>
      <c r="G9" s="463"/>
      <c r="H9" s="457">
        <f>IFERROR((G9*'فروش داخلی تولیدی'!E10)/1000000,"")</f>
        <v>0</v>
      </c>
      <c r="I9" s="2309" cm="1">
        <f t="array" aca="1" ref="I9" ca="1">IF(ROW()-ROW($A$6)&lt;'الف-ب-ج'!$L$9,IF(روکش!$F$9="سه ماهه",INDIRECT("BudgetDB!AY"&amp;('الف-ب-ج'!$M$9+ROW()-ROW($A$6))),INDIRECT("BudgetDB!AZ"&amp;('الف-ب-ج'!$M$9+ROW()-ROW($A$6)))),"")</f>
        <v>0</v>
      </c>
      <c r="J9" s="218"/>
      <c r="K9" s="2177" t="str">
        <f t="shared" si="0"/>
        <v>-</v>
      </c>
      <c r="L9" s="2170" t="str">
        <f t="shared" ca="1" si="1"/>
        <v>-</v>
      </c>
      <c r="M9" s="418">
        <f t="shared" ca="1" si="2"/>
        <v>500</v>
      </c>
      <c r="N9" s="463"/>
      <c r="O9" s="457">
        <f>IFERROR((N9*'فروش داخلی تولیدی'!K10)/1000000,"-")</f>
        <v>0</v>
      </c>
      <c r="P9" s="186"/>
      <c r="Q9" s="186"/>
      <c r="R9" s="1360" t="str">
        <f t="shared" ca="1" si="3"/>
        <v>-</v>
      </c>
      <c r="S9" s="1359"/>
      <c r="T9" s="1359"/>
      <c r="U9" s="1359"/>
      <c r="V9" s="1359"/>
      <c r="W9" s="1359"/>
      <c r="X9" s="1359"/>
      <c r="Y9" s="1359"/>
      <c r="Z9" s="1359"/>
      <c r="AA9" s="1359"/>
      <c r="AB9" s="1359"/>
      <c r="AC9" s="1359"/>
      <c r="AD9" s="1359"/>
      <c r="AE9" s="1360">
        <f>'مقادیر مصرف مواد'!S24</f>
        <v>19</v>
      </c>
      <c r="AF9" s="1360">
        <v>3</v>
      </c>
      <c r="AG9" s="1360">
        <f t="shared" si="4"/>
        <v>19</v>
      </c>
    </row>
    <row r="10" spans="1:34" ht="23.1" customHeight="1">
      <c r="A10" s="1357">
        <v>5</v>
      </c>
      <c r="B10" s="1312">
        <f ca="1">IF(ROW()-ROW($A$6)&lt;'الف-ب-ج'!$L$9,INDIRECT("BudgetDB!B"&amp;('الف-ب-ج'!$M$9+ROW()-ROW($A$6))),"")</f>
        <v>0</v>
      </c>
      <c r="C10" s="2137">
        <f ca="1">IF(ROW()-ROW($A$6)&lt;'الف-ب-ج'!$L$9,INDIRECT("BudgetDB!C"&amp;('الف-ب-ج'!$M$9+ROW()-ROW($A$6))),"")</f>
        <v>0</v>
      </c>
      <c r="D10" s="839">
        <f ca="1">IF(ROW()-ROW($A$6)&lt;'الف-ب-ج'!$L$9,INDIRECT("BudgetDB!V"&amp;('الف-ب-ج'!$M$9+ROW()-ROW($A$6))),"")</f>
        <v>0</v>
      </c>
      <c r="E10" s="1363">
        <f ca="1">IF(ROW()-ROW($A$6)&lt;'الف-ب-ج'!$L$9,INDIRECT("BudgetDB!W"&amp;('الف-ب-ج'!$M$9+ROW()-ROW($A$6))),"")</f>
        <v>0</v>
      </c>
      <c r="F10" s="217"/>
      <c r="G10" s="463"/>
      <c r="H10" s="457">
        <f>IFERROR((G10*'فروش داخلی تولیدی'!E11)/1000000,"")</f>
        <v>0</v>
      </c>
      <c r="I10" s="2309" cm="1">
        <f t="array" aca="1" ref="I10" ca="1">IF(ROW()-ROW($A$6)&lt;'الف-ب-ج'!$L$9,IF(روکش!$F$9="سه ماهه",INDIRECT("BudgetDB!AY"&amp;('الف-ب-ج'!$M$9+ROW()-ROW($A$6))),INDIRECT("BudgetDB!AZ"&amp;('الف-ب-ج'!$M$9+ROW()-ROW($A$6)))),"")</f>
        <v>0</v>
      </c>
      <c r="J10" s="218"/>
      <c r="K10" s="2177" t="str">
        <f t="shared" si="0"/>
        <v>-</v>
      </c>
      <c r="L10" s="2170" t="str">
        <f t="shared" ca="1" si="1"/>
        <v>-</v>
      </c>
      <c r="M10" s="418">
        <f t="shared" ca="1" si="2"/>
        <v>500</v>
      </c>
      <c r="N10" s="463"/>
      <c r="O10" s="457">
        <f>IFERROR((N10*'فروش داخلی تولیدی'!K11)/1000000,"-")</f>
        <v>0</v>
      </c>
      <c r="P10" s="186"/>
      <c r="Q10" s="186"/>
      <c r="R10" s="1360" t="str">
        <f t="shared" ca="1" si="3"/>
        <v>-</v>
      </c>
      <c r="S10" s="1359"/>
      <c r="T10" s="1359"/>
      <c r="U10" s="1359"/>
      <c r="V10" s="1359"/>
      <c r="W10" s="1359"/>
      <c r="X10" s="1359"/>
      <c r="Y10" s="1359"/>
      <c r="Z10" s="1359"/>
      <c r="AA10" s="1359"/>
      <c r="AB10" s="1359"/>
      <c r="AC10" s="1359"/>
      <c r="AD10" s="1359"/>
      <c r="AE10" s="1360">
        <f>'مقادیر مصرف مواد'!W24</f>
        <v>23</v>
      </c>
      <c r="AF10" s="1360">
        <v>4</v>
      </c>
      <c r="AG10" s="1360">
        <f t="shared" si="4"/>
        <v>23</v>
      </c>
    </row>
    <row r="11" spans="1:34" ht="23.1" customHeight="1">
      <c r="A11" s="1357">
        <v>6</v>
      </c>
      <c r="B11" s="1362">
        <f ca="1">IF(ROW()-ROW($A$6)&lt;'الف-ب-ج'!$L$9,INDIRECT("BudgetDB!B"&amp;('الف-ب-ج'!$M$9+ROW()-ROW($A$6))),"")</f>
        <v>0</v>
      </c>
      <c r="C11" s="2133">
        <f ca="1">IF(ROW()-ROW($A$6)&lt;'الف-ب-ج'!$L$9,INDIRECT("BudgetDB!C"&amp;('الف-ب-ج'!$M$9+ROW()-ROW($A$6))),"")</f>
        <v>0</v>
      </c>
      <c r="D11" s="839">
        <f ca="1">IF(ROW()-ROW($A$6)&lt;'الف-ب-ج'!$L$9,INDIRECT("BudgetDB!V"&amp;('الف-ب-ج'!$M$9+ROW()-ROW($A$6))),"")</f>
        <v>0</v>
      </c>
      <c r="E11" s="1363">
        <f ca="1">IF(ROW()-ROW($A$6)&lt;'الف-ب-ج'!$L$9,INDIRECT("BudgetDB!W"&amp;('الف-ب-ج'!$M$9+ROW()-ROW($A$6))),"")</f>
        <v>0</v>
      </c>
      <c r="F11" s="217"/>
      <c r="G11" s="463"/>
      <c r="H11" s="457">
        <f>IFERROR((G11*'فروش داخلی تولیدی'!E12)/1000000,"")</f>
        <v>0</v>
      </c>
      <c r="I11" s="2309" cm="1">
        <f t="array" aca="1" ref="I11" ca="1">IF(ROW()-ROW($A$6)&lt;'الف-ب-ج'!$L$9,IF(روکش!$F$9="سه ماهه",INDIRECT("BudgetDB!AY"&amp;('الف-ب-ج'!$M$9+ROW()-ROW($A$6))),INDIRECT("BudgetDB!AZ"&amp;('الف-ب-ج'!$M$9+ROW()-ROW($A$6)))),"")</f>
        <v>0</v>
      </c>
      <c r="J11" s="218"/>
      <c r="K11" s="2164" t="str">
        <f t="shared" si="0"/>
        <v>-</v>
      </c>
      <c r="L11" s="2170" t="str">
        <f t="shared" ca="1" si="1"/>
        <v>-</v>
      </c>
      <c r="M11" s="418">
        <f t="shared" ca="1" si="2"/>
        <v>500</v>
      </c>
      <c r="N11" s="463"/>
      <c r="O11" s="457">
        <f>IFERROR((N11*'فروش داخلی تولیدی'!K12)/1000000,"-")</f>
        <v>0</v>
      </c>
      <c r="P11" s="186"/>
      <c r="Q11" s="186"/>
      <c r="R11" s="1360" t="str">
        <f t="shared" ca="1" si="3"/>
        <v>-</v>
      </c>
      <c r="S11" s="1359"/>
      <c r="T11" s="1359"/>
      <c r="U11" s="1359"/>
      <c r="V11" s="1359"/>
      <c r="W11" s="1359"/>
      <c r="X11" s="1359"/>
      <c r="Y11" s="1359"/>
      <c r="Z11" s="1359"/>
      <c r="AA11" s="1359"/>
      <c r="AB11" s="1359"/>
      <c r="AC11" s="1359"/>
      <c r="AD11" s="1359"/>
      <c r="AE11" s="1360">
        <f>'مقادیر مصرف مواد'!AD24</f>
        <v>30</v>
      </c>
      <c r="AF11" s="1360">
        <v>5</v>
      </c>
      <c r="AG11" s="1360">
        <f t="shared" si="4"/>
        <v>30</v>
      </c>
    </row>
    <row r="12" spans="1:34" ht="23.1" customHeight="1">
      <c r="A12" s="1357">
        <v>7</v>
      </c>
      <c r="B12" s="1362">
        <f ca="1">IF(ROW()-ROW($A$6)&lt;'الف-ب-ج'!$L$9,INDIRECT("BudgetDB!B"&amp;('الف-ب-ج'!$M$9+ROW()-ROW($A$6))),"")</f>
        <v>0</v>
      </c>
      <c r="C12" s="2133">
        <f ca="1">IF(ROW()-ROW($A$6)&lt;'الف-ب-ج'!$L$9,INDIRECT("BudgetDB!C"&amp;('الف-ب-ج'!$M$9+ROW()-ROW($A$6))),"")</f>
        <v>0</v>
      </c>
      <c r="D12" s="839">
        <f ca="1">IF(ROW()-ROW($A$6)&lt;'الف-ب-ج'!$L$9,INDIRECT("BudgetDB!V"&amp;('الف-ب-ج'!$M$9+ROW()-ROW($A$6))),"")</f>
        <v>0</v>
      </c>
      <c r="E12" s="1363">
        <f ca="1">IF(ROW()-ROW($A$6)&lt;'الف-ب-ج'!$L$9,INDIRECT("BudgetDB!W"&amp;('الف-ب-ج'!$M$9+ROW()-ROW($A$6))),"")</f>
        <v>0</v>
      </c>
      <c r="F12" s="217"/>
      <c r="G12" s="463"/>
      <c r="H12" s="457">
        <f>IFERROR((G12*'فروش داخلی تولیدی'!E13)/1000000,"")</f>
        <v>0</v>
      </c>
      <c r="I12" s="2309" cm="1">
        <f t="array" aca="1" ref="I12" ca="1">IF(ROW()-ROW($A$6)&lt;'الف-ب-ج'!$L$9,IF(روکش!$F$9="سه ماهه",INDIRECT("BudgetDB!AY"&amp;('الف-ب-ج'!$M$9+ROW()-ROW($A$6))),INDIRECT("BudgetDB!AZ"&amp;('الف-ب-ج'!$M$9+ROW()-ROW($A$6)))),"")</f>
        <v>0</v>
      </c>
      <c r="J12" s="218"/>
      <c r="K12" s="2164" t="str">
        <f t="shared" si="0"/>
        <v>-</v>
      </c>
      <c r="L12" s="2170" t="str">
        <f t="shared" ca="1" si="1"/>
        <v>-</v>
      </c>
      <c r="M12" s="418">
        <f t="shared" ca="1" si="2"/>
        <v>500</v>
      </c>
      <c r="N12" s="463"/>
      <c r="O12" s="457">
        <f>IFERROR((N12*'فروش داخلی تولیدی'!K13)/1000000,"-")</f>
        <v>0</v>
      </c>
      <c r="P12" s="186"/>
      <c r="Q12" s="186"/>
      <c r="R12" s="1360" t="str">
        <f t="shared" ca="1" si="3"/>
        <v>-</v>
      </c>
      <c r="S12" s="1359"/>
      <c r="T12" s="1359"/>
      <c r="U12" s="1359"/>
      <c r="V12" s="1359"/>
      <c r="W12" s="1359"/>
      <c r="X12" s="1359"/>
      <c r="Y12" s="1359"/>
      <c r="Z12" s="1359"/>
      <c r="AA12" s="1359"/>
      <c r="AB12" s="1359"/>
      <c r="AC12" s="1359"/>
      <c r="AD12" s="1359"/>
      <c r="AE12" s="1360">
        <f>'مقادیر مصرف مواد'!AH24</f>
        <v>34</v>
      </c>
      <c r="AF12" s="1360">
        <v>6</v>
      </c>
      <c r="AG12" s="1360">
        <f t="shared" si="4"/>
        <v>34</v>
      </c>
    </row>
    <row r="13" spans="1:34" ht="23.1" customHeight="1">
      <c r="A13" s="1357">
        <v>8</v>
      </c>
      <c r="B13" s="1362">
        <f ca="1">IF(ROW()-ROW($A$6)&lt;'الف-ب-ج'!$L$9,INDIRECT("BudgetDB!B"&amp;('الف-ب-ج'!$M$9+ROW()-ROW($A$6))),"")</f>
        <v>0</v>
      </c>
      <c r="C13" s="2133">
        <f ca="1">IF(ROW()-ROW($A$6)&lt;'الف-ب-ج'!$L$9,INDIRECT("BudgetDB!C"&amp;('الف-ب-ج'!$M$9+ROW()-ROW($A$6))),"")</f>
        <v>0</v>
      </c>
      <c r="D13" s="839">
        <f ca="1">IF(ROW()-ROW($A$6)&lt;'الف-ب-ج'!$L$9,INDIRECT("BudgetDB!V"&amp;('الف-ب-ج'!$M$9+ROW()-ROW($A$6))),"")</f>
        <v>0</v>
      </c>
      <c r="E13" s="1363">
        <f ca="1">IF(ROW()-ROW($A$6)&lt;'الف-ب-ج'!$L$9,INDIRECT("BudgetDB!W"&amp;('الف-ب-ج'!$M$9+ROW()-ROW($A$6))),"")</f>
        <v>0</v>
      </c>
      <c r="F13" s="217"/>
      <c r="G13" s="2052"/>
      <c r="H13" s="1370">
        <f>IFERROR((G13*'فروش داخلی تولیدی'!E14)/1000000,"")</f>
        <v>0</v>
      </c>
      <c r="I13" s="2310" cm="1">
        <f t="array" aca="1" ref="I13" ca="1">IF(ROW()-ROW($A$6)&lt;'الف-ب-ج'!$L$9,IF(روکش!$F$9="سه ماهه",INDIRECT("BudgetDB!AY"&amp;('الف-ب-ج'!$M$9+ROW()-ROW($A$6))),INDIRECT("BudgetDB!AZ"&amp;('الف-ب-ج'!$M$9+ROW()-ROW($A$6)))),"")</f>
        <v>0</v>
      </c>
      <c r="J13" s="218"/>
      <c r="K13" s="2164" t="str">
        <f t="shared" si="0"/>
        <v>-</v>
      </c>
      <c r="L13" s="2170" t="str">
        <f t="shared" ca="1" si="1"/>
        <v>-</v>
      </c>
      <c r="M13" s="420">
        <f t="shared" ca="1" si="2"/>
        <v>500</v>
      </c>
      <c r="N13" s="2052"/>
      <c r="O13" s="1370">
        <f>IFERROR((N13*'فروش داخلی تولیدی'!K14)/1000000,"-")</f>
        <v>0</v>
      </c>
      <c r="P13" s="186"/>
      <c r="Q13" s="186"/>
      <c r="R13" s="1360" t="str">
        <f t="shared" ca="1" si="3"/>
        <v>-</v>
      </c>
      <c r="S13" s="1359"/>
      <c r="T13" s="1359"/>
      <c r="U13" s="1359"/>
      <c r="V13" s="1359"/>
      <c r="W13" s="1359"/>
      <c r="X13" s="1359"/>
      <c r="Y13" s="1359"/>
      <c r="Z13" s="1359"/>
      <c r="AA13" s="1359"/>
      <c r="AB13" s="1359"/>
      <c r="AC13" s="1359"/>
      <c r="AD13" s="1359"/>
      <c r="AE13" s="1360">
        <f>'مقادیر مصرف مواد'!AO24</f>
        <v>41</v>
      </c>
      <c r="AF13" s="1360">
        <v>7</v>
      </c>
      <c r="AG13" s="1360">
        <f t="shared" si="4"/>
        <v>41</v>
      </c>
    </row>
    <row r="14" spans="1:34" ht="23.1" customHeight="1">
      <c r="A14" s="1357">
        <v>9</v>
      </c>
      <c r="B14" s="1362">
        <f ca="1">IF(ROW()-ROW($A$6)&lt;'الف-ب-ج'!$L$9,INDIRECT("BudgetDB!B"&amp;('الف-ب-ج'!$M$9+ROW()-ROW($A$6))),"")</f>
        <v>0</v>
      </c>
      <c r="C14" s="2133">
        <f ca="1">IF(ROW()-ROW($A$6)&lt;'الف-ب-ج'!$L$9,INDIRECT("BudgetDB!C"&amp;('الف-ب-ج'!$M$9+ROW()-ROW($A$6))),"")</f>
        <v>0</v>
      </c>
      <c r="D14" s="839">
        <f ca="1">IF(ROW()-ROW($A$6)&lt;'الف-ب-ج'!$L$9,INDIRECT("BudgetDB!V"&amp;('الف-ب-ج'!$M$9+ROW()-ROW($A$6))),"")</f>
        <v>0</v>
      </c>
      <c r="E14" s="1363">
        <f ca="1">IF(ROW()-ROW($A$6)&lt;'الف-ب-ج'!$L$9,INDIRECT("BudgetDB!W"&amp;('الف-ب-ج'!$M$9+ROW()-ROW($A$6))),"")</f>
        <v>0</v>
      </c>
      <c r="F14" s="217"/>
      <c r="G14" s="2052"/>
      <c r="H14" s="1370">
        <f>IFERROR((G14*'فروش داخلی تولیدی'!E15)/1000000,"")</f>
        <v>0</v>
      </c>
      <c r="I14" s="2310" cm="1">
        <f t="array" aca="1" ref="I14" ca="1">IF(ROW()-ROW($A$6)&lt;'الف-ب-ج'!$L$9,IF(روکش!$F$9="سه ماهه",INDIRECT("BudgetDB!AY"&amp;('الف-ب-ج'!$M$9+ROW()-ROW($A$6))),INDIRECT("BudgetDB!AZ"&amp;('الف-ب-ج'!$M$9+ROW()-ROW($A$6)))),"")</f>
        <v>0</v>
      </c>
      <c r="J14" s="218"/>
      <c r="K14" s="2164" t="str">
        <f t="shared" si="0"/>
        <v>-</v>
      </c>
      <c r="L14" s="2170" t="str">
        <f t="shared" ca="1" si="1"/>
        <v>-</v>
      </c>
      <c r="M14" s="420">
        <f t="shared" ca="1" si="2"/>
        <v>500</v>
      </c>
      <c r="N14" s="2052"/>
      <c r="O14" s="1370">
        <f>IFERROR((N14*'فروش داخلی تولیدی'!K15)/1000000,"-")</f>
        <v>0</v>
      </c>
      <c r="P14" s="186"/>
      <c r="Q14" s="186"/>
      <c r="R14" s="1360" t="str">
        <f t="shared" ca="1" si="3"/>
        <v>-</v>
      </c>
      <c r="S14" s="1359"/>
      <c r="T14" s="1359"/>
      <c r="U14" s="1359"/>
      <c r="V14" s="1359"/>
      <c r="W14" s="1359"/>
      <c r="X14" s="1359"/>
      <c r="Y14" s="1359"/>
      <c r="Z14" s="1359"/>
      <c r="AA14" s="1359"/>
      <c r="AB14" s="1359"/>
      <c r="AC14" s="1359"/>
      <c r="AD14" s="1359"/>
      <c r="AE14" s="1360">
        <f>'مقادیر مصرف مواد'!AS24</f>
        <v>45</v>
      </c>
      <c r="AF14" s="1360">
        <v>8</v>
      </c>
      <c r="AG14" s="1360">
        <f t="shared" si="4"/>
        <v>45</v>
      </c>
    </row>
    <row r="15" spans="1:34" ht="23.1" customHeight="1">
      <c r="A15" s="1357">
        <v>10</v>
      </c>
      <c r="B15" s="1362">
        <f ca="1">IF(ROW()-ROW($A$6)&lt;'الف-ب-ج'!$L$9,INDIRECT("BudgetDB!B"&amp;('الف-ب-ج'!$M$9+ROW()-ROW($A$6))),"")</f>
        <v>0</v>
      </c>
      <c r="C15" s="2133">
        <f ca="1">IF(ROW()-ROW($A$6)&lt;'الف-ب-ج'!$L$9,INDIRECT("BudgetDB!C"&amp;('الف-ب-ج'!$M$9+ROW()-ROW($A$6))),"")</f>
        <v>0</v>
      </c>
      <c r="D15" s="839">
        <f ca="1">IF(ROW()-ROW($A$6)&lt;'الف-ب-ج'!$L$9,INDIRECT("BudgetDB!V"&amp;('الف-ب-ج'!$M$9+ROW()-ROW($A$6))),"")</f>
        <v>0</v>
      </c>
      <c r="E15" s="1363">
        <f ca="1">IF(ROW()-ROW($A$6)&lt;'الف-ب-ج'!$L$9,INDIRECT("BudgetDB!W"&amp;('الف-ب-ج'!$M$9+ROW()-ROW($A$6))),"")</f>
        <v>0</v>
      </c>
      <c r="F15" s="217"/>
      <c r="G15" s="2052"/>
      <c r="H15" s="1370">
        <f>IFERROR((G15*'فروش داخلی تولیدی'!E16)/1000000,"")</f>
        <v>0</v>
      </c>
      <c r="I15" s="2310" cm="1">
        <f t="array" aca="1" ref="I15" ca="1">IF(ROW()-ROW($A$6)&lt;'الف-ب-ج'!$L$9,IF(روکش!$F$9="سه ماهه",INDIRECT("BudgetDB!AY"&amp;('الف-ب-ج'!$M$9+ROW()-ROW($A$6))),INDIRECT("BudgetDB!AZ"&amp;('الف-ب-ج'!$M$9+ROW()-ROW($A$6)))),"")</f>
        <v>0</v>
      </c>
      <c r="J15" s="218"/>
      <c r="K15" s="2164" t="str">
        <f t="shared" si="0"/>
        <v>-</v>
      </c>
      <c r="L15" s="2170" t="str">
        <f t="shared" ca="1" si="1"/>
        <v>-</v>
      </c>
      <c r="M15" s="420">
        <f t="shared" ca="1" si="2"/>
        <v>500</v>
      </c>
      <c r="N15" s="2052"/>
      <c r="O15" s="1370">
        <f>IFERROR((N15*'فروش داخلی تولیدی'!K16)/1000000,"-")</f>
        <v>0</v>
      </c>
      <c r="P15" s="186"/>
      <c r="Q15" s="186"/>
      <c r="R15" s="1360" t="str">
        <f t="shared" ca="1" si="3"/>
        <v>-</v>
      </c>
      <c r="S15" s="1359"/>
      <c r="T15" s="1359"/>
      <c r="U15" s="1359"/>
      <c r="V15" s="1359"/>
      <c r="W15" s="1359"/>
      <c r="X15" s="1359"/>
      <c r="Y15" s="1359"/>
      <c r="Z15" s="1359"/>
      <c r="AA15" s="1359"/>
      <c r="AB15" s="1359"/>
      <c r="AC15" s="1359"/>
      <c r="AD15" s="1359"/>
      <c r="AE15" s="1360">
        <f>'مقادیر مصرف مواد'!AZ24</f>
        <v>52</v>
      </c>
      <c r="AF15" s="1360">
        <v>9</v>
      </c>
      <c r="AG15" s="1360">
        <f t="shared" si="4"/>
        <v>52</v>
      </c>
    </row>
    <row r="16" spans="1:34" ht="23.1" customHeight="1">
      <c r="A16" s="1358">
        <v>11</v>
      </c>
      <c r="B16" s="1364">
        <f ca="1">IF(ROW()-ROW($A$6)&lt;'الف-ب-ج'!$L$9,INDIRECT("BudgetDB!B"&amp;('الف-ب-ج'!$M$9+ROW()-ROW($A$6))),"")</f>
        <v>0</v>
      </c>
      <c r="C16" s="2134">
        <f ca="1">IF(ROW()-ROW($A$6)&lt;'الف-ب-ج'!$L$9,INDIRECT("BudgetDB!C"&amp;('الف-ب-ج'!$M$9+ROW()-ROW($A$6))),"")</f>
        <v>0</v>
      </c>
      <c r="D16" s="840">
        <f ca="1">IF(ROW()-ROW($A$6)&lt;'الف-ب-ج'!$L$9,INDIRECT("BudgetDB!V"&amp;('الف-ب-ج'!$M$9+ROW()-ROW($A$6))),"")</f>
        <v>0</v>
      </c>
      <c r="E16" s="1365">
        <f ca="1">IF(ROW()-ROW($A$6)&lt;'الف-ب-ج'!$L$9,INDIRECT("BudgetDB!W"&amp;('الف-ب-ج'!$M$9+ROW()-ROW($A$6))),"")</f>
        <v>0</v>
      </c>
      <c r="F16" s="217"/>
      <c r="G16" s="2052"/>
      <c r="H16" s="1370">
        <f>IFERROR((G16*'فروش داخلی تولیدی'!E17)/1000000,"")</f>
        <v>0</v>
      </c>
      <c r="I16" s="2310" cm="1">
        <f t="array" aca="1" ref="I16" ca="1">IF(ROW()-ROW($A$6)&lt;'الف-ب-ج'!$L$9,IF(روکش!$F$9="سه ماهه",INDIRECT("BudgetDB!AY"&amp;('الف-ب-ج'!$M$9+ROW()-ROW($A$6))),INDIRECT("BudgetDB!AZ"&amp;('الف-ب-ج'!$M$9+ROW()-ROW($A$6)))),"")</f>
        <v>0</v>
      </c>
      <c r="J16" s="218"/>
      <c r="K16" s="2164" t="str">
        <f t="shared" si="0"/>
        <v>-</v>
      </c>
      <c r="L16" s="2170" t="str">
        <f t="shared" ca="1" si="1"/>
        <v>-</v>
      </c>
      <c r="M16" s="420">
        <f t="shared" ca="1" si="2"/>
        <v>500</v>
      </c>
      <c r="N16" s="2052"/>
      <c r="O16" s="1370">
        <f>IFERROR((N16*'فروش داخلی تولیدی'!K17)/1000000,"-")</f>
        <v>0</v>
      </c>
      <c r="P16" s="186"/>
      <c r="Q16" s="186"/>
      <c r="R16" s="1360" t="str">
        <f t="shared" ca="1" si="3"/>
        <v>-</v>
      </c>
      <c r="S16" s="1359"/>
      <c r="T16" s="1359"/>
      <c r="U16" s="1359"/>
      <c r="V16" s="1359"/>
      <c r="W16" s="1359"/>
      <c r="X16" s="1359"/>
      <c r="Y16" s="1359"/>
      <c r="Z16" s="1359"/>
      <c r="AA16" s="1359"/>
      <c r="AB16" s="1359"/>
      <c r="AC16" s="1359"/>
      <c r="AD16" s="1359"/>
      <c r="AE16" s="1360">
        <f>'مقادیر مصرف مواد'!BD24</f>
        <v>56</v>
      </c>
      <c r="AF16" s="1360">
        <v>10</v>
      </c>
      <c r="AG16" s="1360">
        <f t="shared" si="4"/>
        <v>56</v>
      </c>
    </row>
    <row r="17" spans="1:34" ht="23.1" customHeight="1">
      <c r="A17" s="1358">
        <v>12</v>
      </c>
      <c r="B17" s="1364">
        <f ca="1">IF(ROW()-ROW($A$6)&lt;'الف-ب-ج'!$L$9,INDIRECT("BudgetDB!B"&amp;('الف-ب-ج'!$M$9+ROW()-ROW($A$6))),"")</f>
        <v>0</v>
      </c>
      <c r="C17" s="2134">
        <f ca="1">IF(ROW()-ROW($A$6)&lt;'الف-ب-ج'!$L$9,INDIRECT("BudgetDB!C"&amp;('الف-ب-ج'!$M$9+ROW()-ROW($A$6))),"")</f>
        <v>0</v>
      </c>
      <c r="D17" s="840">
        <f ca="1">IF(ROW()-ROW($A$6)&lt;'الف-ب-ج'!$L$9,INDIRECT("BudgetDB!V"&amp;('الف-ب-ج'!$M$9+ROW()-ROW($A$6))),"")</f>
        <v>0</v>
      </c>
      <c r="E17" s="1365">
        <f ca="1">IF(ROW()-ROW($A$6)&lt;'الف-ب-ج'!$L$9,INDIRECT("BudgetDB!W"&amp;('الف-ب-ج'!$M$9+ROW()-ROW($A$6))),"")</f>
        <v>0</v>
      </c>
      <c r="F17" s="217"/>
      <c r="G17" s="2052"/>
      <c r="H17" s="1370">
        <f>IFERROR((G17*'فروش داخلی تولیدی'!E18)/1000000,"")</f>
        <v>0</v>
      </c>
      <c r="I17" s="2310" cm="1">
        <f t="array" aca="1" ref="I17" ca="1">IF(ROW()-ROW($A$6)&lt;'الف-ب-ج'!$L$9,IF(روکش!$F$9="سه ماهه",INDIRECT("BudgetDB!AY"&amp;('الف-ب-ج'!$M$9+ROW()-ROW($A$6))),INDIRECT("BudgetDB!AZ"&amp;('الف-ب-ج'!$M$9+ROW()-ROW($A$6)))),"")</f>
        <v>0</v>
      </c>
      <c r="J17" s="218"/>
      <c r="K17" s="2164" t="str">
        <f t="shared" si="0"/>
        <v>-</v>
      </c>
      <c r="L17" s="2170" t="str">
        <f t="shared" ca="1" si="1"/>
        <v>-</v>
      </c>
      <c r="M17" s="420">
        <f t="shared" ca="1" si="2"/>
        <v>500</v>
      </c>
      <c r="N17" s="2052"/>
      <c r="O17" s="1370">
        <f>IFERROR((N17*'فروش داخلی تولیدی'!K18)/1000000,"-")</f>
        <v>0</v>
      </c>
      <c r="P17" s="186"/>
      <c r="Q17" s="186"/>
      <c r="R17" s="1360" t="str">
        <f t="shared" ca="1" si="3"/>
        <v>-</v>
      </c>
      <c r="S17" s="1359"/>
      <c r="T17" s="1359"/>
      <c r="U17" s="1359"/>
      <c r="V17" s="1359"/>
      <c r="W17" s="1359"/>
      <c r="X17" s="1359"/>
      <c r="Y17" s="1359"/>
      <c r="Z17" s="1359"/>
      <c r="AA17" s="1359"/>
      <c r="AB17" s="1359"/>
      <c r="AC17" s="1359"/>
      <c r="AD17" s="1359"/>
      <c r="AE17" s="1360">
        <f>'مقادیر مصرف مواد'!BK24</f>
        <v>63</v>
      </c>
      <c r="AF17" s="1360">
        <v>11</v>
      </c>
      <c r="AG17" s="1360">
        <f t="shared" si="4"/>
        <v>63</v>
      </c>
    </row>
    <row r="18" spans="1:34" ht="23.1" customHeight="1">
      <c r="A18" s="1358">
        <v>13</v>
      </c>
      <c r="B18" s="1364">
        <f ca="1">IF(ROW()-ROW($A$6)&lt;'الف-ب-ج'!$L$9,INDIRECT("BudgetDB!B"&amp;('الف-ب-ج'!$M$9+ROW()-ROW($A$6))),"")</f>
        <v>0</v>
      </c>
      <c r="C18" s="2134">
        <f ca="1">IF(ROW()-ROW($A$6)&lt;'الف-ب-ج'!$L$9,INDIRECT("BudgetDB!C"&amp;('الف-ب-ج'!$M$9+ROW()-ROW($A$6))),"")</f>
        <v>0</v>
      </c>
      <c r="D18" s="840">
        <f ca="1">IF(ROW()-ROW($A$6)&lt;'الف-ب-ج'!$L$9,INDIRECT("BudgetDB!V"&amp;('الف-ب-ج'!$M$9+ROW()-ROW($A$6))),"")</f>
        <v>0</v>
      </c>
      <c r="E18" s="1365">
        <f ca="1">IF(ROW()-ROW($A$6)&lt;'الف-ب-ج'!$L$9,INDIRECT("BudgetDB!W"&amp;('الف-ب-ج'!$M$9+ROW()-ROW($A$6))),"")</f>
        <v>0</v>
      </c>
      <c r="F18" s="217"/>
      <c r="G18" s="2052"/>
      <c r="H18" s="1370">
        <f>IFERROR((G18*'فروش داخلی تولیدی'!E19)/1000000,"")</f>
        <v>0</v>
      </c>
      <c r="I18" s="2310" cm="1">
        <f t="array" aca="1" ref="I18" ca="1">IF(ROW()-ROW($A$6)&lt;'الف-ب-ج'!$L$9,IF(روکش!$F$9="سه ماهه",INDIRECT("BudgetDB!AY"&amp;('الف-ب-ج'!$M$9+ROW()-ROW($A$6))),INDIRECT("BudgetDB!AZ"&amp;('الف-ب-ج'!$M$9+ROW()-ROW($A$6)))),"")</f>
        <v>0</v>
      </c>
      <c r="J18" s="218"/>
      <c r="K18" s="2164" t="str">
        <f t="shared" si="0"/>
        <v>-</v>
      </c>
      <c r="L18" s="2170" t="str">
        <f t="shared" ca="1" si="1"/>
        <v>-</v>
      </c>
      <c r="M18" s="420">
        <f t="shared" ca="1" si="2"/>
        <v>500</v>
      </c>
      <c r="N18" s="2052"/>
      <c r="O18" s="1370">
        <f>IFERROR((N18*'فروش داخلی تولیدی'!K19)/1000000,"-")</f>
        <v>0</v>
      </c>
      <c r="P18" s="186"/>
      <c r="Q18" s="186"/>
      <c r="R18" s="1360" t="str">
        <f t="shared" ca="1" si="3"/>
        <v>-</v>
      </c>
      <c r="S18" s="1359"/>
      <c r="T18" s="1359"/>
      <c r="U18" s="1359"/>
      <c r="V18" s="1359"/>
      <c r="W18" s="1359"/>
      <c r="X18" s="1359"/>
      <c r="Y18" s="1359"/>
      <c r="Z18" s="1359"/>
      <c r="AA18" s="1359"/>
      <c r="AB18" s="1359"/>
      <c r="AC18" s="1359"/>
      <c r="AD18" s="1359"/>
      <c r="AE18" s="1360">
        <f>'مقادیر مصرف مواد'!BO24</f>
        <v>67</v>
      </c>
      <c r="AF18" s="1360">
        <v>12</v>
      </c>
      <c r="AG18" s="1360">
        <f t="shared" si="4"/>
        <v>67</v>
      </c>
    </row>
    <row r="19" spans="1:34" ht="23.1" customHeight="1">
      <c r="A19" s="1358">
        <v>14</v>
      </c>
      <c r="B19" s="1364">
        <f ca="1">IF(ROW()-ROW($A$6)&lt;'الف-ب-ج'!$L$9,INDIRECT("BudgetDB!B"&amp;('الف-ب-ج'!$M$9+ROW()-ROW($A$6))),"")</f>
        <v>0</v>
      </c>
      <c r="C19" s="2134">
        <f ca="1">IF(ROW()-ROW($A$6)&lt;'الف-ب-ج'!$L$9,INDIRECT("BudgetDB!C"&amp;('الف-ب-ج'!$M$9+ROW()-ROW($A$6))),"")</f>
        <v>0</v>
      </c>
      <c r="D19" s="840">
        <f ca="1">IF(ROW()-ROW($A$6)&lt;'الف-ب-ج'!$L$9,INDIRECT("BudgetDB!V"&amp;('الف-ب-ج'!$M$9+ROW()-ROW($A$6))),"")</f>
        <v>0</v>
      </c>
      <c r="E19" s="1365">
        <f ca="1">IF(ROW()-ROW($A$6)&lt;'الف-ب-ج'!$L$9,INDIRECT("BudgetDB!W"&amp;('الف-ب-ج'!$M$9+ROW()-ROW($A$6))),"")</f>
        <v>0</v>
      </c>
      <c r="F19" s="217"/>
      <c r="G19" s="2052"/>
      <c r="H19" s="1370">
        <f>IFERROR((G19*'فروش داخلی تولیدی'!E20)/1000000,"")</f>
        <v>0</v>
      </c>
      <c r="I19" s="2310" cm="1">
        <f t="array" aca="1" ref="I19" ca="1">IF(ROW()-ROW($A$6)&lt;'الف-ب-ج'!$L$9,IF(روکش!$F$9="سه ماهه",INDIRECT("BudgetDB!AY"&amp;('الف-ب-ج'!$M$9+ROW()-ROW($A$6))),INDIRECT("BudgetDB!AZ"&amp;('الف-ب-ج'!$M$9+ROW()-ROW($A$6)))),"")</f>
        <v>0</v>
      </c>
      <c r="J19" s="218"/>
      <c r="K19" s="2164" t="str">
        <f t="shared" si="0"/>
        <v>-</v>
      </c>
      <c r="L19" s="2170" t="str">
        <f t="shared" ca="1" si="1"/>
        <v>-</v>
      </c>
      <c r="M19" s="420">
        <f t="shared" ca="1" si="2"/>
        <v>500</v>
      </c>
      <c r="N19" s="2052"/>
      <c r="O19" s="1370">
        <f>IFERROR((N19*'فروش داخلی تولیدی'!K20)/1000000,"-")</f>
        <v>0</v>
      </c>
      <c r="P19" s="186"/>
      <c r="Q19" s="186"/>
      <c r="R19" s="1360" t="str">
        <f t="shared" ca="1" si="3"/>
        <v>-</v>
      </c>
      <c r="S19" s="1359"/>
      <c r="T19" s="1359"/>
      <c r="U19" s="1359"/>
      <c r="V19" s="1359"/>
      <c r="W19" s="1359"/>
      <c r="X19" s="1359"/>
      <c r="Y19" s="1359"/>
      <c r="Z19" s="1359"/>
      <c r="AA19" s="1359"/>
      <c r="AB19" s="1359"/>
      <c r="AC19" s="1359"/>
      <c r="AD19" s="1359"/>
      <c r="AE19" s="1360">
        <f>'مقادیر مصرف مواد'!BV24</f>
        <v>74</v>
      </c>
      <c r="AF19" s="1360">
        <v>13</v>
      </c>
      <c r="AG19" s="1360">
        <f t="shared" si="4"/>
        <v>74</v>
      </c>
    </row>
    <row r="20" spans="1:34" ht="23.1" customHeight="1">
      <c r="A20" s="1358">
        <v>15</v>
      </c>
      <c r="B20" s="1364">
        <f ca="1">IF(ROW()-ROW($A$6)&lt;'الف-ب-ج'!$L$9,INDIRECT("BudgetDB!B"&amp;('الف-ب-ج'!$M$9+ROW()-ROW($A$6))),"")</f>
        <v>0</v>
      </c>
      <c r="C20" s="2134">
        <f ca="1">IF(ROW()-ROW($A$6)&lt;'الف-ب-ج'!$L$9,INDIRECT("BudgetDB!C"&amp;('الف-ب-ج'!$M$9+ROW()-ROW($A$6))),"")</f>
        <v>0</v>
      </c>
      <c r="D20" s="840">
        <f ca="1">IF(ROW()-ROW($A$6)&lt;'الف-ب-ج'!$L$9,INDIRECT("BudgetDB!V"&amp;('الف-ب-ج'!$M$9+ROW()-ROW($A$6))),"")</f>
        <v>0</v>
      </c>
      <c r="E20" s="1365">
        <f ca="1">IF(ROW()-ROW($A$6)&lt;'الف-ب-ج'!$L$9,INDIRECT("BudgetDB!W"&amp;('الف-ب-ج'!$M$9+ROW()-ROW($A$6))),"")</f>
        <v>0</v>
      </c>
      <c r="F20" s="217"/>
      <c r="G20" s="2052"/>
      <c r="H20" s="1370">
        <f>IFERROR((G20*'فروش داخلی تولیدی'!E21)/1000000,"")</f>
        <v>0</v>
      </c>
      <c r="I20" s="2310" cm="1">
        <f t="array" aca="1" ref="I20" ca="1">IF(ROW()-ROW($A$6)&lt;'الف-ب-ج'!$L$9,IF(روکش!$F$9="سه ماهه",INDIRECT("BudgetDB!AY"&amp;('الف-ب-ج'!$M$9+ROW()-ROW($A$6))),INDIRECT("BudgetDB!AZ"&amp;('الف-ب-ج'!$M$9+ROW()-ROW($A$6)))),"")</f>
        <v>0</v>
      </c>
      <c r="J20" s="218"/>
      <c r="K20" s="2164" t="str">
        <f t="shared" si="0"/>
        <v>-</v>
      </c>
      <c r="L20" s="2170" t="str">
        <f t="shared" ca="1" si="1"/>
        <v>-</v>
      </c>
      <c r="M20" s="420">
        <f t="shared" ca="1" si="2"/>
        <v>500</v>
      </c>
      <c r="N20" s="2052"/>
      <c r="O20" s="1370">
        <f>IFERROR((N20*'فروش داخلی تولیدی'!K21)/1000000,"-")</f>
        <v>0</v>
      </c>
      <c r="P20" s="186"/>
      <c r="Q20" s="186"/>
      <c r="R20" s="1360" t="str">
        <f t="shared" ca="1" si="3"/>
        <v>-</v>
      </c>
      <c r="S20" s="1359"/>
      <c r="T20" s="1359"/>
      <c r="U20" s="1359"/>
      <c r="V20" s="1359"/>
      <c r="W20" s="1359"/>
      <c r="X20" s="1359"/>
      <c r="Y20" s="1359"/>
      <c r="Z20" s="1359"/>
      <c r="AA20" s="1359"/>
      <c r="AB20" s="1359"/>
      <c r="AC20" s="1359"/>
      <c r="AD20" s="1359"/>
      <c r="AE20" s="1360">
        <f>'مقادیر مصرف مواد'!BZ24</f>
        <v>78</v>
      </c>
      <c r="AF20" s="1360">
        <v>14</v>
      </c>
      <c r="AG20" s="1360">
        <f t="shared" si="4"/>
        <v>78</v>
      </c>
    </row>
    <row r="21" spans="1:34" ht="23.1" customHeight="1">
      <c r="A21" s="1358">
        <v>16</v>
      </c>
      <c r="B21" s="1364">
        <f ca="1">IF(ROW()-ROW($A$6)&lt;'الف-ب-ج'!$L$9,INDIRECT("BudgetDB!B"&amp;('الف-ب-ج'!$M$9+ROW()-ROW($A$6))),"")</f>
        <v>0</v>
      </c>
      <c r="C21" s="2134">
        <f ca="1">IF(ROW()-ROW($A$6)&lt;'الف-ب-ج'!$L$9,INDIRECT("BudgetDB!C"&amp;('الف-ب-ج'!$M$9+ROW()-ROW($A$6))),"")</f>
        <v>0</v>
      </c>
      <c r="D21" s="840">
        <f ca="1">IF(ROW()-ROW($A$6)&lt;'الف-ب-ج'!$L$9,INDIRECT("BudgetDB!V"&amp;('الف-ب-ج'!$M$9+ROW()-ROW($A$6))),"")</f>
        <v>0</v>
      </c>
      <c r="E21" s="1365">
        <f ca="1">IF(ROW()-ROW($A$6)&lt;'الف-ب-ج'!$L$9,INDIRECT("BudgetDB!W"&amp;('الف-ب-ج'!$M$9+ROW()-ROW($A$6))),"")</f>
        <v>0</v>
      </c>
      <c r="F21" s="217"/>
      <c r="G21" s="2052"/>
      <c r="H21" s="1370">
        <f>IFERROR((G21*'فروش داخلی تولیدی'!E22)/1000000,"")</f>
        <v>0</v>
      </c>
      <c r="I21" s="2310" cm="1">
        <f t="array" aca="1" ref="I21" ca="1">IF(ROW()-ROW($A$6)&lt;'الف-ب-ج'!$L$9,IF(روکش!$F$9="سه ماهه",INDIRECT("BudgetDB!AY"&amp;('الف-ب-ج'!$M$9+ROW()-ROW($A$6))),INDIRECT("BudgetDB!AZ"&amp;('الف-ب-ج'!$M$9+ROW()-ROW($A$6)))),"")</f>
        <v>0</v>
      </c>
      <c r="J21" s="218"/>
      <c r="K21" s="2164" t="str">
        <f t="shared" si="0"/>
        <v>-</v>
      </c>
      <c r="L21" s="2170" t="str">
        <f t="shared" ca="1" si="1"/>
        <v>-</v>
      </c>
      <c r="M21" s="420">
        <f t="shared" ca="1" si="2"/>
        <v>500</v>
      </c>
      <c r="N21" s="2052"/>
      <c r="O21" s="1370">
        <f>IFERROR((N21*'فروش داخلی تولیدی'!K22)/1000000,"-")</f>
        <v>0</v>
      </c>
      <c r="P21" s="186"/>
      <c r="Q21" s="186"/>
      <c r="R21" s="1360" t="str">
        <f t="shared" ca="1" si="3"/>
        <v>-</v>
      </c>
      <c r="S21" s="1359"/>
      <c r="T21" s="1359"/>
      <c r="U21" s="1359"/>
      <c r="V21" s="1359"/>
      <c r="W21" s="1359"/>
      <c r="X21" s="1359"/>
      <c r="Y21" s="1359"/>
      <c r="Z21" s="1359"/>
      <c r="AA21" s="1359"/>
      <c r="AB21" s="1359"/>
      <c r="AC21" s="1359"/>
      <c r="AD21" s="1359"/>
      <c r="AE21" s="1360">
        <f>'مقادیر مصرف مواد'!CG24</f>
        <v>85</v>
      </c>
      <c r="AF21" s="1360">
        <v>15</v>
      </c>
      <c r="AG21" s="1360">
        <f t="shared" si="4"/>
        <v>85</v>
      </c>
    </row>
    <row r="22" spans="1:34" ht="23.1" customHeight="1">
      <c r="A22" s="1358">
        <v>17</v>
      </c>
      <c r="B22" s="1364">
        <f ca="1">IF(ROW()-ROW($A$6)&lt;'الف-ب-ج'!$L$9,INDIRECT("BudgetDB!B"&amp;('الف-ب-ج'!$M$9+ROW()-ROW($A$6))),"")</f>
        <v>0</v>
      </c>
      <c r="C22" s="2134">
        <f ca="1">IF(ROW()-ROW($A$6)&lt;'الف-ب-ج'!$L$9,INDIRECT("BudgetDB!C"&amp;('الف-ب-ج'!$M$9+ROW()-ROW($A$6))),"")</f>
        <v>0</v>
      </c>
      <c r="D22" s="840">
        <f ca="1">IF(ROW()-ROW($A$6)&lt;'الف-ب-ج'!$L$9,INDIRECT("BudgetDB!V"&amp;('الف-ب-ج'!$M$9+ROW()-ROW($A$6))),"")</f>
        <v>0</v>
      </c>
      <c r="E22" s="1365">
        <f ca="1">IF(ROW()-ROW($A$6)&lt;'الف-ب-ج'!$L$9,INDIRECT("BudgetDB!W"&amp;('الف-ب-ج'!$M$9+ROW()-ROW($A$6))),"")</f>
        <v>0</v>
      </c>
      <c r="F22" s="217"/>
      <c r="G22" s="2052"/>
      <c r="H22" s="1370">
        <f>IFERROR((G22*'فروش داخلی تولیدی'!E23)/1000000,"")</f>
        <v>0</v>
      </c>
      <c r="I22" s="2310" cm="1">
        <f t="array" aca="1" ref="I22" ca="1">IF(ROW()-ROW($A$6)&lt;'الف-ب-ج'!$L$9,IF(روکش!$F$9="سه ماهه",INDIRECT("BudgetDB!AY"&amp;('الف-ب-ج'!$M$9+ROW()-ROW($A$6))),INDIRECT("BudgetDB!AZ"&amp;('الف-ب-ج'!$M$9+ROW()-ROW($A$6)))),"")</f>
        <v>0</v>
      </c>
      <c r="J22" s="218"/>
      <c r="K22" s="2164" t="str">
        <f t="shared" si="0"/>
        <v>-</v>
      </c>
      <c r="L22" s="2170" t="str">
        <f t="shared" ca="1" si="1"/>
        <v>-</v>
      </c>
      <c r="M22" s="420">
        <f t="shared" ca="1" si="2"/>
        <v>500</v>
      </c>
      <c r="N22" s="2052"/>
      <c r="O22" s="1370">
        <f>IFERROR((N22*'فروش داخلی تولیدی'!K23)/1000000,"-")</f>
        <v>0</v>
      </c>
      <c r="P22" s="186"/>
      <c r="Q22" s="186"/>
      <c r="R22" s="1360" t="str">
        <f t="shared" ca="1" si="3"/>
        <v>-</v>
      </c>
      <c r="S22" s="1359"/>
      <c r="T22" s="1359"/>
      <c r="U22" s="1359"/>
      <c r="V22" s="1359"/>
      <c r="W22" s="1359"/>
      <c r="X22" s="1359"/>
      <c r="Y22" s="1359"/>
      <c r="Z22" s="1359"/>
      <c r="AA22" s="1359"/>
      <c r="AB22" s="1359"/>
      <c r="AC22" s="1359"/>
      <c r="AD22" s="1359"/>
      <c r="AE22" s="1360">
        <f>'مقادیر مصرف مواد'!CK24</f>
        <v>89</v>
      </c>
      <c r="AF22" s="1360">
        <v>16</v>
      </c>
      <c r="AG22" s="1360">
        <f t="shared" si="4"/>
        <v>89</v>
      </c>
    </row>
    <row r="23" spans="1:34" ht="23.1" customHeight="1">
      <c r="A23" s="1358">
        <v>18</v>
      </c>
      <c r="B23" s="2041">
        <f ca="1">IF(ROW()-ROW($A$6)&lt;'الف-ب-ج'!$L$9,INDIRECT("BudgetDB!B"&amp;('الف-ب-ج'!$M$9+ROW()-ROW($A$6))),"")</f>
        <v>0</v>
      </c>
      <c r="C23" s="2135">
        <f ca="1">IF(ROW()-ROW($A$6)&lt;'الف-ب-ج'!$L$9,INDIRECT("BudgetDB!C"&amp;('الف-ب-ج'!$M$9+ROW()-ROW($A$6))),"")</f>
        <v>0</v>
      </c>
      <c r="D23" s="2042">
        <f ca="1">IF(ROW()-ROW($A$6)&lt;'الف-ب-ج'!$L$9,INDIRECT("BudgetDB!V"&amp;('الف-ب-ج'!$M$9+ROW()-ROW($A$6))),"")</f>
        <v>0</v>
      </c>
      <c r="E23" s="2043">
        <f ca="1">IF(ROW()-ROW($A$6)&lt;'الف-ب-ج'!$L$9,INDIRECT("BudgetDB!W"&amp;('الف-ب-ج'!$M$9+ROW()-ROW($A$6))),"")</f>
        <v>0</v>
      </c>
      <c r="F23" s="217"/>
      <c r="G23" s="2052"/>
      <c r="H23" s="1370">
        <f>IFERROR((G23*'فروش داخلی تولیدی'!E24)/1000000,"")</f>
        <v>0</v>
      </c>
      <c r="I23" s="2310" cm="1">
        <f t="array" aca="1" ref="I23" ca="1">IF(ROW()-ROW($A$6)&lt;'الف-ب-ج'!$L$9,IF(روکش!$F$9="سه ماهه",INDIRECT("BudgetDB!AY"&amp;('الف-ب-ج'!$M$9+ROW()-ROW($A$6))),INDIRECT("BudgetDB!AZ"&amp;('الف-ب-ج'!$M$9+ROW()-ROW($A$6)))),"")</f>
        <v>0</v>
      </c>
      <c r="J23" s="218"/>
      <c r="K23" s="2164" t="str">
        <f t="shared" si="0"/>
        <v>-</v>
      </c>
      <c r="L23" s="2170" t="str">
        <f t="shared" ca="1" si="1"/>
        <v>-</v>
      </c>
      <c r="M23" s="420">
        <f t="shared" ca="1" si="2"/>
        <v>500</v>
      </c>
      <c r="N23" s="2052"/>
      <c r="O23" s="1370">
        <f>IFERROR((N23*'فروش داخلی تولیدی'!K24)/1000000,"-")</f>
        <v>0</v>
      </c>
      <c r="P23" s="186"/>
      <c r="Q23" s="186"/>
      <c r="R23" s="1360" t="str">
        <f t="shared" ca="1" si="3"/>
        <v>-</v>
      </c>
      <c r="S23" s="1359"/>
      <c r="T23" s="1359"/>
      <c r="U23" s="1359"/>
      <c r="V23" s="1359"/>
      <c r="W23" s="1359"/>
      <c r="X23" s="1359"/>
      <c r="Y23" s="1359"/>
      <c r="Z23" s="1359"/>
      <c r="AA23" s="1359"/>
      <c r="AB23" s="1359"/>
      <c r="AC23" s="1359"/>
      <c r="AD23" s="1359"/>
      <c r="AE23" s="1360">
        <f>'مقادیر مصرف مواد'!CR24</f>
        <v>96</v>
      </c>
      <c r="AF23" s="1360">
        <v>17</v>
      </c>
      <c r="AG23" s="1360">
        <f t="shared" si="4"/>
        <v>96</v>
      </c>
    </row>
    <row r="24" spans="1:34" ht="23.1" customHeight="1">
      <c r="A24" s="1358">
        <v>19</v>
      </c>
      <c r="B24" s="2041">
        <f ca="1">IF(ROW()-ROW($A$6)&lt;'الف-ب-ج'!$L$9,INDIRECT("BudgetDB!B"&amp;('الف-ب-ج'!$M$9+ROW()-ROW($A$6))),"")</f>
        <v>0</v>
      </c>
      <c r="C24" s="2135">
        <f ca="1">IF(ROW()-ROW($A$6)&lt;'الف-ب-ج'!$L$9,INDIRECT("BudgetDB!C"&amp;('الف-ب-ج'!$M$9+ROW()-ROW($A$6))),"")</f>
        <v>0</v>
      </c>
      <c r="D24" s="2042">
        <f ca="1">IF(ROW()-ROW($A$6)&lt;'الف-ب-ج'!$L$9,INDIRECT("BudgetDB!V"&amp;('الف-ب-ج'!$M$9+ROW()-ROW($A$6))),"")</f>
        <v>0</v>
      </c>
      <c r="E24" s="2043">
        <f ca="1">IF(ROW()-ROW($A$6)&lt;'الف-ب-ج'!$L$9,INDIRECT("BudgetDB!W"&amp;('الف-ب-ج'!$M$9+ROW()-ROW($A$6))),"")</f>
        <v>0</v>
      </c>
      <c r="F24" s="217"/>
      <c r="G24" s="2052"/>
      <c r="H24" s="1370">
        <f>IFERROR((G24*'فروش داخلی تولیدی'!E25)/1000000,"")</f>
        <v>0</v>
      </c>
      <c r="I24" s="2310" cm="1">
        <f t="array" aca="1" ref="I24" ca="1">IF(ROW()-ROW($A$6)&lt;'الف-ب-ج'!$L$9,IF(روکش!$F$9="سه ماهه",INDIRECT("BudgetDB!AY"&amp;('الف-ب-ج'!$M$9+ROW()-ROW($A$6))),INDIRECT("BudgetDB!AZ"&amp;('الف-ب-ج'!$M$9+ROW()-ROW($A$6)))),"")</f>
        <v>0</v>
      </c>
      <c r="J24" s="218"/>
      <c r="K24" s="2164" t="str">
        <f t="shared" si="0"/>
        <v>-</v>
      </c>
      <c r="L24" s="2170" t="str">
        <f t="shared" ca="1" si="1"/>
        <v>-</v>
      </c>
      <c r="M24" s="420">
        <f t="shared" ca="1" si="2"/>
        <v>500</v>
      </c>
      <c r="N24" s="2052"/>
      <c r="O24" s="1370">
        <f>IFERROR((N24*'فروش داخلی تولیدی'!K25)/1000000,"-")</f>
        <v>0</v>
      </c>
      <c r="P24" s="186"/>
      <c r="Q24" s="186"/>
      <c r="R24" s="1360" t="str">
        <f t="shared" ca="1" si="3"/>
        <v>-</v>
      </c>
      <c r="S24" s="1359"/>
      <c r="T24" s="1359"/>
      <c r="U24" s="1359"/>
      <c r="V24" s="1359"/>
      <c r="W24" s="1359"/>
      <c r="X24" s="1359"/>
      <c r="Y24" s="1359"/>
      <c r="Z24" s="1359"/>
      <c r="AA24" s="1359"/>
      <c r="AB24" s="1359"/>
      <c r="AC24" s="1359"/>
      <c r="AD24" s="1359"/>
      <c r="AE24" s="1360">
        <f>'مقادیر مصرف مواد'!CV24</f>
        <v>100</v>
      </c>
      <c r="AF24" s="1360">
        <v>18</v>
      </c>
      <c r="AG24" s="1360">
        <f t="shared" si="4"/>
        <v>100</v>
      </c>
    </row>
    <row r="25" spans="1:34" ht="23.1" customHeight="1" thickBot="1">
      <c r="A25" s="1358">
        <v>20</v>
      </c>
      <c r="B25" s="2041">
        <f ca="1">IF(ROW()-ROW($A$6)&lt;'الف-ب-ج'!$L$9,INDIRECT("BudgetDB!B"&amp;('الف-ب-ج'!$M$9+ROW()-ROW($A$6))),"")</f>
        <v>0</v>
      </c>
      <c r="C25" s="2135">
        <f ca="1">IF(ROW()-ROW($A$6)&lt;'الف-ب-ج'!$L$9,INDIRECT("BudgetDB!C"&amp;('الف-ب-ج'!$M$9+ROW()-ROW($A$6))),"")</f>
        <v>0</v>
      </c>
      <c r="D25" s="2042">
        <f ca="1">IF(ROW()-ROW($A$6)&lt;'الف-ب-ج'!$L$9,INDIRECT("BudgetDB!V"&amp;('الف-ب-ج'!$M$9+ROW()-ROW($A$6))),"")</f>
        <v>0</v>
      </c>
      <c r="E25" s="2043">
        <f ca="1">IF(ROW()-ROW($A$6)&lt;'الف-ب-ج'!$L$9,INDIRECT("BudgetDB!W"&amp;('الف-ب-ج'!$M$9+ROW()-ROW($A$6))),"")</f>
        <v>0</v>
      </c>
      <c r="F25" s="217"/>
      <c r="G25" s="2052"/>
      <c r="H25" s="1370">
        <f>IFERROR((G25*'فروش داخلی تولیدی'!E26)/1000000,"")</f>
        <v>0</v>
      </c>
      <c r="I25" s="2310" cm="1">
        <f t="array" aca="1" ref="I25" ca="1">IF(ROW()-ROW($A$6)&lt;'الف-ب-ج'!$L$9,IF(روکش!$F$9="سه ماهه",INDIRECT("BudgetDB!AY"&amp;('الف-ب-ج'!$M$9+ROW()-ROW($A$6))),INDIRECT("BudgetDB!AZ"&amp;('الف-ب-ج'!$M$9+ROW()-ROW($A$6)))),"")</f>
        <v>0</v>
      </c>
      <c r="J25" s="2311"/>
      <c r="K25" s="2164" t="str">
        <f t="shared" si="0"/>
        <v>-</v>
      </c>
      <c r="L25" s="2170" t="str">
        <f t="shared" ca="1" si="1"/>
        <v>-</v>
      </c>
      <c r="M25" s="420">
        <f t="shared" ca="1" si="2"/>
        <v>500</v>
      </c>
      <c r="N25" s="2052"/>
      <c r="O25" s="1370">
        <f>IFERROR((N25*'فروش داخلی تولیدی'!K26)/1000000,"-")</f>
        <v>0</v>
      </c>
      <c r="P25" s="186"/>
      <c r="Q25" s="186"/>
      <c r="R25" s="1360" t="str">
        <f t="shared" ca="1" si="3"/>
        <v>-</v>
      </c>
      <c r="S25" s="1359"/>
      <c r="T25" s="1359"/>
      <c r="U25" s="1359"/>
      <c r="V25" s="1359"/>
      <c r="W25" s="1359"/>
      <c r="X25" s="1359"/>
      <c r="Y25" s="1359"/>
      <c r="Z25" s="1359"/>
      <c r="AA25" s="1359"/>
      <c r="AB25" s="1359"/>
      <c r="AC25" s="1359"/>
      <c r="AD25" s="1359"/>
      <c r="AE25" s="1360">
        <f>'مقادیر مصرف مواد'!DC24</f>
        <v>107</v>
      </c>
      <c r="AF25" s="1360">
        <v>19</v>
      </c>
      <c r="AG25" s="1360">
        <f t="shared" si="4"/>
        <v>107</v>
      </c>
    </row>
    <row r="26" spans="1:34" ht="23.1" customHeight="1" thickBot="1">
      <c r="A26" s="2869" t="s">
        <v>223</v>
      </c>
      <c r="B26" s="2870"/>
      <c r="C26" s="2870"/>
      <c r="D26" s="2870"/>
      <c r="E26" s="2871"/>
      <c r="F26" s="2872"/>
      <c r="G26" s="2873"/>
      <c r="H26" s="2874"/>
      <c r="I26" s="1109"/>
      <c r="J26" s="234"/>
      <c r="K26" s="1377"/>
      <c r="L26" s="2173"/>
      <c r="M26" s="2175"/>
      <c r="N26" s="2174"/>
      <c r="O26" s="1378"/>
      <c r="P26" s="186"/>
      <c r="Q26" s="186"/>
      <c r="R26" s="1359"/>
      <c r="S26" s="1359"/>
      <c r="T26" s="1359"/>
      <c r="U26" s="1359"/>
      <c r="V26" s="1359"/>
      <c r="W26" s="1359"/>
      <c r="X26" s="1359"/>
      <c r="Y26" s="1359"/>
      <c r="Z26" s="1359"/>
      <c r="AA26" s="1359"/>
      <c r="AB26" s="1359"/>
      <c r="AC26" s="1359"/>
      <c r="AD26" s="1359"/>
      <c r="AE26" s="1360">
        <v>110</v>
      </c>
      <c r="AF26" s="1360">
        <v>20</v>
      </c>
      <c r="AG26" s="1360">
        <f t="shared" si="4"/>
        <v>110</v>
      </c>
    </row>
    <row r="27" spans="1:34" ht="28.5" customHeight="1" thickTop="1">
      <c r="A27" s="2868"/>
      <c r="B27" s="2868"/>
      <c r="C27" s="39"/>
      <c r="D27" s="39"/>
      <c r="E27" s="39"/>
      <c r="F27" s="39"/>
      <c r="G27" s="39"/>
      <c r="H27" s="39"/>
      <c r="I27" s="39"/>
      <c r="J27" s="39"/>
      <c r="K27" s="39"/>
      <c r="L27" s="39"/>
      <c r="M27" s="39"/>
      <c r="N27" s="39"/>
      <c r="O27" s="39"/>
      <c r="P27" s="187"/>
      <c r="Q27" s="187"/>
      <c r="R27" s="1359"/>
      <c r="S27" s="1359"/>
      <c r="T27" s="1359"/>
      <c r="U27" s="1359"/>
      <c r="V27" s="1359"/>
      <c r="W27" s="1359"/>
      <c r="X27" s="1359"/>
      <c r="Y27" s="1359"/>
      <c r="Z27" s="1359"/>
      <c r="AA27" s="1359"/>
      <c r="AB27" s="1359"/>
      <c r="AC27" s="1359"/>
      <c r="AD27" s="1360" t="s">
        <v>792</v>
      </c>
      <c r="AE27" s="1359"/>
      <c r="AF27" s="1359"/>
      <c r="AG27" s="1359"/>
    </row>
    <row r="28" spans="1:34" s="5" customFormat="1">
      <c r="A28" s="8"/>
      <c r="B28" s="8"/>
      <c r="C28" s="9"/>
      <c r="E28" s="9"/>
      <c r="F28" s="720"/>
      <c r="G28" s="720"/>
      <c r="H28" s="720"/>
      <c r="I28" s="720"/>
      <c r="J28" s="720"/>
      <c r="K28" s="2858"/>
      <c r="L28" s="2858"/>
      <c r="M28" s="718"/>
      <c r="N28" s="37"/>
      <c r="O28" s="37"/>
      <c r="P28" s="79"/>
      <c r="Q28" s="79"/>
      <c r="R28" s="208"/>
      <c r="S28" s="208"/>
      <c r="T28" s="208"/>
      <c r="U28" s="208"/>
      <c r="V28" s="208"/>
      <c r="W28" s="208"/>
      <c r="X28" s="208"/>
      <c r="Y28" s="208"/>
      <c r="Z28" s="208"/>
      <c r="AA28" s="1359"/>
      <c r="AB28" s="208"/>
      <c r="AC28" s="208"/>
      <c r="AD28" s="1360">
        <f ca="1">VLOOKUP(AB7,AF6:AG26,2)</f>
        <v>1</v>
      </c>
      <c r="AE28" s="1081">
        <f ca="1">ROUNDUP(AB7/3,0)</f>
        <v>0</v>
      </c>
      <c r="AF28" s="208"/>
      <c r="AG28" s="1081"/>
      <c r="AH28" s="79"/>
    </row>
  </sheetData>
  <dataConsolidate/>
  <mergeCells count="12">
    <mergeCell ref="K28:L28"/>
    <mergeCell ref="A1:O1"/>
    <mergeCell ref="A3:E3"/>
    <mergeCell ref="A4:A5"/>
    <mergeCell ref="B4:B5"/>
    <mergeCell ref="C4:C5"/>
    <mergeCell ref="D4:D5"/>
    <mergeCell ref="E4:E5"/>
    <mergeCell ref="A27:B27"/>
    <mergeCell ref="A26:E26"/>
    <mergeCell ref="F26:H26"/>
    <mergeCell ref="L5:M5"/>
  </mergeCells>
  <conditionalFormatting sqref="G7">
    <cfRule type="expression" dxfId="444" priority="13">
      <formula>AND(OR(C7=0,D7=0),G7&lt;&gt;0)</formula>
    </cfRule>
  </conditionalFormatting>
  <conditionalFormatting sqref="B6:B25">
    <cfRule type="expression" dxfId="443" priority="5">
      <formula>AND(B6=0,OR($F6&lt;&gt;0,$J6&lt;&gt;0))</formula>
    </cfRule>
  </conditionalFormatting>
  <conditionalFormatting sqref="C6:C25">
    <cfRule type="expression" dxfId="442" priority="4">
      <formula>AND(C6=0,OR($F6&lt;&gt;0,$J6&lt;&gt;0))</formula>
    </cfRule>
  </conditionalFormatting>
  <conditionalFormatting sqref="M6:M25">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73"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120E6E3A-128E-4980-A0BC-E77A2F8C4942}">
            <x14:iconSet iconSet="3Symbols" custom="1">
              <x14:cfvo type="percent">
                <xm:f>0</xm:f>
              </x14:cfvo>
              <x14:cfvo type="num">
                <xm:f>0</xm:f>
              </x14:cfvo>
              <x14:cfvo type="num">
                <xm:f>0</xm:f>
              </x14:cfvo>
              <x14:cfIcon iconSet="3Symbols" iconId="1"/>
              <x14:cfIcon iconSet="3Symbols" iconId="1"/>
              <x14:cfIcon iconSet="NoIcons" iconId="0"/>
            </x14:iconSet>
          </x14:cfRule>
          <xm:sqref>K6:K25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tabColor rgb="FF00B0F0"/>
    <pageSetUpPr fitToPage="1"/>
  </sheetPr>
  <dimension ref="A1:Q53"/>
  <sheetViews>
    <sheetView rightToLeft="1" workbookViewId="0">
      <selection activeCell="A3" sqref="A3:I52"/>
    </sheetView>
  </sheetViews>
  <sheetFormatPr defaultColWidth="9" defaultRowHeight="15"/>
  <cols>
    <col min="1" max="16384" width="9" style="5"/>
  </cols>
  <sheetData>
    <row r="1" spans="1:17" ht="24" customHeight="1">
      <c r="A1" s="2685" t="str">
        <f>روکش!D4</f>
        <v>انبارهای عمومی و خدمات گمرکی ایران</v>
      </c>
      <c r="B1" s="2685"/>
      <c r="C1" s="2685"/>
      <c r="D1" s="2685"/>
      <c r="E1" s="2685"/>
      <c r="F1" s="2685"/>
      <c r="G1" s="2685"/>
      <c r="H1" s="2685"/>
      <c r="I1" s="2685"/>
    </row>
    <row r="2" spans="1:17" ht="28.5" customHeight="1">
      <c r="A2" s="1204" t="str">
        <f xml:space="preserve"> "مستندات ظرفیت تولید دوره " &amp; روکش!F9 &amp; " سال " &amp; روکش!D9</f>
        <v>مستندات ظرفیت تولید دوره شش ماهه سال 1405</v>
      </c>
      <c r="B2" s="1204"/>
      <c r="C2" s="1204"/>
      <c r="D2" s="1204"/>
      <c r="E2" s="1204"/>
      <c r="F2" s="1204"/>
      <c r="G2" s="1204"/>
      <c r="H2" s="1204"/>
      <c r="I2" s="1204"/>
    </row>
    <row r="3" spans="1:17" ht="14.25" customHeight="1">
      <c r="A3" s="2699"/>
      <c r="B3" s="2699"/>
      <c r="C3" s="2699"/>
      <c r="D3" s="2699"/>
      <c r="E3" s="2699"/>
      <c r="F3" s="2699"/>
      <c r="G3" s="2699"/>
      <c r="H3" s="2699"/>
      <c r="I3" s="2699"/>
    </row>
    <row r="4" spans="1:17" ht="14.25" customHeight="1">
      <c r="A4" s="2699"/>
      <c r="B4" s="2699"/>
      <c r="C4" s="2699"/>
      <c r="D4" s="2699"/>
      <c r="E4" s="2699"/>
      <c r="F4" s="2699"/>
      <c r="G4" s="2699"/>
      <c r="H4" s="2699"/>
      <c r="I4" s="2699"/>
      <c r="K4" s="2877"/>
      <c r="L4" s="2877"/>
      <c r="M4" s="2877"/>
      <c r="N4" s="2877"/>
      <c r="O4" s="2877"/>
      <c r="P4" s="2877"/>
      <c r="Q4" s="2877"/>
    </row>
    <row r="5" spans="1:17" ht="14.25" customHeight="1">
      <c r="A5" s="2699"/>
      <c r="B5" s="2699"/>
      <c r="C5" s="2699"/>
      <c r="D5" s="2699"/>
      <c r="E5" s="2699"/>
      <c r="F5" s="2699"/>
      <c r="G5" s="2699"/>
      <c r="H5" s="2699"/>
      <c r="I5" s="2699"/>
    </row>
    <row r="6" spans="1:17" ht="14.25" customHeight="1">
      <c r="A6" s="2699"/>
      <c r="B6" s="2699"/>
      <c r="C6" s="2699"/>
      <c r="D6" s="2699"/>
      <c r="E6" s="2699"/>
      <c r="F6" s="2699"/>
      <c r="G6" s="2699"/>
      <c r="H6" s="2699"/>
      <c r="I6" s="2699"/>
    </row>
    <row r="7" spans="1:17" ht="14.25" customHeight="1">
      <c r="A7" s="2699"/>
      <c r="B7" s="2699"/>
      <c r="C7" s="2699"/>
      <c r="D7" s="2699"/>
      <c r="E7" s="2699"/>
      <c r="F7" s="2699"/>
      <c r="G7" s="2699"/>
      <c r="H7" s="2699"/>
      <c r="I7" s="2699"/>
    </row>
    <row r="8" spans="1:17" ht="14.25" customHeight="1">
      <c r="A8" s="2699"/>
      <c r="B8" s="2699"/>
      <c r="C8" s="2699"/>
      <c r="D8" s="2699"/>
      <c r="E8" s="2699"/>
      <c r="F8" s="2699"/>
      <c r="G8" s="2699"/>
      <c r="H8" s="2699"/>
      <c r="I8" s="2699"/>
    </row>
    <row r="9" spans="1:17" ht="14.25" customHeight="1">
      <c r="A9" s="2699"/>
      <c r="B9" s="2699"/>
      <c r="C9" s="2699"/>
      <c r="D9" s="2699"/>
      <c r="E9" s="2699"/>
      <c r="F9" s="2699"/>
      <c r="G9" s="2699"/>
      <c r="H9" s="2699"/>
      <c r="I9" s="2699"/>
    </row>
    <row r="10" spans="1:17" ht="14.25" customHeight="1">
      <c r="A10" s="2699"/>
      <c r="B10" s="2699"/>
      <c r="C10" s="2699"/>
      <c r="D10" s="2699"/>
      <c r="E10" s="2699"/>
      <c r="F10" s="2699"/>
      <c r="G10" s="2699"/>
      <c r="H10" s="2699"/>
      <c r="I10" s="2699"/>
    </row>
    <row r="11" spans="1:17" ht="14.25" customHeight="1">
      <c r="A11" s="2699"/>
      <c r="B11" s="2699"/>
      <c r="C11" s="2699"/>
      <c r="D11" s="2699"/>
      <c r="E11" s="2699"/>
      <c r="F11" s="2699"/>
      <c r="G11" s="2699"/>
      <c r="H11" s="2699"/>
      <c r="I11" s="2699"/>
    </row>
    <row r="12" spans="1:17" ht="14.25" customHeight="1">
      <c r="A12" s="2699"/>
      <c r="B12" s="2699"/>
      <c r="C12" s="2699"/>
      <c r="D12" s="2699"/>
      <c r="E12" s="2699"/>
      <c r="F12" s="2699"/>
      <c r="G12" s="2699"/>
      <c r="H12" s="2699"/>
      <c r="I12" s="2699"/>
    </row>
    <row r="13" spans="1:17" ht="14.25" customHeight="1">
      <c r="A13" s="2699"/>
      <c r="B13" s="2699"/>
      <c r="C13" s="2699"/>
      <c r="D13" s="2699"/>
      <c r="E13" s="2699"/>
      <c r="F13" s="2699"/>
      <c r="G13" s="2699"/>
      <c r="H13" s="2699"/>
      <c r="I13" s="2699"/>
    </row>
    <row r="14" spans="1:17" ht="14.25" customHeight="1">
      <c r="A14" s="2699"/>
      <c r="B14" s="2699"/>
      <c r="C14" s="2699"/>
      <c r="D14" s="2699"/>
      <c r="E14" s="2699"/>
      <c r="F14" s="2699"/>
      <c r="G14" s="2699"/>
      <c r="H14" s="2699"/>
      <c r="I14" s="2699"/>
    </row>
    <row r="15" spans="1:17" ht="14.25" customHeight="1">
      <c r="A15" s="2699"/>
      <c r="B15" s="2699"/>
      <c r="C15" s="2699"/>
      <c r="D15" s="2699"/>
      <c r="E15" s="2699"/>
      <c r="F15" s="2699"/>
      <c r="G15" s="2699"/>
      <c r="H15" s="2699"/>
      <c r="I15" s="2699"/>
    </row>
    <row r="16" spans="1:17" ht="14.25" customHeight="1">
      <c r="A16" s="2699"/>
      <c r="B16" s="2699"/>
      <c r="C16" s="2699"/>
      <c r="D16" s="2699"/>
      <c r="E16" s="2699"/>
      <c r="F16" s="2699"/>
      <c r="G16" s="2699"/>
      <c r="H16" s="2699"/>
      <c r="I16" s="2699"/>
    </row>
    <row r="17" spans="1:9" ht="14.25" customHeight="1">
      <c r="A17" s="2699"/>
      <c r="B17" s="2699"/>
      <c r="C17" s="2699"/>
      <c r="D17" s="2699"/>
      <c r="E17" s="2699"/>
      <c r="F17" s="2699"/>
      <c r="G17" s="2699"/>
      <c r="H17" s="2699"/>
      <c r="I17" s="2699"/>
    </row>
    <row r="18" spans="1:9" ht="14.25" customHeight="1">
      <c r="A18" s="2699"/>
      <c r="B18" s="2699"/>
      <c r="C18" s="2699"/>
      <c r="D18" s="2699"/>
      <c r="E18" s="2699"/>
      <c r="F18" s="2699"/>
      <c r="G18" s="2699"/>
      <c r="H18" s="2699"/>
      <c r="I18" s="2699"/>
    </row>
    <row r="19" spans="1:9" ht="14.25" customHeight="1">
      <c r="A19" s="2699"/>
      <c r="B19" s="2699"/>
      <c r="C19" s="2699"/>
      <c r="D19" s="2699"/>
      <c r="E19" s="2699"/>
      <c r="F19" s="2699"/>
      <c r="G19" s="2699"/>
      <c r="H19" s="2699"/>
      <c r="I19" s="2699"/>
    </row>
    <row r="20" spans="1:9" ht="14.25" customHeight="1">
      <c r="A20" s="2699"/>
      <c r="B20" s="2699"/>
      <c r="C20" s="2699"/>
      <c r="D20" s="2699"/>
      <c r="E20" s="2699"/>
      <c r="F20" s="2699"/>
      <c r="G20" s="2699"/>
      <c r="H20" s="2699"/>
      <c r="I20" s="2699"/>
    </row>
    <row r="21" spans="1:9" ht="14.25" customHeight="1">
      <c r="A21" s="2699"/>
      <c r="B21" s="2699"/>
      <c r="C21" s="2699"/>
      <c r="D21" s="2699"/>
      <c r="E21" s="2699"/>
      <c r="F21" s="2699"/>
      <c r="G21" s="2699"/>
      <c r="H21" s="2699"/>
      <c r="I21" s="2699"/>
    </row>
    <row r="22" spans="1:9" ht="14.25" customHeight="1">
      <c r="A22" s="2699"/>
      <c r="B22" s="2699"/>
      <c r="C22" s="2699"/>
      <c r="D22" s="2699"/>
      <c r="E22" s="2699"/>
      <c r="F22" s="2699"/>
      <c r="G22" s="2699"/>
      <c r="H22" s="2699"/>
      <c r="I22" s="2699"/>
    </row>
    <row r="23" spans="1:9" ht="14.25" customHeight="1">
      <c r="A23" s="2699"/>
      <c r="B23" s="2699"/>
      <c r="C23" s="2699"/>
      <c r="D23" s="2699"/>
      <c r="E23" s="2699"/>
      <c r="F23" s="2699"/>
      <c r="G23" s="2699"/>
      <c r="H23" s="2699"/>
      <c r="I23" s="2699"/>
    </row>
    <row r="24" spans="1:9" ht="14.25" customHeight="1">
      <c r="A24" s="2699"/>
      <c r="B24" s="2699"/>
      <c r="C24" s="2699"/>
      <c r="D24" s="2699"/>
      <c r="E24" s="2699"/>
      <c r="F24" s="2699"/>
      <c r="G24" s="2699"/>
      <c r="H24" s="2699"/>
      <c r="I24" s="2699"/>
    </row>
    <row r="25" spans="1:9" ht="14.25" customHeight="1">
      <c r="A25" s="2699"/>
      <c r="B25" s="2699"/>
      <c r="C25" s="2699"/>
      <c r="D25" s="2699"/>
      <c r="E25" s="2699"/>
      <c r="F25" s="2699"/>
      <c r="G25" s="2699"/>
      <c r="H25" s="2699"/>
      <c r="I25" s="2699"/>
    </row>
    <row r="26" spans="1:9" ht="14.25" customHeight="1">
      <c r="A26" s="2699"/>
      <c r="B26" s="2699"/>
      <c r="C26" s="2699"/>
      <c r="D26" s="2699"/>
      <c r="E26" s="2699"/>
      <c r="F26" s="2699"/>
      <c r="G26" s="2699"/>
      <c r="H26" s="2699"/>
      <c r="I26" s="2699"/>
    </row>
    <row r="27" spans="1:9" ht="14.25" customHeight="1">
      <c r="A27" s="2699"/>
      <c r="B27" s="2699"/>
      <c r="C27" s="2699"/>
      <c r="D27" s="2699"/>
      <c r="E27" s="2699"/>
      <c r="F27" s="2699"/>
      <c r="G27" s="2699"/>
      <c r="H27" s="2699"/>
      <c r="I27" s="2699"/>
    </row>
    <row r="28" spans="1:9" ht="14.25" customHeight="1">
      <c r="A28" s="2699"/>
      <c r="B28" s="2699"/>
      <c r="C28" s="2699"/>
      <c r="D28" s="2699"/>
      <c r="E28" s="2699"/>
      <c r="F28" s="2699"/>
      <c r="G28" s="2699"/>
      <c r="H28" s="2699"/>
      <c r="I28" s="2699"/>
    </row>
    <row r="29" spans="1:9" ht="14.25" customHeight="1">
      <c r="A29" s="2699"/>
      <c r="B29" s="2699"/>
      <c r="C29" s="2699"/>
      <c r="D29" s="2699"/>
      <c r="E29" s="2699"/>
      <c r="F29" s="2699"/>
      <c r="G29" s="2699"/>
      <c r="H29" s="2699"/>
      <c r="I29" s="2699"/>
    </row>
    <row r="30" spans="1:9" ht="14.25" customHeight="1">
      <c r="A30" s="2699"/>
      <c r="B30" s="2699"/>
      <c r="C30" s="2699"/>
      <c r="D30" s="2699"/>
      <c r="E30" s="2699"/>
      <c r="F30" s="2699"/>
      <c r="G30" s="2699"/>
      <c r="H30" s="2699"/>
      <c r="I30" s="2699"/>
    </row>
    <row r="31" spans="1:9" ht="14.25" customHeight="1">
      <c r="A31" s="2699"/>
      <c r="B31" s="2699"/>
      <c r="C31" s="2699"/>
      <c r="D31" s="2699"/>
      <c r="E31" s="2699"/>
      <c r="F31" s="2699"/>
      <c r="G31" s="2699"/>
      <c r="H31" s="2699"/>
      <c r="I31" s="2699"/>
    </row>
    <row r="32" spans="1:9" ht="14.25" customHeight="1">
      <c r="A32" s="2699"/>
      <c r="B32" s="2699"/>
      <c r="C32" s="2699"/>
      <c r="D32" s="2699"/>
      <c r="E32" s="2699"/>
      <c r="F32" s="2699"/>
      <c r="G32" s="2699"/>
      <c r="H32" s="2699"/>
      <c r="I32" s="2699"/>
    </row>
    <row r="33" spans="1:9" ht="14.25" customHeight="1">
      <c r="A33" s="2699"/>
      <c r="B33" s="2699"/>
      <c r="C33" s="2699"/>
      <c r="D33" s="2699"/>
      <c r="E33" s="2699"/>
      <c r="F33" s="2699"/>
      <c r="G33" s="2699"/>
      <c r="H33" s="2699"/>
      <c r="I33" s="2699"/>
    </row>
    <row r="34" spans="1:9" ht="14.25" customHeight="1">
      <c r="A34" s="2699"/>
      <c r="B34" s="2699"/>
      <c r="C34" s="2699"/>
      <c r="D34" s="2699"/>
      <c r="E34" s="2699"/>
      <c r="F34" s="2699"/>
      <c r="G34" s="2699"/>
      <c r="H34" s="2699"/>
      <c r="I34" s="2699"/>
    </row>
    <row r="35" spans="1:9" ht="14.25" customHeight="1">
      <c r="A35" s="2699"/>
      <c r="B35" s="2699"/>
      <c r="C35" s="2699"/>
      <c r="D35" s="2699"/>
      <c r="E35" s="2699"/>
      <c r="F35" s="2699"/>
      <c r="G35" s="2699"/>
      <c r="H35" s="2699"/>
      <c r="I35" s="2699"/>
    </row>
    <row r="36" spans="1:9" ht="14.25" customHeight="1">
      <c r="A36" s="2699"/>
      <c r="B36" s="2699"/>
      <c r="C36" s="2699"/>
      <c r="D36" s="2699"/>
      <c r="E36" s="2699"/>
      <c r="F36" s="2699"/>
      <c r="G36" s="2699"/>
      <c r="H36" s="2699"/>
      <c r="I36" s="2699"/>
    </row>
    <row r="37" spans="1:9" ht="14.25" customHeight="1">
      <c r="A37" s="2699"/>
      <c r="B37" s="2699"/>
      <c r="C37" s="2699"/>
      <c r="D37" s="2699"/>
      <c r="E37" s="2699"/>
      <c r="F37" s="2699"/>
      <c r="G37" s="2699"/>
      <c r="H37" s="2699"/>
      <c r="I37" s="2699"/>
    </row>
    <row r="38" spans="1:9" ht="14.25" customHeight="1">
      <c r="A38" s="2699"/>
      <c r="B38" s="2699"/>
      <c r="C38" s="2699"/>
      <c r="D38" s="2699"/>
      <c r="E38" s="2699"/>
      <c r="F38" s="2699"/>
      <c r="G38" s="2699"/>
      <c r="H38" s="2699"/>
      <c r="I38" s="2699"/>
    </row>
    <row r="39" spans="1:9" ht="14.25" customHeight="1">
      <c r="A39" s="2699"/>
      <c r="B39" s="2699"/>
      <c r="C39" s="2699"/>
      <c r="D39" s="2699"/>
      <c r="E39" s="2699"/>
      <c r="F39" s="2699"/>
      <c r="G39" s="2699"/>
      <c r="H39" s="2699"/>
      <c r="I39" s="2699"/>
    </row>
    <row r="40" spans="1:9" ht="14.25" customHeight="1">
      <c r="A40" s="2699"/>
      <c r="B40" s="2699"/>
      <c r="C40" s="2699"/>
      <c r="D40" s="2699"/>
      <c r="E40" s="2699"/>
      <c r="F40" s="2699"/>
      <c r="G40" s="2699"/>
      <c r="H40" s="2699"/>
      <c r="I40" s="2699"/>
    </row>
    <row r="41" spans="1:9" ht="14.25" customHeight="1">
      <c r="A41" s="2699"/>
      <c r="B41" s="2699"/>
      <c r="C41" s="2699"/>
      <c r="D41" s="2699"/>
      <c r="E41" s="2699"/>
      <c r="F41" s="2699"/>
      <c r="G41" s="2699"/>
      <c r="H41" s="2699"/>
      <c r="I41" s="2699"/>
    </row>
    <row r="42" spans="1:9" ht="14.25" customHeight="1">
      <c r="A42" s="2699"/>
      <c r="B42" s="2699"/>
      <c r="C42" s="2699"/>
      <c r="D42" s="2699"/>
      <c r="E42" s="2699"/>
      <c r="F42" s="2699"/>
      <c r="G42" s="2699"/>
      <c r="H42" s="2699"/>
      <c r="I42" s="2699"/>
    </row>
    <row r="43" spans="1:9" ht="14.25" customHeight="1">
      <c r="A43" s="2699"/>
      <c r="B43" s="2699"/>
      <c r="C43" s="2699"/>
      <c r="D43" s="2699"/>
      <c r="E43" s="2699"/>
      <c r="F43" s="2699"/>
      <c r="G43" s="2699"/>
      <c r="H43" s="2699"/>
      <c r="I43" s="2699"/>
    </row>
    <row r="44" spans="1:9" ht="14.25" customHeight="1">
      <c r="A44" s="2699"/>
      <c r="B44" s="2699"/>
      <c r="C44" s="2699"/>
      <c r="D44" s="2699"/>
      <c r="E44" s="2699"/>
      <c r="F44" s="2699"/>
      <c r="G44" s="2699"/>
      <c r="H44" s="2699"/>
      <c r="I44" s="2699"/>
    </row>
    <row r="45" spans="1:9" ht="14.25" customHeight="1">
      <c r="A45" s="2699"/>
      <c r="B45" s="2699"/>
      <c r="C45" s="2699"/>
      <c r="D45" s="2699"/>
      <c r="E45" s="2699"/>
      <c r="F45" s="2699"/>
      <c r="G45" s="2699"/>
      <c r="H45" s="2699"/>
      <c r="I45" s="2699"/>
    </row>
    <row r="46" spans="1:9" ht="14.25" customHeight="1">
      <c r="A46" s="2699"/>
      <c r="B46" s="2699"/>
      <c r="C46" s="2699"/>
      <c r="D46" s="2699"/>
      <c r="E46" s="2699"/>
      <c r="F46" s="2699"/>
      <c r="G46" s="2699"/>
      <c r="H46" s="2699"/>
      <c r="I46" s="2699"/>
    </row>
    <row r="47" spans="1:9" ht="14.25" customHeight="1">
      <c r="A47" s="2699"/>
      <c r="B47" s="2699"/>
      <c r="C47" s="2699"/>
      <c r="D47" s="2699"/>
      <c r="E47" s="2699"/>
      <c r="F47" s="2699"/>
      <c r="G47" s="2699"/>
      <c r="H47" s="2699"/>
      <c r="I47" s="2699"/>
    </row>
    <row r="48" spans="1:9" ht="14.25" customHeight="1">
      <c r="A48" s="2699"/>
      <c r="B48" s="2699"/>
      <c r="C48" s="2699"/>
      <c r="D48" s="2699"/>
      <c r="E48" s="2699"/>
      <c r="F48" s="2699"/>
      <c r="G48" s="2699"/>
      <c r="H48" s="2699"/>
      <c r="I48" s="2699"/>
    </row>
    <row r="49" spans="1:9" ht="14.25" customHeight="1">
      <c r="A49" s="2699"/>
      <c r="B49" s="2699"/>
      <c r="C49" s="2699"/>
      <c r="D49" s="2699"/>
      <c r="E49" s="2699"/>
      <c r="F49" s="2699"/>
      <c r="G49" s="2699"/>
      <c r="H49" s="2699"/>
      <c r="I49" s="2699"/>
    </row>
    <row r="50" spans="1:9" ht="14.25" customHeight="1">
      <c r="A50" s="2699"/>
      <c r="B50" s="2699"/>
      <c r="C50" s="2699"/>
      <c r="D50" s="2699"/>
      <c r="E50" s="2699"/>
      <c r="F50" s="2699"/>
      <c r="G50" s="2699"/>
      <c r="H50" s="2699"/>
      <c r="I50" s="2699"/>
    </row>
    <row r="51" spans="1:9" ht="14.25" customHeight="1">
      <c r="A51" s="2699"/>
      <c r="B51" s="2699"/>
      <c r="C51" s="2699"/>
      <c r="D51" s="2699"/>
      <c r="E51" s="2699"/>
      <c r="F51" s="2699"/>
      <c r="G51" s="2699"/>
      <c r="H51" s="2699"/>
      <c r="I51" s="2699"/>
    </row>
    <row r="52" spans="1:9" ht="14.25" customHeight="1">
      <c r="A52" s="2699"/>
      <c r="B52" s="2699"/>
      <c r="C52" s="2699"/>
      <c r="D52" s="2699"/>
      <c r="E52" s="2699"/>
      <c r="F52" s="2699"/>
      <c r="G52" s="2699"/>
      <c r="H52" s="2699"/>
      <c r="I52" s="2699"/>
    </row>
    <row r="53" spans="1:9" ht="14.25" customHeight="1">
      <c r="A53" s="694"/>
      <c r="B53" s="694"/>
      <c r="C53" s="694"/>
      <c r="D53" s="694"/>
      <c r="E53" s="694"/>
      <c r="F53" s="694"/>
      <c r="G53" s="694"/>
      <c r="H53" s="694"/>
      <c r="I53" s="694"/>
    </row>
  </sheetData>
  <mergeCells count="3">
    <mergeCell ref="A1:I1"/>
    <mergeCell ref="K4:Q4"/>
    <mergeCell ref="A3:I52"/>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2">
    <tabColor rgb="FF00B0F0"/>
    <pageSetUpPr fitToPage="1"/>
  </sheetPr>
  <dimension ref="A1:J26"/>
  <sheetViews>
    <sheetView rightToLeft="1" view="pageBreakPreview" topLeftCell="A4" zoomScale="60" zoomScaleNormal="100" workbookViewId="0">
      <selection activeCell="E11" sqref="E11"/>
    </sheetView>
  </sheetViews>
  <sheetFormatPr defaultColWidth="9" defaultRowHeight="15"/>
  <cols>
    <col min="1" max="1" width="5.7109375" style="5" customWidth="1"/>
    <col min="2" max="2" width="33" style="5" bestFit="1" customWidth="1"/>
    <col min="3" max="3" width="12" style="5" customWidth="1"/>
    <col min="4" max="4" width="14.5703125" style="5" customWidth="1"/>
    <col min="5" max="6" width="12.5703125" style="5" customWidth="1"/>
    <col min="7" max="7" width="16" style="5" customWidth="1"/>
    <col min="8" max="10" width="9" style="79"/>
    <col min="11" max="16384" width="9" style="5"/>
  </cols>
  <sheetData>
    <row r="1" spans="1:7" ht="24" customHeight="1">
      <c r="A1" s="2685" t="str">
        <f>روکش!D4</f>
        <v>انبارهای عمومی و خدمات گمرکی ایران</v>
      </c>
      <c r="B1" s="2685"/>
      <c r="C1" s="2685"/>
      <c r="D1" s="2685"/>
      <c r="E1" s="2685"/>
      <c r="F1" s="2685"/>
      <c r="G1" s="2685"/>
    </row>
    <row r="2" spans="1:7" ht="28.5" customHeight="1" thickBot="1">
      <c r="A2" s="1206" t="str">
        <f xml:space="preserve"> "گردش مقداری محصولات تولیدی در دوره " &amp; روکش!F9 &amp; " سال " &amp; روکش!D9</f>
        <v>گردش مقداری محصولات تولیدی در دوره شش ماهه سال 1405</v>
      </c>
      <c r="B2" s="1205"/>
      <c r="C2" s="1205"/>
      <c r="D2" s="1202"/>
      <c r="E2" s="1202"/>
      <c r="F2" s="1202"/>
      <c r="G2" s="1202"/>
    </row>
    <row r="3" spans="1:7" ht="24">
      <c r="A3" s="2860" t="s">
        <v>5</v>
      </c>
      <c r="B3" s="2862" t="s">
        <v>29</v>
      </c>
      <c r="C3" s="2878" t="s">
        <v>16</v>
      </c>
      <c r="D3" s="2880" t="s">
        <v>642</v>
      </c>
      <c r="E3" s="2881"/>
      <c r="F3" s="2881"/>
      <c r="G3" s="2882"/>
    </row>
    <row r="4" spans="1:7" ht="96.75" thickBot="1">
      <c r="A4" s="2861"/>
      <c r="B4" s="2863"/>
      <c r="C4" s="2879"/>
      <c r="D4" s="1347" t="s">
        <v>1537</v>
      </c>
      <c r="E4" s="1345" t="s">
        <v>226</v>
      </c>
      <c r="F4" s="1348" t="s">
        <v>393</v>
      </c>
      <c r="G4" s="1349" t="s">
        <v>1538</v>
      </c>
    </row>
    <row r="5" spans="1:7" ht="27" customHeight="1">
      <c r="A5" s="460">
        <v>1</v>
      </c>
      <c r="B5" s="1379">
        <f ca="1">'مقادیر تولید'!B6</f>
        <v>0</v>
      </c>
      <c r="C5" s="1380">
        <f ca="1">'مقادیر تولید'!C6</f>
        <v>0</v>
      </c>
      <c r="D5" s="2121"/>
      <c r="E5" s="1471">
        <f>'مقادیر تولید'!J6</f>
        <v>0</v>
      </c>
      <c r="F5" s="1471">
        <f ca="1">IFERROR(VLOOKUP(B5,'درآمد صادرات'!$B$7:$Y$18,15,FALSE),0)+'فروش داخلی تولیدی'!J7</f>
        <v>0</v>
      </c>
      <c r="G5" s="2122">
        <f ca="1">IFERROR(D5+E5-F5,"-")</f>
        <v>0</v>
      </c>
    </row>
    <row r="6" spans="1:7" ht="27" customHeight="1">
      <c r="A6" s="97">
        <v>2</v>
      </c>
      <c r="B6" s="1381">
        <f ca="1">'مقادیر تولید'!B7</f>
        <v>0</v>
      </c>
      <c r="C6" s="1382">
        <f ca="1">'مقادیر تولید'!C7</f>
        <v>0</v>
      </c>
      <c r="D6" s="2123"/>
      <c r="E6" s="1473">
        <f>'مقادیر تولید'!J7</f>
        <v>0</v>
      </c>
      <c r="F6" s="1473">
        <f ca="1">IFERROR(VLOOKUP(B6,'درآمد صادرات'!$B$7:$Y$18,15,FALSE),0)+'فروش داخلی تولیدی'!J8</f>
        <v>0</v>
      </c>
      <c r="G6" s="2122">
        <f t="shared" ref="G6:G21" ca="1" si="0">IFERROR(D6+E6-F6,"-")</f>
        <v>0</v>
      </c>
    </row>
    <row r="7" spans="1:7" ht="27" customHeight="1">
      <c r="A7" s="97">
        <v>3</v>
      </c>
      <c r="B7" s="1381">
        <f ca="1">'مقادیر تولید'!B8</f>
        <v>0</v>
      </c>
      <c r="C7" s="1382">
        <f ca="1">'مقادیر تولید'!C8</f>
        <v>0</v>
      </c>
      <c r="D7" s="2123"/>
      <c r="E7" s="1473">
        <f>'مقادیر تولید'!J8</f>
        <v>0</v>
      </c>
      <c r="F7" s="1473">
        <f ca="1">IFERROR(VLOOKUP(B7,'درآمد صادرات'!$B$7:$Y$18,15,FALSE),0)+'فروش داخلی تولیدی'!J9</f>
        <v>0</v>
      </c>
      <c r="G7" s="2122">
        <f t="shared" ca="1" si="0"/>
        <v>0</v>
      </c>
    </row>
    <row r="8" spans="1:7" ht="27" customHeight="1">
      <c r="A8" s="97">
        <v>4</v>
      </c>
      <c r="B8" s="1381">
        <f ca="1">'مقادیر تولید'!B9</f>
        <v>0</v>
      </c>
      <c r="C8" s="1382">
        <f ca="1">'مقادیر تولید'!C9</f>
        <v>0</v>
      </c>
      <c r="D8" s="2123"/>
      <c r="E8" s="1473">
        <f>'مقادیر تولید'!J9</f>
        <v>0</v>
      </c>
      <c r="F8" s="1473">
        <f ca="1">IFERROR(VLOOKUP(B8,'درآمد صادرات'!$B$7:$Y$18,15,FALSE),0)+'فروش داخلی تولیدی'!J10</f>
        <v>0</v>
      </c>
      <c r="G8" s="2122">
        <f t="shared" ca="1" si="0"/>
        <v>0</v>
      </c>
    </row>
    <row r="9" spans="1:7" ht="27" customHeight="1">
      <c r="A9" s="97">
        <v>5</v>
      </c>
      <c r="B9" s="1381">
        <f ca="1">'مقادیر تولید'!B10</f>
        <v>0</v>
      </c>
      <c r="C9" s="1382">
        <f ca="1">'مقادیر تولید'!C10</f>
        <v>0</v>
      </c>
      <c r="D9" s="2123"/>
      <c r="E9" s="1473">
        <f>'مقادیر تولید'!J10</f>
        <v>0</v>
      </c>
      <c r="F9" s="1473">
        <f ca="1">IFERROR(VLOOKUP(B9,'درآمد صادرات'!$B$7:$Y$18,15,FALSE),0)+'فروش داخلی تولیدی'!J11</f>
        <v>0</v>
      </c>
      <c r="G9" s="2122">
        <f t="shared" ca="1" si="0"/>
        <v>0</v>
      </c>
    </row>
    <row r="10" spans="1:7" ht="27" customHeight="1">
      <c r="A10" s="97">
        <v>6</v>
      </c>
      <c r="B10" s="1381">
        <f ca="1">'مقادیر تولید'!B11</f>
        <v>0</v>
      </c>
      <c r="C10" s="1382">
        <f ca="1">'مقادیر تولید'!C11</f>
        <v>0</v>
      </c>
      <c r="D10" s="2123"/>
      <c r="E10" s="1473">
        <f>'مقادیر تولید'!J11</f>
        <v>0</v>
      </c>
      <c r="F10" s="1473">
        <f ca="1">IFERROR(VLOOKUP(B10,'درآمد صادرات'!$B$7:$Y$18,15,FALSE),0)+'فروش داخلی تولیدی'!J12</f>
        <v>0</v>
      </c>
      <c r="G10" s="2122">
        <f t="shared" ca="1" si="0"/>
        <v>0</v>
      </c>
    </row>
    <row r="11" spans="1:7" ht="27" customHeight="1">
      <c r="A11" s="97">
        <v>7</v>
      </c>
      <c r="B11" s="1381">
        <f ca="1">'مقادیر تولید'!B12</f>
        <v>0</v>
      </c>
      <c r="C11" s="1382">
        <f ca="1">'مقادیر تولید'!C12</f>
        <v>0</v>
      </c>
      <c r="D11" s="2123"/>
      <c r="E11" s="1473">
        <f>'مقادیر تولید'!J12</f>
        <v>0</v>
      </c>
      <c r="F11" s="1473">
        <f ca="1">IFERROR(VLOOKUP(B11,'درآمد صادرات'!$B$7:$Y$18,15,FALSE),0)+'فروش داخلی تولیدی'!J13</f>
        <v>0</v>
      </c>
      <c r="G11" s="2122">
        <f t="shared" ca="1" si="0"/>
        <v>0</v>
      </c>
    </row>
    <row r="12" spans="1:7" ht="27" customHeight="1">
      <c r="A12" s="97">
        <v>8</v>
      </c>
      <c r="B12" s="1381">
        <f ca="1">'مقادیر تولید'!B13</f>
        <v>0</v>
      </c>
      <c r="C12" s="1382">
        <f ca="1">'مقادیر تولید'!C13</f>
        <v>0</v>
      </c>
      <c r="D12" s="2123"/>
      <c r="E12" s="1473">
        <f>'مقادیر تولید'!J13</f>
        <v>0</v>
      </c>
      <c r="F12" s="1473">
        <f ca="1">IFERROR(VLOOKUP(B12,'درآمد صادرات'!$B$7:$Y$18,15,FALSE),0)+'فروش داخلی تولیدی'!J14</f>
        <v>0</v>
      </c>
      <c r="G12" s="2122">
        <f t="shared" ca="1" si="0"/>
        <v>0</v>
      </c>
    </row>
    <row r="13" spans="1:7" ht="27" customHeight="1">
      <c r="A13" s="97">
        <v>9</v>
      </c>
      <c r="B13" s="1381">
        <f ca="1">'مقادیر تولید'!B14</f>
        <v>0</v>
      </c>
      <c r="C13" s="1382">
        <f ca="1">'مقادیر تولید'!C14</f>
        <v>0</v>
      </c>
      <c r="D13" s="2123"/>
      <c r="E13" s="1473">
        <f>'مقادیر تولید'!J14</f>
        <v>0</v>
      </c>
      <c r="F13" s="1473">
        <f ca="1">IFERROR(VLOOKUP(B13,'درآمد صادرات'!$B$7:$Y$18,15,FALSE),0)+'فروش داخلی تولیدی'!J15</f>
        <v>0</v>
      </c>
      <c r="G13" s="2122">
        <f t="shared" ca="1" si="0"/>
        <v>0</v>
      </c>
    </row>
    <row r="14" spans="1:7" ht="27" customHeight="1">
      <c r="A14" s="97">
        <v>10</v>
      </c>
      <c r="B14" s="1381">
        <f ca="1">'مقادیر تولید'!B15</f>
        <v>0</v>
      </c>
      <c r="C14" s="1382">
        <f ca="1">'مقادیر تولید'!C15</f>
        <v>0</v>
      </c>
      <c r="D14" s="2123"/>
      <c r="E14" s="1473">
        <f>'مقادیر تولید'!J15</f>
        <v>0</v>
      </c>
      <c r="F14" s="1473">
        <f ca="1">IFERROR(VLOOKUP(B14,'درآمد صادرات'!$B$7:$Y$18,15,FALSE),0)+'فروش داخلی تولیدی'!J16</f>
        <v>0</v>
      </c>
      <c r="G14" s="2122">
        <f t="shared" ca="1" si="0"/>
        <v>0</v>
      </c>
    </row>
    <row r="15" spans="1:7" ht="27" customHeight="1">
      <c r="A15" s="1383">
        <v>11</v>
      </c>
      <c r="B15" s="1384">
        <f ca="1">'مقادیر تولید'!B16</f>
        <v>0</v>
      </c>
      <c r="C15" s="1385">
        <f ca="1">'مقادیر تولید'!C16</f>
        <v>0</v>
      </c>
      <c r="D15" s="2124"/>
      <c r="E15" s="1474">
        <f>'مقادیر تولید'!J16</f>
        <v>0</v>
      </c>
      <c r="F15" s="1474">
        <f ca="1">IFERROR(VLOOKUP(B15,'درآمد صادرات'!$B$7:$Y$18,15,FALSE),0)+'فروش داخلی تولیدی'!J17</f>
        <v>0</v>
      </c>
      <c r="G15" s="2122">
        <f t="shared" ca="1" si="0"/>
        <v>0</v>
      </c>
    </row>
    <row r="16" spans="1:7" ht="27" customHeight="1">
      <c r="A16" s="1383">
        <v>12</v>
      </c>
      <c r="B16" s="1384">
        <f ca="1">'مقادیر تولید'!B17</f>
        <v>0</v>
      </c>
      <c r="C16" s="1385">
        <f ca="1">'مقادیر تولید'!C17</f>
        <v>0</v>
      </c>
      <c r="D16" s="2124"/>
      <c r="E16" s="1474">
        <f>'مقادیر تولید'!J17</f>
        <v>0</v>
      </c>
      <c r="F16" s="1474">
        <f ca="1">IFERROR(VLOOKUP(B16,'درآمد صادرات'!$B$7:$Y$18,15,FALSE),0)+'فروش داخلی تولیدی'!J18</f>
        <v>0</v>
      </c>
      <c r="G16" s="2122">
        <f t="shared" ca="1" si="0"/>
        <v>0</v>
      </c>
    </row>
    <row r="17" spans="1:7" ht="27" customHeight="1">
      <c r="A17" s="1383">
        <v>13</v>
      </c>
      <c r="B17" s="1384">
        <f ca="1">'مقادیر تولید'!B18</f>
        <v>0</v>
      </c>
      <c r="C17" s="1385">
        <f ca="1">'مقادیر تولید'!C18</f>
        <v>0</v>
      </c>
      <c r="D17" s="2124"/>
      <c r="E17" s="1474">
        <f>'مقادیر تولید'!J18</f>
        <v>0</v>
      </c>
      <c r="F17" s="1474">
        <f ca="1">IFERROR(VLOOKUP(B17,'درآمد صادرات'!$B$7:$Y$18,15,FALSE),0)+'فروش داخلی تولیدی'!J19</f>
        <v>0</v>
      </c>
      <c r="G17" s="2122">
        <f t="shared" ca="1" si="0"/>
        <v>0</v>
      </c>
    </row>
    <row r="18" spans="1:7" ht="27" customHeight="1">
      <c r="A18" s="1383">
        <v>14</v>
      </c>
      <c r="B18" s="1384">
        <f ca="1">'مقادیر تولید'!B19</f>
        <v>0</v>
      </c>
      <c r="C18" s="1385">
        <f ca="1">'مقادیر تولید'!C19</f>
        <v>0</v>
      </c>
      <c r="D18" s="2124"/>
      <c r="E18" s="1474">
        <f>'مقادیر تولید'!J19</f>
        <v>0</v>
      </c>
      <c r="F18" s="1474">
        <f ca="1">IFERROR(VLOOKUP(B18,'درآمد صادرات'!$B$7:$Y$18,15,FALSE),0)+'فروش داخلی تولیدی'!J20</f>
        <v>0</v>
      </c>
      <c r="G18" s="2122">
        <f t="shared" ca="1" si="0"/>
        <v>0</v>
      </c>
    </row>
    <row r="19" spans="1:7" ht="27" customHeight="1">
      <c r="A19" s="1383">
        <v>15</v>
      </c>
      <c r="B19" s="1384">
        <f ca="1">'مقادیر تولید'!B20</f>
        <v>0</v>
      </c>
      <c r="C19" s="1385">
        <f ca="1">'مقادیر تولید'!C20</f>
        <v>0</v>
      </c>
      <c r="D19" s="2124"/>
      <c r="E19" s="1474">
        <f>'مقادیر تولید'!J20</f>
        <v>0</v>
      </c>
      <c r="F19" s="1474">
        <f ca="1">IFERROR(VLOOKUP(B19,'درآمد صادرات'!$B$7:$Y$18,15,FALSE),0)+'فروش داخلی تولیدی'!J21</f>
        <v>0</v>
      </c>
      <c r="G19" s="2122">
        <f t="shared" ca="1" si="0"/>
        <v>0</v>
      </c>
    </row>
    <row r="20" spans="1:7" ht="27" customHeight="1">
      <c r="A20" s="1383">
        <v>16</v>
      </c>
      <c r="B20" s="1384">
        <f ca="1">'مقادیر تولید'!B21</f>
        <v>0</v>
      </c>
      <c r="C20" s="1385">
        <f ca="1">'مقادیر تولید'!C21</f>
        <v>0</v>
      </c>
      <c r="D20" s="2124"/>
      <c r="E20" s="1474">
        <f>'مقادیر تولید'!J21</f>
        <v>0</v>
      </c>
      <c r="F20" s="1474">
        <f ca="1">IFERROR(VLOOKUP(B20,'درآمد صادرات'!$B$7:$Y$18,15,FALSE),0)+'فروش داخلی تولیدی'!J22</f>
        <v>0</v>
      </c>
      <c r="G20" s="2122">
        <f t="shared" ca="1" si="0"/>
        <v>0</v>
      </c>
    </row>
    <row r="21" spans="1:7" ht="27" customHeight="1">
      <c r="A21" s="1383">
        <v>17</v>
      </c>
      <c r="B21" s="1384">
        <f ca="1">'مقادیر تولید'!B22</f>
        <v>0</v>
      </c>
      <c r="C21" s="1385">
        <f ca="1">'مقادیر تولید'!C22</f>
        <v>0</v>
      </c>
      <c r="D21" s="2124"/>
      <c r="E21" s="1474">
        <f>'مقادیر تولید'!J22</f>
        <v>0</v>
      </c>
      <c r="F21" s="1474">
        <f ca="1">IFERROR(VLOOKUP(B21,'درآمد صادرات'!$B$7:$Y$18,15,FALSE),0)+'فروش داخلی تولیدی'!J23</f>
        <v>0</v>
      </c>
      <c r="G21" s="2122">
        <f t="shared" ca="1" si="0"/>
        <v>0</v>
      </c>
    </row>
    <row r="22" spans="1:7" ht="27" customHeight="1">
      <c r="A22" s="1383">
        <v>18</v>
      </c>
      <c r="B22" s="1384">
        <f ca="1">'مقادیر تولید'!B23</f>
        <v>0</v>
      </c>
      <c r="C22" s="1385">
        <f ca="1">'مقادیر تولید'!C23</f>
        <v>0</v>
      </c>
      <c r="D22" s="2124"/>
      <c r="E22" s="1474">
        <f>'مقادیر تولید'!J23</f>
        <v>0</v>
      </c>
      <c r="F22" s="1474">
        <f ca="1">IFERROR(VLOOKUP(B22,'درآمد صادرات'!$B$7:$Y$18,15,FALSE),0)+'فروش داخلی تولیدی'!J24</f>
        <v>0</v>
      </c>
      <c r="G22" s="2122">
        <f ca="1">IFERROR(D22+E22-F22,"-")</f>
        <v>0</v>
      </c>
    </row>
    <row r="23" spans="1:7" ht="27" customHeight="1">
      <c r="A23" s="1383">
        <v>19</v>
      </c>
      <c r="B23" s="1384">
        <f ca="1">'مقادیر تولید'!B24</f>
        <v>0</v>
      </c>
      <c r="C23" s="1385">
        <f ca="1">'مقادیر تولید'!C24</f>
        <v>0</v>
      </c>
      <c r="D23" s="2124"/>
      <c r="E23" s="1474">
        <f>'مقادیر تولید'!J24</f>
        <v>0</v>
      </c>
      <c r="F23" s="1474">
        <f ca="1">IFERROR(VLOOKUP(B23,'درآمد صادرات'!$B$7:$Y$18,15,FALSE),0)+'فروش داخلی تولیدی'!J25</f>
        <v>0</v>
      </c>
      <c r="G23" s="2122">
        <f ca="1">IFERROR(D23+E23-F23,"-")</f>
        <v>0</v>
      </c>
    </row>
    <row r="24" spans="1:7" ht="27" customHeight="1" thickBot="1">
      <c r="A24" s="517">
        <v>20</v>
      </c>
      <c r="B24" s="1386">
        <f ca="1">'مقادیر تولید'!B25</f>
        <v>0</v>
      </c>
      <c r="C24" s="1387">
        <f ca="1">'مقادیر تولید'!C25</f>
        <v>0</v>
      </c>
      <c r="D24" s="2125"/>
      <c r="E24" s="1475">
        <f>'مقادیر تولید'!J25</f>
        <v>0</v>
      </c>
      <c r="F24" s="1475">
        <f ca="1">IFERROR(VLOOKUP(B24,'درآمد صادرات'!$B$7:$Y$18,15,FALSE),0)+'فروش داخلی تولیدی'!J26</f>
        <v>0</v>
      </c>
      <c r="G24" s="2126">
        <f ca="1">IFERROR(D24+E24-F24,"-")</f>
        <v>0</v>
      </c>
    </row>
    <row r="25" spans="1:7" ht="12.75" customHeight="1">
      <c r="A25" s="39"/>
      <c r="B25" s="39"/>
      <c r="C25" s="837"/>
      <c r="D25" s="837"/>
      <c r="E25" s="837"/>
      <c r="F25" s="837"/>
      <c r="G25" s="837"/>
    </row>
    <row r="26" spans="1:7" ht="21">
      <c r="A26" s="8"/>
      <c r="B26" s="8"/>
      <c r="C26" s="8"/>
      <c r="D26" s="8"/>
      <c r="E26" s="8"/>
      <c r="F26" s="8"/>
      <c r="G26" s="8"/>
    </row>
  </sheetData>
  <mergeCells count="5">
    <mergeCell ref="A1:G1"/>
    <mergeCell ref="A3:A4"/>
    <mergeCell ref="B3:B4"/>
    <mergeCell ref="C3:C4"/>
    <mergeCell ref="D3:G3"/>
  </mergeCells>
  <conditionalFormatting sqref="D5:D24">
    <cfRule type="expression" dxfId="441" priority="3">
      <formula>AND(OR(E5&lt;&gt;0,F5&lt;&gt;0),D5="")</formula>
    </cfRule>
  </conditionalFormatting>
  <conditionalFormatting sqref="B5:C24">
    <cfRule type="expression" dxfId="440" priority="1">
      <formula>AND($D5&lt;&gt;0,$B5=0)</formula>
    </cfRule>
  </conditionalFormatting>
  <printOptions horizontalCentered="1"/>
  <pageMargins left="0.59055118110236227" right="0.59055118110236227" top="0.19685039370078741" bottom="0.78740157480314965" header="0.19685039370078741" footer="0.19685039370078741"/>
  <pageSetup paperSize="9" scale="8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4" id="{00000000-000E-0000-1D00-000004000000}">
            <x14:iconSet iconSet="3Symbols" custom="1">
              <x14:cfvo type="percent">
                <xm:f>0</xm:f>
              </x14:cfvo>
              <x14:cfvo type="num">
                <xm:f>0</xm:f>
              </x14:cfvo>
              <x14:cfvo type="num">
                <xm:f>0</xm:f>
              </x14:cfvo>
              <x14:cfIcon iconSet="3Symbols" iconId="0"/>
              <x14:cfIcon iconSet="NoIcons" iconId="0"/>
              <x14:cfIcon iconSet="NoIcons" iconId="0"/>
            </x14:iconSet>
          </x14:cfRule>
          <xm:sqref>G5:G24</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3">
    <tabColor rgb="FF00B0F0"/>
    <pageSetUpPr fitToPage="1"/>
  </sheetPr>
  <dimension ref="A1:AC51"/>
  <sheetViews>
    <sheetView rightToLeft="1" view="pageBreakPreview" zoomScale="60" zoomScaleNormal="85" workbookViewId="0">
      <selection activeCell="H32" sqref="H32"/>
    </sheetView>
  </sheetViews>
  <sheetFormatPr defaultColWidth="9" defaultRowHeight="15"/>
  <cols>
    <col min="1" max="1" width="5.5703125" style="5" bestFit="1" customWidth="1"/>
    <col min="2" max="2" width="21.28515625" style="5" customWidth="1"/>
    <col min="3" max="3" width="8.5703125" style="5" customWidth="1"/>
    <col min="4" max="5" width="10.7109375" style="5" customWidth="1"/>
    <col min="6" max="6" width="12.7109375" style="5" customWidth="1"/>
    <col min="7" max="8" width="10.7109375" style="5" customWidth="1"/>
    <col min="9" max="9" width="12.7109375" style="5" customWidth="1"/>
    <col min="10" max="10" width="11.5703125" style="5" bestFit="1" customWidth="1"/>
    <col min="11" max="11" width="16.140625" style="5" bestFit="1" customWidth="1"/>
    <col min="12" max="12" width="14.42578125" style="5" bestFit="1" customWidth="1"/>
    <col min="13" max="13" width="10.7109375" style="5" customWidth="1"/>
    <col min="14" max="14" width="3.7109375" style="5" customWidth="1"/>
    <col min="15" max="15" width="10.7109375" style="5" customWidth="1"/>
    <col min="16" max="16" width="3.7109375" style="5" customWidth="1"/>
    <col min="17" max="17" width="12.7109375" style="5" customWidth="1"/>
    <col min="18" max="18" width="10.7109375" style="5" customWidth="1"/>
    <col min="19" max="19" width="3.7109375" style="5" customWidth="1"/>
    <col min="20" max="20" width="10.7109375" style="5" customWidth="1"/>
    <col min="21" max="21" width="3.7109375" style="5" customWidth="1"/>
    <col min="22" max="22" width="12.7109375" style="5" customWidth="1"/>
    <col min="23" max="24" width="9" style="5"/>
    <col min="25" max="29" width="9" style="5" hidden="1" customWidth="1"/>
    <col min="30" max="30" width="9" style="5" customWidth="1"/>
    <col min="31" max="16384" width="9" style="5"/>
  </cols>
  <sheetData>
    <row r="1" spans="1:29"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c r="U1" s="2685"/>
      <c r="V1" s="2685"/>
    </row>
    <row r="2" spans="1:29" ht="28.5">
      <c r="A2" s="1206" t="str">
        <f>"گزارش گردش مواد اوليه و لوازم بسته‌بندي تولید در دوره " &amp; روکش!F9 &amp; " سال " &amp; روکش!D9</f>
        <v>گزارش گردش مواد اوليه و لوازم بسته‌بندي تولید در دوره شش ماهه سال 1405</v>
      </c>
      <c r="B2" s="1206"/>
      <c r="C2" s="1206"/>
      <c r="D2" s="1206"/>
      <c r="E2" s="1206"/>
      <c r="F2" s="1206"/>
      <c r="G2" s="1206"/>
      <c r="H2" s="1206"/>
      <c r="I2" s="1206"/>
      <c r="J2" s="1206"/>
      <c r="K2" s="1206"/>
      <c r="L2" s="1206"/>
      <c r="M2" s="1206"/>
      <c r="N2" s="1206"/>
      <c r="O2" s="1206"/>
      <c r="P2" s="1206"/>
      <c r="Q2" s="1203"/>
      <c r="R2" s="1203"/>
      <c r="S2" s="1203"/>
      <c r="T2" s="1203"/>
      <c r="U2" s="1203"/>
      <c r="V2" s="1203"/>
    </row>
    <row r="3" spans="1:29" ht="24.75" thickBot="1">
      <c r="A3" s="67"/>
      <c r="B3" s="67"/>
      <c r="C3" s="461"/>
      <c r="D3" s="461"/>
      <c r="E3" s="461"/>
      <c r="F3" s="461"/>
      <c r="G3" s="456"/>
      <c r="H3" s="455"/>
      <c r="I3"/>
      <c r="J3"/>
      <c r="K3"/>
      <c r="L3"/>
      <c r="M3"/>
      <c r="N3"/>
      <c r="O3" s="1207"/>
      <c r="P3" s="1207"/>
      <c r="Q3" s="1388"/>
      <c r="R3" s="1207" t="s">
        <v>3</v>
      </c>
      <c r="S3" s="1207"/>
      <c r="T3" s="1343"/>
      <c r="U3" s="1343"/>
      <c r="V3" s="1208" t="s">
        <v>30</v>
      </c>
      <c r="W3" s="1221"/>
    </row>
    <row r="4" spans="1:29" ht="24">
      <c r="A4" s="2885" t="s">
        <v>5</v>
      </c>
      <c r="B4" s="2888" t="s">
        <v>21</v>
      </c>
      <c r="C4" s="2891" t="s">
        <v>22</v>
      </c>
      <c r="D4" s="1389" t="s">
        <v>172</v>
      </c>
      <c r="E4" s="1390"/>
      <c r="F4" s="1391"/>
      <c r="G4" s="1391"/>
      <c r="H4" s="1392"/>
      <c r="I4" s="1393"/>
      <c r="J4" s="1394" t="s">
        <v>688</v>
      </c>
      <c r="K4" s="1395"/>
      <c r="L4" s="1395"/>
      <c r="M4" s="1395"/>
      <c r="N4" s="1395"/>
      <c r="O4" s="1395"/>
      <c r="P4" s="1395"/>
      <c r="Q4" s="1395"/>
      <c r="R4" s="1395"/>
      <c r="S4" s="1395"/>
      <c r="T4" s="1395"/>
      <c r="U4" s="1395"/>
      <c r="V4" s="1396"/>
    </row>
    <row r="5" spans="1:29" ht="21">
      <c r="A5" s="2886"/>
      <c r="B5" s="2889"/>
      <c r="C5" s="2892"/>
      <c r="D5" s="1397" t="s">
        <v>229</v>
      </c>
      <c r="E5" s="1398"/>
      <c r="F5" s="1399"/>
      <c r="G5" s="1400" t="s">
        <v>228</v>
      </c>
      <c r="H5" s="1398"/>
      <c r="I5" s="1401"/>
      <c r="J5" s="1397" t="s">
        <v>53</v>
      </c>
      <c r="K5" s="1398"/>
      <c r="L5" s="1399"/>
      <c r="M5" s="1397" t="s">
        <v>216</v>
      </c>
      <c r="N5" s="1398"/>
      <c r="O5" s="1398"/>
      <c r="P5" s="1398"/>
      <c r="Q5" s="1399"/>
      <c r="R5" s="1400" t="s">
        <v>687</v>
      </c>
      <c r="S5" s="1398"/>
      <c r="T5" s="1398"/>
      <c r="U5" s="1398"/>
      <c r="V5" s="2128"/>
    </row>
    <row r="6" spans="1:29" ht="21.75" thickBot="1">
      <c r="A6" s="2887"/>
      <c r="B6" s="2890"/>
      <c r="C6" s="2893"/>
      <c r="D6" s="465" t="s">
        <v>8</v>
      </c>
      <c r="E6" s="466" t="s">
        <v>9</v>
      </c>
      <c r="F6" s="468" t="s">
        <v>10</v>
      </c>
      <c r="G6" s="467" t="s">
        <v>8</v>
      </c>
      <c r="H6" s="466" t="s">
        <v>9</v>
      </c>
      <c r="I6" s="475" t="s">
        <v>10</v>
      </c>
      <c r="J6" s="465" t="s">
        <v>8</v>
      </c>
      <c r="K6" s="466" t="s">
        <v>9</v>
      </c>
      <c r="L6" s="468" t="s">
        <v>10</v>
      </c>
      <c r="M6" s="2190" t="s">
        <v>8</v>
      </c>
      <c r="N6" s="2184"/>
      <c r="O6" s="2186" t="s">
        <v>9</v>
      </c>
      <c r="P6" s="2190"/>
      <c r="Q6" s="468" t="s">
        <v>10</v>
      </c>
      <c r="R6" s="2190" t="s">
        <v>8</v>
      </c>
      <c r="S6" s="2184"/>
      <c r="T6" s="2186" t="s">
        <v>9</v>
      </c>
      <c r="U6" s="2190"/>
      <c r="V6" s="468" t="s">
        <v>10</v>
      </c>
      <c r="AA6" s="1275" t="s">
        <v>786</v>
      </c>
      <c r="AB6" s="1275" t="s">
        <v>785</v>
      </c>
      <c r="AC6" s="41"/>
    </row>
    <row r="7" spans="1:29" ht="21">
      <c r="A7" s="1303">
        <v>1</v>
      </c>
      <c r="B7" s="850">
        <f ca="1">IF(ROW()-ROW($A$7)&lt;'الف-ب-ج'!$L$9,INDIRECT("BudgetDB!BA"&amp;('الف-ب-ج'!$M$9+ROW()-ROW($A$7))),"")</f>
        <v>0</v>
      </c>
      <c r="C7" s="851">
        <f ca="1">IF(ROW()-ROW($A$7)&lt;'الف-ب-ج'!$L$9,INDIRECT("BudgetDB!BB"&amp;('الف-ب-ج'!$M$9+ROW()-ROW($A$7))),"")</f>
        <v>0</v>
      </c>
      <c r="D7" s="215"/>
      <c r="E7" s="216"/>
      <c r="F7" s="1369">
        <f>IFERROR(E7*D7/1000000,0)</f>
        <v>0</v>
      </c>
      <c r="G7" s="215"/>
      <c r="H7" s="216"/>
      <c r="I7" s="478">
        <f>IFERROR(H7*G7/1000000,0)</f>
        <v>0</v>
      </c>
      <c r="J7" s="1366" cm="1">
        <f t="array" aca="1" ref="J7" ca="1">IF(ROW()-ROW($A$7)&lt;'الف-ب-ج'!$L$9,IF(روکش!$F$9="سه ماهه",INDIRECT("BudgetDB!BC"&amp;('الف-ب-ج'!$M$9+ROW()-ROW($A$7))),INDIRECT("BudgetDB!BD"&amp;('الف-ب-ج'!$M$9+ROW()-ROW($A$7)))),"")</f>
        <v>0</v>
      </c>
      <c r="K7" s="838" cm="1">
        <f t="array" aca="1" ref="K7" ca="1">IF(ROW()-ROW($A$7)&lt;'الف-ب-ج'!$L$9,IF(روکش!$F$9="سه ماهه",INDIRECT("BudgetDB!BE"&amp;('الف-ب-ج'!$M$9+ROW()-ROW($A$7))),INDIRECT("BudgetDB!BF"&amp;('الف-ب-ج'!$M$9+ROW()-ROW($A$7)))),"")</f>
        <v>0</v>
      </c>
      <c r="L7" s="1369">
        <f ca="1">IFERROR(K7*J7/1000000,0)</f>
        <v>0</v>
      </c>
      <c r="M7" s="2194"/>
      <c r="N7" s="2191"/>
      <c r="O7" s="2305"/>
      <c r="P7" s="2191"/>
      <c r="Q7" s="1369">
        <f>IFERROR(O7*M7/1000000,0)</f>
        <v>0</v>
      </c>
      <c r="R7" s="2119" t="str">
        <f ca="1">IFERROR(M7*100/J7,"-")</f>
        <v>-</v>
      </c>
      <c r="S7" s="2163">
        <f ca="1">IFERROR(ABS(R7-100),500)</f>
        <v>500</v>
      </c>
      <c r="T7" s="2169" t="str">
        <f ca="1">IFERROR(O7*100/K7,"-")</f>
        <v>-</v>
      </c>
      <c r="U7" s="2163">
        <f ca="1">IFERROR(ABS(T7-100),500)</f>
        <v>500</v>
      </c>
      <c r="V7" s="415" t="str">
        <f ca="1">IFERROR(Q7*100/L7,"-")</f>
        <v>-</v>
      </c>
      <c r="AA7" s="1275">
        <f>ROW(B7)</f>
        <v>7</v>
      </c>
      <c r="AB7" s="1275">
        <f ca="1">COUNTIF(B7:B23,"&lt;&gt;0")+AA7-1</f>
        <v>6</v>
      </c>
      <c r="AC7" s="41">
        <f ca="1">COUNTIF(B7:B23,"&lt;&gt;0")</f>
        <v>0</v>
      </c>
    </row>
    <row r="8" spans="1:29" ht="21">
      <c r="A8" s="1304">
        <v>2</v>
      </c>
      <c r="B8" s="852">
        <f ca="1">IF(ROW()-ROW($A$7)&lt;'الف-ب-ج'!$L$9,INDIRECT("BudgetDB!BA"&amp;('الف-ب-ج'!$M$9+ROW()-ROW($A$7))),"")</f>
        <v>0</v>
      </c>
      <c r="C8" s="853">
        <f ca="1">IF(ROW()-ROW($A$7)&lt;'الف-ب-ج'!$L$9,INDIRECT("BudgetDB!BB"&amp;('الف-ب-ج'!$M$9+ROW()-ROW($A$7))),"")</f>
        <v>0</v>
      </c>
      <c r="D8" s="217"/>
      <c r="E8" s="218"/>
      <c r="F8" s="457">
        <f t="shared" ref="F8:F23" si="0">IFERROR(E8*D8/1000000,0)</f>
        <v>0</v>
      </c>
      <c r="G8" s="217"/>
      <c r="H8" s="218"/>
      <c r="I8" s="480">
        <f t="shared" ref="I8:I23" si="1">IFERROR(H8*G8/1000000,0)</f>
        <v>0</v>
      </c>
      <c r="J8" s="1367" cm="1">
        <f t="array" aca="1" ref="J8" ca="1">IF(ROW()-ROW($A$7)&lt;'الف-ب-ج'!$L$9,IF(روکش!$F$9="سه ماهه",INDIRECT("BudgetDB!BC"&amp;('الف-ب-ج'!$M$9+ROW()-ROW($A$7))),INDIRECT("BudgetDB!BD"&amp;('الف-ب-ج'!$M$9+ROW()-ROW($A$7)))),"")</f>
        <v>0</v>
      </c>
      <c r="K8" s="839" cm="1">
        <f t="array" aca="1" ref="K8" ca="1">IF(ROW()-ROW($A$7)&lt;'الف-ب-ج'!$L$9,IF(روکش!$F$9="سه ماهه",INDIRECT("BudgetDB!BE"&amp;('الف-ب-ج'!$M$9+ROW()-ROW($A$7))),INDIRECT("BudgetDB!BF"&amp;('الف-ب-ج'!$M$9+ROW()-ROW($A$7)))),"")</f>
        <v>0</v>
      </c>
      <c r="L8" s="457">
        <f t="shared" ref="L8:L23" ca="1" si="2">IFERROR(K8*J8/1000000,0)</f>
        <v>0</v>
      </c>
      <c r="M8" s="2195"/>
      <c r="N8" s="2192"/>
      <c r="O8" s="2182"/>
      <c r="P8" s="2192"/>
      <c r="Q8" s="457">
        <f t="shared" ref="Q8:Q23" si="3">IFERROR(O8*M8/1000000,0)</f>
        <v>0</v>
      </c>
      <c r="R8" s="2120" t="str">
        <f t="shared" ref="R8:R10" ca="1" si="4">IFERROR(M8*100/J8,"-")</f>
        <v>-</v>
      </c>
      <c r="S8" s="2164">
        <f t="shared" ref="S8:U23" ca="1" si="5">IFERROR(ABS(R8-100),500)</f>
        <v>500</v>
      </c>
      <c r="T8" s="2170" t="str">
        <f t="shared" ref="T8:T10" ca="1" si="6">IFERROR(O8*100/K8,"-")</f>
        <v>-</v>
      </c>
      <c r="U8" s="2164">
        <f t="shared" ca="1" si="5"/>
        <v>500</v>
      </c>
      <c r="V8" s="418" t="str">
        <f t="shared" ref="V8:V10" ca="1" si="7">IFERROR(Q8*100/L8,"-")</f>
        <v>-</v>
      </c>
    </row>
    <row r="9" spans="1:29" ht="21">
      <c r="A9" s="1304">
        <v>3</v>
      </c>
      <c r="B9" s="852">
        <f ca="1">IF(ROW()-ROW($A$7)&lt;'الف-ب-ج'!$L$9,INDIRECT("BudgetDB!BA"&amp;('الف-ب-ج'!$M$9+ROW()-ROW($A$7))),"")</f>
        <v>0</v>
      </c>
      <c r="C9" s="853">
        <f ca="1">IF(ROW()-ROW($A$7)&lt;'الف-ب-ج'!$L$9,INDIRECT("BudgetDB!BB"&amp;('الف-ب-ج'!$M$9+ROW()-ROW($A$7))),"")</f>
        <v>0</v>
      </c>
      <c r="D9" s="217"/>
      <c r="E9" s="218"/>
      <c r="F9" s="457">
        <f t="shared" si="0"/>
        <v>0</v>
      </c>
      <c r="G9" s="217"/>
      <c r="H9" s="218"/>
      <c r="I9" s="480">
        <f t="shared" si="1"/>
        <v>0</v>
      </c>
      <c r="J9" s="1367" cm="1">
        <f t="array" aca="1" ref="J9" ca="1">IF(ROW()-ROW($A$7)&lt;'الف-ب-ج'!$L$9,IF(روکش!$F$9="سه ماهه",INDIRECT("BudgetDB!BC"&amp;('الف-ب-ج'!$M$9+ROW()-ROW($A$7))),INDIRECT("BudgetDB!BD"&amp;('الف-ب-ج'!$M$9+ROW()-ROW($A$7)))),"")</f>
        <v>0</v>
      </c>
      <c r="K9" s="839" cm="1">
        <f t="array" aca="1" ref="K9" ca="1">IF(ROW()-ROW($A$7)&lt;'الف-ب-ج'!$L$9,IF(روکش!$F$9="سه ماهه",INDIRECT("BudgetDB!BE"&amp;('الف-ب-ج'!$M$9+ROW()-ROW($A$7))),INDIRECT("BudgetDB!BF"&amp;('الف-ب-ج'!$M$9+ROW()-ROW($A$7)))),"")</f>
        <v>0</v>
      </c>
      <c r="L9" s="457">
        <f t="shared" ca="1" si="2"/>
        <v>0</v>
      </c>
      <c r="M9" s="2195"/>
      <c r="N9" s="2192"/>
      <c r="O9" s="2182"/>
      <c r="P9" s="2192"/>
      <c r="Q9" s="457">
        <f t="shared" si="3"/>
        <v>0</v>
      </c>
      <c r="R9" s="2120" t="str">
        <f t="shared" ca="1" si="4"/>
        <v>-</v>
      </c>
      <c r="S9" s="2164">
        <f t="shared" ca="1" si="5"/>
        <v>500</v>
      </c>
      <c r="T9" s="2170" t="str">
        <f t="shared" ca="1" si="6"/>
        <v>-</v>
      </c>
      <c r="U9" s="2164">
        <f t="shared" ca="1" si="5"/>
        <v>500</v>
      </c>
      <c r="V9" s="418" t="str">
        <f t="shared" ca="1" si="7"/>
        <v>-</v>
      </c>
    </row>
    <row r="10" spans="1:29" ht="21">
      <c r="A10" s="1304">
        <v>4</v>
      </c>
      <c r="B10" s="852">
        <f ca="1">IF(ROW()-ROW($A$7)&lt;'الف-ب-ج'!$L$9,INDIRECT("BudgetDB!BA"&amp;('الف-ب-ج'!$M$9+ROW()-ROW($A$7))),"")</f>
        <v>0</v>
      </c>
      <c r="C10" s="853">
        <f ca="1">IF(ROW()-ROW($A$7)&lt;'الف-ب-ج'!$L$9,INDIRECT("BudgetDB!BB"&amp;('الف-ب-ج'!$M$9+ROW()-ROW($A$7))),"")</f>
        <v>0</v>
      </c>
      <c r="D10" s="217"/>
      <c r="E10" s="218"/>
      <c r="F10" s="457">
        <f t="shared" si="0"/>
        <v>0</v>
      </c>
      <c r="G10" s="217"/>
      <c r="H10" s="218"/>
      <c r="I10" s="480">
        <f t="shared" si="1"/>
        <v>0</v>
      </c>
      <c r="J10" s="1367" cm="1">
        <f t="array" aca="1" ref="J10" ca="1">IF(ROW()-ROW($A$7)&lt;'الف-ب-ج'!$L$9,IF(روکش!$F$9="سه ماهه",INDIRECT("BudgetDB!BC"&amp;('الف-ب-ج'!$M$9+ROW()-ROW($A$7))),INDIRECT("BudgetDB!BD"&amp;('الف-ب-ج'!$M$9+ROW()-ROW($A$7)))),"")</f>
        <v>0</v>
      </c>
      <c r="K10" s="839" cm="1">
        <f t="array" aca="1" ref="K10" ca="1">IF(ROW()-ROW($A$7)&lt;'الف-ب-ج'!$L$9,IF(روکش!$F$9="سه ماهه",INDIRECT("BudgetDB!BE"&amp;('الف-ب-ج'!$M$9+ROW()-ROW($A$7))),INDIRECT("BudgetDB!BF"&amp;('الف-ب-ج'!$M$9+ROW()-ROW($A$7)))),"")</f>
        <v>0</v>
      </c>
      <c r="L10" s="457">
        <f t="shared" ca="1" si="2"/>
        <v>0</v>
      </c>
      <c r="M10" s="2195"/>
      <c r="N10" s="2192"/>
      <c r="O10" s="2182"/>
      <c r="P10" s="2192"/>
      <c r="Q10" s="457">
        <f t="shared" si="3"/>
        <v>0</v>
      </c>
      <c r="R10" s="2120" t="str">
        <f t="shared" ca="1" si="4"/>
        <v>-</v>
      </c>
      <c r="S10" s="2164">
        <f t="shared" ca="1" si="5"/>
        <v>500</v>
      </c>
      <c r="T10" s="2170" t="str">
        <f t="shared" ca="1" si="6"/>
        <v>-</v>
      </c>
      <c r="U10" s="2164">
        <f t="shared" ca="1" si="5"/>
        <v>500</v>
      </c>
      <c r="V10" s="418" t="str">
        <f t="shared" ca="1" si="7"/>
        <v>-</v>
      </c>
    </row>
    <row r="11" spans="1:29" ht="21">
      <c r="A11" s="1304">
        <v>5</v>
      </c>
      <c r="B11" s="852">
        <f ca="1">IF(ROW()-ROW($A$7)&lt;'الف-ب-ج'!$L$9,INDIRECT("BudgetDB!BA"&amp;('الف-ب-ج'!$M$9+ROW()-ROW($A$7))),"")</f>
        <v>0</v>
      </c>
      <c r="C11" s="853">
        <f ca="1">IF(ROW()-ROW($A$7)&lt;'الف-ب-ج'!$L$9,INDIRECT("BudgetDB!BB"&amp;('الف-ب-ج'!$M$9+ROW()-ROW($A$7))),"")</f>
        <v>0</v>
      </c>
      <c r="D11" s="217"/>
      <c r="E11" s="218"/>
      <c r="F11" s="457">
        <f t="shared" si="0"/>
        <v>0</v>
      </c>
      <c r="G11" s="217"/>
      <c r="H11" s="218"/>
      <c r="I11" s="480">
        <f t="shared" si="1"/>
        <v>0</v>
      </c>
      <c r="J11" s="1367" cm="1">
        <f t="array" aca="1" ref="J11" ca="1">IF(ROW()-ROW($A$7)&lt;'الف-ب-ج'!$L$9,IF(روکش!$F$9="سه ماهه",INDIRECT("BudgetDB!BC"&amp;('الف-ب-ج'!$M$9+ROW()-ROW($A$7))),INDIRECT("BudgetDB!BD"&amp;('الف-ب-ج'!$M$9+ROW()-ROW($A$7)))),"")</f>
        <v>0</v>
      </c>
      <c r="K11" s="839" cm="1">
        <f t="array" aca="1" ref="K11" ca="1">IF(ROW()-ROW($A$7)&lt;'الف-ب-ج'!$L$9,IF(روکش!$F$9="سه ماهه",INDIRECT("BudgetDB!BE"&amp;('الف-ب-ج'!$M$9+ROW()-ROW($A$7))),INDIRECT("BudgetDB!BF"&amp;('الف-ب-ج'!$M$9+ROW()-ROW($A$7)))),"")</f>
        <v>0</v>
      </c>
      <c r="L11" s="457">
        <f t="shared" ca="1" si="2"/>
        <v>0</v>
      </c>
      <c r="M11" s="2195"/>
      <c r="N11" s="2192"/>
      <c r="O11" s="2182"/>
      <c r="P11" s="2192"/>
      <c r="Q11" s="457">
        <f t="shared" si="3"/>
        <v>0</v>
      </c>
      <c r="R11" s="2120" t="str">
        <f t="shared" ref="R11:R23" ca="1" si="8">IFERROR(M11*100/J11,"-")</f>
        <v>-</v>
      </c>
      <c r="S11" s="2164">
        <f t="shared" ca="1" si="5"/>
        <v>500</v>
      </c>
      <c r="T11" s="2170" t="str">
        <f t="shared" ref="T11:T23" ca="1" si="9">IFERROR(O11*100/K11,"-")</f>
        <v>-</v>
      </c>
      <c r="U11" s="2164">
        <f t="shared" ca="1" si="5"/>
        <v>500</v>
      </c>
      <c r="V11" s="418" t="str">
        <f t="shared" ref="V11:V24" ca="1" si="10">IFERROR(Q11*100/L11,"-")</f>
        <v>-</v>
      </c>
    </row>
    <row r="12" spans="1:29" ht="21">
      <c r="A12" s="1304">
        <v>6</v>
      </c>
      <c r="B12" s="852">
        <f ca="1">IF(ROW()-ROW($A$7)&lt;'الف-ب-ج'!$L$9,INDIRECT("BudgetDB!BA"&amp;('الف-ب-ج'!$M$9+ROW()-ROW($A$7))),"")</f>
        <v>0</v>
      </c>
      <c r="C12" s="853">
        <f ca="1">IF(ROW()-ROW($A$7)&lt;'الف-ب-ج'!$L$9,INDIRECT("BudgetDB!BB"&amp;('الف-ب-ج'!$M$9+ROW()-ROW($A$7))),"")</f>
        <v>0</v>
      </c>
      <c r="D12" s="175"/>
      <c r="E12" s="218"/>
      <c r="F12" s="457">
        <f t="shared" si="0"/>
        <v>0</v>
      </c>
      <c r="G12" s="175"/>
      <c r="H12" s="218"/>
      <c r="I12" s="480">
        <f t="shared" si="1"/>
        <v>0</v>
      </c>
      <c r="J12" s="1367" cm="1">
        <f t="array" aca="1" ref="J12" ca="1">IF(ROW()-ROW($A$7)&lt;'الف-ب-ج'!$L$9,IF(روکش!$F$9="سه ماهه",INDIRECT("BudgetDB!BC"&amp;('الف-ب-ج'!$M$9+ROW()-ROW($A$7))),INDIRECT("BudgetDB!BD"&amp;('الف-ب-ج'!$M$9+ROW()-ROW($A$7)))),"")</f>
        <v>0</v>
      </c>
      <c r="K12" s="839" cm="1">
        <f t="array" aca="1" ref="K12" ca="1">IF(ROW()-ROW($A$7)&lt;'الف-ب-ج'!$L$9,IF(روکش!$F$9="سه ماهه",INDIRECT("BudgetDB!BE"&amp;('الف-ب-ج'!$M$9+ROW()-ROW($A$7))),INDIRECT("BudgetDB!BF"&amp;('الف-ب-ج'!$M$9+ROW()-ROW($A$7)))),"")</f>
        <v>0</v>
      </c>
      <c r="L12" s="457">
        <f t="shared" ca="1" si="2"/>
        <v>0</v>
      </c>
      <c r="M12" s="2195"/>
      <c r="N12" s="2192"/>
      <c r="O12" s="2182"/>
      <c r="P12" s="2192"/>
      <c r="Q12" s="457">
        <f t="shared" si="3"/>
        <v>0</v>
      </c>
      <c r="R12" s="2120" t="str">
        <f t="shared" ca="1" si="8"/>
        <v>-</v>
      </c>
      <c r="S12" s="2164">
        <f t="shared" ca="1" si="5"/>
        <v>500</v>
      </c>
      <c r="T12" s="2170" t="str">
        <f t="shared" ca="1" si="9"/>
        <v>-</v>
      </c>
      <c r="U12" s="2164">
        <f t="shared" ca="1" si="5"/>
        <v>500</v>
      </c>
      <c r="V12" s="418" t="str">
        <f t="shared" ca="1" si="10"/>
        <v>-</v>
      </c>
    </row>
    <row r="13" spans="1:29" ht="21">
      <c r="A13" s="1304">
        <v>7</v>
      </c>
      <c r="B13" s="852">
        <f ca="1">IF(ROW()-ROW($A$7)&lt;'الف-ب-ج'!$L$9,INDIRECT("BudgetDB!BA"&amp;('الف-ب-ج'!$M$9+ROW()-ROW($A$7))),"")</f>
        <v>0</v>
      </c>
      <c r="C13" s="853">
        <f ca="1">IF(ROW()-ROW($A$7)&lt;'الف-ب-ج'!$L$9,INDIRECT("BudgetDB!BB"&amp;('الف-ب-ج'!$M$9+ROW()-ROW($A$7))),"")</f>
        <v>0</v>
      </c>
      <c r="D13" s="175"/>
      <c r="E13" s="218"/>
      <c r="F13" s="457">
        <f t="shared" si="0"/>
        <v>0</v>
      </c>
      <c r="G13" s="175"/>
      <c r="H13" s="218"/>
      <c r="I13" s="480">
        <f t="shared" si="1"/>
        <v>0</v>
      </c>
      <c r="J13" s="1367" cm="1">
        <f t="array" aca="1" ref="J13" ca="1">IF(ROW()-ROW($A$7)&lt;'الف-ب-ج'!$L$9,IF(روکش!$F$9="سه ماهه",INDIRECT("BudgetDB!BC"&amp;('الف-ب-ج'!$M$9+ROW()-ROW($A$7))),INDIRECT("BudgetDB!BD"&amp;('الف-ب-ج'!$M$9+ROW()-ROW($A$7)))),"")</f>
        <v>0</v>
      </c>
      <c r="K13" s="839" cm="1">
        <f t="array" aca="1" ref="K13" ca="1">IF(ROW()-ROW($A$7)&lt;'الف-ب-ج'!$L$9,IF(روکش!$F$9="سه ماهه",INDIRECT("BudgetDB!BE"&amp;('الف-ب-ج'!$M$9+ROW()-ROW($A$7))),INDIRECT("BudgetDB!BF"&amp;('الف-ب-ج'!$M$9+ROW()-ROW($A$7)))),"")</f>
        <v>0</v>
      </c>
      <c r="L13" s="457">
        <f t="shared" ca="1" si="2"/>
        <v>0</v>
      </c>
      <c r="M13" s="2195"/>
      <c r="N13" s="2192"/>
      <c r="O13" s="2182"/>
      <c r="P13" s="2192"/>
      <c r="Q13" s="457">
        <f t="shared" si="3"/>
        <v>0</v>
      </c>
      <c r="R13" s="2120" t="str">
        <f t="shared" ca="1" si="8"/>
        <v>-</v>
      </c>
      <c r="S13" s="2164">
        <f t="shared" ca="1" si="5"/>
        <v>500</v>
      </c>
      <c r="T13" s="2170" t="str">
        <f t="shared" ca="1" si="9"/>
        <v>-</v>
      </c>
      <c r="U13" s="2164">
        <f t="shared" ca="1" si="5"/>
        <v>500</v>
      </c>
      <c r="V13" s="418" t="str">
        <f t="shared" ca="1" si="10"/>
        <v>-</v>
      </c>
    </row>
    <row r="14" spans="1:29" ht="21">
      <c r="A14" s="1304">
        <v>8</v>
      </c>
      <c r="B14" s="852">
        <f ca="1">IF(ROW()-ROW($A$7)&lt;'الف-ب-ج'!$L$9,INDIRECT("BudgetDB!BA"&amp;('الف-ب-ج'!$M$9+ROW()-ROW($A$7))),"")</f>
        <v>0</v>
      </c>
      <c r="C14" s="853">
        <f ca="1">IF(ROW()-ROW($A$7)&lt;'الف-ب-ج'!$L$9,INDIRECT("BudgetDB!BB"&amp;('الف-ب-ج'!$M$9+ROW()-ROW($A$7))),"")</f>
        <v>0</v>
      </c>
      <c r="D14" s="175"/>
      <c r="E14" s="218"/>
      <c r="F14" s="457">
        <f t="shared" si="0"/>
        <v>0</v>
      </c>
      <c r="G14" s="175"/>
      <c r="H14" s="218"/>
      <c r="I14" s="480">
        <f t="shared" si="1"/>
        <v>0</v>
      </c>
      <c r="J14" s="1367" cm="1">
        <f t="array" aca="1" ref="J14" ca="1">IF(ROW()-ROW($A$7)&lt;'الف-ب-ج'!$L$9,IF(روکش!$F$9="سه ماهه",INDIRECT("BudgetDB!BC"&amp;('الف-ب-ج'!$M$9+ROW()-ROW($A$7))),INDIRECT("BudgetDB!BD"&amp;('الف-ب-ج'!$M$9+ROW()-ROW($A$7)))),"")</f>
        <v>0</v>
      </c>
      <c r="K14" s="839" cm="1">
        <f t="array" aca="1" ref="K14" ca="1">IF(ROW()-ROW($A$7)&lt;'الف-ب-ج'!$L$9,IF(روکش!$F$9="سه ماهه",INDIRECT("BudgetDB!BE"&amp;('الف-ب-ج'!$M$9+ROW()-ROW($A$7))),INDIRECT("BudgetDB!BF"&amp;('الف-ب-ج'!$M$9+ROW()-ROW($A$7)))),"")</f>
        <v>0</v>
      </c>
      <c r="L14" s="457">
        <f t="shared" ca="1" si="2"/>
        <v>0</v>
      </c>
      <c r="M14" s="2195"/>
      <c r="N14" s="2192"/>
      <c r="O14" s="2182"/>
      <c r="P14" s="2192"/>
      <c r="Q14" s="457">
        <f t="shared" si="3"/>
        <v>0</v>
      </c>
      <c r="R14" s="2120" t="str">
        <f t="shared" ca="1" si="8"/>
        <v>-</v>
      </c>
      <c r="S14" s="2164">
        <f t="shared" ca="1" si="5"/>
        <v>500</v>
      </c>
      <c r="T14" s="2170" t="str">
        <f t="shared" ca="1" si="9"/>
        <v>-</v>
      </c>
      <c r="U14" s="2164">
        <f t="shared" ca="1" si="5"/>
        <v>500</v>
      </c>
      <c r="V14" s="418" t="str">
        <f t="shared" ca="1" si="10"/>
        <v>-</v>
      </c>
    </row>
    <row r="15" spans="1:29" ht="21">
      <c r="A15" s="1304">
        <v>9</v>
      </c>
      <c r="B15" s="852">
        <f ca="1">IF(ROW()-ROW($A$7)&lt;'الف-ب-ج'!$L$9,INDIRECT("BudgetDB!BA"&amp;('الف-ب-ج'!$M$9+ROW()-ROW($A$7))),"")</f>
        <v>0</v>
      </c>
      <c r="C15" s="853">
        <f ca="1">IF(ROW()-ROW($A$7)&lt;'الف-ب-ج'!$L$9,INDIRECT("BudgetDB!BB"&amp;('الف-ب-ج'!$M$9+ROW()-ROW($A$7))),"")</f>
        <v>0</v>
      </c>
      <c r="D15" s="175"/>
      <c r="E15" s="218"/>
      <c r="F15" s="457">
        <f t="shared" si="0"/>
        <v>0</v>
      </c>
      <c r="G15" s="175"/>
      <c r="H15" s="218"/>
      <c r="I15" s="480">
        <f t="shared" si="1"/>
        <v>0</v>
      </c>
      <c r="J15" s="1367" cm="1">
        <f t="array" aca="1" ref="J15" ca="1">IF(ROW()-ROW($A$7)&lt;'الف-ب-ج'!$L$9,IF(روکش!$F$9="سه ماهه",INDIRECT("BudgetDB!BC"&amp;('الف-ب-ج'!$M$9+ROW()-ROW($A$7))),INDIRECT("BudgetDB!BD"&amp;('الف-ب-ج'!$M$9+ROW()-ROW($A$7)))),"")</f>
        <v>0</v>
      </c>
      <c r="K15" s="839" cm="1">
        <f t="array" aca="1" ref="K15" ca="1">IF(ROW()-ROW($A$7)&lt;'الف-ب-ج'!$L$9,IF(روکش!$F$9="سه ماهه",INDIRECT("BudgetDB!BE"&amp;('الف-ب-ج'!$M$9+ROW()-ROW($A$7))),INDIRECT("BudgetDB!BF"&amp;('الف-ب-ج'!$M$9+ROW()-ROW($A$7)))),"")</f>
        <v>0</v>
      </c>
      <c r="L15" s="457">
        <f t="shared" ca="1" si="2"/>
        <v>0</v>
      </c>
      <c r="M15" s="2195"/>
      <c r="N15" s="2192"/>
      <c r="O15" s="2182"/>
      <c r="P15" s="2192"/>
      <c r="Q15" s="457">
        <f t="shared" si="3"/>
        <v>0</v>
      </c>
      <c r="R15" s="2120" t="str">
        <f t="shared" ca="1" si="8"/>
        <v>-</v>
      </c>
      <c r="S15" s="2164">
        <f t="shared" ca="1" si="5"/>
        <v>500</v>
      </c>
      <c r="T15" s="2170" t="str">
        <f t="shared" ca="1" si="9"/>
        <v>-</v>
      </c>
      <c r="U15" s="2164">
        <f t="shared" ca="1" si="5"/>
        <v>500</v>
      </c>
      <c r="V15" s="418" t="str">
        <f t="shared" ca="1" si="10"/>
        <v>-</v>
      </c>
    </row>
    <row r="16" spans="1:29" ht="21">
      <c r="A16" s="1304">
        <v>10</v>
      </c>
      <c r="B16" s="852">
        <f ca="1">IF(ROW()-ROW($A$7)&lt;'الف-ب-ج'!$L$9,INDIRECT("BudgetDB!BA"&amp;('الف-ب-ج'!$M$9+ROW()-ROW($A$7))),"")</f>
        <v>0</v>
      </c>
      <c r="C16" s="853">
        <f ca="1">IF(ROW()-ROW($A$7)&lt;'الف-ب-ج'!$L$9,INDIRECT("BudgetDB!BB"&amp;('الف-ب-ج'!$M$9+ROW()-ROW($A$7))),"")</f>
        <v>0</v>
      </c>
      <c r="D16" s="175"/>
      <c r="E16" s="218"/>
      <c r="F16" s="457">
        <f t="shared" si="0"/>
        <v>0</v>
      </c>
      <c r="G16" s="175"/>
      <c r="H16" s="218"/>
      <c r="I16" s="480">
        <f t="shared" si="1"/>
        <v>0</v>
      </c>
      <c r="J16" s="1367" cm="1">
        <f t="array" aca="1" ref="J16" ca="1">IF(ROW()-ROW($A$7)&lt;'الف-ب-ج'!$L$9,IF(روکش!$F$9="سه ماهه",INDIRECT("BudgetDB!BC"&amp;('الف-ب-ج'!$M$9+ROW()-ROW($A$7))),INDIRECT("BudgetDB!BD"&amp;('الف-ب-ج'!$M$9+ROW()-ROW($A$7)))),"")</f>
        <v>0</v>
      </c>
      <c r="K16" s="839" cm="1">
        <f t="array" aca="1" ref="K16" ca="1">IF(ROW()-ROW($A$7)&lt;'الف-ب-ج'!$L$9,IF(روکش!$F$9="سه ماهه",INDIRECT("BudgetDB!BE"&amp;('الف-ب-ج'!$M$9+ROW()-ROW($A$7))),INDIRECT("BudgetDB!BF"&amp;('الف-ب-ج'!$M$9+ROW()-ROW($A$7)))),"")</f>
        <v>0</v>
      </c>
      <c r="L16" s="457">
        <f t="shared" ca="1" si="2"/>
        <v>0</v>
      </c>
      <c r="M16" s="2195"/>
      <c r="N16" s="2192"/>
      <c r="O16" s="2182"/>
      <c r="P16" s="2192"/>
      <c r="Q16" s="457">
        <f t="shared" si="3"/>
        <v>0</v>
      </c>
      <c r="R16" s="2120" t="str">
        <f t="shared" ca="1" si="8"/>
        <v>-</v>
      </c>
      <c r="S16" s="2164">
        <f t="shared" ca="1" si="5"/>
        <v>500</v>
      </c>
      <c r="T16" s="2170" t="str">
        <f t="shared" ca="1" si="9"/>
        <v>-</v>
      </c>
      <c r="U16" s="2164">
        <f t="shared" ca="1" si="5"/>
        <v>500</v>
      </c>
      <c r="V16" s="418" t="str">
        <f t="shared" ca="1" si="10"/>
        <v>-</v>
      </c>
    </row>
    <row r="17" spans="1:22" ht="21">
      <c r="A17" s="1304">
        <v>11</v>
      </c>
      <c r="B17" s="854">
        <f ca="1">IF(ROW()-ROW($A$7)&lt;'الف-ب-ج'!$L$9,INDIRECT("BudgetDB!BA"&amp;('الف-ب-ج'!$M$9+ROW()-ROW($A$7))),"")</f>
        <v>0</v>
      </c>
      <c r="C17" s="853">
        <f ca="1">IF(ROW()-ROW($A$7)&lt;'الف-ب-ج'!$L$9,INDIRECT("BudgetDB!BB"&amp;('الف-ب-ج'!$M$9+ROW()-ROW($A$7))),"")</f>
        <v>0</v>
      </c>
      <c r="D17" s="175"/>
      <c r="E17" s="218"/>
      <c r="F17" s="457">
        <f t="shared" si="0"/>
        <v>0</v>
      </c>
      <c r="G17" s="175"/>
      <c r="H17" s="218"/>
      <c r="I17" s="480">
        <f t="shared" si="1"/>
        <v>0</v>
      </c>
      <c r="J17" s="1367" cm="1">
        <f t="array" aca="1" ref="J17" ca="1">IF(ROW()-ROW($A$7)&lt;'الف-ب-ج'!$L$9,IF(روکش!$F$9="سه ماهه",INDIRECT("BudgetDB!BC"&amp;('الف-ب-ج'!$M$9+ROW()-ROW($A$7))),INDIRECT("BudgetDB!BD"&amp;('الف-ب-ج'!$M$9+ROW()-ROW($A$7)))),"")</f>
        <v>0</v>
      </c>
      <c r="K17" s="839" cm="1">
        <f t="array" aca="1" ref="K17" ca="1">IF(ROW()-ROW($A$7)&lt;'الف-ب-ج'!$L$9,IF(روکش!$F$9="سه ماهه",INDIRECT("BudgetDB!BE"&amp;('الف-ب-ج'!$M$9+ROW()-ROW($A$7))),INDIRECT("BudgetDB!BF"&amp;('الف-ب-ج'!$M$9+ROW()-ROW($A$7)))),"")</f>
        <v>0</v>
      </c>
      <c r="L17" s="1370">
        <f t="shared" ca="1" si="2"/>
        <v>0</v>
      </c>
      <c r="M17" s="2195"/>
      <c r="N17" s="2192"/>
      <c r="O17" s="2182"/>
      <c r="P17" s="2192"/>
      <c r="Q17" s="1370">
        <f t="shared" si="3"/>
        <v>0</v>
      </c>
      <c r="R17" s="2120" t="str">
        <f t="shared" ca="1" si="8"/>
        <v>-</v>
      </c>
      <c r="S17" s="2164">
        <f t="shared" ca="1" si="5"/>
        <v>500</v>
      </c>
      <c r="T17" s="2170" t="str">
        <f t="shared" ca="1" si="9"/>
        <v>-</v>
      </c>
      <c r="U17" s="2164">
        <f t="shared" ca="1" si="5"/>
        <v>500</v>
      </c>
      <c r="V17" s="418" t="str">
        <f t="shared" ca="1" si="10"/>
        <v>-</v>
      </c>
    </row>
    <row r="18" spans="1:22" ht="21">
      <c r="A18" s="1304">
        <v>12</v>
      </c>
      <c r="B18" s="854">
        <f ca="1">IF(ROW()-ROW($A$7)&lt;'الف-ب-ج'!$L$9,INDIRECT("BudgetDB!BA"&amp;('الف-ب-ج'!$M$9+ROW()-ROW($A$7))),"")</f>
        <v>0</v>
      </c>
      <c r="C18" s="853">
        <f ca="1">IF(ROW()-ROW($A$7)&lt;'الف-ب-ج'!$L$9,INDIRECT("BudgetDB!BB"&amp;('الف-ب-ج'!$M$9+ROW()-ROW($A$7))),"")</f>
        <v>0</v>
      </c>
      <c r="D18" s="175"/>
      <c r="E18" s="218"/>
      <c r="F18" s="457">
        <f t="shared" si="0"/>
        <v>0</v>
      </c>
      <c r="G18" s="175"/>
      <c r="H18" s="218"/>
      <c r="I18" s="480">
        <f t="shared" si="1"/>
        <v>0</v>
      </c>
      <c r="J18" s="1367" cm="1">
        <f t="array" aca="1" ref="J18" ca="1">IF(ROW()-ROW($A$7)&lt;'الف-ب-ج'!$L$9,IF(روکش!$F$9="سه ماهه",INDIRECT("BudgetDB!BC"&amp;('الف-ب-ج'!$M$9+ROW()-ROW($A$7))),INDIRECT("BudgetDB!BD"&amp;('الف-ب-ج'!$M$9+ROW()-ROW($A$7)))),"")</f>
        <v>0</v>
      </c>
      <c r="K18" s="839" cm="1">
        <f t="array" aca="1" ref="K18" ca="1">IF(ROW()-ROW($A$7)&lt;'الف-ب-ج'!$L$9,IF(روکش!$F$9="سه ماهه",INDIRECT("BudgetDB!BE"&amp;('الف-ب-ج'!$M$9+ROW()-ROW($A$7))),INDIRECT("BudgetDB!BF"&amp;('الف-ب-ج'!$M$9+ROW()-ROW($A$7)))),"")</f>
        <v>0</v>
      </c>
      <c r="L18" s="1370">
        <f t="shared" ca="1" si="2"/>
        <v>0</v>
      </c>
      <c r="M18" s="2195"/>
      <c r="N18" s="2192"/>
      <c r="O18" s="2182"/>
      <c r="P18" s="2192"/>
      <c r="Q18" s="1370">
        <f t="shared" si="3"/>
        <v>0</v>
      </c>
      <c r="R18" s="2120" t="str">
        <f t="shared" ca="1" si="8"/>
        <v>-</v>
      </c>
      <c r="S18" s="2164">
        <f t="shared" ca="1" si="5"/>
        <v>500</v>
      </c>
      <c r="T18" s="2170" t="str">
        <f t="shared" ca="1" si="9"/>
        <v>-</v>
      </c>
      <c r="U18" s="2164">
        <f t="shared" ca="1" si="5"/>
        <v>500</v>
      </c>
      <c r="V18" s="418" t="str">
        <f t="shared" ca="1" si="10"/>
        <v>-</v>
      </c>
    </row>
    <row r="19" spans="1:22" ht="21">
      <c r="A19" s="1304">
        <v>13</v>
      </c>
      <c r="B19" s="854">
        <f ca="1">IF(ROW()-ROW($A$7)&lt;'الف-ب-ج'!$L$9,INDIRECT("BudgetDB!BA"&amp;('الف-ب-ج'!$M$9+ROW()-ROW($A$7))),"")</f>
        <v>0</v>
      </c>
      <c r="C19" s="853">
        <f ca="1">IF(ROW()-ROW($A$7)&lt;'الف-ب-ج'!$L$9,INDIRECT("BudgetDB!BB"&amp;('الف-ب-ج'!$M$9+ROW()-ROW($A$7))),"")</f>
        <v>0</v>
      </c>
      <c r="D19" s="175"/>
      <c r="E19" s="218"/>
      <c r="F19" s="457">
        <f t="shared" si="0"/>
        <v>0</v>
      </c>
      <c r="G19" s="175"/>
      <c r="H19" s="218"/>
      <c r="I19" s="480">
        <f t="shared" si="1"/>
        <v>0</v>
      </c>
      <c r="J19" s="1367" cm="1">
        <f t="array" aca="1" ref="J19" ca="1">IF(ROW()-ROW($A$7)&lt;'الف-ب-ج'!$L$9,IF(روکش!$F$9="سه ماهه",INDIRECT("BudgetDB!BC"&amp;('الف-ب-ج'!$M$9+ROW()-ROW($A$7))),INDIRECT("BudgetDB!BD"&amp;('الف-ب-ج'!$M$9+ROW()-ROW($A$7)))),"")</f>
        <v>0</v>
      </c>
      <c r="K19" s="839" cm="1">
        <f t="array" aca="1" ref="K19" ca="1">IF(ROW()-ROW($A$7)&lt;'الف-ب-ج'!$L$9,IF(روکش!$F$9="سه ماهه",INDIRECT("BudgetDB!BE"&amp;('الف-ب-ج'!$M$9+ROW()-ROW($A$7))),INDIRECT("BudgetDB!BF"&amp;('الف-ب-ج'!$M$9+ROW()-ROW($A$7)))),"")</f>
        <v>0</v>
      </c>
      <c r="L19" s="1370">
        <f t="shared" ca="1" si="2"/>
        <v>0</v>
      </c>
      <c r="M19" s="2195"/>
      <c r="N19" s="2192"/>
      <c r="O19" s="2182"/>
      <c r="P19" s="2192"/>
      <c r="Q19" s="1370">
        <f t="shared" si="3"/>
        <v>0</v>
      </c>
      <c r="R19" s="2120" t="str">
        <f t="shared" ca="1" si="8"/>
        <v>-</v>
      </c>
      <c r="S19" s="2164">
        <f t="shared" ca="1" si="5"/>
        <v>500</v>
      </c>
      <c r="T19" s="2170" t="str">
        <f t="shared" ca="1" si="9"/>
        <v>-</v>
      </c>
      <c r="U19" s="2164">
        <f t="shared" ca="1" si="5"/>
        <v>500</v>
      </c>
      <c r="V19" s="418" t="str">
        <f t="shared" ca="1" si="10"/>
        <v>-</v>
      </c>
    </row>
    <row r="20" spans="1:22" ht="21">
      <c r="A20" s="1304">
        <v>14</v>
      </c>
      <c r="B20" s="854">
        <f ca="1">IF(ROW()-ROW($A$7)&lt;'الف-ب-ج'!$L$9,INDIRECT("BudgetDB!BA"&amp;('الف-ب-ج'!$M$9+ROW()-ROW($A$7))),"")</f>
        <v>0</v>
      </c>
      <c r="C20" s="853">
        <f ca="1">IF(ROW()-ROW($A$7)&lt;'الف-ب-ج'!$L$9,INDIRECT("BudgetDB!BB"&amp;('الف-ب-ج'!$M$9+ROW()-ROW($A$7))),"")</f>
        <v>0</v>
      </c>
      <c r="D20" s="175"/>
      <c r="E20" s="218"/>
      <c r="F20" s="457">
        <f t="shared" si="0"/>
        <v>0</v>
      </c>
      <c r="G20" s="175"/>
      <c r="H20" s="218"/>
      <c r="I20" s="480">
        <f t="shared" si="1"/>
        <v>0</v>
      </c>
      <c r="J20" s="1367" cm="1">
        <f t="array" aca="1" ref="J20" ca="1">IF(ROW()-ROW($A$7)&lt;'الف-ب-ج'!$L$9,IF(روکش!$F$9="سه ماهه",INDIRECT("BudgetDB!BC"&amp;('الف-ب-ج'!$M$9+ROW()-ROW($A$7))),INDIRECT("BudgetDB!BD"&amp;('الف-ب-ج'!$M$9+ROW()-ROW($A$7)))),"")</f>
        <v>0</v>
      </c>
      <c r="K20" s="839" cm="1">
        <f t="array" aca="1" ref="K20" ca="1">IF(ROW()-ROW($A$7)&lt;'الف-ب-ج'!$L$9,IF(روکش!$F$9="سه ماهه",INDIRECT("BudgetDB!BE"&amp;('الف-ب-ج'!$M$9+ROW()-ROW($A$7))),INDIRECT("BudgetDB!BF"&amp;('الف-ب-ج'!$M$9+ROW()-ROW($A$7)))),"")</f>
        <v>0</v>
      </c>
      <c r="L20" s="1370">
        <f t="shared" ca="1" si="2"/>
        <v>0</v>
      </c>
      <c r="M20" s="2195"/>
      <c r="N20" s="2192"/>
      <c r="O20" s="2182"/>
      <c r="P20" s="2192"/>
      <c r="Q20" s="1370">
        <f t="shared" si="3"/>
        <v>0</v>
      </c>
      <c r="R20" s="2120" t="str">
        <f t="shared" ca="1" si="8"/>
        <v>-</v>
      </c>
      <c r="S20" s="2164">
        <f t="shared" ca="1" si="5"/>
        <v>500</v>
      </c>
      <c r="T20" s="2170" t="str">
        <f t="shared" ca="1" si="9"/>
        <v>-</v>
      </c>
      <c r="U20" s="2164">
        <f t="shared" ca="1" si="5"/>
        <v>500</v>
      </c>
      <c r="V20" s="418" t="str">
        <f t="shared" ca="1" si="10"/>
        <v>-</v>
      </c>
    </row>
    <row r="21" spans="1:22" ht="21">
      <c r="A21" s="1304">
        <v>15</v>
      </c>
      <c r="B21" s="2044">
        <f ca="1">IF(ROW()-ROW($A$7)&lt;'الف-ب-ج'!$L$9,INDIRECT("BudgetDB!BA"&amp;('الف-ب-ج'!$M$9+ROW()-ROW($A$7))),"")</f>
        <v>0</v>
      </c>
      <c r="C21" s="484">
        <f ca="1">IF(ROW()-ROW($A$7)&lt;'الف-ب-ج'!$L$9,INDIRECT("BudgetDB!BB"&amp;('الف-ب-ج'!$M$9+ROW()-ROW($A$7))),"")</f>
        <v>0</v>
      </c>
      <c r="D21" s="175"/>
      <c r="E21" s="218"/>
      <c r="F21" s="457">
        <f t="shared" si="0"/>
        <v>0</v>
      </c>
      <c r="G21" s="175"/>
      <c r="H21" s="218"/>
      <c r="I21" s="480">
        <f t="shared" si="1"/>
        <v>0</v>
      </c>
      <c r="J21" s="1367" cm="1">
        <f t="array" aca="1" ref="J21" ca="1">IF(ROW()-ROW($A$7)&lt;'الف-ب-ج'!$L$9,IF(روکش!$F$9="سه ماهه",INDIRECT("BudgetDB!BC"&amp;('الف-ب-ج'!$M$9+ROW()-ROW($A$7))),INDIRECT("BudgetDB!BD"&amp;('الف-ب-ج'!$M$9+ROW()-ROW($A$7)))),"")</f>
        <v>0</v>
      </c>
      <c r="K21" s="839" cm="1">
        <f t="array" aca="1" ref="K21" ca="1">IF(ROW()-ROW($A$7)&lt;'الف-ب-ج'!$L$9,IF(روکش!$F$9="سه ماهه",INDIRECT("BudgetDB!BE"&amp;('الف-ب-ج'!$M$9+ROW()-ROW($A$7))),INDIRECT("BudgetDB!BF"&amp;('الف-ب-ج'!$M$9+ROW()-ROW($A$7)))),"")</f>
        <v>0</v>
      </c>
      <c r="L21" s="1370">
        <f t="shared" ca="1" si="2"/>
        <v>0</v>
      </c>
      <c r="M21" s="2195"/>
      <c r="N21" s="2192"/>
      <c r="O21" s="2182"/>
      <c r="P21" s="2192"/>
      <c r="Q21" s="1370">
        <f t="shared" si="3"/>
        <v>0</v>
      </c>
      <c r="R21" s="2120" t="str">
        <f t="shared" ca="1" si="8"/>
        <v>-</v>
      </c>
      <c r="S21" s="2164">
        <f t="shared" ca="1" si="5"/>
        <v>500</v>
      </c>
      <c r="T21" s="2170" t="str">
        <f t="shared" ca="1" si="9"/>
        <v>-</v>
      </c>
      <c r="U21" s="2164">
        <f t="shared" ca="1" si="5"/>
        <v>500</v>
      </c>
      <c r="V21" s="418" t="str">
        <f t="shared" ca="1" si="10"/>
        <v>-</v>
      </c>
    </row>
    <row r="22" spans="1:22" ht="21">
      <c r="A22" s="1304">
        <v>16</v>
      </c>
      <c r="B22" s="2044">
        <f ca="1">IF(ROW()-ROW($A$7)&lt;'الف-ب-ج'!$L$9,INDIRECT("BudgetDB!BA"&amp;('الف-ب-ج'!$M$9+ROW()-ROW($A$7))),"")</f>
        <v>0</v>
      </c>
      <c r="C22" s="484">
        <f ca="1">IF(ROW()-ROW($A$7)&lt;'الف-ب-ج'!$L$9,INDIRECT("BudgetDB!BB"&amp;('الف-ب-ج'!$M$9+ROW()-ROW($A$7))),"")</f>
        <v>0</v>
      </c>
      <c r="D22" s="175"/>
      <c r="E22" s="218"/>
      <c r="F22" s="457">
        <f t="shared" si="0"/>
        <v>0</v>
      </c>
      <c r="G22" s="175"/>
      <c r="H22" s="218"/>
      <c r="I22" s="480">
        <f t="shared" si="1"/>
        <v>0</v>
      </c>
      <c r="J22" s="1367" cm="1">
        <f t="array" aca="1" ref="J22" ca="1">IF(ROW()-ROW($A$7)&lt;'الف-ب-ج'!$L$9,IF(روکش!$F$9="سه ماهه",INDIRECT("BudgetDB!BC"&amp;('الف-ب-ج'!$M$9+ROW()-ROW($A$7))),INDIRECT("BudgetDB!BD"&amp;('الف-ب-ج'!$M$9+ROW()-ROW($A$7)))),"")</f>
        <v>0</v>
      </c>
      <c r="K22" s="839" cm="1">
        <f t="array" aca="1" ref="K22" ca="1">IF(ROW()-ROW($A$7)&lt;'الف-ب-ج'!$L$9,IF(روکش!$F$9="سه ماهه",INDIRECT("BudgetDB!BE"&amp;('الف-ب-ج'!$M$9+ROW()-ROW($A$7))),INDIRECT("BudgetDB!BF"&amp;('الف-ب-ج'!$M$9+ROW()-ROW($A$7)))),"")</f>
        <v>0</v>
      </c>
      <c r="L22" s="1370">
        <f t="shared" ca="1" si="2"/>
        <v>0</v>
      </c>
      <c r="M22" s="2195"/>
      <c r="N22" s="2192"/>
      <c r="O22" s="2182"/>
      <c r="P22" s="2192"/>
      <c r="Q22" s="1370">
        <f t="shared" si="3"/>
        <v>0</v>
      </c>
      <c r="R22" s="2120" t="str">
        <f t="shared" ca="1" si="8"/>
        <v>-</v>
      </c>
      <c r="S22" s="2164">
        <f t="shared" ca="1" si="5"/>
        <v>500</v>
      </c>
      <c r="T22" s="2170" t="str">
        <f t="shared" ca="1" si="9"/>
        <v>-</v>
      </c>
      <c r="U22" s="2164">
        <f t="shared" ca="1" si="5"/>
        <v>500</v>
      </c>
      <c r="V22" s="418" t="str">
        <f t="shared" ca="1" si="10"/>
        <v>-</v>
      </c>
    </row>
    <row r="23" spans="1:22" ht="21">
      <c r="A23" s="1304">
        <v>17</v>
      </c>
      <c r="B23" s="2044">
        <f ca="1">IF(ROW()-ROW($A$7)&lt;'الف-ب-ج'!$L$9,INDIRECT("BudgetDB!BA"&amp;('الف-ب-ج'!$M$9+ROW()-ROW($A$7))),"")</f>
        <v>0</v>
      </c>
      <c r="C23" s="484">
        <f ca="1">IF(ROW()-ROW($A$7)&lt;'الف-ب-ج'!$L$9,INDIRECT("BudgetDB!BB"&amp;('الف-ب-ج'!$M$9+ROW()-ROW($A$7))),"")</f>
        <v>0</v>
      </c>
      <c r="D23" s="175"/>
      <c r="E23" s="218"/>
      <c r="F23" s="457">
        <f t="shared" si="0"/>
        <v>0</v>
      </c>
      <c r="G23" s="175"/>
      <c r="H23" s="218"/>
      <c r="I23" s="480">
        <f t="shared" si="1"/>
        <v>0</v>
      </c>
      <c r="J23" s="1367" cm="1">
        <f t="array" aca="1" ref="J23" ca="1">IF(ROW()-ROW($A$7)&lt;'الف-ب-ج'!$L$9,IF(روکش!$F$9="سه ماهه",INDIRECT("BudgetDB!BC"&amp;('الف-ب-ج'!$M$9+ROW()-ROW($A$7))),INDIRECT("BudgetDB!BD"&amp;('الف-ب-ج'!$M$9+ROW()-ROW($A$7)))),"")</f>
        <v>0</v>
      </c>
      <c r="K23" s="839" cm="1">
        <f t="array" aca="1" ref="K23" ca="1">IF(ROW()-ROW($A$7)&lt;'الف-ب-ج'!$L$9,IF(روکش!$F$9="سه ماهه",INDIRECT("BudgetDB!BE"&amp;('الف-ب-ج'!$M$9+ROW()-ROW($A$7))),INDIRECT("BudgetDB!BF"&amp;('الف-ب-ج'!$M$9+ROW()-ROW($A$7)))),"")</f>
        <v>0</v>
      </c>
      <c r="L23" s="1370">
        <f t="shared" ca="1" si="2"/>
        <v>0</v>
      </c>
      <c r="M23" s="2196"/>
      <c r="N23" s="2193"/>
      <c r="O23" s="2306"/>
      <c r="P23" s="2307"/>
      <c r="Q23" s="1370">
        <f t="shared" si="3"/>
        <v>0</v>
      </c>
      <c r="R23" s="2120" t="str">
        <f t="shared" ca="1" si="8"/>
        <v>-</v>
      </c>
      <c r="S23" s="2164">
        <f t="shared" ca="1" si="5"/>
        <v>500</v>
      </c>
      <c r="T23" s="2170" t="str">
        <f t="shared" ca="1" si="9"/>
        <v>-</v>
      </c>
      <c r="U23" s="2164">
        <f t="shared" ca="1" si="5"/>
        <v>500</v>
      </c>
      <c r="V23" s="420" t="str">
        <f t="shared" ca="1" si="10"/>
        <v>-</v>
      </c>
    </row>
    <row r="24" spans="1:22" ht="24.75" thickBot="1">
      <c r="A24" s="2883" t="s">
        <v>31</v>
      </c>
      <c r="B24" s="2884"/>
      <c r="C24" s="1415"/>
      <c r="D24" s="1416"/>
      <c r="E24" s="1417"/>
      <c r="F24" s="1418">
        <f>SUM(F7:F23)</f>
        <v>0</v>
      </c>
      <c r="G24" s="1419"/>
      <c r="H24" s="1417"/>
      <c r="I24" s="1420">
        <f>SUM(I7:I23)</f>
        <v>0</v>
      </c>
      <c r="J24" s="1416"/>
      <c r="K24" s="1417"/>
      <c r="L24" s="1418">
        <f ca="1">SUM(L7:L23)</f>
        <v>0</v>
      </c>
      <c r="M24" s="2187"/>
      <c r="N24" s="1419"/>
      <c r="O24" s="2187"/>
      <c r="P24" s="1419"/>
      <c r="Q24" s="1418">
        <f>SUM(Q7:Q23)</f>
        <v>0</v>
      </c>
      <c r="R24" s="2189"/>
      <c r="S24" s="1422"/>
      <c r="T24" s="2178"/>
      <c r="U24" s="2189"/>
      <c r="V24" s="2129" t="str">
        <f t="shared" ca="1" si="10"/>
        <v>-</v>
      </c>
    </row>
    <row r="25" spans="1:22" ht="21.75" thickBot="1">
      <c r="A25" s="843"/>
      <c r="B25" s="844"/>
      <c r="C25" s="845"/>
      <c r="D25" s="845"/>
      <c r="E25" s="845"/>
      <c r="F25" s="846"/>
      <c r="G25" s="846"/>
      <c r="H25" s="846"/>
      <c r="I25" s="846"/>
      <c r="J25" s="846"/>
      <c r="K25" s="846"/>
      <c r="L25" s="846"/>
      <c r="M25" s="846"/>
      <c r="N25" s="846"/>
      <c r="O25" s="846"/>
      <c r="P25" s="846"/>
      <c r="Q25" s="846"/>
      <c r="R25" s="846"/>
      <c r="S25" s="846"/>
      <c r="T25" s="846"/>
      <c r="U25" s="846"/>
      <c r="V25" s="846"/>
    </row>
    <row r="26" spans="1:22" ht="24">
      <c r="A26" s="2885" t="s">
        <v>5</v>
      </c>
      <c r="B26" s="2888" t="s">
        <v>21</v>
      </c>
      <c r="C26" s="2891" t="s">
        <v>22</v>
      </c>
      <c r="D26" s="1389" t="s">
        <v>691</v>
      </c>
      <c r="E26" s="1390"/>
      <c r="F26" s="1391"/>
      <c r="G26" s="1391"/>
      <c r="H26" s="1392"/>
      <c r="I26" s="1393"/>
      <c r="J26" s="1389" t="s">
        <v>851</v>
      </c>
      <c r="K26" s="1390"/>
      <c r="L26" s="1391"/>
      <c r="M26" s="1391"/>
      <c r="N26" s="1392"/>
      <c r="O26" s="1392"/>
      <c r="P26" s="1392"/>
      <c r="Q26" s="1393"/>
      <c r="R26" s="2894" t="s">
        <v>692</v>
      </c>
      <c r="S26" s="2895"/>
      <c r="T26" s="2895"/>
      <c r="U26" s="2895"/>
      <c r="V26" s="2896"/>
    </row>
    <row r="27" spans="1:22" ht="21" customHeight="1">
      <c r="A27" s="2886"/>
      <c r="B27" s="2889"/>
      <c r="C27" s="2892"/>
      <c r="D27" s="1397" t="s">
        <v>850</v>
      </c>
      <c r="E27" s="1398"/>
      <c r="F27" s="1399"/>
      <c r="G27" s="1400" t="s">
        <v>690</v>
      </c>
      <c r="H27" s="1398"/>
      <c r="I27" s="1401"/>
      <c r="J27" s="1397" t="s">
        <v>852</v>
      </c>
      <c r="K27" s="1398"/>
      <c r="L27" s="1399"/>
      <c r="M27" s="1400" t="s">
        <v>641</v>
      </c>
      <c r="N27" s="1398"/>
      <c r="O27" s="1398"/>
      <c r="P27" s="1398"/>
      <c r="Q27" s="1402"/>
      <c r="R27" s="2897"/>
      <c r="S27" s="2898"/>
      <c r="T27" s="2898"/>
      <c r="U27" s="2898"/>
      <c r="V27" s="2899"/>
    </row>
    <row r="28" spans="1:22" ht="21.75" thickBot="1">
      <c r="A28" s="2887"/>
      <c r="B28" s="2890"/>
      <c r="C28" s="2893"/>
      <c r="D28" s="465" t="s">
        <v>8</v>
      </c>
      <c r="E28" s="466" t="s">
        <v>9</v>
      </c>
      <c r="F28" s="468" t="s">
        <v>10</v>
      </c>
      <c r="G28" s="467" t="s">
        <v>8</v>
      </c>
      <c r="H28" s="466" t="s">
        <v>9</v>
      </c>
      <c r="I28" s="475" t="s">
        <v>10</v>
      </c>
      <c r="J28" s="465" t="s">
        <v>8</v>
      </c>
      <c r="K28" s="466" t="s">
        <v>9</v>
      </c>
      <c r="L28" s="468" t="s">
        <v>10</v>
      </c>
      <c r="M28" s="2184" t="s">
        <v>8</v>
      </c>
      <c r="N28" s="2184"/>
      <c r="O28" s="2185" t="s">
        <v>9</v>
      </c>
      <c r="P28" s="2185"/>
      <c r="Q28" s="2197" t="s">
        <v>10</v>
      </c>
      <c r="R28" s="2900" t="s">
        <v>8</v>
      </c>
      <c r="S28" s="2901"/>
      <c r="T28" s="2902" t="s">
        <v>9</v>
      </c>
      <c r="U28" s="2901"/>
      <c r="V28" s="468" t="s">
        <v>10</v>
      </c>
    </row>
    <row r="29" spans="1:22" ht="21">
      <c r="A29" s="424">
        <v>1</v>
      </c>
      <c r="B29" s="1410">
        <f t="shared" ref="B29:C45" ca="1" si="11">B7</f>
        <v>0</v>
      </c>
      <c r="C29" s="1411">
        <f t="shared" ca="1" si="11"/>
        <v>0</v>
      </c>
      <c r="D29" s="215"/>
      <c r="E29" s="216"/>
      <c r="F29" s="1369">
        <f>IFERROR(E29*D29/1000000,0)</f>
        <v>0</v>
      </c>
      <c r="G29" s="215"/>
      <c r="H29" s="216"/>
      <c r="I29" s="478">
        <f>IFERROR(H29*G29/1000000,0)</f>
        <v>0</v>
      </c>
      <c r="J29" s="1367" cm="1">
        <f t="array" aca="1" ref="J29" ca="1">IF(ROW()-ROW($A$29)&lt;'الف-ب-ج'!$L$9,IF(روکش!$F$9="سه ماهه",INDIRECT("BudgetDB!BG"&amp;('الف-ب-ج'!$M$9+ROW()-ROW($A$29))),INDIRECT("BudgetDB!BH"&amp;('الف-ب-ج'!$M$9+ROW()-ROW($A$29)))),"")</f>
        <v>0</v>
      </c>
      <c r="K29" s="838" cm="1">
        <f t="array" aca="1" ref="K29" ca="1">IF(ROW()-ROW($A$29)&lt;'الف-ب-ج'!$L$9,IF(روکش!$F$9="سه ماهه",INDIRECT("BudgetDB!BI"&amp;('الف-ب-ج'!$M$9+ROW()-ROW($A$29))),INDIRECT("BudgetDB!BJ"&amp;('الف-ب-ج'!$M$9+ROW()-ROW($A$29)))),"")</f>
        <v>0</v>
      </c>
      <c r="L29" s="1369">
        <f ca="1">IFERROR(K29*J29/1000000,0)</f>
        <v>0</v>
      </c>
      <c r="M29" s="2119" t="str">
        <f ca="1">IFERROR((G29*100/J29),"-")</f>
        <v>-</v>
      </c>
      <c r="N29" s="2163">
        <f ca="1">IFERROR(ABS(M29-100),500)</f>
        <v>500</v>
      </c>
      <c r="O29" s="2169" t="str">
        <f ca="1">IFERROR((H29*100/K29),"-")</f>
        <v>-</v>
      </c>
      <c r="P29" s="2163">
        <f ca="1">IFERROR(ABS(O29-100),500)</f>
        <v>500</v>
      </c>
      <c r="Q29" s="415" t="str">
        <f ca="1">IFERROR((I29*100/L29),"-")</f>
        <v>-</v>
      </c>
      <c r="R29" s="2206">
        <f t="shared" ref="R29:R45" si="12">G7+M7-D29-G29</f>
        <v>0</v>
      </c>
      <c r="S29" s="2207"/>
      <c r="T29" s="2180" t="str">
        <f>IFERROR(V29*1000000/R29,"-")</f>
        <v>-</v>
      </c>
      <c r="U29" s="2181"/>
      <c r="V29" s="2122">
        <f>I7+Q7-F29-I29</f>
        <v>0</v>
      </c>
    </row>
    <row r="30" spans="1:22" ht="21">
      <c r="A30" s="425">
        <v>2</v>
      </c>
      <c r="B30" s="1412">
        <f t="shared" ca="1" si="11"/>
        <v>0</v>
      </c>
      <c r="C30" s="1413">
        <f t="shared" ca="1" si="11"/>
        <v>0</v>
      </c>
      <c r="D30" s="217"/>
      <c r="E30" s="218"/>
      <c r="F30" s="457">
        <f t="shared" ref="F30:F45" si="13">IFERROR(E30*D30/1000000,0)</f>
        <v>0</v>
      </c>
      <c r="G30" s="217"/>
      <c r="H30" s="218"/>
      <c r="I30" s="480">
        <f t="shared" ref="I30:I45" si="14">IFERROR(H30*G30/1000000,0)</f>
        <v>0</v>
      </c>
      <c r="J30" s="1367" cm="1">
        <f t="array" aca="1" ref="J30" ca="1">IF(ROW()-ROW($A$29)&lt;'الف-ب-ج'!$L$9,IF(روکش!$F$9="سه ماهه",INDIRECT("BudgetDB!BG"&amp;('الف-ب-ج'!$M$9+ROW()-ROW($A$29))),INDIRECT("BudgetDB!BH"&amp;('الف-ب-ج'!$M$9+ROW()-ROW($A$29)))),"")</f>
        <v>0</v>
      </c>
      <c r="K30" s="839" cm="1">
        <f t="array" aca="1" ref="K30" ca="1">IF(ROW()-ROW($A$29)&lt;'الف-ب-ج'!$L$9,IF(روکش!$F$9="سه ماهه",INDIRECT("BudgetDB!BI"&amp;('الف-ب-ج'!$M$9+ROW()-ROW($A$29))),INDIRECT("BudgetDB!BJ"&amp;('الف-ب-ج'!$M$9+ROW()-ROW($A$29)))),"")</f>
        <v>0</v>
      </c>
      <c r="L30" s="457">
        <f t="shared" ref="L30:L45" ca="1" si="15">IFERROR(K30*J30/1000000,0)</f>
        <v>0</v>
      </c>
      <c r="M30" s="2120" t="str">
        <f t="shared" ref="M30:M33" ca="1" si="16">IFERROR((G30*100/J30),"-")</f>
        <v>-</v>
      </c>
      <c r="N30" s="2164">
        <f t="shared" ref="N30:N45" ca="1" si="17">IFERROR(ABS(M30-100),500)</f>
        <v>500</v>
      </c>
      <c r="O30" s="2170" t="str">
        <f t="shared" ref="O30:O33" ca="1" si="18">IFERROR((H30*100/K30),"-")</f>
        <v>-</v>
      </c>
      <c r="P30" s="2164">
        <f t="shared" ref="P30:P45" ca="1" si="19">IFERROR(ABS(O30-100),500)</f>
        <v>500</v>
      </c>
      <c r="Q30" s="418" t="str">
        <f t="shared" ref="Q30:Q33" ca="1" si="20">IFERROR((I30*100/L30),"-")</f>
        <v>-</v>
      </c>
      <c r="R30" s="2208">
        <f t="shared" si="12"/>
        <v>0</v>
      </c>
      <c r="S30" s="2179"/>
      <c r="T30" s="2180" t="str">
        <f t="shared" ref="T30:T45" si="21">IFERROR(V30*1000000/R30,"-")</f>
        <v>-</v>
      </c>
      <c r="U30" s="2181"/>
      <c r="V30" s="2105">
        <f t="shared" ref="V30:V45" si="22">I8+Q8-F30-I30</f>
        <v>0</v>
      </c>
    </row>
    <row r="31" spans="1:22" ht="21">
      <c r="A31" s="425">
        <v>3</v>
      </c>
      <c r="B31" s="1412">
        <f t="shared" ca="1" si="11"/>
        <v>0</v>
      </c>
      <c r="C31" s="1413">
        <f t="shared" ca="1" si="11"/>
        <v>0</v>
      </c>
      <c r="D31" s="217"/>
      <c r="E31" s="218"/>
      <c r="F31" s="457">
        <f t="shared" si="13"/>
        <v>0</v>
      </c>
      <c r="G31" s="217"/>
      <c r="H31" s="218"/>
      <c r="I31" s="480">
        <f t="shared" si="14"/>
        <v>0</v>
      </c>
      <c r="J31" s="1367" cm="1">
        <f t="array" aca="1" ref="J31" ca="1">IF(ROW()-ROW($A$29)&lt;'الف-ب-ج'!$L$9,IF(روکش!$F$9="سه ماهه",INDIRECT("BudgetDB!BG"&amp;('الف-ب-ج'!$M$9+ROW()-ROW($A$29))),INDIRECT("BudgetDB!BH"&amp;('الف-ب-ج'!$M$9+ROW()-ROW($A$29)))),"")</f>
        <v>0</v>
      </c>
      <c r="K31" s="839" cm="1">
        <f t="array" aca="1" ref="K31" ca="1">IF(ROW()-ROW($A$29)&lt;'الف-ب-ج'!$L$9,IF(روکش!$F$9="سه ماهه",INDIRECT("BudgetDB!BI"&amp;('الف-ب-ج'!$M$9+ROW()-ROW($A$29))),INDIRECT("BudgetDB!BJ"&amp;('الف-ب-ج'!$M$9+ROW()-ROW($A$29)))),"")</f>
        <v>0</v>
      </c>
      <c r="L31" s="457">
        <f t="shared" ca="1" si="15"/>
        <v>0</v>
      </c>
      <c r="M31" s="2120" t="str">
        <f t="shared" ca="1" si="16"/>
        <v>-</v>
      </c>
      <c r="N31" s="2164">
        <f t="shared" ca="1" si="17"/>
        <v>500</v>
      </c>
      <c r="O31" s="2170" t="str">
        <f t="shared" ca="1" si="18"/>
        <v>-</v>
      </c>
      <c r="P31" s="2164">
        <f t="shared" ca="1" si="19"/>
        <v>500</v>
      </c>
      <c r="Q31" s="418" t="str">
        <f t="shared" ca="1" si="20"/>
        <v>-</v>
      </c>
      <c r="R31" s="2208">
        <f t="shared" si="12"/>
        <v>0</v>
      </c>
      <c r="S31" s="2179"/>
      <c r="T31" s="2180" t="str">
        <f t="shared" si="21"/>
        <v>-</v>
      </c>
      <c r="U31" s="2181"/>
      <c r="V31" s="2105">
        <f t="shared" si="22"/>
        <v>0</v>
      </c>
    </row>
    <row r="32" spans="1:22" ht="21">
      <c r="A32" s="425">
        <v>4</v>
      </c>
      <c r="B32" s="1412">
        <f t="shared" ca="1" si="11"/>
        <v>0</v>
      </c>
      <c r="C32" s="1413">
        <f t="shared" ca="1" si="11"/>
        <v>0</v>
      </c>
      <c r="D32" s="217"/>
      <c r="E32" s="218"/>
      <c r="F32" s="457">
        <f t="shared" si="13"/>
        <v>0</v>
      </c>
      <c r="G32" s="217"/>
      <c r="H32" s="218"/>
      <c r="I32" s="480">
        <f t="shared" si="14"/>
        <v>0</v>
      </c>
      <c r="J32" s="1367" cm="1">
        <f t="array" aca="1" ref="J32" ca="1">IF(ROW()-ROW($A$29)&lt;'الف-ب-ج'!$L$9,IF(روکش!$F$9="سه ماهه",INDIRECT("BudgetDB!BG"&amp;('الف-ب-ج'!$M$9+ROW()-ROW($A$29))),INDIRECT("BudgetDB!BH"&amp;('الف-ب-ج'!$M$9+ROW()-ROW($A$29)))),"")</f>
        <v>0</v>
      </c>
      <c r="K32" s="839" cm="1">
        <f t="array" aca="1" ref="K32" ca="1">IF(ROW()-ROW($A$29)&lt;'الف-ب-ج'!$L$9,IF(روکش!$F$9="سه ماهه",INDIRECT("BudgetDB!BI"&amp;('الف-ب-ج'!$M$9+ROW()-ROW($A$29))),INDIRECT("BudgetDB!BJ"&amp;('الف-ب-ج'!$M$9+ROW()-ROW($A$29)))),"")</f>
        <v>0</v>
      </c>
      <c r="L32" s="457">
        <f t="shared" ca="1" si="15"/>
        <v>0</v>
      </c>
      <c r="M32" s="2120" t="str">
        <f t="shared" ca="1" si="16"/>
        <v>-</v>
      </c>
      <c r="N32" s="2164">
        <f t="shared" ca="1" si="17"/>
        <v>500</v>
      </c>
      <c r="O32" s="2170" t="str">
        <f t="shared" ca="1" si="18"/>
        <v>-</v>
      </c>
      <c r="P32" s="2164">
        <f t="shared" ca="1" si="19"/>
        <v>500</v>
      </c>
      <c r="Q32" s="418" t="str">
        <f t="shared" ca="1" si="20"/>
        <v>-</v>
      </c>
      <c r="R32" s="2208">
        <f t="shared" si="12"/>
        <v>0</v>
      </c>
      <c r="S32" s="2179"/>
      <c r="T32" s="2180" t="str">
        <f t="shared" si="21"/>
        <v>-</v>
      </c>
      <c r="U32" s="2181"/>
      <c r="V32" s="2105">
        <f t="shared" si="22"/>
        <v>0</v>
      </c>
    </row>
    <row r="33" spans="1:22" ht="21">
      <c r="A33" s="425">
        <v>5</v>
      </c>
      <c r="B33" s="1412">
        <f t="shared" ca="1" si="11"/>
        <v>0</v>
      </c>
      <c r="C33" s="1413">
        <f t="shared" ca="1" si="11"/>
        <v>0</v>
      </c>
      <c r="D33" s="217"/>
      <c r="E33" s="218"/>
      <c r="F33" s="457">
        <f t="shared" si="13"/>
        <v>0</v>
      </c>
      <c r="G33" s="217"/>
      <c r="H33" s="218"/>
      <c r="I33" s="480">
        <f t="shared" si="14"/>
        <v>0</v>
      </c>
      <c r="J33" s="1367" cm="1">
        <f t="array" aca="1" ref="J33" ca="1">IF(ROW()-ROW($A$29)&lt;'الف-ب-ج'!$L$9,IF(روکش!$F$9="سه ماهه",INDIRECT("BudgetDB!BG"&amp;('الف-ب-ج'!$M$9+ROW()-ROW($A$29))),INDIRECT("BudgetDB!BH"&amp;('الف-ب-ج'!$M$9+ROW()-ROW($A$29)))),"")</f>
        <v>0</v>
      </c>
      <c r="K33" s="839" cm="1">
        <f t="array" aca="1" ref="K33" ca="1">IF(ROW()-ROW($A$29)&lt;'الف-ب-ج'!$L$9,IF(روکش!$F$9="سه ماهه",INDIRECT("BudgetDB!BI"&amp;('الف-ب-ج'!$M$9+ROW()-ROW($A$29))),INDIRECT("BudgetDB!BJ"&amp;('الف-ب-ج'!$M$9+ROW()-ROW($A$29)))),"")</f>
        <v>0</v>
      </c>
      <c r="L33" s="457">
        <f t="shared" ca="1" si="15"/>
        <v>0</v>
      </c>
      <c r="M33" s="2120" t="str">
        <f t="shared" ca="1" si="16"/>
        <v>-</v>
      </c>
      <c r="N33" s="2164">
        <f t="shared" ca="1" si="17"/>
        <v>500</v>
      </c>
      <c r="O33" s="2170" t="str">
        <f t="shared" ca="1" si="18"/>
        <v>-</v>
      </c>
      <c r="P33" s="2164">
        <f t="shared" ca="1" si="19"/>
        <v>500</v>
      </c>
      <c r="Q33" s="418" t="str">
        <f t="shared" ca="1" si="20"/>
        <v>-</v>
      </c>
      <c r="R33" s="2208">
        <f t="shared" si="12"/>
        <v>0</v>
      </c>
      <c r="S33" s="2179"/>
      <c r="T33" s="2180" t="str">
        <f t="shared" si="21"/>
        <v>-</v>
      </c>
      <c r="U33" s="2181"/>
      <c r="V33" s="2105">
        <f t="shared" si="22"/>
        <v>0</v>
      </c>
    </row>
    <row r="34" spans="1:22" ht="21">
      <c r="A34" s="425">
        <v>6</v>
      </c>
      <c r="B34" s="1412">
        <f t="shared" ca="1" si="11"/>
        <v>0</v>
      </c>
      <c r="C34" s="1413">
        <f t="shared" ca="1" si="11"/>
        <v>0</v>
      </c>
      <c r="D34" s="175"/>
      <c r="E34" s="218"/>
      <c r="F34" s="457">
        <f t="shared" si="13"/>
        <v>0</v>
      </c>
      <c r="G34" s="175"/>
      <c r="H34" s="218"/>
      <c r="I34" s="480">
        <f t="shared" si="14"/>
        <v>0</v>
      </c>
      <c r="J34" s="1367" cm="1">
        <f t="array" aca="1" ref="J34" ca="1">IF(ROW()-ROW($A$29)&lt;'الف-ب-ج'!$L$9,IF(روکش!$F$9="سه ماهه",INDIRECT("BudgetDB!BG"&amp;('الف-ب-ج'!$M$9+ROW()-ROW($A$29))),INDIRECT("BudgetDB!BH"&amp;('الف-ب-ج'!$M$9+ROW()-ROW($A$29)))),"")</f>
        <v>0</v>
      </c>
      <c r="K34" s="839" cm="1">
        <f t="array" aca="1" ref="K34" ca="1">IF(ROW()-ROW($A$29)&lt;'الف-ب-ج'!$L$9,IF(روکش!$F$9="سه ماهه",INDIRECT("BudgetDB!BI"&amp;('الف-ب-ج'!$M$9+ROW()-ROW($A$29))),INDIRECT("BudgetDB!BJ"&amp;('الف-ب-ج'!$M$9+ROW()-ROW($A$29)))),"")</f>
        <v>0</v>
      </c>
      <c r="L34" s="457">
        <f t="shared" ca="1" si="15"/>
        <v>0</v>
      </c>
      <c r="M34" s="2120" t="str">
        <f t="shared" ref="M34:M45" ca="1" si="23">IFERROR((G34*100/J34),"-")</f>
        <v>-</v>
      </c>
      <c r="N34" s="2164">
        <f t="shared" ca="1" si="17"/>
        <v>500</v>
      </c>
      <c r="O34" s="2170" t="str">
        <f t="shared" ref="O34:O45" ca="1" si="24">IFERROR((H34*100/K34),"-")</f>
        <v>-</v>
      </c>
      <c r="P34" s="2164">
        <f t="shared" ca="1" si="19"/>
        <v>500</v>
      </c>
      <c r="Q34" s="418" t="str">
        <f t="shared" ref="Q34:Q45" ca="1" si="25">IFERROR((I34*100/L34),"-")</f>
        <v>-</v>
      </c>
      <c r="R34" s="2208">
        <f t="shared" si="12"/>
        <v>0</v>
      </c>
      <c r="S34" s="2179"/>
      <c r="T34" s="2180" t="str">
        <f t="shared" si="21"/>
        <v>-</v>
      </c>
      <c r="U34" s="2181"/>
      <c r="V34" s="2105">
        <f t="shared" si="22"/>
        <v>0</v>
      </c>
    </row>
    <row r="35" spans="1:22" ht="21">
      <c r="A35" s="425">
        <v>7</v>
      </c>
      <c r="B35" s="1412">
        <f t="shared" ca="1" si="11"/>
        <v>0</v>
      </c>
      <c r="C35" s="1413">
        <f t="shared" ca="1" si="11"/>
        <v>0</v>
      </c>
      <c r="D35" s="175"/>
      <c r="E35" s="218"/>
      <c r="F35" s="457">
        <f t="shared" si="13"/>
        <v>0</v>
      </c>
      <c r="G35" s="175"/>
      <c r="H35" s="218"/>
      <c r="I35" s="480">
        <f t="shared" si="14"/>
        <v>0</v>
      </c>
      <c r="J35" s="1367" cm="1">
        <f t="array" aca="1" ref="J35" ca="1">IF(ROW()-ROW($A$29)&lt;'الف-ب-ج'!$L$9,IF(روکش!$F$9="سه ماهه",INDIRECT("BudgetDB!BG"&amp;('الف-ب-ج'!$M$9+ROW()-ROW($A$29))),INDIRECT("BudgetDB!BH"&amp;('الف-ب-ج'!$M$9+ROW()-ROW($A$29)))),"")</f>
        <v>0</v>
      </c>
      <c r="K35" s="839" cm="1">
        <f t="array" aca="1" ref="K35" ca="1">IF(ROW()-ROW($A$29)&lt;'الف-ب-ج'!$L$9,IF(روکش!$F$9="سه ماهه",INDIRECT("BudgetDB!BI"&amp;('الف-ب-ج'!$M$9+ROW()-ROW($A$29))),INDIRECT("BudgetDB!BJ"&amp;('الف-ب-ج'!$M$9+ROW()-ROW($A$29)))),"")</f>
        <v>0</v>
      </c>
      <c r="L35" s="457">
        <f t="shared" ca="1" si="15"/>
        <v>0</v>
      </c>
      <c r="M35" s="2120" t="str">
        <f t="shared" ca="1" si="23"/>
        <v>-</v>
      </c>
      <c r="N35" s="2164">
        <f t="shared" ca="1" si="17"/>
        <v>500</v>
      </c>
      <c r="O35" s="2170" t="str">
        <f t="shared" ca="1" si="24"/>
        <v>-</v>
      </c>
      <c r="P35" s="2164">
        <f t="shared" ca="1" si="19"/>
        <v>500</v>
      </c>
      <c r="Q35" s="418" t="str">
        <f t="shared" ca="1" si="25"/>
        <v>-</v>
      </c>
      <c r="R35" s="2208">
        <f t="shared" si="12"/>
        <v>0</v>
      </c>
      <c r="S35" s="2179"/>
      <c r="T35" s="2180" t="str">
        <f t="shared" si="21"/>
        <v>-</v>
      </c>
      <c r="U35" s="2181"/>
      <c r="V35" s="2105">
        <f t="shared" si="22"/>
        <v>0</v>
      </c>
    </row>
    <row r="36" spans="1:22" ht="21">
      <c r="A36" s="425">
        <v>8</v>
      </c>
      <c r="B36" s="1412">
        <f t="shared" ca="1" si="11"/>
        <v>0</v>
      </c>
      <c r="C36" s="1413">
        <f t="shared" ca="1" si="11"/>
        <v>0</v>
      </c>
      <c r="D36" s="175"/>
      <c r="E36" s="218"/>
      <c r="F36" s="457">
        <f t="shared" si="13"/>
        <v>0</v>
      </c>
      <c r="G36" s="175"/>
      <c r="H36" s="218"/>
      <c r="I36" s="480">
        <f t="shared" si="14"/>
        <v>0</v>
      </c>
      <c r="J36" s="1367" cm="1">
        <f t="array" aca="1" ref="J36" ca="1">IF(ROW()-ROW($A$29)&lt;'الف-ب-ج'!$L$9,IF(روکش!$F$9="سه ماهه",INDIRECT("BudgetDB!BG"&amp;('الف-ب-ج'!$M$9+ROW()-ROW($A$29))),INDIRECT("BudgetDB!BH"&amp;('الف-ب-ج'!$M$9+ROW()-ROW($A$29)))),"")</f>
        <v>0</v>
      </c>
      <c r="K36" s="839" cm="1">
        <f t="array" aca="1" ref="K36" ca="1">IF(ROW()-ROW($A$29)&lt;'الف-ب-ج'!$L$9,IF(روکش!$F$9="سه ماهه",INDIRECT("BudgetDB!BI"&amp;('الف-ب-ج'!$M$9+ROW()-ROW($A$29))),INDIRECT("BudgetDB!BJ"&amp;('الف-ب-ج'!$M$9+ROW()-ROW($A$29)))),"")</f>
        <v>0</v>
      </c>
      <c r="L36" s="457">
        <f t="shared" ca="1" si="15"/>
        <v>0</v>
      </c>
      <c r="M36" s="2120" t="str">
        <f t="shared" ca="1" si="23"/>
        <v>-</v>
      </c>
      <c r="N36" s="2164">
        <f t="shared" ca="1" si="17"/>
        <v>500</v>
      </c>
      <c r="O36" s="2170" t="str">
        <f t="shared" ca="1" si="24"/>
        <v>-</v>
      </c>
      <c r="P36" s="2164">
        <f t="shared" ca="1" si="19"/>
        <v>500</v>
      </c>
      <c r="Q36" s="418" t="str">
        <f t="shared" ca="1" si="25"/>
        <v>-</v>
      </c>
      <c r="R36" s="2208">
        <f t="shared" si="12"/>
        <v>0</v>
      </c>
      <c r="S36" s="2179"/>
      <c r="T36" s="2180" t="str">
        <f t="shared" si="21"/>
        <v>-</v>
      </c>
      <c r="U36" s="2181"/>
      <c r="V36" s="2105">
        <f t="shared" si="22"/>
        <v>0</v>
      </c>
    </row>
    <row r="37" spans="1:22" ht="21">
      <c r="A37" s="425">
        <v>9</v>
      </c>
      <c r="B37" s="1412">
        <f t="shared" ca="1" si="11"/>
        <v>0</v>
      </c>
      <c r="C37" s="1413">
        <f t="shared" ca="1" si="11"/>
        <v>0</v>
      </c>
      <c r="D37" s="175"/>
      <c r="E37" s="218"/>
      <c r="F37" s="457">
        <f t="shared" si="13"/>
        <v>0</v>
      </c>
      <c r="G37" s="175"/>
      <c r="H37" s="218"/>
      <c r="I37" s="480">
        <f t="shared" si="14"/>
        <v>0</v>
      </c>
      <c r="J37" s="1367" cm="1">
        <f t="array" aca="1" ref="J37" ca="1">IF(ROW()-ROW($A$29)&lt;'الف-ب-ج'!$L$9,IF(روکش!$F$9="سه ماهه",INDIRECT("BudgetDB!BG"&amp;('الف-ب-ج'!$M$9+ROW()-ROW($A$29))),INDIRECT("BudgetDB!BH"&amp;('الف-ب-ج'!$M$9+ROW()-ROW($A$29)))),"")</f>
        <v>0</v>
      </c>
      <c r="K37" s="839" cm="1">
        <f t="array" aca="1" ref="K37" ca="1">IF(ROW()-ROW($A$29)&lt;'الف-ب-ج'!$L$9,IF(روکش!$F$9="سه ماهه",INDIRECT("BudgetDB!BI"&amp;('الف-ب-ج'!$M$9+ROW()-ROW($A$29))),INDIRECT("BudgetDB!BJ"&amp;('الف-ب-ج'!$M$9+ROW()-ROW($A$29)))),"")</f>
        <v>0</v>
      </c>
      <c r="L37" s="457">
        <f t="shared" ca="1" si="15"/>
        <v>0</v>
      </c>
      <c r="M37" s="2120" t="str">
        <f t="shared" ca="1" si="23"/>
        <v>-</v>
      </c>
      <c r="N37" s="2164">
        <f t="shared" ca="1" si="17"/>
        <v>500</v>
      </c>
      <c r="O37" s="2170" t="str">
        <f t="shared" ca="1" si="24"/>
        <v>-</v>
      </c>
      <c r="P37" s="2164">
        <f t="shared" ca="1" si="19"/>
        <v>500</v>
      </c>
      <c r="Q37" s="418" t="str">
        <f t="shared" ca="1" si="25"/>
        <v>-</v>
      </c>
      <c r="R37" s="2208">
        <f t="shared" si="12"/>
        <v>0</v>
      </c>
      <c r="S37" s="2179"/>
      <c r="T37" s="2180" t="str">
        <f t="shared" si="21"/>
        <v>-</v>
      </c>
      <c r="U37" s="2181"/>
      <c r="V37" s="2105">
        <f t="shared" si="22"/>
        <v>0</v>
      </c>
    </row>
    <row r="38" spans="1:22" ht="21">
      <c r="A38" s="425">
        <v>10</v>
      </c>
      <c r="B38" s="1412">
        <f t="shared" ca="1" si="11"/>
        <v>0</v>
      </c>
      <c r="C38" s="1413">
        <f t="shared" ca="1" si="11"/>
        <v>0</v>
      </c>
      <c r="D38" s="175"/>
      <c r="E38" s="218"/>
      <c r="F38" s="457">
        <f t="shared" si="13"/>
        <v>0</v>
      </c>
      <c r="G38" s="175"/>
      <c r="H38" s="218"/>
      <c r="I38" s="480">
        <f t="shared" si="14"/>
        <v>0</v>
      </c>
      <c r="J38" s="1367" cm="1">
        <f t="array" aca="1" ref="J38" ca="1">IF(ROW()-ROW($A$29)&lt;'الف-ب-ج'!$L$9,IF(روکش!$F$9="سه ماهه",INDIRECT("BudgetDB!BG"&amp;('الف-ب-ج'!$M$9+ROW()-ROW($A$29))),INDIRECT("BudgetDB!BH"&amp;('الف-ب-ج'!$M$9+ROW()-ROW($A$29)))),"")</f>
        <v>0</v>
      </c>
      <c r="K38" s="839" cm="1">
        <f t="array" aca="1" ref="K38" ca="1">IF(ROW()-ROW($A$29)&lt;'الف-ب-ج'!$L$9,IF(روکش!$F$9="سه ماهه",INDIRECT("BudgetDB!BI"&amp;('الف-ب-ج'!$M$9+ROW()-ROW($A$29))),INDIRECT("BudgetDB!BJ"&amp;('الف-ب-ج'!$M$9+ROW()-ROW($A$29)))),"")</f>
        <v>0</v>
      </c>
      <c r="L38" s="457">
        <f t="shared" ca="1" si="15"/>
        <v>0</v>
      </c>
      <c r="M38" s="2120" t="str">
        <f t="shared" ca="1" si="23"/>
        <v>-</v>
      </c>
      <c r="N38" s="2164">
        <f t="shared" ca="1" si="17"/>
        <v>500</v>
      </c>
      <c r="O38" s="2170" t="str">
        <f t="shared" ca="1" si="24"/>
        <v>-</v>
      </c>
      <c r="P38" s="2164">
        <f t="shared" ca="1" si="19"/>
        <v>500</v>
      </c>
      <c r="Q38" s="418" t="str">
        <f t="shared" ca="1" si="25"/>
        <v>-</v>
      </c>
      <c r="R38" s="2208">
        <f t="shared" si="12"/>
        <v>0</v>
      </c>
      <c r="S38" s="2179"/>
      <c r="T38" s="2180" t="str">
        <f t="shared" si="21"/>
        <v>-</v>
      </c>
      <c r="U38" s="2181"/>
      <c r="V38" s="2105">
        <f t="shared" si="22"/>
        <v>0</v>
      </c>
    </row>
    <row r="39" spans="1:22" ht="21">
      <c r="A39" s="425">
        <v>11</v>
      </c>
      <c r="B39" s="1414">
        <f t="shared" ca="1" si="11"/>
        <v>0</v>
      </c>
      <c r="C39" s="1413">
        <f t="shared" ca="1" si="11"/>
        <v>0</v>
      </c>
      <c r="D39" s="175"/>
      <c r="E39" s="218"/>
      <c r="F39" s="457">
        <f t="shared" si="13"/>
        <v>0</v>
      </c>
      <c r="G39" s="175"/>
      <c r="H39" s="218"/>
      <c r="I39" s="480">
        <f t="shared" si="14"/>
        <v>0</v>
      </c>
      <c r="J39" s="1367" cm="1">
        <f t="array" aca="1" ref="J39" ca="1">IF(ROW()-ROW($A$29)&lt;'الف-ب-ج'!$L$9,IF(روکش!$F$9="سه ماهه",INDIRECT("BudgetDB!BG"&amp;('الف-ب-ج'!$M$9+ROW()-ROW($A$29))),INDIRECT("BudgetDB!BH"&amp;('الف-ب-ج'!$M$9+ROW()-ROW($A$29)))),"")</f>
        <v>0</v>
      </c>
      <c r="K39" s="839" cm="1">
        <f t="array" aca="1" ref="K39" ca="1">IF(ROW()-ROW($A$29)&lt;'الف-ب-ج'!$L$9,IF(روکش!$F$9="سه ماهه",INDIRECT("BudgetDB!BI"&amp;('الف-ب-ج'!$M$9+ROW()-ROW($A$29))),INDIRECT("BudgetDB!BJ"&amp;('الف-ب-ج'!$M$9+ROW()-ROW($A$29)))),"")</f>
        <v>0</v>
      </c>
      <c r="L39" s="1370">
        <f t="shared" ca="1" si="15"/>
        <v>0</v>
      </c>
      <c r="M39" s="2120" t="str">
        <f t="shared" ca="1" si="23"/>
        <v>-</v>
      </c>
      <c r="N39" s="2164">
        <f t="shared" ca="1" si="17"/>
        <v>500</v>
      </c>
      <c r="O39" s="2170" t="str">
        <f t="shared" ca="1" si="24"/>
        <v>-</v>
      </c>
      <c r="P39" s="2164">
        <f t="shared" ca="1" si="19"/>
        <v>500</v>
      </c>
      <c r="Q39" s="418" t="str">
        <f t="shared" ca="1" si="25"/>
        <v>-</v>
      </c>
      <c r="R39" s="2208">
        <f t="shared" si="12"/>
        <v>0</v>
      </c>
      <c r="S39" s="2179"/>
      <c r="T39" s="2180" t="str">
        <f t="shared" si="21"/>
        <v>-</v>
      </c>
      <c r="U39" s="2181"/>
      <c r="V39" s="2106">
        <f t="shared" si="22"/>
        <v>0</v>
      </c>
    </row>
    <row r="40" spans="1:22" ht="21">
      <c r="A40" s="425">
        <v>12</v>
      </c>
      <c r="B40" s="1414">
        <f t="shared" ca="1" si="11"/>
        <v>0</v>
      </c>
      <c r="C40" s="1413">
        <f t="shared" ca="1" si="11"/>
        <v>0</v>
      </c>
      <c r="D40" s="175"/>
      <c r="E40" s="218"/>
      <c r="F40" s="457">
        <f t="shared" si="13"/>
        <v>0</v>
      </c>
      <c r="G40" s="175"/>
      <c r="H40" s="218"/>
      <c r="I40" s="480">
        <f t="shared" si="14"/>
        <v>0</v>
      </c>
      <c r="J40" s="1367" cm="1">
        <f t="array" aca="1" ref="J40" ca="1">IF(ROW()-ROW($A$29)&lt;'الف-ب-ج'!$L$9,IF(روکش!$F$9="سه ماهه",INDIRECT("BudgetDB!BG"&amp;('الف-ب-ج'!$M$9+ROW()-ROW($A$29))),INDIRECT("BudgetDB!BH"&amp;('الف-ب-ج'!$M$9+ROW()-ROW($A$29)))),"")</f>
        <v>0</v>
      </c>
      <c r="K40" s="839" cm="1">
        <f t="array" aca="1" ref="K40" ca="1">IF(ROW()-ROW($A$29)&lt;'الف-ب-ج'!$L$9,IF(روکش!$F$9="سه ماهه",INDIRECT("BudgetDB!BI"&amp;('الف-ب-ج'!$M$9+ROW()-ROW($A$29))),INDIRECT("BudgetDB!BJ"&amp;('الف-ب-ج'!$M$9+ROW()-ROW($A$29)))),"")</f>
        <v>0</v>
      </c>
      <c r="L40" s="1370">
        <f t="shared" ca="1" si="15"/>
        <v>0</v>
      </c>
      <c r="M40" s="2120" t="str">
        <f t="shared" ca="1" si="23"/>
        <v>-</v>
      </c>
      <c r="N40" s="2164">
        <f t="shared" ca="1" si="17"/>
        <v>500</v>
      </c>
      <c r="O40" s="2170" t="str">
        <f t="shared" ca="1" si="24"/>
        <v>-</v>
      </c>
      <c r="P40" s="2164">
        <f t="shared" ca="1" si="19"/>
        <v>500</v>
      </c>
      <c r="Q40" s="418" t="str">
        <f t="shared" ca="1" si="25"/>
        <v>-</v>
      </c>
      <c r="R40" s="2208">
        <f t="shared" si="12"/>
        <v>0</v>
      </c>
      <c r="S40" s="2179"/>
      <c r="T40" s="2180" t="str">
        <f t="shared" si="21"/>
        <v>-</v>
      </c>
      <c r="U40" s="2181"/>
      <c r="V40" s="2106">
        <f t="shared" si="22"/>
        <v>0</v>
      </c>
    </row>
    <row r="41" spans="1:22" ht="21">
      <c r="A41" s="425">
        <v>13</v>
      </c>
      <c r="B41" s="1414">
        <f t="shared" ca="1" si="11"/>
        <v>0</v>
      </c>
      <c r="C41" s="1413">
        <f t="shared" ca="1" si="11"/>
        <v>0</v>
      </c>
      <c r="D41" s="175"/>
      <c r="E41" s="218"/>
      <c r="F41" s="457">
        <f t="shared" si="13"/>
        <v>0</v>
      </c>
      <c r="G41" s="175"/>
      <c r="H41" s="218"/>
      <c r="I41" s="480">
        <f t="shared" si="14"/>
        <v>0</v>
      </c>
      <c r="J41" s="1367" cm="1">
        <f t="array" aca="1" ref="J41" ca="1">IF(ROW()-ROW($A$29)&lt;'الف-ب-ج'!$L$9,IF(روکش!$F$9="سه ماهه",INDIRECT("BudgetDB!BG"&amp;('الف-ب-ج'!$M$9+ROW()-ROW($A$29))),INDIRECT("BudgetDB!BH"&amp;('الف-ب-ج'!$M$9+ROW()-ROW($A$29)))),"")</f>
        <v>0</v>
      </c>
      <c r="K41" s="839" cm="1">
        <f t="array" aca="1" ref="K41" ca="1">IF(ROW()-ROW($A$29)&lt;'الف-ب-ج'!$L$9,IF(روکش!$F$9="سه ماهه",INDIRECT("BudgetDB!BI"&amp;('الف-ب-ج'!$M$9+ROW()-ROW($A$29))),INDIRECT("BudgetDB!BJ"&amp;('الف-ب-ج'!$M$9+ROW()-ROW($A$29)))),"")</f>
        <v>0</v>
      </c>
      <c r="L41" s="1370">
        <f t="shared" ca="1" si="15"/>
        <v>0</v>
      </c>
      <c r="M41" s="2120" t="str">
        <f t="shared" ca="1" si="23"/>
        <v>-</v>
      </c>
      <c r="N41" s="2164">
        <f t="shared" ca="1" si="17"/>
        <v>500</v>
      </c>
      <c r="O41" s="2170" t="str">
        <f t="shared" ca="1" si="24"/>
        <v>-</v>
      </c>
      <c r="P41" s="2164">
        <f t="shared" ca="1" si="19"/>
        <v>500</v>
      </c>
      <c r="Q41" s="418" t="str">
        <f t="shared" ca="1" si="25"/>
        <v>-</v>
      </c>
      <c r="R41" s="2208">
        <f t="shared" si="12"/>
        <v>0</v>
      </c>
      <c r="S41" s="2179"/>
      <c r="T41" s="2180" t="str">
        <f t="shared" si="21"/>
        <v>-</v>
      </c>
      <c r="U41" s="2181"/>
      <c r="V41" s="2106">
        <f t="shared" si="22"/>
        <v>0</v>
      </c>
    </row>
    <row r="42" spans="1:22" ht="21">
      <c r="A42" s="425">
        <v>14</v>
      </c>
      <c r="B42" s="1414">
        <f t="shared" ca="1" si="11"/>
        <v>0</v>
      </c>
      <c r="C42" s="1413">
        <f t="shared" ca="1" si="11"/>
        <v>0</v>
      </c>
      <c r="D42" s="175"/>
      <c r="E42" s="218"/>
      <c r="F42" s="457">
        <f t="shared" si="13"/>
        <v>0</v>
      </c>
      <c r="G42" s="175"/>
      <c r="H42" s="218"/>
      <c r="I42" s="480">
        <f t="shared" si="14"/>
        <v>0</v>
      </c>
      <c r="J42" s="1367" cm="1">
        <f t="array" aca="1" ref="J42" ca="1">IF(ROW()-ROW($A$29)&lt;'الف-ب-ج'!$L$9,IF(روکش!$F$9="سه ماهه",INDIRECT("BudgetDB!BG"&amp;('الف-ب-ج'!$M$9+ROW()-ROW($A$29))),INDIRECT("BudgetDB!BH"&amp;('الف-ب-ج'!$M$9+ROW()-ROW($A$29)))),"")</f>
        <v>0</v>
      </c>
      <c r="K42" s="839" cm="1">
        <f t="array" aca="1" ref="K42" ca="1">IF(ROW()-ROW($A$29)&lt;'الف-ب-ج'!$L$9,IF(روکش!$F$9="سه ماهه",INDIRECT("BudgetDB!BI"&amp;('الف-ب-ج'!$M$9+ROW()-ROW($A$29))),INDIRECT("BudgetDB!BJ"&amp;('الف-ب-ج'!$M$9+ROW()-ROW($A$29)))),"")</f>
        <v>0</v>
      </c>
      <c r="L42" s="1370">
        <f t="shared" ca="1" si="15"/>
        <v>0</v>
      </c>
      <c r="M42" s="2120" t="str">
        <f t="shared" ca="1" si="23"/>
        <v>-</v>
      </c>
      <c r="N42" s="2164">
        <f t="shared" ca="1" si="17"/>
        <v>500</v>
      </c>
      <c r="O42" s="2170" t="str">
        <f t="shared" ca="1" si="24"/>
        <v>-</v>
      </c>
      <c r="P42" s="2164">
        <f t="shared" ca="1" si="19"/>
        <v>500</v>
      </c>
      <c r="Q42" s="418" t="str">
        <f t="shared" ca="1" si="25"/>
        <v>-</v>
      </c>
      <c r="R42" s="2208">
        <f t="shared" si="12"/>
        <v>0</v>
      </c>
      <c r="S42" s="2179"/>
      <c r="T42" s="2180" t="str">
        <f t="shared" si="21"/>
        <v>-</v>
      </c>
      <c r="U42" s="2181"/>
      <c r="V42" s="2106">
        <f t="shared" si="22"/>
        <v>0</v>
      </c>
    </row>
    <row r="43" spans="1:22" ht="21">
      <c r="A43" s="425">
        <v>15</v>
      </c>
      <c r="B43" s="1414">
        <f t="shared" ca="1" si="11"/>
        <v>0</v>
      </c>
      <c r="C43" s="1413">
        <f t="shared" ca="1" si="11"/>
        <v>0</v>
      </c>
      <c r="D43" s="175"/>
      <c r="E43" s="218"/>
      <c r="F43" s="457">
        <f t="shared" si="13"/>
        <v>0</v>
      </c>
      <c r="G43" s="175"/>
      <c r="H43" s="218"/>
      <c r="I43" s="480">
        <f t="shared" si="14"/>
        <v>0</v>
      </c>
      <c r="J43" s="1367" cm="1">
        <f t="array" aca="1" ref="J43" ca="1">IF(ROW()-ROW($A$29)&lt;'الف-ب-ج'!$L$9,IF(روکش!$F$9="سه ماهه",INDIRECT("BudgetDB!BG"&amp;('الف-ب-ج'!$M$9+ROW()-ROW($A$29))),INDIRECT("BudgetDB!BH"&amp;('الف-ب-ج'!$M$9+ROW()-ROW($A$29)))),"")</f>
        <v>0</v>
      </c>
      <c r="K43" s="839" cm="1">
        <f t="array" aca="1" ref="K43" ca="1">IF(ROW()-ROW($A$29)&lt;'الف-ب-ج'!$L$9,IF(روکش!$F$9="سه ماهه",INDIRECT("BudgetDB!BI"&amp;('الف-ب-ج'!$M$9+ROW()-ROW($A$29))),INDIRECT("BudgetDB!BJ"&amp;('الف-ب-ج'!$M$9+ROW()-ROW($A$29)))),"")</f>
        <v>0</v>
      </c>
      <c r="L43" s="1370">
        <f t="shared" ca="1" si="15"/>
        <v>0</v>
      </c>
      <c r="M43" s="2120" t="str">
        <f t="shared" ca="1" si="23"/>
        <v>-</v>
      </c>
      <c r="N43" s="2164">
        <f t="shared" ca="1" si="17"/>
        <v>500</v>
      </c>
      <c r="O43" s="2170" t="str">
        <f t="shared" ca="1" si="24"/>
        <v>-</v>
      </c>
      <c r="P43" s="2164">
        <f t="shared" ca="1" si="19"/>
        <v>500</v>
      </c>
      <c r="Q43" s="418" t="str">
        <f t="shared" ca="1" si="25"/>
        <v>-</v>
      </c>
      <c r="R43" s="2208">
        <f t="shared" si="12"/>
        <v>0</v>
      </c>
      <c r="S43" s="2179"/>
      <c r="T43" s="2180" t="str">
        <f t="shared" si="21"/>
        <v>-</v>
      </c>
      <c r="U43" s="2181"/>
      <c r="V43" s="2106">
        <f t="shared" si="22"/>
        <v>0</v>
      </c>
    </row>
    <row r="44" spans="1:22" ht="21">
      <c r="A44" s="425">
        <v>16</v>
      </c>
      <c r="B44" s="1414">
        <f t="shared" ca="1" si="11"/>
        <v>0</v>
      </c>
      <c r="C44" s="1413">
        <f t="shared" ca="1" si="11"/>
        <v>0</v>
      </c>
      <c r="D44" s="175"/>
      <c r="E44" s="218"/>
      <c r="F44" s="457">
        <f t="shared" si="13"/>
        <v>0</v>
      </c>
      <c r="G44" s="175"/>
      <c r="H44" s="218"/>
      <c r="I44" s="480">
        <f t="shared" si="14"/>
        <v>0</v>
      </c>
      <c r="J44" s="1367" cm="1">
        <f t="array" aca="1" ref="J44" ca="1">IF(ROW()-ROW($A$29)&lt;'الف-ب-ج'!$L$9,IF(روکش!$F$9="سه ماهه",INDIRECT("BudgetDB!BG"&amp;('الف-ب-ج'!$M$9+ROW()-ROW($A$29))),INDIRECT("BudgetDB!BH"&amp;('الف-ب-ج'!$M$9+ROW()-ROW($A$29)))),"")</f>
        <v>0</v>
      </c>
      <c r="K44" s="839" cm="1">
        <f t="array" aca="1" ref="K44" ca="1">IF(ROW()-ROW($A$29)&lt;'الف-ب-ج'!$L$9,IF(روکش!$F$9="سه ماهه",INDIRECT("BudgetDB!BI"&amp;('الف-ب-ج'!$M$9+ROW()-ROW($A$29))),INDIRECT("BudgetDB!BJ"&amp;('الف-ب-ج'!$M$9+ROW()-ROW($A$29)))),"")</f>
        <v>0</v>
      </c>
      <c r="L44" s="1370">
        <f t="shared" ca="1" si="15"/>
        <v>0</v>
      </c>
      <c r="M44" s="2120" t="str">
        <f t="shared" ca="1" si="23"/>
        <v>-</v>
      </c>
      <c r="N44" s="2164">
        <f t="shared" ca="1" si="17"/>
        <v>500</v>
      </c>
      <c r="O44" s="2170" t="str">
        <f t="shared" ca="1" si="24"/>
        <v>-</v>
      </c>
      <c r="P44" s="2164">
        <f t="shared" ca="1" si="19"/>
        <v>500</v>
      </c>
      <c r="Q44" s="418" t="str">
        <f t="shared" ca="1" si="25"/>
        <v>-</v>
      </c>
      <c r="R44" s="2208">
        <f t="shared" si="12"/>
        <v>0</v>
      </c>
      <c r="S44" s="2179"/>
      <c r="T44" s="2180" t="str">
        <f t="shared" si="21"/>
        <v>-</v>
      </c>
      <c r="U44" s="2181"/>
      <c r="V44" s="2106">
        <f t="shared" si="22"/>
        <v>0</v>
      </c>
    </row>
    <row r="45" spans="1:22" ht="21">
      <c r="A45" s="425">
        <v>17</v>
      </c>
      <c r="B45" s="1414">
        <f t="shared" ca="1" si="11"/>
        <v>0</v>
      </c>
      <c r="C45" s="1413">
        <f t="shared" ca="1" si="11"/>
        <v>0</v>
      </c>
      <c r="D45" s="175"/>
      <c r="E45" s="218"/>
      <c r="F45" s="457">
        <f t="shared" si="13"/>
        <v>0</v>
      </c>
      <c r="G45" s="175"/>
      <c r="H45" s="218"/>
      <c r="I45" s="480">
        <f t="shared" si="14"/>
        <v>0</v>
      </c>
      <c r="J45" s="1367" cm="1">
        <f t="array" aca="1" ref="J45" ca="1">IF(ROW()-ROW($A$29)&lt;'الف-ب-ج'!$L$9,IF(روکش!$F$9="سه ماهه",INDIRECT("BudgetDB!BG"&amp;('الف-ب-ج'!$M$9+ROW()-ROW($A$29))),INDIRECT("BudgetDB!BH"&amp;('الف-ب-ج'!$M$9+ROW()-ROW($A$29)))),"")</f>
        <v>0</v>
      </c>
      <c r="K45" s="839" cm="1">
        <f t="array" aca="1" ref="K45" ca="1">IF(ROW()-ROW($A$29)&lt;'الف-ب-ج'!$L$9,IF(روکش!$F$9="سه ماهه",INDIRECT("BudgetDB!BI"&amp;('الف-ب-ج'!$M$9+ROW()-ROW($A$29))),INDIRECT("BudgetDB!BJ"&amp;('الف-ب-ج'!$M$9+ROW()-ROW($A$29)))),"")</f>
        <v>0</v>
      </c>
      <c r="L45" s="1370">
        <f t="shared" ca="1" si="15"/>
        <v>0</v>
      </c>
      <c r="M45" s="2120" t="str">
        <f t="shared" ca="1" si="23"/>
        <v>-</v>
      </c>
      <c r="N45" s="2164">
        <f t="shared" ca="1" si="17"/>
        <v>500</v>
      </c>
      <c r="O45" s="2170" t="str">
        <f t="shared" ca="1" si="24"/>
        <v>-</v>
      </c>
      <c r="P45" s="2164">
        <f t="shared" ca="1" si="19"/>
        <v>500</v>
      </c>
      <c r="Q45" s="420" t="str">
        <f t="shared" ca="1" si="25"/>
        <v>-</v>
      </c>
      <c r="R45" s="2209">
        <f t="shared" si="12"/>
        <v>0</v>
      </c>
      <c r="S45" s="2210"/>
      <c r="T45" s="2180" t="str">
        <f t="shared" si="21"/>
        <v>-</v>
      </c>
      <c r="U45" s="2181"/>
      <c r="V45" s="2106">
        <f t="shared" si="22"/>
        <v>0</v>
      </c>
    </row>
    <row r="46" spans="1:22" ht="24.75" thickBot="1">
      <c r="A46" s="2883" t="s">
        <v>31</v>
      </c>
      <c r="B46" s="2884"/>
      <c r="C46" s="1415"/>
      <c r="D46" s="1416"/>
      <c r="E46" s="1417"/>
      <c r="F46" s="1418">
        <f>SUM(F29:F45)</f>
        <v>0</v>
      </c>
      <c r="G46" s="1419"/>
      <c r="H46" s="1417"/>
      <c r="I46" s="1420">
        <f>SUM(I29:I45)</f>
        <v>0</v>
      </c>
      <c r="J46" s="1416"/>
      <c r="K46" s="1417"/>
      <c r="L46" s="1418">
        <f ca="1">SUM(L29:L45)</f>
        <v>0</v>
      </c>
      <c r="M46" s="2187"/>
      <c r="N46" s="1419"/>
      <c r="O46" s="2183"/>
      <c r="P46" s="2188"/>
      <c r="Q46" s="2130" t="str">
        <f ca="1">IFERROR((I46*100/L46),"-")</f>
        <v>-</v>
      </c>
      <c r="R46" s="2903"/>
      <c r="S46" s="2904"/>
      <c r="T46" s="2905"/>
      <c r="U46" s="2904"/>
      <c r="V46" s="1421">
        <f>SUM(V29:V45)</f>
        <v>0</v>
      </c>
    </row>
    <row r="47" spans="1:22" ht="18.75">
      <c r="A47" s="40"/>
      <c r="B47" s="40"/>
      <c r="C47" s="40"/>
      <c r="D47" s="40"/>
      <c r="E47" s="40"/>
      <c r="F47" s="40"/>
      <c r="G47" s="40"/>
      <c r="H47" s="40"/>
      <c r="I47" s="40"/>
      <c r="J47" s="40"/>
      <c r="K47" s="40"/>
      <c r="L47" s="40"/>
      <c r="M47" s="40"/>
      <c r="N47" s="40"/>
      <c r="O47" s="40"/>
      <c r="P47" s="40"/>
      <c r="Q47" s="40"/>
      <c r="R47" s="40"/>
      <c r="S47" s="40"/>
      <c r="T47" s="40"/>
      <c r="U47" s="40"/>
      <c r="V47" s="40"/>
    </row>
    <row r="48" spans="1:22" ht="21">
      <c r="A48" s="8"/>
      <c r="B48" s="8"/>
      <c r="D48" s="9"/>
      <c r="E48" s="9"/>
      <c r="J48" s="2752"/>
      <c r="K48" s="2752"/>
      <c r="Q48" s="9"/>
      <c r="R48" s="847"/>
      <c r="S48" s="847"/>
    </row>
    <row r="51" spans="1:1" ht="21">
      <c r="A51" s="37"/>
    </row>
  </sheetData>
  <mergeCells count="15">
    <mergeCell ref="A46:B46"/>
    <mergeCell ref="J48:K48"/>
    <mergeCell ref="A1:V1"/>
    <mergeCell ref="A24:B24"/>
    <mergeCell ref="A26:A28"/>
    <mergeCell ref="B26:B28"/>
    <mergeCell ref="C26:C28"/>
    <mergeCell ref="A4:A6"/>
    <mergeCell ref="B4:B6"/>
    <mergeCell ref="C4:C6"/>
    <mergeCell ref="R26:V27"/>
    <mergeCell ref="R28:S28"/>
    <mergeCell ref="T28:U28"/>
    <mergeCell ref="R46:S46"/>
    <mergeCell ref="T46:U46"/>
  </mergeCells>
  <conditionalFormatting sqref="H7:H23">
    <cfRule type="expression" dxfId="439" priority="38">
      <formula>AND(C7="میلیون ریال",H7&lt;&gt;1000000,H7&lt;&gt;"")</formula>
    </cfRule>
  </conditionalFormatting>
  <conditionalFormatting sqref="E7:E23">
    <cfRule type="expression" dxfId="438" priority="37">
      <formula>AND(C7="میلیون ریال",E7&lt;&gt;1000000,E7&lt;&gt;"")</formula>
    </cfRule>
  </conditionalFormatting>
  <conditionalFormatting sqref="E29:E45">
    <cfRule type="expression" dxfId="437" priority="35">
      <formula>AND(C29="میلیون ریال",E29&lt;&gt;1000000,E29&lt;&gt;"")</formula>
    </cfRule>
  </conditionalFormatting>
  <conditionalFormatting sqref="H29:H45">
    <cfRule type="expression" dxfId="436" priority="10">
      <formula>OR($H29&gt;MAX($O7,$H7),$H29&lt;MIN($O7,$H7))</formula>
    </cfRule>
    <cfRule type="expression" dxfId="435" priority="33">
      <formula>AND(C29="میلیون ریال",H29&lt;&gt;1000000,H29&lt;&gt;"")</formula>
    </cfRule>
  </conditionalFormatting>
  <conditionalFormatting sqref="B7:C23">
    <cfRule type="expression" dxfId="434" priority="11">
      <formula>AND($B7=0,OR($D7&lt;&gt;0,$G7&lt;&gt;0,$M7&lt;&gt;0,$D29&lt;&gt;0,$G29&lt;&gt;0))</formula>
    </cfRule>
  </conditionalFormatting>
  <conditionalFormatting sqref="S7:S23">
    <cfRule type="iconSet" priority="6">
      <iconSet iconSet="3Symbols" showValue="0" reverse="1">
        <cfvo type="percent" val="0"/>
        <cfvo type="num" val="10" gte="0"/>
        <cfvo type="num" val="40"/>
      </iconSet>
    </cfRule>
  </conditionalFormatting>
  <conditionalFormatting sqref="U7:U23">
    <cfRule type="iconSet" priority="5">
      <iconSet iconSet="3Symbols" showValue="0" reverse="1">
        <cfvo type="percent" val="0"/>
        <cfvo type="num" val="10" gte="0"/>
        <cfvo type="num" val="40"/>
      </iconSet>
    </cfRule>
  </conditionalFormatting>
  <conditionalFormatting sqref="N29:N45">
    <cfRule type="iconSet" priority="4">
      <iconSet iconSet="3Symbols" showValue="0" reverse="1">
        <cfvo type="percent" val="0"/>
        <cfvo type="num" val="10" gte="0"/>
        <cfvo type="num" val="40"/>
      </iconSet>
    </cfRule>
  </conditionalFormatting>
  <conditionalFormatting sqref="P29:P45">
    <cfRule type="iconSet" priority="3">
      <iconSet iconSet="3Symbols" showValue="0" reverse="1">
        <cfvo type="percent" val="0"/>
        <cfvo type="num" val="10" gte="0"/>
        <cfvo type="num" val="40"/>
      </iconSet>
    </cfRule>
  </conditionalFormatting>
  <conditionalFormatting sqref="O7:O23">
    <cfRule type="expression" dxfId="433" priority="1">
      <formula>AND(C7="میلیون ریال",O7&lt;&gt;1000000,O7&lt;&gt;"")</formula>
    </cfRule>
  </conditionalFormatting>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4" id="{00000000-000E-0000-1E00-000005000000}">
            <x14:iconSet iconSet="3Symbols" custom="1">
              <x14:cfvo type="percent">
                <xm:f>0</xm:f>
              </x14:cfvo>
              <x14:cfvo type="num">
                <xm:f>0</xm:f>
              </x14:cfvo>
              <x14:cfvo type="num">
                <xm:f>0</xm:f>
              </x14:cfvo>
              <x14:cfIcon iconSet="3Symbols" iconId="0"/>
              <x14:cfIcon iconSet="NoIcons" iconId="0"/>
              <x14:cfIcon iconSet="NoIcons" iconId="0"/>
            </x14:iconSet>
          </x14:cfRule>
          <xm:sqref>R29:S45</xm:sqref>
        </x14:conditionalFormatting>
        <x14:conditionalFormatting xmlns:xm="http://schemas.microsoft.com/office/excel/2006/main">
          <x14:cfRule type="iconSet" priority="13" id="{00000000-000E-0000-1E00-000004000000}">
            <x14:iconSet iconSet="3Symbols" custom="1">
              <x14:cfvo type="percent">
                <xm:f>0</xm:f>
              </x14:cfvo>
              <x14:cfvo type="num">
                <xm:f>0</xm:f>
              </x14:cfvo>
              <x14:cfvo type="num">
                <xm:f>0</xm:f>
              </x14:cfvo>
              <x14:cfIcon iconSet="3Symbols" iconId="0"/>
              <x14:cfIcon iconSet="NoIcons" iconId="0"/>
              <x14:cfIcon iconSet="NoIcons" iconId="0"/>
            </x14:iconSet>
          </x14:cfRule>
          <xm:sqref>V29:V45</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tabColor rgb="FF00B0F0"/>
    <pageSetUpPr fitToPage="1"/>
  </sheetPr>
  <dimension ref="A1:O35"/>
  <sheetViews>
    <sheetView rightToLeft="1" view="pageBreakPreview" zoomScale="85" zoomScaleNormal="100" zoomScaleSheetLayoutView="85" workbookViewId="0">
      <selection activeCell="B8" sqref="B8"/>
    </sheetView>
  </sheetViews>
  <sheetFormatPr defaultColWidth="9" defaultRowHeight="15"/>
  <cols>
    <col min="1" max="1" width="36.28515625" style="5" bestFit="1" customWidth="1"/>
    <col min="2" max="4" width="18.5703125" style="5" customWidth="1"/>
    <col min="5" max="6" width="13.5703125" style="5" customWidth="1"/>
    <col min="7" max="7" width="3.7109375" style="5" customWidth="1"/>
    <col min="8" max="8" width="9" style="79"/>
    <col min="9" max="9" width="9" style="79" customWidth="1"/>
    <col min="10" max="10" width="9" style="212" hidden="1" customWidth="1"/>
    <col min="11" max="12" width="9" style="79" hidden="1" customWidth="1"/>
    <col min="13" max="13" width="9" style="212" hidden="1" customWidth="1"/>
    <col min="14" max="14" width="9" style="208" hidden="1" customWidth="1"/>
    <col min="15" max="15" width="9" style="5" hidden="1" customWidth="1"/>
    <col min="16" max="18" width="0" style="5" hidden="1" customWidth="1"/>
    <col min="19" max="16384" width="9" style="5"/>
  </cols>
  <sheetData>
    <row r="1" spans="1:15" ht="24" customHeight="1">
      <c r="A1" s="2685" t="str">
        <f>روکش!D4</f>
        <v>انبارهای عمومی و خدمات گمرکی ایران</v>
      </c>
      <c r="B1" s="2685"/>
      <c r="C1" s="2685"/>
      <c r="D1" s="2685"/>
      <c r="E1" s="2685"/>
      <c r="F1" s="2685"/>
      <c r="G1" s="2685"/>
      <c r="H1" s="95"/>
    </row>
    <row r="2" spans="1:15" ht="28.5" customHeight="1">
      <c r="A2" s="1206" t="str">
        <f>"صورت ريز هزينه‌هاي پرسنلي مستقیم توليد در دوره " &amp; روکش!F9 &amp; " سال " &amp; روکش!D9</f>
        <v>صورت ريز هزينه‌هاي پرسنلي مستقیم توليد در دوره شش ماهه سال 1405</v>
      </c>
      <c r="B2" s="1206"/>
      <c r="C2" s="1203"/>
      <c r="D2" s="1203"/>
      <c r="E2" s="1203"/>
      <c r="F2" s="1203"/>
      <c r="G2" s="1203"/>
      <c r="H2" s="184"/>
      <c r="I2" s="832"/>
    </row>
    <row r="3" spans="1:15" ht="20.100000000000001" customHeight="1" thickBot="1">
      <c r="A3" s="2723"/>
      <c r="B3" s="2723"/>
      <c r="C3" s="2723"/>
      <c r="D3" s="527"/>
      <c r="E3" s="527"/>
      <c r="F3" s="2198"/>
      <c r="G3" s="1208" t="s">
        <v>30</v>
      </c>
    </row>
    <row r="4" spans="1:15" ht="35.1" customHeight="1">
      <c r="A4" s="2907" t="s">
        <v>21</v>
      </c>
      <c r="B4" s="2907" t="s">
        <v>693</v>
      </c>
      <c r="C4" s="1222" t="s">
        <v>642</v>
      </c>
      <c r="D4" s="1223"/>
      <c r="E4" s="1223"/>
      <c r="F4" s="1224"/>
      <c r="G4" s="1224"/>
    </row>
    <row r="5" spans="1:15" ht="63.75" customHeight="1" thickBot="1">
      <c r="A5" s="2908"/>
      <c r="B5" s="2909"/>
      <c r="C5" s="713" t="s">
        <v>53</v>
      </c>
      <c r="D5" s="714" t="s">
        <v>216</v>
      </c>
      <c r="E5" s="714" t="s">
        <v>793</v>
      </c>
      <c r="F5" s="2875" t="s">
        <v>230</v>
      </c>
      <c r="G5" s="2876"/>
      <c r="J5" s="1081" t="s">
        <v>784</v>
      </c>
      <c r="K5" s="208"/>
      <c r="L5" s="208"/>
      <c r="M5" s="1081" t="s">
        <v>792</v>
      </c>
    </row>
    <row r="6" spans="1:15" ht="21.75" customHeight="1">
      <c r="A6" s="1424">
        <f ca="1">IF(ROW()-ROW($A$6)&lt;'الف-ب-ج'!$L$9,INDIRECT("BudgetDB!BK"&amp;('الف-ب-ج'!$M$9+ROW()-ROW($A$6))),"")</f>
        <v>0</v>
      </c>
      <c r="B6" s="215"/>
      <c r="C6" s="1426" cm="1">
        <f t="array" aca="1" ref="C6" ca="1">IF(ROW()-ROW($A$6)&lt;'الف-ب-ج'!$L$9,IF(روکش!$F$9="سه ماهه",INDIRECT("BudgetDB!BL"&amp;('الف-ب-ج'!$M$9+ROW()-ROW($A$6))),INDIRECT("BudgetDB!BM"&amp;('الف-ب-ج'!$M$9+ROW()-ROW($A$6)))),"")</f>
        <v>0</v>
      </c>
      <c r="D6" s="2131"/>
      <c r="E6" s="486" t="str">
        <f t="shared" ref="E6:E14" si="0">IFERROR((D6-B6)*100/B6,"-")</f>
        <v>-</v>
      </c>
      <c r="F6" s="2199" t="str">
        <f t="shared" ref="F6:F33" ca="1" si="1">IFERROR(D6*100/C6,"-")</f>
        <v>-</v>
      </c>
      <c r="G6" s="415">
        <f ca="1">IFERROR(ABS(F6-100),500)</f>
        <v>500</v>
      </c>
      <c r="J6" s="1360" t="str">
        <f ca="1">IF(AND(C6=0,D6&gt;0),100,IFERROR(ABS(F6-100),"-"))</f>
        <v>-</v>
      </c>
      <c r="K6" s="208"/>
      <c r="L6" s="208"/>
      <c r="M6" s="1423">
        <f ca="1">IFERROR(B6+C6+D6,0)</f>
        <v>0</v>
      </c>
      <c r="N6" s="208" t="e">
        <f ca="1">AND(COUNTIF($A6,"*سایر*")=1,$B6/$B$31&gt;0.2)</f>
        <v>#DIV/0!</v>
      </c>
      <c r="O6" s="208" t="e">
        <f ca="1">AND(COUNTIF($A6,"*سایر*")=1,$D6/$D$31&gt;0.2)</f>
        <v>#DIV/0!</v>
      </c>
    </row>
    <row r="7" spans="1:15" ht="21">
      <c r="A7" s="963">
        <f ca="1">IF(ROW()-ROW($A$6)&lt;'الف-ب-ج'!$L$9,INDIRECT("BudgetDB!BK"&amp;('الف-ب-ج'!$M$9+ROW()-ROW($A$6))),"")</f>
        <v>0</v>
      </c>
      <c r="B7" s="217"/>
      <c r="C7" s="1427" cm="1">
        <f t="array" aca="1" ref="C7" ca="1">IF(ROW()-ROW($A$6)&lt;'الف-ب-ج'!$L$9,IF(روکش!$F$9="سه ماهه",INDIRECT("BudgetDB!BL"&amp;('الف-ب-ج'!$M$9+ROW()-ROW($A$6))),INDIRECT("BudgetDB!BM"&amp;('الف-ب-ج'!$M$9+ROW()-ROW($A$6)))),"")</f>
        <v>0</v>
      </c>
      <c r="D7" s="2127"/>
      <c r="E7" s="488" t="str">
        <f t="shared" si="0"/>
        <v>-</v>
      </c>
      <c r="F7" s="2201" t="str">
        <f t="shared" ca="1" si="1"/>
        <v>-</v>
      </c>
      <c r="G7" s="418">
        <f t="shared" ref="G7:G33" ca="1" si="2">IFERROR(ABS(F7-100),500)</f>
        <v>500</v>
      </c>
      <c r="J7" s="1360" t="str">
        <f t="shared" ref="J7:J30" ca="1" si="3">IF(AND(C7=0,D7&gt;0),100,IFERROR(ABS(F7-100),"-"))</f>
        <v>-</v>
      </c>
      <c r="K7" s="208"/>
      <c r="L7" s="208"/>
      <c r="M7" s="1423">
        <f t="shared" ref="M7:M35" ca="1" si="4">IFERROR(B7+C7+D7,0)</f>
        <v>0</v>
      </c>
      <c r="N7" s="208" t="e">
        <f t="shared" ref="N7:N30" ca="1" si="5">AND(COUNTIF($A7,"*سایر*")=1,$B7/$B$31&gt;0.2)</f>
        <v>#DIV/0!</v>
      </c>
      <c r="O7" s="208" t="e">
        <f t="shared" ref="O7:O30" ca="1" si="6">AND(COUNTIF($A7,"*سایر*")=1,$D7/$D$31&gt;0.2)</f>
        <v>#DIV/0!</v>
      </c>
    </row>
    <row r="8" spans="1:15" ht="21">
      <c r="A8" s="963">
        <f ca="1">IF(ROW()-ROW($A$6)&lt;'الف-ب-ج'!$L$9,INDIRECT("BudgetDB!BK"&amp;('الف-ب-ج'!$M$9+ROW()-ROW($A$6))),"")</f>
        <v>0</v>
      </c>
      <c r="B8" s="217"/>
      <c r="C8" s="1427" cm="1">
        <f t="array" aca="1" ref="C8" ca="1">IF(ROW()-ROW($A$6)&lt;'الف-ب-ج'!$L$9,IF(روکش!$F$9="سه ماهه",INDIRECT("BudgetDB!BL"&amp;('الف-ب-ج'!$M$9+ROW()-ROW($A$6))),INDIRECT("BudgetDB!BM"&amp;('الف-ب-ج'!$M$9+ROW()-ROW($A$6)))),"")</f>
        <v>0</v>
      </c>
      <c r="D8" s="2127"/>
      <c r="E8" s="488" t="str">
        <f t="shared" si="0"/>
        <v>-</v>
      </c>
      <c r="F8" s="2201" t="str">
        <f t="shared" ca="1" si="1"/>
        <v>-</v>
      </c>
      <c r="G8" s="418">
        <f t="shared" ca="1" si="2"/>
        <v>500</v>
      </c>
      <c r="J8" s="1360" t="str">
        <f t="shared" ca="1" si="3"/>
        <v>-</v>
      </c>
      <c r="K8" s="208"/>
      <c r="L8" s="208"/>
      <c r="M8" s="1423">
        <f t="shared" ca="1" si="4"/>
        <v>0</v>
      </c>
      <c r="N8" s="208" t="e">
        <f t="shared" ca="1" si="5"/>
        <v>#DIV/0!</v>
      </c>
      <c r="O8" s="208" t="e">
        <f t="shared" ca="1" si="6"/>
        <v>#DIV/0!</v>
      </c>
    </row>
    <row r="9" spans="1:15" ht="21">
      <c r="A9" s="963">
        <f ca="1">IF(ROW()-ROW($A$6)&lt;'الف-ب-ج'!$L$9,INDIRECT("BudgetDB!BK"&amp;('الف-ب-ج'!$M$9+ROW()-ROW($A$6))),"")</f>
        <v>0</v>
      </c>
      <c r="B9" s="217"/>
      <c r="C9" s="1427" cm="1">
        <f t="array" aca="1" ref="C9" ca="1">IF(ROW()-ROW($A$6)&lt;'الف-ب-ج'!$L$9,IF(روکش!$F$9="سه ماهه",INDIRECT("BudgetDB!BL"&amp;('الف-ب-ج'!$M$9+ROW()-ROW($A$6))),INDIRECT("BudgetDB!BM"&amp;('الف-ب-ج'!$M$9+ROW()-ROW($A$6)))),"")</f>
        <v>0</v>
      </c>
      <c r="D9" s="2127"/>
      <c r="E9" s="488" t="str">
        <f t="shared" si="0"/>
        <v>-</v>
      </c>
      <c r="F9" s="2201" t="str">
        <f t="shared" ca="1" si="1"/>
        <v>-</v>
      </c>
      <c r="G9" s="418">
        <f t="shared" ca="1" si="2"/>
        <v>500</v>
      </c>
      <c r="J9" s="1360" t="str">
        <f t="shared" ca="1" si="3"/>
        <v>-</v>
      </c>
      <c r="K9" s="208"/>
      <c r="L9" s="208"/>
      <c r="M9" s="1423">
        <f t="shared" ca="1" si="4"/>
        <v>0</v>
      </c>
      <c r="N9" s="208" t="e">
        <f t="shared" ca="1" si="5"/>
        <v>#DIV/0!</v>
      </c>
      <c r="O9" s="208" t="e">
        <f t="shared" ca="1" si="6"/>
        <v>#DIV/0!</v>
      </c>
    </row>
    <row r="10" spans="1:15" ht="21">
      <c r="A10" s="963">
        <f ca="1">IF(ROW()-ROW($A$6)&lt;'الف-ب-ج'!$L$9,INDIRECT("BudgetDB!BK"&amp;('الف-ب-ج'!$M$9+ROW()-ROW($A$6))),"")</f>
        <v>0</v>
      </c>
      <c r="B10" s="217"/>
      <c r="C10" s="1427" cm="1">
        <f t="array" aca="1" ref="C10" ca="1">IF(ROW()-ROW($A$6)&lt;'الف-ب-ج'!$L$9,IF(روکش!$F$9="سه ماهه",INDIRECT("BudgetDB!BL"&amp;('الف-ب-ج'!$M$9+ROW()-ROW($A$6))),INDIRECT("BudgetDB!BM"&amp;('الف-ب-ج'!$M$9+ROW()-ROW($A$6)))),"")</f>
        <v>0</v>
      </c>
      <c r="D10" s="2127"/>
      <c r="E10" s="488" t="str">
        <f>IFERROR((D10-B10)*100/B10,"-")</f>
        <v>-</v>
      </c>
      <c r="F10" s="2201" t="str">
        <f t="shared" ca="1" si="1"/>
        <v>-</v>
      </c>
      <c r="G10" s="498">
        <f t="shared" ca="1" si="2"/>
        <v>500</v>
      </c>
      <c r="J10" s="1360" t="str">
        <f t="shared" ca="1" si="3"/>
        <v>-</v>
      </c>
      <c r="K10" s="208"/>
      <c r="L10" s="208"/>
      <c r="M10" s="1423">
        <f ca="1">IFERROR(B10+C10+D10,0)</f>
        <v>0</v>
      </c>
      <c r="N10" s="208" t="e">
        <f ca="1">AND(COUNTIF($A10,"*سایر*")=1,$B10/$B$31&gt;0.2)</f>
        <v>#DIV/0!</v>
      </c>
      <c r="O10" s="208" t="e">
        <f t="shared" ca="1" si="6"/>
        <v>#DIV/0!</v>
      </c>
    </row>
    <row r="11" spans="1:15" ht="21">
      <c r="A11" s="963">
        <f ca="1">IF(ROW()-ROW($A$6)&lt;'الف-ب-ج'!$L$9,INDIRECT("BudgetDB!BK"&amp;('الف-ب-ج'!$M$9+ROW()-ROW($A$6))),"")</f>
        <v>0</v>
      </c>
      <c r="B11" s="217"/>
      <c r="C11" s="1427" cm="1">
        <f t="array" aca="1" ref="C11" ca="1">IF(ROW()-ROW($A$6)&lt;'الف-ب-ج'!$L$9,IF(روکش!$F$9="سه ماهه",INDIRECT("BudgetDB!BL"&amp;('الف-ب-ج'!$M$9+ROW()-ROW($A$6))),INDIRECT("BudgetDB!BM"&amp;('الف-ب-ج'!$M$9+ROW()-ROW($A$6)))),"")</f>
        <v>0</v>
      </c>
      <c r="D11" s="2127"/>
      <c r="E11" s="488" t="str">
        <f>IFERROR((D11-B11)*100/B11,"-")</f>
        <v>-</v>
      </c>
      <c r="F11" s="2201" t="str">
        <f t="shared" ca="1" si="1"/>
        <v>-</v>
      </c>
      <c r="G11" s="498">
        <f t="shared" ca="1" si="2"/>
        <v>500</v>
      </c>
      <c r="J11" s="1360" t="str">
        <f t="shared" ca="1" si="3"/>
        <v>-</v>
      </c>
      <c r="K11" s="208"/>
      <c r="L11" s="208"/>
      <c r="M11" s="1423">
        <f ca="1">IFERROR(B11+C11+D11,0)</f>
        <v>0</v>
      </c>
      <c r="N11" s="208" t="e">
        <f ca="1">AND(COUNTIF($A11,"*سایر*")=1,$B11/$B$31&gt;0.2)</f>
        <v>#DIV/0!</v>
      </c>
      <c r="O11" s="208" t="e">
        <f t="shared" ca="1" si="6"/>
        <v>#DIV/0!</v>
      </c>
    </row>
    <row r="12" spans="1:15" ht="21">
      <c r="A12" s="963">
        <f ca="1">IF(ROW()-ROW($A$6)&lt;'الف-ب-ج'!$L$9,INDIRECT("BudgetDB!BK"&amp;('الف-ب-ج'!$M$9+ROW()-ROW($A$6))),"")</f>
        <v>0</v>
      </c>
      <c r="B12" s="217"/>
      <c r="C12" s="1427" cm="1">
        <f t="array" aca="1" ref="C12" ca="1">IF(ROW()-ROW($A$6)&lt;'الف-ب-ج'!$L$9,IF(روکش!$F$9="سه ماهه",INDIRECT("BudgetDB!BL"&amp;('الف-ب-ج'!$M$9+ROW()-ROW($A$6))),INDIRECT("BudgetDB!BM"&amp;('الف-ب-ج'!$M$9+ROW()-ROW($A$6)))),"")</f>
        <v>0</v>
      </c>
      <c r="D12" s="2127"/>
      <c r="E12" s="488" t="str">
        <f t="shared" si="0"/>
        <v>-</v>
      </c>
      <c r="F12" s="2201" t="str">
        <f t="shared" ca="1" si="1"/>
        <v>-</v>
      </c>
      <c r="G12" s="498">
        <f t="shared" ca="1" si="2"/>
        <v>500</v>
      </c>
      <c r="J12" s="1360" t="str">
        <f t="shared" ca="1" si="3"/>
        <v>-</v>
      </c>
      <c r="K12" s="208"/>
      <c r="L12" s="208"/>
      <c r="M12" s="1423">
        <f t="shared" ca="1" si="4"/>
        <v>0</v>
      </c>
      <c r="N12" s="208" t="e">
        <f t="shared" ca="1" si="5"/>
        <v>#DIV/0!</v>
      </c>
      <c r="O12" s="208" t="e">
        <f t="shared" ca="1" si="6"/>
        <v>#DIV/0!</v>
      </c>
    </row>
    <row r="13" spans="1:15" ht="21">
      <c r="A13" s="963">
        <f ca="1">IF(ROW()-ROW($A$6)&lt;'الف-ب-ج'!$L$9,INDIRECT("BudgetDB!BK"&amp;('الف-ب-ج'!$M$9+ROW()-ROW($A$6))),"")</f>
        <v>0</v>
      </c>
      <c r="B13" s="217"/>
      <c r="C13" s="1427" cm="1">
        <f t="array" aca="1" ref="C13" ca="1">IF(ROW()-ROW($A$6)&lt;'الف-ب-ج'!$L$9,IF(روکش!$F$9="سه ماهه",INDIRECT("BudgetDB!BL"&amp;('الف-ب-ج'!$M$9+ROW()-ROW($A$6))),INDIRECT("BudgetDB!BM"&amp;('الف-ب-ج'!$M$9+ROW()-ROW($A$6)))),"")</f>
        <v>0</v>
      </c>
      <c r="D13" s="2127"/>
      <c r="E13" s="488" t="str">
        <f t="shared" si="0"/>
        <v>-</v>
      </c>
      <c r="F13" s="2201" t="str">
        <f t="shared" ca="1" si="1"/>
        <v>-</v>
      </c>
      <c r="G13" s="498">
        <f t="shared" ca="1" si="2"/>
        <v>500</v>
      </c>
      <c r="J13" s="1360" t="str">
        <f t="shared" ca="1" si="3"/>
        <v>-</v>
      </c>
      <c r="K13" s="208"/>
      <c r="L13" s="208"/>
      <c r="M13" s="1423">
        <f t="shared" ca="1" si="4"/>
        <v>0</v>
      </c>
      <c r="N13" s="208" t="e">
        <f t="shared" ca="1" si="5"/>
        <v>#DIV/0!</v>
      </c>
      <c r="O13" s="208" t="e">
        <f t="shared" ca="1" si="6"/>
        <v>#DIV/0!</v>
      </c>
    </row>
    <row r="14" spans="1:15" ht="21">
      <c r="A14" s="963">
        <f ca="1">IF(ROW()-ROW($A$6)&lt;'الف-ب-ج'!$L$9,INDIRECT("BudgetDB!BK"&amp;('الف-ب-ج'!$M$9+ROW()-ROW($A$6))),"")</f>
        <v>0</v>
      </c>
      <c r="B14" s="217"/>
      <c r="C14" s="1427" cm="1">
        <f t="array" aca="1" ref="C14" ca="1">IF(ROW()-ROW($A$6)&lt;'الف-ب-ج'!$L$9,IF(روکش!$F$9="سه ماهه",INDIRECT("BudgetDB!BL"&amp;('الف-ب-ج'!$M$9+ROW()-ROW($A$6))),INDIRECT("BudgetDB!BM"&amp;('الف-ب-ج'!$M$9+ROW()-ROW($A$6)))),"")</f>
        <v>0</v>
      </c>
      <c r="D14" s="2127"/>
      <c r="E14" s="488" t="str">
        <f t="shared" si="0"/>
        <v>-</v>
      </c>
      <c r="F14" s="2201" t="str">
        <f t="shared" ca="1" si="1"/>
        <v>-</v>
      </c>
      <c r="G14" s="498">
        <f t="shared" ca="1" si="2"/>
        <v>500</v>
      </c>
      <c r="J14" s="1360" t="str">
        <f t="shared" ca="1" si="3"/>
        <v>-</v>
      </c>
      <c r="K14" s="208"/>
      <c r="L14" s="208"/>
      <c r="M14" s="1423">
        <f t="shared" ca="1" si="4"/>
        <v>0</v>
      </c>
      <c r="N14" s="208" t="e">
        <f t="shared" ca="1" si="5"/>
        <v>#DIV/0!</v>
      </c>
      <c r="O14" s="208" t="e">
        <f t="shared" ca="1" si="6"/>
        <v>#DIV/0!</v>
      </c>
    </row>
    <row r="15" spans="1:15" ht="21">
      <c r="A15" s="963">
        <f ca="1">IF(ROW()-ROW($A$6)&lt;'الف-ب-ج'!$L$9,INDIRECT("BudgetDB!BK"&amp;('الف-ب-ج'!$M$9+ROW()-ROW($A$6))),"")</f>
        <v>0</v>
      </c>
      <c r="B15" s="217"/>
      <c r="C15" s="1427" cm="1">
        <f t="array" aca="1" ref="C15" ca="1">IF(ROW()-ROW($A$6)&lt;'الف-ب-ج'!$L$9,IF(روکش!$F$9="سه ماهه",INDIRECT("BudgetDB!BL"&amp;('الف-ب-ج'!$M$9+ROW()-ROW($A$6))),INDIRECT("BudgetDB!BM"&amp;('الف-ب-ج'!$M$9+ROW()-ROW($A$6)))),"")</f>
        <v>0</v>
      </c>
      <c r="D15" s="2127"/>
      <c r="E15" s="488" t="str">
        <f t="shared" ref="E15:E25" si="7">IFERROR((D15-B15)*100/B15,"-")</f>
        <v>-</v>
      </c>
      <c r="F15" s="2201" t="str">
        <f t="shared" ca="1" si="1"/>
        <v>-</v>
      </c>
      <c r="G15" s="498">
        <f t="shared" ca="1" si="2"/>
        <v>500</v>
      </c>
      <c r="J15" s="1360" t="str">
        <f t="shared" ca="1" si="3"/>
        <v>-</v>
      </c>
      <c r="K15" s="208"/>
      <c r="L15" s="208"/>
      <c r="M15" s="1423">
        <f t="shared" ca="1" si="4"/>
        <v>0</v>
      </c>
      <c r="N15" s="208" t="e">
        <f t="shared" ca="1" si="5"/>
        <v>#DIV/0!</v>
      </c>
      <c r="O15" s="208" t="e">
        <f t="shared" ca="1" si="6"/>
        <v>#DIV/0!</v>
      </c>
    </row>
    <row r="16" spans="1:15" ht="21">
      <c r="A16" s="963">
        <f ca="1">IF(ROW()-ROW($A$6)&lt;'الف-ب-ج'!$L$9,INDIRECT("BudgetDB!BK"&amp;('الف-ب-ج'!$M$9+ROW()-ROW($A$6))),"")</f>
        <v>0</v>
      </c>
      <c r="B16" s="217"/>
      <c r="C16" s="1427" cm="1">
        <f t="array" aca="1" ref="C16" ca="1">IF(ROW()-ROW($A$6)&lt;'الف-ب-ج'!$L$9,IF(روکش!$F$9="سه ماهه",INDIRECT("BudgetDB!BL"&amp;('الف-ب-ج'!$M$9+ROW()-ROW($A$6))),INDIRECT("BudgetDB!BM"&amp;('الف-ب-ج'!$M$9+ROW()-ROW($A$6)))),"")</f>
        <v>0</v>
      </c>
      <c r="D16" s="2127"/>
      <c r="E16" s="488" t="str">
        <f t="shared" si="7"/>
        <v>-</v>
      </c>
      <c r="F16" s="2201" t="str">
        <f t="shared" ca="1" si="1"/>
        <v>-</v>
      </c>
      <c r="G16" s="498">
        <f t="shared" ca="1" si="2"/>
        <v>500</v>
      </c>
      <c r="J16" s="1360" t="str">
        <f t="shared" ca="1" si="3"/>
        <v>-</v>
      </c>
      <c r="K16" s="208"/>
      <c r="L16" s="208"/>
      <c r="M16" s="1423">
        <f t="shared" ca="1" si="4"/>
        <v>0</v>
      </c>
      <c r="N16" s="208" t="e">
        <f t="shared" ca="1" si="5"/>
        <v>#DIV/0!</v>
      </c>
      <c r="O16" s="208" t="e">
        <f t="shared" ca="1" si="6"/>
        <v>#DIV/0!</v>
      </c>
    </row>
    <row r="17" spans="1:15" ht="21">
      <c r="A17" s="963">
        <f ca="1">IF(ROW()-ROW($A$6)&lt;'الف-ب-ج'!$L$9,INDIRECT("BudgetDB!BK"&amp;('الف-ب-ج'!$M$9+ROW()-ROW($A$6))),"")</f>
        <v>0</v>
      </c>
      <c r="B17" s="217"/>
      <c r="C17" s="1427" cm="1">
        <f t="array" aca="1" ref="C17" ca="1">IF(ROW()-ROW($A$6)&lt;'الف-ب-ج'!$L$9,IF(روکش!$F$9="سه ماهه",INDIRECT("BudgetDB!BL"&amp;('الف-ب-ج'!$M$9+ROW()-ROW($A$6))),INDIRECT("BudgetDB!BM"&amp;('الف-ب-ج'!$M$9+ROW()-ROW($A$6)))),"")</f>
        <v>0</v>
      </c>
      <c r="D17" s="2127"/>
      <c r="E17" s="488" t="str">
        <f t="shared" si="7"/>
        <v>-</v>
      </c>
      <c r="F17" s="2201" t="str">
        <f t="shared" ca="1" si="1"/>
        <v>-</v>
      </c>
      <c r="G17" s="498">
        <f t="shared" ca="1" si="2"/>
        <v>500</v>
      </c>
      <c r="J17" s="1360" t="str">
        <f t="shared" ca="1" si="3"/>
        <v>-</v>
      </c>
      <c r="K17" s="208"/>
      <c r="L17" s="208"/>
      <c r="M17" s="1423">
        <f t="shared" ca="1" si="4"/>
        <v>0</v>
      </c>
      <c r="N17" s="208" t="e">
        <f t="shared" ca="1" si="5"/>
        <v>#DIV/0!</v>
      </c>
      <c r="O17" s="208" t="e">
        <f t="shared" ca="1" si="6"/>
        <v>#DIV/0!</v>
      </c>
    </row>
    <row r="18" spans="1:15" ht="21">
      <c r="A18" s="963">
        <f ca="1">IF(ROW()-ROW($A$6)&lt;'الف-ب-ج'!$L$9,INDIRECT("BudgetDB!BK"&amp;('الف-ب-ج'!$M$9+ROW()-ROW($A$6))),"")</f>
        <v>0</v>
      </c>
      <c r="B18" s="217"/>
      <c r="C18" s="1427" cm="1">
        <f t="array" aca="1" ref="C18" ca="1">IF(ROW()-ROW($A$6)&lt;'الف-ب-ج'!$L$9,IF(روکش!$F$9="سه ماهه",INDIRECT("BudgetDB!BL"&amp;('الف-ب-ج'!$M$9+ROW()-ROW($A$6))),INDIRECT("BudgetDB!BM"&amp;('الف-ب-ج'!$M$9+ROW()-ROW($A$6)))),"")</f>
        <v>0</v>
      </c>
      <c r="D18" s="2127"/>
      <c r="E18" s="488" t="str">
        <f t="shared" si="7"/>
        <v>-</v>
      </c>
      <c r="F18" s="2201" t="str">
        <f t="shared" ca="1" si="1"/>
        <v>-</v>
      </c>
      <c r="G18" s="498">
        <f t="shared" ca="1" si="2"/>
        <v>500</v>
      </c>
      <c r="J18" s="1360" t="str">
        <f t="shared" ca="1" si="3"/>
        <v>-</v>
      </c>
      <c r="K18" s="208"/>
      <c r="L18" s="208"/>
      <c r="M18" s="1423">
        <f t="shared" ca="1" si="4"/>
        <v>0</v>
      </c>
      <c r="N18" s="208" t="e">
        <f t="shared" ca="1" si="5"/>
        <v>#DIV/0!</v>
      </c>
      <c r="O18" s="208" t="e">
        <f t="shared" ca="1" si="6"/>
        <v>#DIV/0!</v>
      </c>
    </row>
    <row r="19" spans="1:15" ht="21">
      <c r="A19" s="963">
        <f ca="1">IF(ROW()-ROW($A$6)&lt;'الف-ب-ج'!$L$9,INDIRECT("BudgetDB!BK"&amp;('الف-ب-ج'!$M$9+ROW()-ROW($A$6))),"")</f>
        <v>0</v>
      </c>
      <c r="B19" s="217"/>
      <c r="C19" s="1427" cm="1">
        <f t="array" aca="1" ref="C19" ca="1">IF(ROW()-ROW($A$6)&lt;'الف-ب-ج'!$L$9,IF(روکش!$F$9="سه ماهه",INDIRECT("BudgetDB!BL"&amp;('الف-ب-ج'!$M$9+ROW()-ROW($A$6))),INDIRECT("BudgetDB!BM"&amp;('الف-ب-ج'!$M$9+ROW()-ROW($A$6)))),"")</f>
        <v>0</v>
      </c>
      <c r="D19" s="2127"/>
      <c r="E19" s="488" t="str">
        <f t="shared" si="7"/>
        <v>-</v>
      </c>
      <c r="F19" s="2201" t="str">
        <f t="shared" ca="1" si="1"/>
        <v>-</v>
      </c>
      <c r="G19" s="498">
        <f t="shared" ca="1" si="2"/>
        <v>500</v>
      </c>
      <c r="J19" s="1360" t="str">
        <f t="shared" ca="1" si="3"/>
        <v>-</v>
      </c>
      <c r="K19" s="208"/>
      <c r="L19" s="208"/>
      <c r="M19" s="1423">
        <f t="shared" ca="1" si="4"/>
        <v>0</v>
      </c>
      <c r="N19" s="208" t="e">
        <f t="shared" ca="1" si="5"/>
        <v>#DIV/0!</v>
      </c>
      <c r="O19" s="208" t="e">
        <f t="shared" ca="1" si="6"/>
        <v>#DIV/0!</v>
      </c>
    </row>
    <row r="20" spans="1:15" ht="21">
      <c r="A20" s="963">
        <f ca="1">IF(ROW()-ROW($A$6)&lt;'الف-ب-ج'!$L$9,INDIRECT("BudgetDB!BK"&amp;('الف-ب-ج'!$M$9+ROW()-ROW($A$6))),"")</f>
        <v>0</v>
      </c>
      <c r="B20" s="217"/>
      <c r="C20" s="1427" cm="1">
        <f t="array" aca="1" ref="C20" ca="1">IF(ROW()-ROW($A$6)&lt;'الف-ب-ج'!$L$9,IF(روکش!$F$9="سه ماهه",INDIRECT("BudgetDB!BL"&amp;('الف-ب-ج'!$M$9+ROW()-ROW($A$6))),INDIRECT("BudgetDB!BM"&amp;('الف-ب-ج'!$M$9+ROW()-ROW($A$6)))),"")</f>
        <v>0</v>
      </c>
      <c r="D20" s="2127"/>
      <c r="E20" s="488" t="str">
        <f t="shared" si="7"/>
        <v>-</v>
      </c>
      <c r="F20" s="2201" t="str">
        <f t="shared" ca="1" si="1"/>
        <v>-</v>
      </c>
      <c r="G20" s="498">
        <f t="shared" ca="1" si="2"/>
        <v>500</v>
      </c>
      <c r="J20" s="1360" t="str">
        <f t="shared" ca="1" si="3"/>
        <v>-</v>
      </c>
      <c r="K20" s="208"/>
      <c r="L20" s="208"/>
      <c r="M20" s="1423">
        <f t="shared" ca="1" si="4"/>
        <v>0</v>
      </c>
      <c r="N20" s="208" t="e">
        <f t="shared" ca="1" si="5"/>
        <v>#DIV/0!</v>
      </c>
      <c r="O20" s="208" t="e">
        <f t="shared" ca="1" si="6"/>
        <v>#DIV/0!</v>
      </c>
    </row>
    <row r="21" spans="1:15" ht="21">
      <c r="A21" s="963">
        <f ca="1">IF(ROW()-ROW($A$6)&lt;'الف-ب-ج'!$L$9,INDIRECT("BudgetDB!BK"&amp;('الف-ب-ج'!$M$9+ROW()-ROW($A$6))),"")</f>
        <v>0</v>
      </c>
      <c r="B21" s="217"/>
      <c r="C21" s="1427" cm="1">
        <f t="array" aca="1" ref="C21" ca="1">IF(ROW()-ROW($A$6)&lt;'الف-ب-ج'!$L$9,IF(روکش!$F$9="سه ماهه",INDIRECT("BudgetDB!BL"&amp;('الف-ب-ج'!$M$9+ROW()-ROW($A$6))),INDIRECT("BudgetDB!BM"&amp;('الف-ب-ج'!$M$9+ROW()-ROW($A$6)))),"")</f>
        <v>0</v>
      </c>
      <c r="D21" s="2127"/>
      <c r="E21" s="488" t="str">
        <f t="shared" si="7"/>
        <v>-</v>
      </c>
      <c r="F21" s="2201" t="str">
        <f t="shared" ca="1" si="1"/>
        <v>-</v>
      </c>
      <c r="G21" s="498">
        <f t="shared" ca="1" si="2"/>
        <v>500</v>
      </c>
      <c r="J21" s="1360" t="str">
        <f t="shared" ca="1" si="3"/>
        <v>-</v>
      </c>
      <c r="K21" s="208"/>
      <c r="L21" s="208"/>
      <c r="M21" s="1423">
        <f t="shared" ca="1" si="4"/>
        <v>0</v>
      </c>
      <c r="N21" s="208" t="e">
        <f t="shared" ca="1" si="5"/>
        <v>#DIV/0!</v>
      </c>
      <c r="O21" s="208" t="e">
        <f t="shared" ca="1" si="6"/>
        <v>#DIV/0!</v>
      </c>
    </row>
    <row r="22" spans="1:15" ht="21">
      <c r="A22" s="963">
        <f ca="1">IF(ROW()-ROW($A$6)&lt;'الف-ب-ج'!$L$9,INDIRECT("BudgetDB!BK"&amp;('الف-ب-ج'!$M$9+ROW()-ROW($A$6))),"")</f>
        <v>0</v>
      </c>
      <c r="B22" s="217"/>
      <c r="C22" s="1427" cm="1">
        <f t="array" aca="1" ref="C22" ca="1">IF(ROW()-ROW($A$6)&lt;'الف-ب-ج'!$L$9,IF(روکش!$F$9="سه ماهه",INDIRECT("BudgetDB!BL"&amp;('الف-ب-ج'!$M$9+ROW()-ROW($A$6))),INDIRECT("BudgetDB!BM"&amp;('الف-ب-ج'!$M$9+ROW()-ROW($A$6)))),"")</f>
        <v>0</v>
      </c>
      <c r="D22" s="2127"/>
      <c r="E22" s="488" t="str">
        <f t="shared" si="7"/>
        <v>-</v>
      </c>
      <c r="F22" s="2201" t="str">
        <f t="shared" ca="1" si="1"/>
        <v>-</v>
      </c>
      <c r="G22" s="498">
        <f t="shared" ca="1" si="2"/>
        <v>500</v>
      </c>
      <c r="J22" s="1360" t="str">
        <f t="shared" ca="1" si="3"/>
        <v>-</v>
      </c>
      <c r="K22" s="208"/>
      <c r="L22" s="208"/>
      <c r="M22" s="1423">
        <f t="shared" ca="1" si="4"/>
        <v>0</v>
      </c>
      <c r="N22" s="208" t="e">
        <f t="shared" ca="1" si="5"/>
        <v>#DIV/0!</v>
      </c>
      <c r="O22" s="208" t="e">
        <f t="shared" ca="1" si="6"/>
        <v>#DIV/0!</v>
      </c>
    </row>
    <row r="23" spans="1:15" ht="21">
      <c r="A23" s="963">
        <f ca="1">IF(ROW()-ROW($A$6)&lt;'الف-ب-ج'!$L$9,INDIRECT("BudgetDB!BK"&amp;('الف-ب-ج'!$M$9+ROW()-ROW($A$6))),"")</f>
        <v>0</v>
      </c>
      <c r="B23" s="217"/>
      <c r="C23" s="1427" cm="1">
        <f t="array" aca="1" ref="C23" ca="1">IF(ROW()-ROW($A$6)&lt;'الف-ب-ج'!$L$9,IF(روکش!$F$9="سه ماهه",INDIRECT("BudgetDB!BL"&amp;('الف-ب-ج'!$M$9+ROW()-ROW($A$6))),INDIRECT("BudgetDB!BM"&amp;('الف-ب-ج'!$M$9+ROW()-ROW($A$6)))),"")</f>
        <v>0</v>
      </c>
      <c r="D23" s="2127"/>
      <c r="E23" s="488" t="str">
        <f t="shared" si="7"/>
        <v>-</v>
      </c>
      <c r="F23" s="2201" t="str">
        <f t="shared" ca="1" si="1"/>
        <v>-</v>
      </c>
      <c r="G23" s="498">
        <f t="shared" ca="1" si="2"/>
        <v>500</v>
      </c>
      <c r="J23" s="1360" t="str">
        <f t="shared" ca="1" si="3"/>
        <v>-</v>
      </c>
      <c r="K23" s="208"/>
      <c r="L23" s="208"/>
      <c r="M23" s="1423">
        <f t="shared" ca="1" si="4"/>
        <v>0</v>
      </c>
      <c r="N23" s="208" t="e">
        <f t="shared" ca="1" si="5"/>
        <v>#DIV/0!</v>
      </c>
      <c r="O23" s="208" t="e">
        <f t="shared" ca="1" si="6"/>
        <v>#DIV/0!</v>
      </c>
    </row>
    <row r="24" spans="1:15" ht="21">
      <c r="A24" s="963">
        <f ca="1">IF(ROW()-ROW($A$6)&lt;'الف-ب-ج'!$L$9,INDIRECT("BudgetDB!BK"&amp;('الف-ب-ج'!$M$9+ROW()-ROW($A$6))),"")</f>
        <v>0</v>
      </c>
      <c r="B24" s="217"/>
      <c r="C24" s="1427" cm="1">
        <f t="array" aca="1" ref="C24" ca="1">IF(ROW()-ROW($A$6)&lt;'الف-ب-ج'!$L$9,IF(روکش!$F$9="سه ماهه",INDIRECT("BudgetDB!BL"&amp;('الف-ب-ج'!$M$9+ROW()-ROW($A$6))),INDIRECT("BudgetDB!BM"&amp;('الف-ب-ج'!$M$9+ROW()-ROW($A$6)))),"")</f>
        <v>0</v>
      </c>
      <c r="D24" s="2127"/>
      <c r="E24" s="488" t="str">
        <f t="shared" si="7"/>
        <v>-</v>
      </c>
      <c r="F24" s="2201" t="str">
        <f t="shared" ca="1" si="1"/>
        <v>-</v>
      </c>
      <c r="G24" s="498">
        <f t="shared" ca="1" si="2"/>
        <v>500</v>
      </c>
      <c r="J24" s="1360" t="str">
        <f t="shared" ca="1" si="3"/>
        <v>-</v>
      </c>
      <c r="K24" s="208"/>
      <c r="L24" s="208"/>
      <c r="M24" s="1423">
        <f t="shared" ca="1" si="4"/>
        <v>0</v>
      </c>
      <c r="N24" s="208" t="e">
        <f t="shared" ca="1" si="5"/>
        <v>#DIV/0!</v>
      </c>
      <c r="O24" s="208" t="e">
        <f t="shared" ca="1" si="6"/>
        <v>#DIV/0!</v>
      </c>
    </row>
    <row r="25" spans="1:15" ht="21">
      <c r="A25" s="963">
        <f ca="1">IF(ROW()-ROW($A$6)&lt;'الف-ب-ج'!$L$9,INDIRECT("BudgetDB!BK"&amp;('الف-ب-ج'!$M$9+ROW()-ROW($A$6))),"")</f>
        <v>0</v>
      </c>
      <c r="B25" s="217"/>
      <c r="C25" s="1427" cm="1">
        <f t="array" aca="1" ref="C25" ca="1">IF(ROW()-ROW($A$6)&lt;'الف-ب-ج'!$L$9,IF(روکش!$F$9="سه ماهه",INDIRECT("BudgetDB!BL"&amp;('الف-ب-ج'!$M$9+ROW()-ROW($A$6))),INDIRECT("BudgetDB!BM"&amp;('الف-ب-ج'!$M$9+ROW()-ROW($A$6)))),"")</f>
        <v>0</v>
      </c>
      <c r="D25" s="2127"/>
      <c r="E25" s="488" t="str">
        <f t="shared" si="7"/>
        <v>-</v>
      </c>
      <c r="F25" s="2201" t="str">
        <f t="shared" ca="1" si="1"/>
        <v>-</v>
      </c>
      <c r="G25" s="498">
        <f t="shared" ca="1" si="2"/>
        <v>500</v>
      </c>
      <c r="J25" s="1360" t="str">
        <f t="shared" ca="1" si="3"/>
        <v>-</v>
      </c>
      <c r="K25" s="208"/>
      <c r="L25" s="208"/>
      <c r="M25" s="1423">
        <f t="shared" ca="1" si="4"/>
        <v>0</v>
      </c>
      <c r="N25" s="208" t="e">
        <f t="shared" ca="1" si="5"/>
        <v>#DIV/0!</v>
      </c>
      <c r="O25" s="208" t="e">
        <f t="shared" ca="1" si="6"/>
        <v>#DIV/0!</v>
      </c>
    </row>
    <row r="26" spans="1:15" ht="21">
      <c r="A26" s="496">
        <f ca="1">IF(ROW()-ROW($A$6)&lt;'الف-ب-ج'!$L$9,INDIRECT("BudgetDB!BK"&amp;('الف-ب-ج'!$M$9+ROW()-ROW($A$6))),"")</f>
        <v>0</v>
      </c>
      <c r="B26" s="217"/>
      <c r="C26" s="1427" cm="1">
        <f t="array" aca="1" ref="C26" ca="1">IF(ROW()-ROW($A$6)&lt;'الف-ب-ج'!$L$9,IF(روکش!$F$9="سه ماهه",INDIRECT("BudgetDB!BL"&amp;('الف-ب-ج'!$M$9+ROW()-ROW($A$6))),INDIRECT("BudgetDB!BM"&amp;('الف-ب-ج'!$M$9+ROW()-ROW($A$6)))),"")</f>
        <v>0</v>
      </c>
      <c r="D26" s="2127"/>
      <c r="E26" s="488" t="str">
        <f t="shared" ref="E26:E30" si="8">IFERROR((D26-B26)*100/B26,"-")</f>
        <v>-</v>
      </c>
      <c r="F26" s="2201" t="str">
        <f t="shared" ca="1" si="1"/>
        <v>-</v>
      </c>
      <c r="G26" s="498">
        <f t="shared" ca="1" si="2"/>
        <v>500</v>
      </c>
      <c r="J26" s="1360" t="str">
        <f t="shared" ca="1" si="3"/>
        <v>-</v>
      </c>
      <c r="K26" s="208"/>
      <c r="L26" s="208"/>
      <c r="M26" s="1423">
        <f t="shared" ca="1" si="4"/>
        <v>0</v>
      </c>
      <c r="N26" s="208" t="e">
        <f t="shared" ca="1" si="5"/>
        <v>#DIV/0!</v>
      </c>
      <c r="O26" s="208" t="e">
        <f t="shared" ca="1" si="6"/>
        <v>#DIV/0!</v>
      </c>
    </row>
    <row r="27" spans="1:15" ht="21">
      <c r="A27" s="496">
        <f ca="1">IF(ROW()-ROW($A$6)&lt;'الف-ب-ج'!$L$9,INDIRECT("BudgetDB!BK"&amp;('الف-ب-ج'!$M$9+ROW()-ROW($A$6))),"")</f>
        <v>0</v>
      </c>
      <c r="B27" s="217"/>
      <c r="C27" s="1427" cm="1">
        <f t="array" aca="1" ref="C27" ca="1">IF(ROW()-ROW($A$6)&lt;'الف-ب-ج'!$L$9,IF(روکش!$F$9="سه ماهه",INDIRECT("BudgetDB!BL"&amp;('الف-ب-ج'!$M$9+ROW()-ROW($A$6))),INDIRECT("BudgetDB!BM"&amp;('الف-ب-ج'!$M$9+ROW()-ROW($A$6)))),"")</f>
        <v>0</v>
      </c>
      <c r="D27" s="2127"/>
      <c r="E27" s="488" t="str">
        <f t="shared" si="8"/>
        <v>-</v>
      </c>
      <c r="F27" s="2201" t="str">
        <f t="shared" ca="1" si="1"/>
        <v>-</v>
      </c>
      <c r="G27" s="498">
        <f t="shared" ca="1" si="2"/>
        <v>500</v>
      </c>
      <c r="J27" s="1360" t="str">
        <f t="shared" ca="1" si="3"/>
        <v>-</v>
      </c>
      <c r="K27" s="208"/>
      <c r="L27" s="208"/>
      <c r="M27" s="1423">
        <f t="shared" ca="1" si="4"/>
        <v>0</v>
      </c>
      <c r="N27" s="208" t="e">
        <f t="shared" ca="1" si="5"/>
        <v>#DIV/0!</v>
      </c>
      <c r="O27" s="208" t="e">
        <f t="shared" ca="1" si="6"/>
        <v>#DIV/0!</v>
      </c>
    </row>
    <row r="28" spans="1:15" ht="21">
      <c r="A28" s="496">
        <f ca="1">IF(ROW()-ROW($A$6)&lt;'الف-ب-ج'!$L$9,INDIRECT("BudgetDB!BK"&amp;('الف-ب-ج'!$M$9+ROW()-ROW($A$6))),"")</f>
        <v>0</v>
      </c>
      <c r="B28" s="217"/>
      <c r="C28" s="1427" cm="1">
        <f t="array" aca="1" ref="C28" ca="1">IF(ROW()-ROW($A$6)&lt;'الف-ب-ج'!$L$9,IF(روکش!$F$9="سه ماهه",INDIRECT("BudgetDB!BL"&amp;('الف-ب-ج'!$M$9+ROW()-ROW($A$6))),INDIRECT("BudgetDB!BM"&amp;('الف-ب-ج'!$M$9+ROW()-ROW($A$6)))),"")</f>
        <v>0</v>
      </c>
      <c r="D28" s="2127"/>
      <c r="E28" s="488" t="str">
        <f t="shared" si="8"/>
        <v>-</v>
      </c>
      <c r="F28" s="2201" t="str">
        <f t="shared" ca="1" si="1"/>
        <v>-</v>
      </c>
      <c r="G28" s="498">
        <f t="shared" ca="1" si="2"/>
        <v>500</v>
      </c>
      <c r="J28" s="1360" t="str">
        <f t="shared" ca="1" si="3"/>
        <v>-</v>
      </c>
      <c r="K28" s="208"/>
      <c r="L28" s="208"/>
      <c r="M28" s="1423">
        <f t="shared" ca="1" si="4"/>
        <v>0</v>
      </c>
      <c r="N28" s="208" t="e">
        <f t="shared" ca="1" si="5"/>
        <v>#DIV/0!</v>
      </c>
      <c r="O28" s="208" t="e">
        <f t="shared" ca="1" si="6"/>
        <v>#DIV/0!</v>
      </c>
    </row>
    <row r="29" spans="1:15" ht="21">
      <c r="A29" s="496">
        <f ca="1">IF(ROW()-ROW($A$6)&lt;'الف-ب-ج'!$L$9,INDIRECT("BudgetDB!BK"&amp;('الف-ب-ج'!$M$9+ROW()-ROW($A$6))),"")</f>
        <v>0</v>
      </c>
      <c r="B29" s="217"/>
      <c r="C29" s="1427" cm="1">
        <f t="array" aca="1" ref="C29" ca="1">IF(ROW()-ROW($A$6)&lt;'الف-ب-ج'!$L$9,IF(روکش!$F$9="سه ماهه",INDIRECT("BudgetDB!BL"&amp;('الف-ب-ج'!$M$9+ROW()-ROW($A$6))),INDIRECT("BudgetDB!BM"&amp;('الف-ب-ج'!$M$9+ROW()-ROW($A$6)))),"")</f>
        <v>0</v>
      </c>
      <c r="D29" s="2127"/>
      <c r="E29" s="488" t="str">
        <f t="shared" si="8"/>
        <v>-</v>
      </c>
      <c r="F29" s="2201" t="str">
        <f t="shared" ca="1" si="1"/>
        <v>-</v>
      </c>
      <c r="G29" s="498">
        <f t="shared" ca="1" si="2"/>
        <v>500</v>
      </c>
      <c r="J29" s="1360" t="str">
        <f t="shared" ca="1" si="3"/>
        <v>-</v>
      </c>
      <c r="K29" s="208"/>
      <c r="L29" s="208"/>
      <c r="M29" s="1423">
        <f t="shared" ca="1" si="4"/>
        <v>0</v>
      </c>
      <c r="N29" s="208" t="e">
        <f t="shared" ca="1" si="5"/>
        <v>#DIV/0!</v>
      </c>
      <c r="O29" s="208" t="e">
        <f t="shared" ca="1" si="6"/>
        <v>#DIV/0!</v>
      </c>
    </row>
    <row r="30" spans="1:15" ht="21.75" thickBot="1">
      <c r="A30" s="496">
        <f ca="1">IF(ROW()-ROW($A$6)&lt;'الف-ب-ج'!$L$9,INDIRECT("BudgetDB!BK"&amp;('الف-ب-ج'!$M$9+ROW()-ROW($A$6))),"")</f>
        <v>0</v>
      </c>
      <c r="B30" s="217"/>
      <c r="C30" s="2132" cm="1">
        <f t="array" aca="1" ref="C30" ca="1">IF(ROW()-ROW($A$6)&lt;'الف-ب-ج'!$L$9,IF(روکش!$F$9="سه ماهه",INDIRECT("BudgetDB!BL"&amp;('الف-ب-ج'!$M$9+ROW()-ROW($A$6))),INDIRECT("BudgetDB!BM"&amp;('الف-ب-ج'!$M$9+ROW()-ROW($A$6)))),"")</f>
        <v>0</v>
      </c>
      <c r="D30" s="2127"/>
      <c r="E30" s="488" t="str">
        <f t="shared" si="8"/>
        <v>-</v>
      </c>
      <c r="F30" s="2202" t="str">
        <f t="shared" ca="1" si="1"/>
        <v>-</v>
      </c>
      <c r="G30" s="2203">
        <f t="shared" ca="1" si="2"/>
        <v>500</v>
      </c>
      <c r="J30" s="1360" t="str">
        <f t="shared" ca="1" si="3"/>
        <v>-</v>
      </c>
      <c r="K30" s="208"/>
      <c r="L30" s="208"/>
      <c r="M30" s="1423">
        <f t="shared" ca="1" si="4"/>
        <v>0</v>
      </c>
      <c r="N30" s="208" t="e">
        <f t="shared" ca="1" si="5"/>
        <v>#DIV/0!</v>
      </c>
      <c r="O30" s="208" t="e">
        <f t="shared" ca="1" si="6"/>
        <v>#DIV/0!</v>
      </c>
    </row>
    <row r="31" spans="1:15" ht="21.75" thickBot="1">
      <c r="A31" s="492" t="s">
        <v>1505</v>
      </c>
      <c r="B31" s="493">
        <f>SUM(B6:B30)</f>
        <v>0</v>
      </c>
      <c r="C31" s="493">
        <f ca="1">SUM(C6:C30)</f>
        <v>0</v>
      </c>
      <c r="D31" s="494">
        <f>SUM(D6:D30)</f>
        <v>0</v>
      </c>
      <c r="E31" s="490" t="str">
        <f>IFERROR((D31-B31)*100/B31,"-")</f>
        <v>-</v>
      </c>
      <c r="F31" s="2204" t="str">
        <f t="shared" ca="1" si="1"/>
        <v>-</v>
      </c>
      <c r="G31" s="2205">
        <f t="shared" ca="1" si="2"/>
        <v>500</v>
      </c>
      <c r="J31" s="1360" t="s">
        <v>206</v>
      </c>
      <c r="K31" s="208"/>
      <c r="L31" s="208"/>
      <c r="M31" s="1423">
        <f t="shared" ca="1" si="4"/>
        <v>0</v>
      </c>
    </row>
    <row r="32" spans="1:15" ht="21.75" thickBot="1">
      <c r="A32" s="495" t="s">
        <v>1555</v>
      </c>
      <c r="B32" s="1120"/>
      <c r="C32" s="1428" cm="1">
        <f t="array" aca="1" ref="C32" ca="1">IF(روکش!$F$9="سه ماهه",INDIRECT("BudgetDB!BN"&amp;('الف-ب-ج'!$M$9+ROW()-ROW($A$32))),INDIRECT("BudgetDB!BO"&amp;('الف-ب-ج'!$M$9+ROW()-ROW($A$32))))</f>
        <v>0</v>
      </c>
      <c r="D32" s="244"/>
      <c r="E32" s="490" t="str">
        <f>IFERROR((D32-B32)*100/B32,"-")</f>
        <v>-</v>
      </c>
      <c r="F32" s="2204" t="str">
        <f t="shared" ca="1" si="1"/>
        <v>-</v>
      </c>
      <c r="G32" s="2205">
        <f t="shared" ca="1" si="2"/>
        <v>500</v>
      </c>
      <c r="J32" s="1360" t="str">
        <f ca="1">IF(AND(C32=0,D32&gt;0),100,IFERROR(ABS(F32-100),"-"))</f>
        <v>-</v>
      </c>
      <c r="K32" s="208"/>
      <c r="L32" s="208"/>
      <c r="M32" s="1423">
        <f t="shared" ca="1" si="4"/>
        <v>0</v>
      </c>
    </row>
    <row r="33" spans="1:13" ht="21.75" thickBot="1">
      <c r="A33" s="492" t="s">
        <v>853</v>
      </c>
      <c r="B33" s="1425">
        <f>B31+B32</f>
        <v>0</v>
      </c>
      <c r="C33" s="493">
        <f ca="1">C31+C32</f>
        <v>0</v>
      </c>
      <c r="D33" s="494">
        <f>D31+D32</f>
        <v>0</v>
      </c>
      <c r="E33" s="490" t="str">
        <f>IFERROR((D33-B33)*100/B33,"-")</f>
        <v>-</v>
      </c>
      <c r="F33" s="2204" t="str">
        <f t="shared" ca="1" si="1"/>
        <v>-</v>
      </c>
      <c r="G33" s="2205">
        <f t="shared" ca="1" si="2"/>
        <v>500</v>
      </c>
      <c r="J33" s="1360" t="s">
        <v>206</v>
      </c>
      <c r="K33" s="208"/>
      <c r="L33" s="208"/>
      <c r="M33" s="1423">
        <f t="shared" ca="1" si="4"/>
        <v>0</v>
      </c>
    </row>
    <row r="34" spans="1:13" ht="21">
      <c r="A34" s="2906"/>
      <c r="B34" s="2906"/>
      <c r="C34" s="2906"/>
      <c r="D34" s="2906"/>
      <c r="E34" s="2906"/>
      <c r="F34" s="857"/>
      <c r="G34" s="943"/>
      <c r="J34" s="1360" t="s">
        <v>206</v>
      </c>
      <c r="K34" s="208"/>
      <c r="L34" s="208"/>
      <c r="M34" s="1423">
        <f t="shared" si="4"/>
        <v>0</v>
      </c>
    </row>
    <row r="35" spans="1:13" ht="21">
      <c r="A35" s="8"/>
      <c r="B35" s="8"/>
      <c r="C35" s="720"/>
      <c r="E35" s="8"/>
      <c r="M35" s="1423">
        <f t="shared" si="4"/>
        <v>0</v>
      </c>
    </row>
  </sheetData>
  <mergeCells count="6">
    <mergeCell ref="A34:E34"/>
    <mergeCell ref="A3:C3"/>
    <mergeCell ref="A4:A5"/>
    <mergeCell ref="B4:B5"/>
    <mergeCell ref="A1:G1"/>
    <mergeCell ref="F5:G5"/>
  </mergeCells>
  <conditionalFormatting sqref="A6:A30">
    <cfRule type="expression" dxfId="432" priority="7">
      <formula>AND($A6=0,OR($B6&lt;&gt;0,$D6&lt;&gt;0))</formula>
    </cfRule>
  </conditionalFormatting>
  <conditionalFormatting sqref="B6:B30">
    <cfRule type="expression" dxfId="431" priority="4">
      <formula>$N6=TRUE</formula>
    </cfRule>
  </conditionalFormatting>
  <conditionalFormatting sqref="D6:D30">
    <cfRule type="expression" dxfId="430" priority="3">
      <formula>$O6=TRUE</formula>
    </cfRule>
  </conditionalFormatting>
  <conditionalFormatting sqref="G6:G33">
    <cfRule type="iconSet" priority="2">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12E4D0A0-3422-4BF0-8E36-F7C3F4028FF8}">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8">
    <tabColor rgb="FF00B0F0"/>
    <pageSetUpPr fitToPage="1"/>
  </sheetPr>
  <dimension ref="A1:Q36"/>
  <sheetViews>
    <sheetView rightToLeft="1" view="pageBreakPreview" topLeftCell="A2" zoomScale="85" zoomScaleNormal="100" zoomScaleSheetLayoutView="85" workbookViewId="0">
      <selection activeCell="B9" sqref="B9"/>
    </sheetView>
  </sheetViews>
  <sheetFormatPr defaultColWidth="9" defaultRowHeight="15"/>
  <cols>
    <col min="1" max="1" width="36.28515625" style="5" bestFit="1" customWidth="1"/>
    <col min="2" max="4" width="18.5703125" style="5" customWidth="1"/>
    <col min="5" max="6" width="13.5703125" style="5" customWidth="1"/>
    <col min="7" max="7" width="3.7109375" style="79" customWidth="1"/>
    <col min="8" max="8" width="9" style="79"/>
    <col min="9" max="12" width="9" style="212" hidden="1" customWidth="1"/>
    <col min="13" max="13" width="9" style="208" hidden="1" customWidth="1"/>
    <col min="14" max="14" width="9" style="5" hidden="1" customWidth="1"/>
    <col min="15" max="15" width="9" style="79" hidden="1" customWidth="1"/>
    <col min="16" max="16" width="9" style="79" customWidth="1"/>
    <col min="17" max="17" width="9" style="79"/>
    <col min="18" max="16384" width="9" style="5"/>
  </cols>
  <sheetData>
    <row r="1" spans="1:14" ht="24" customHeight="1">
      <c r="A1" s="2685" t="str">
        <f>روکش!D4</f>
        <v>انبارهای عمومی و خدمات گمرکی ایران</v>
      </c>
      <c r="B1" s="2685"/>
      <c r="C1" s="2685"/>
      <c r="D1" s="2685"/>
      <c r="E1" s="2685"/>
      <c r="F1" s="2685"/>
      <c r="G1" s="2685"/>
    </row>
    <row r="2" spans="1:14" ht="28.5" customHeight="1">
      <c r="A2" s="1205" t="str">
        <f>"صورت ريز هزينه هاي پرسنلي غیرمستقیم توليد در دوره " &amp; روکش!F9 &amp; " سال " &amp; روکش!D9</f>
        <v>صورت ريز هزينه هاي پرسنلي غیرمستقیم توليد در دوره شش ماهه سال 1405</v>
      </c>
      <c r="B2" s="1205"/>
      <c r="C2" s="1202"/>
      <c r="D2" s="1202"/>
      <c r="E2" s="1202"/>
      <c r="F2" s="1202"/>
      <c r="G2" s="2211"/>
      <c r="H2" s="832"/>
    </row>
    <row r="3" spans="1:14" ht="20.100000000000001" customHeight="1" thickBot="1">
      <c r="A3" s="2723"/>
      <c r="B3" s="2723"/>
      <c r="C3" s="2723"/>
      <c r="D3" s="2910"/>
      <c r="E3" s="2910"/>
      <c r="F3" s="2911" t="s">
        <v>30</v>
      </c>
      <c r="G3" s="2911"/>
    </row>
    <row r="4" spans="1:14" ht="35.1" customHeight="1">
      <c r="A4" s="2907" t="s">
        <v>21</v>
      </c>
      <c r="B4" s="2907" t="s">
        <v>693</v>
      </c>
      <c r="C4" s="1222" t="s">
        <v>642</v>
      </c>
      <c r="D4" s="1223"/>
      <c r="E4" s="1223"/>
      <c r="F4" s="1224"/>
      <c r="G4" s="1224"/>
    </row>
    <row r="5" spans="1:14" ht="66.75" customHeight="1" thickBot="1">
      <c r="A5" s="2908"/>
      <c r="B5" s="2909"/>
      <c r="C5" s="713" t="s">
        <v>53</v>
      </c>
      <c r="D5" s="714" t="s">
        <v>216</v>
      </c>
      <c r="E5" s="714" t="s">
        <v>793</v>
      </c>
      <c r="F5" s="2875" t="s">
        <v>230</v>
      </c>
      <c r="G5" s="2876"/>
      <c r="I5" s="1081" t="s">
        <v>784</v>
      </c>
      <c r="J5" s="1081"/>
      <c r="K5" s="1081"/>
      <c r="L5" s="1081" t="s">
        <v>792</v>
      </c>
    </row>
    <row r="6" spans="1:14" ht="21.75" customHeight="1">
      <c r="A6" s="1424">
        <f ca="1">IF(ROW()-ROW($A$6)&lt;'الف-ب-ج'!$L$9,INDIRECT("BudgetDB!BP"&amp;('الف-ب-ج'!$M$9+ROW()-ROW($A$6))),"")</f>
        <v>0</v>
      </c>
      <c r="B6" s="215"/>
      <c r="C6" s="1426" cm="1">
        <f t="array" aca="1" ref="C6" ca="1">IF(ROW()-ROW($A$6)&lt;'الف-ب-ج'!$L$9,IF(روکش!$F$9="سه ماهه",INDIRECT("BudgetDB!BQ"&amp;('الف-ب-ج'!$M$9+ROW()-ROW($A$6))),INDIRECT("BudgetDB!BR"&amp;('الف-ب-ج'!$M$9+ROW()-ROW($A$6)))),"")</f>
        <v>0</v>
      </c>
      <c r="D6" s="2131"/>
      <c r="E6" s="486" t="str">
        <f t="shared" ref="E6:E14" si="0">IFERROR((D6-B6)*100/B6,"-")</f>
        <v>-</v>
      </c>
      <c r="F6" s="2199" t="str">
        <f t="shared" ref="F6:F33" ca="1" si="1">IFERROR(D6*100/C6,"-")</f>
        <v>-</v>
      </c>
      <c r="G6" s="415">
        <f ca="1">IFERROR(ABS(F6-100),500)</f>
        <v>500</v>
      </c>
      <c r="I6" s="1360" t="str">
        <f ca="1">IF(AND(C6=0,D6&gt;0),100,IFERROR(ABS(F6-100),"-"))</f>
        <v>-</v>
      </c>
      <c r="J6" s="1081"/>
      <c r="K6" s="1081"/>
      <c r="L6" s="1423">
        <f ca="1">IFERROR(B6+C6+D6,0)</f>
        <v>0</v>
      </c>
      <c r="M6" s="208" t="e">
        <f ca="1">AND(COUNTIF($A6,"*سایر*")=1,$B6/$B$31&gt;0.2)</f>
        <v>#DIV/0!</v>
      </c>
      <c r="N6" s="208" t="e">
        <f ca="1">AND(COUNTIF($A6,"*سایر*")=1,$D6/$D$31&gt;0.2)</f>
        <v>#DIV/0!</v>
      </c>
    </row>
    <row r="7" spans="1:14" ht="21">
      <c r="A7" s="963">
        <f ca="1">IF(ROW()-ROW($A$6)&lt;'الف-ب-ج'!$L$9,INDIRECT("BudgetDB!BP"&amp;('الف-ب-ج'!$M$9+ROW()-ROW($A$6))),"")</f>
        <v>0</v>
      </c>
      <c r="B7" s="217"/>
      <c r="C7" s="1427" cm="1">
        <f t="array" aca="1" ref="C7" ca="1">IF(ROW()-ROW($A$6)&lt;'الف-ب-ج'!$L$9,IF(روکش!$F$9="سه ماهه",INDIRECT("BudgetDB!BQ"&amp;('الف-ب-ج'!$M$9+ROW()-ROW($A$6))),INDIRECT("BudgetDB!BR"&amp;('الف-ب-ج'!$M$9+ROW()-ROW($A$6)))),"")</f>
        <v>0</v>
      </c>
      <c r="D7" s="2127"/>
      <c r="E7" s="488" t="str">
        <f t="shared" si="0"/>
        <v>-</v>
      </c>
      <c r="F7" s="2201" t="str">
        <f t="shared" ca="1" si="1"/>
        <v>-</v>
      </c>
      <c r="G7" s="418">
        <f t="shared" ref="G7:G33" ca="1" si="2">IFERROR(ABS(F7-100),500)</f>
        <v>500</v>
      </c>
      <c r="I7" s="1360" t="str">
        <f t="shared" ref="I7:I30" ca="1" si="3">IF(AND(C7=0,D7&gt;0),100,IFERROR(ABS(F7-100),"-"))</f>
        <v>-</v>
      </c>
      <c r="J7" s="1081"/>
      <c r="K7" s="1081"/>
      <c r="L7" s="1423">
        <f t="shared" ref="L7:L36" ca="1" si="4">IFERROR(B7+C7+D7,0)</f>
        <v>0</v>
      </c>
      <c r="M7" s="208" t="e">
        <f t="shared" ref="M7:M30" ca="1" si="5">AND(COUNTIF($A7,"*سایر*")=1,$B7/$B$31&gt;0.2)</f>
        <v>#DIV/0!</v>
      </c>
      <c r="N7" s="208" t="e">
        <f t="shared" ref="N7:N30" ca="1" si="6">AND(COUNTIF($A7,"*سایر*")=1,$D7/$D$31&gt;0.2)</f>
        <v>#DIV/0!</v>
      </c>
    </row>
    <row r="8" spans="1:14" ht="21">
      <c r="A8" s="963">
        <f ca="1">IF(ROW()-ROW($A$6)&lt;'الف-ب-ج'!$L$9,INDIRECT("BudgetDB!BP"&amp;('الف-ب-ج'!$M$9+ROW()-ROW($A$6))),"")</f>
        <v>0</v>
      </c>
      <c r="B8" s="217"/>
      <c r="C8" s="1427" cm="1">
        <f t="array" aca="1" ref="C8" ca="1">IF(ROW()-ROW($A$6)&lt;'الف-ب-ج'!$L$9,IF(روکش!$F$9="سه ماهه",INDIRECT("BudgetDB!BQ"&amp;('الف-ب-ج'!$M$9+ROW()-ROW($A$6))),INDIRECT("BudgetDB!BR"&amp;('الف-ب-ج'!$M$9+ROW()-ROW($A$6)))),"")</f>
        <v>0</v>
      </c>
      <c r="D8" s="2127"/>
      <c r="E8" s="488" t="str">
        <f t="shared" si="0"/>
        <v>-</v>
      </c>
      <c r="F8" s="2201" t="str">
        <f t="shared" ca="1" si="1"/>
        <v>-</v>
      </c>
      <c r="G8" s="418">
        <f t="shared" ca="1" si="2"/>
        <v>500</v>
      </c>
      <c r="I8" s="1360" t="str">
        <f t="shared" ca="1" si="3"/>
        <v>-</v>
      </c>
      <c r="J8" s="1081"/>
      <c r="K8" s="1081"/>
      <c r="L8" s="1423">
        <f t="shared" ca="1" si="4"/>
        <v>0</v>
      </c>
      <c r="M8" s="208" t="e">
        <f t="shared" ca="1" si="5"/>
        <v>#DIV/0!</v>
      </c>
      <c r="N8" s="208" t="e">
        <f t="shared" ca="1" si="6"/>
        <v>#DIV/0!</v>
      </c>
    </row>
    <row r="9" spans="1:14" ht="21">
      <c r="A9" s="963">
        <f ca="1">IF(ROW()-ROW($A$6)&lt;'الف-ب-ج'!$L$9,INDIRECT("BudgetDB!BP"&amp;('الف-ب-ج'!$M$9+ROW()-ROW($A$6))),"")</f>
        <v>0</v>
      </c>
      <c r="B9" s="217"/>
      <c r="C9" s="1427" cm="1">
        <f t="array" aca="1" ref="C9" ca="1">IF(ROW()-ROW($A$6)&lt;'الف-ب-ج'!$L$9,IF(روکش!$F$9="سه ماهه",INDIRECT("BudgetDB!BQ"&amp;('الف-ب-ج'!$M$9+ROW()-ROW($A$6))),INDIRECT("BudgetDB!BR"&amp;('الف-ب-ج'!$M$9+ROW()-ROW($A$6)))),"")</f>
        <v>0</v>
      </c>
      <c r="D9" s="2127"/>
      <c r="E9" s="488" t="str">
        <f t="shared" si="0"/>
        <v>-</v>
      </c>
      <c r="F9" s="2201" t="str">
        <f t="shared" ca="1" si="1"/>
        <v>-</v>
      </c>
      <c r="G9" s="418">
        <f t="shared" ca="1" si="2"/>
        <v>500</v>
      </c>
      <c r="I9" s="1360" t="str">
        <f t="shared" ca="1" si="3"/>
        <v>-</v>
      </c>
      <c r="J9" s="1081"/>
      <c r="K9" s="1081"/>
      <c r="L9" s="1423">
        <f t="shared" ca="1" si="4"/>
        <v>0</v>
      </c>
      <c r="M9" s="208" t="e">
        <f t="shared" ca="1" si="5"/>
        <v>#DIV/0!</v>
      </c>
      <c r="N9" s="208" t="e">
        <f t="shared" ca="1" si="6"/>
        <v>#DIV/0!</v>
      </c>
    </row>
    <row r="10" spans="1:14" ht="21">
      <c r="A10" s="963">
        <f ca="1">IF(ROW()-ROW($A$6)&lt;'الف-ب-ج'!$L$9,INDIRECT("BudgetDB!BP"&amp;('الف-ب-ج'!$M$9+ROW()-ROW($A$6))),"")</f>
        <v>0</v>
      </c>
      <c r="B10" s="217"/>
      <c r="C10" s="1427" cm="1">
        <f t="array" aca="1" ref="C10" ca="1">IF(ROW()-ROW($A$6)&lt;'الف-ب-ج'!$L$9,IF(روکش!$F$9="سه ماهه",INDIRECT("BudgetDB!BQ"&amp;('الف-ب-ج'!$M$9+ROW()-ROW($A$6))),INDIRECT("BudgetDB!BR"&amp;('الف-ب-ج'!$M$9+ROW()-ROW($A$6)))),"")</f>
        <v>0</v>
      </c>
      <c r="D10" s="2127"/>
      <c r="E10" s="488" t="str">
        <f t="shared" si="0"/>
        <v>-</v>
      </c>
      <c r="F10" s="2201" t="str">
        <f t="shared" ca="1" si="1"/>
        <v>-</v>
      </c>
      <c r="G10" s="498">
        <f t="shared" ca="1" si="2"/>
        <v>500</v>
      </c>
      <c r="I10" s="1360" t="str">
        <f t="shared" ca="1" si="3"/>
        <v>-</v>
      </c>
      <c r="J10" s="1081"/>
      <c r="K10" s="1081"/>
      <c r="L10" s="1423">
        <f t="shared" ca="1" si="4"/>
        <v>0</v>
      </c>
      <c r="M10" s="208" t="e">
        <f ca="1">AND(COUNTIF($A10,"*سایر*")=1,$B10/$B$31&gt;0.2)</f>
        <v>#DIV/0!</v>
      </c>
      <c r="N10" s="208" t="e">
        <f t="shared" ca="1" si="6"/>
        <v>#DIV/0!</v>
      </c>
    </row>
    <row r="11" spans="1:14" ht="21">
      <c r="A11" s="963">
        <f ca="1">IF(ROW()-ROW($A$6)&lt;'الف-ب-ج'!$L$9,INDIRECT("BudgetDB!BP"&amp;('الف-ب-ج'!$M$9+ROW()-ROW($A$6))),"")</f>
        <v>0</v>
      </c>
      <c r="B11" s="217"/>
      <c r="C11" s="1427" cm="1">
        <f t="array" aca="1" ref="C11" ca="1">IF(ROW()-ROW($A$6)&lt;'الف-ب-ج'!$L$9,IF(روکش!$F$9="سه ماهه",INDIRECT("BudgetDB!BQ"&amp;('الف-ب-ج'!$M$9+ROW()-ROW($A$6))),INDIRECT("BudgetDB!BR"&amp;('الف-ب-ج'!$M$9+ROW()-ROW($A$6)))),"")</f>
        <v>0</v>
      </c>
      <c r="D11" s="2127"/>
      <c r="E11" s="488" t="str">
        <f t="shared" si="0"/>
        <v>-</v>
      </c>
      <c r="F11" s="2201" t="str">
        <f t="shared" ca="1" si="1"/>
        <v>-</v>
      </c>
      <c r="G11" s="498">
        <f t="shared" ca="1" si="2"/>
        <v>500</v>
      </c>
      <c r="I11" s="1360" t="str">
        <f t="shared" ca="1" si="3"/>
        <v>-</v>
      </c>
      <c r="J11" s="1081"/>
      <c r="K11" s="1081"/>
      <c r="L11" s="1423">
        <f t="shared" ca="1" si="4"/>
        <v>0</v>
      </c>
      <c r="M11" s="208" t="e">
        <f ca="1">AND(COUNTIF($A11,"*سایر*")=1,$B11/$B$31&gt;0.2)</f>
        <v>#DIV/0!</v>
      </c>
      <c r="N11" s="208" t="e">
        <f t="shared" ca="1" si="6"/>
        <v>#DIV/0!</v>
      </c>
    </row>
    <row r="12" spans="1:14" ht="21">
      <c r="A12" s="963">
        <f ca="1">IF(ROW()-ROW($A$6)&lt;'الف-ب-ج'!$L$9,INDIRECT("BudgetDB!BP"&amp;('الف-ب-ج'!$M$9+ROW()-ROW($A$6))),"")</f>
        <v>0</v>
      </c>
      <c r="B12" s="217"/>
      <c r="C12" s="1427" cm="1">
        <f t="array" aca="1" ref="C12" ca="1">IF(ROW()-ROW($A$6)&lt;'الف-ب-ج'!$L$9,IF(روکش!$F$9="سه ماهه",INDIRECT("BudgetDB!BQ"&amp;('الف-ب-ج'!$M$9+ROW()-ROW($A$6))),INDIRECT("BudgetDB!BR"&amp;('الف-ب-ج'!$M$9+ROW()-ROW($A$6)))),"")</f>
        <v>0</v>
      </c>
      <c r="D12" s="2127"/>
      <c r="E12" s="488" t="str">
        <f t="shared" si="0"/>
        <v>-</v>
      </c>
      <c r="F12" s="2201" t="str">
        <f t="shared" ca="1" si="1"/>
        <v>-</v>
      </c>
      <c r="G12" s="498">
        <f t="shared" ca="1" si="2"/>
        <v>500</v>
      </c>
      <c r="I12" s="1360" t="str">
        <f t="shared" ca="1" si="3"/>
        <v>-</v>
      </c>
      <c r="J12" s="1081"/>
      <c r="K12" s="1081"/>
      <c r="L12" s="1423">
        <f t="shared" ca="1" si="4"/>
        <v>0</v>
      </c>
      <c r="M12" s="208" t="e">
        <f t="shared" ca="1" si="5"/>
        <v>#DIV/0!</v>
      </c>
      <c r="N12" s="208" t="e">
        <f t="shared" ca="1" si="6"/>
        <v>#DIV/0!</v>
      </c>
    </row>
    <row r="13" spans="1:14" ht="21">
      <c r="A13" s="963">
        <f ca="1">IF(ROW()-ROW($A$6)&lt;'الف-ب-ج'!$L$9,INDIRECT("BudgetDB!BP"&amp;('الف-ب-ج'!$M$9+ROW()-ROW($A$6))),"")</f>
        <v>0</v>
      </c>
      <c r="B13" s="217"/>
      <c r="C13" s="1427" cm="1">
        <f t="array" aca="1" ref="C13" ca="1">IF(ROW()-ROW($A$6)&lt;'الف-ب-ج'!$L$9,IF(روکش!$F$9="سه ماهه",INDIRECT("BudgetDB!BQ"&amp;('الف-ب-ج'!$M$9+ROW()-ROW($A$6))),INDIRECT("BudgetDB!BR"&amp;('الف-ب-ج'!$M$9+ROW()-ROW($A$6)))),"")</f>
        <v>0</v>
      </c>
      <c r="D13" s="2127"/>
      <c r="E13" s="488" t="str">
        <f t="shared" si="0"/>
        <v>-</v>
      </c>
      <c r="F13" s="2201" t="str">
        <f t="shared" ca="1" si="1"/>
        <v>-</v>
      </c>
      <c r="G13" s="498">
        <f t="shared" ca="1" si="2"/>
        <v>500</v>
      </c>
      <c r="I13" s="1360" t="str">
        <f t="shared" ca="1" si="3"/>
        <v>-</v>
      </c>
      <c r="J13" s="1081"/>
      <c r="K13" s="1081"/>
      <c r="L13" s="1423">
        <f t="shared" ca="1" si="4"/>
        <v>0</v>
      </c>
      <c r="M13" s="208" t="e">
        <f t="shared" ca="1" si="5"/>
        <v>#DIV/0!</v>
      </c>
      <c r="N13" s="208" t="e">
        <f t="shared" ca="1" si="6"/>
        <v>#DIV/0!</v>
      </c>
    </row>
    <row r="14" spans="1:14" ht="21">
      <c r="A14" s="963">
        <f ca="1">IF(ROW()-ROW($A$6)&lt;'الف-ب-ج'!$L$9,INDIRECT("BudgetDB!BP"&amp;('الف-ب-ج'!$M$9+ROW()-ROW($A$6))),"")</f>
        <v>0</v>
      </c>
      <c r="B14" s="217"/>
      <c r="C14" s="1427" cm="1">
        <f t="array" aca="1" ref="C14" ca="1">IF(ROW()-ROW($A$6)&lt;'الف-ب-ج'!$L$9,IF(روکش!$F$9="سه ماهه",INDIRECT("BudgetDB!BQ"&amp;('الف-ب-ج'!$M$9+ROW()-ROW($A$6))),INDIRECT("BudgetDB!BR"&amp;('الف-ب-ج'!$M$9+ROW()-ROW($A$6)))),"")</f>
        <v>0</v>
      </c>
      <c r="D14" s="2127"/>
      <c r="E14" s="488" t="str">
        <f t="shared" si="0"/>
        <v>-</v>
      </c>
      <c r="F14" s="2201" t="str">
        <f t="shared" ca="1" si="1"/>
        <v>-</v>
      </c>
      <c r="G14" s="498">
        <f t="shared" ca="1" si="2"/>
        <v>500</v>
      </c>
      <c r="I14" s="1360" t="str">
        <f t="shared" ca="1" si="3"/>
        <v>-</v>
      </c>
      <c r="J14" s="1081"/>
      <c r="K14" s="1081"/>
      <c r="L14" s="1423">
        <f t="shared" ca="1" si="4"/>
        <v>0</v>
      </c>
      <c r="M14" s="208" t="e">
        <f t="shared" ca="1" si="5"/>
        <v>#DIV/0!</v>
      </c>
      <c r="N14" s="208" t="e">
        <f t="shared" ca="1" si="6"/>
        <v>#DIV/0!</v>
      </c>
    </row>
    <row r="15" spans="1:14" ht="21">
      <c r="A15" s="963">
        <f ca="1">IF(ROW()-ROW($A$6)&lt;'الف-ب-ج'!$L$9,INDIRECT("BudgetDB!BP"&amp;('الف-ب-ج'!$M$9+ROW()-ROW($A$6))),"")</f>
        <v>0</v>
      </c>
      <c r="B15" s="217"/>
      <c r="C15" s="1427" cm="1">
        <f t="array" aca="1" ref="C15" ca="1">IF(ROW()-ROW($A$6)&lt;'الف-ب-ج'!$L$9,IF(روکش!$F$9="سه ماهه",INDIRECT("BudgetDB!BQ"&amp;('الف-ب-ج'!$M$9+ROW()-ROW($A$6))),INDIRECT("BudgetDB!BR"&amp;('الف-ب-ج'!$M$9+ROW()-ROW($A$6)))),"")</f>
        <v>0</v>
      </c>
      <c r="D15" s="2127"/>
      <c r="E15" s="488" t="str">
        <f t="shared" ref="E15:E25" si="7">IFERROR((D15-B15)*100/B15,"-")</f>
        <v>-</v>
      </c>
      <c r="F15" s="2201" t="str">
        <f t="shared" ca="1" si="1"/>
        <v>-</v>
      </c>
      <c r="G15" s="498">
        <f t="shared" ca="1" si="2"/>
        <v>500</v>
      </c>
      <c r="I15" s="1360" t="str">
        <f t="shared" ca="1" si="3"/>
        <v>-</v>
      </c>
      <c r="J15" s="1081"/>
      <c r="K15" s="1081"/>
      <c r="L15" s="1423">
        <f t="shared" ca="1" si="4"/>
        <v>0</v>
      </c>
      <c r="M15" s="208" t="e">
        <f t="shared" ca="1" si="5"/>
        <v>#DIV/0!</v>
      </c>
      <c r="N15" s="208" t="e">
        <f t="shared" ca="1" si="6"/>
        <v>#DIV/0!</v>
      </c>
    </row>
    <row r="16" spans="1:14" ht="21">
      <c r="A16" s="963">
        <f ca="1">IF(ROW()-ROW($A$6)&lt;'الف-ب-ج'!$L$9,INDIRECT("BudgetDB!BP"&amp;('الف-ب-ج'!$M$9+ROW()-ROW($A$6))),"")</f>
        <v>0</v>
      </c>
      <c r="B16" s="217"/>
      <c r="C16" s="1427" cm="1">
        <f t="array" aca="1" ref="C16" ca="1">IF(ROW()-ROW($A$6)&lt;'الف-ب-ج'!$L$9,IF(روکش!$F$9="سه ماهه",INDIRECT("BudgetDB!BQ"&amp;('الف-ب-ج'!$M$9+ROW()-ROW($A$6))),INDIRECT("BudgetDB!BR"&amp;('الف-ب-ج'!$M$9+ROW()-ROW($A$6)))),"")</f>
        <v>0</v>
      </c>
      <c r="D16" s="2127"/>
      <c r="E16" s="488" t="str">
        <f t="shared" si="7"/>
        <v>-</v>
      </c>
      <c r="F16" s="2201" t="str">
        <f t="shared" ca="1" si="1"/>
        <v>-</v>
      </c>
      <c r="G16" s="498">
        <f t="shared" ca="1" si="2"/>
        <v>500</v>
      </c>
      <c r="I16" s="1360" t="str">
        <f t="shared" ca="1" si="3"/>
        <v>-</v>
      </c>
      <c r="J16" s="1081"/>
      <c r="K16" s="1081"/>
      <c r="L16" s="1423">
        <f t="shared" ca="1" si="4"/>
        <v>0</v>
      </c>
      <c r="M16" s="208" t="e">
        <f t="shared" ca="1" si="5"/>
        <v>#DIV/0!</v>
      </c>
      <c r="N16" s="208" t="e">
        <f t="shared" ca="1" si="6"/>
        <v>#DIV/0!</v>
      </c>
    </row>
    <row r="17" spans="1:14" ht="21">
      <c r="A17" s="963">
        <f ca="1">IF(ROW()-ROW($A$6)&lt;'الف-ب-ج'!$L$9,INDIRECT("BudgetDB!BP"&amp;('الف-ب-ج'!$M$9+ROW()-ROW($A$6))),"")</f>
        <v>0</v>
      </c>
      <c r="B17" s="217"/>
      <c r="C17" s="1427" cm="1">
        <f t="array" aca="1" ref="C17" ca="1">IF(ROW()-ROW($A$6)&lt;'الف-ب-ج'!$L$9,IF(روکش!$F$9="سه ماهه",INDIRECT("BudgetDB!BQ"&amp;('الف-ب-ج'!$M$9+ROW()-ROW($A$6))),INDIRECT("BudgetDB!BR"&amp;('الف-ب-ج'!$M$9+ROW()-ROW($A$6)))),"")</f>
        <v>0</v>
      </c>
      <c r="D17" s="2127"/>
      <c r="E17" s="488" t="str">
        <f t="shared" si="7"/>
        <v>-</v>
      </c>
      <c r="F17" s="2201" t="str">
        <f t="shared" ca="1" si="1"/>
        <v>-</v>
      </c>
      <c r="G17" s="498">
        <f t="shared" ca="1" si="2"/>
        <v>500</v>
      </c>
      <c r="I17" s="1360" t="str">
        <f t="shared" ca="1" si="3"/>
        <v>-</v>
      </c>
      <c r="J17" s="1081"/>
      <c r="K17" s="1081"/>
      <c r="L17" s="1423">
        <f t="shared" ca="1" si="4"/>
        <v>0</v>
      </c>
      <c r="M17" s="208" t="e">
        <f t="shared" ca="1" si="5"/>
        <v>#DIV/0!</v>
      </c>
      <c r="N17" s="208" t="e">
        <f t="shared" ca="1" si="6"/>
        <v>#DIV/0!</v>
      </c>
    </row>
    <row r="18" spans="1:14" ht="21">
      <c r="A18" s="963">
        <f ca="1">IF(ROW()-ROW($A$6)&lt;'الف-ب-ج'!$L$9,INDIRECT("BudgetDB!BP"&amp;('الف-ب-ج'!$M$9+ROW()-ROW($A$6))),"")</f>
        <v>0</v>
      </c>
      <c r="B18" s="217"/>
      <c r="C18" s="1427" cm="1">
        <f t="array" aca="1" ref="C18" ca="1">IF(ROW()-ROW($A$6)&lt;'الف-ب-ج'!$L$9,IF(روکش!$F$9="سه ماهه",INDIRECT("BudgetDB!BQ"&amp;('الف-ب-ج'!$M$9+ROW()-ROW($A$6))),INDIRECT("BudgetDB!BR"&amp;('الف-ب-ج'!$M$9+ROW()-ROW($A$6)))),"")</f>
        <v>0</v>
      </c>
      <c r="D18" s="2127"/>
      <c r="E18" s="488" t="str">
        <f t="shared" si="7"/>
        <v>-</v>
      </c>
      <c r="F18" s="2201" t="str">
        <f t="shared" ca="1" si="1"/>
        <v>-</v>
      </c>
      <c r="G18" s="498">
        <f t="shared" ca="1" si="2"/>
        <v>500</v>
      </c>
      <c r="I18" s="1360" t="str">
        <f t="shared" ca="1" si="3"/>
        <v>-</v>
      </c>
      <c r="J18" s="1081"/>
      <c r="K18" s="1081"/>
      <c r="L18" s="1423">
        <f t="shared" ca="1" si="4"/>
        <v>0</v>
      </c>
      <c r="M18" s="208" t="e">
        <f t="shared" ca="1" si="5"/>
        <v>#DIV/0!</v>
      </c>
      <c r="N18" s="208" t="e">
        <f t="shared" ca="1" si="6"/>
        <v>#DIV/0!</v>
      </c>
    </row>
    <row r="19" spans="1:14" ht="21">
      <c r="A19" s="963">
        <f ca="1">IF(ROW()-ROW($A$6)&lt;'الف-ب-ج'!$L$9,INDIRECT("BudgetDB!BP"&amp;('الف-ب-ج'!$M$9+ROW()-ROW($A$6))),"")</f>
        <v>0</v>
      </c>
      <c r="B19" s="217"/>
      <c r="C19" s="1427" cm="1">
        <f t="array" aca="1" ref="C19" ca="1">IF(ROW()-ROW($A$6)&lt;'الف-ب-ج'!$L$9,IF(روکش!$F$9="سه ماهه",INDIRECT("BudgetDB!BQ"&amp;('الف-ب-ج'!$M$9+ROW()-ROW($A$6))),INDIRECT("BudgetDB!BR"&amp;('الف-ب-ج'!$M$9+ROW()-ROW($A$6)))),"")</f>
        <v>0</v>
      </c>
      <c r="D19" s="2127"/>
      <c r="E19" s="488" t="str">
        <f t="shared" si="7"/>
        <v>-</v>
      </c>
      <c r="F19" s="2201" t="str">
        <f t="shared" ca="1" si="1"/>
        <v>-</v>
      </c>
      <c r="G19" s="498">
        <f t="shared" ca="1" si="2"/>
        <v>500</v>
      </c>
      <c r="I19" s="1360" t="str">
        <f t="shared" ca="1" si="3"/>
        <v>-</v>
      </c>
      <c r="J19" s="1081"/>
      <c r="K19" s="1081"/>
      <c r="L19" s="1423">
        <f t="shared" ca="1" si="4"/>
        <v>0</v>
      </c>
      <c r="M19" s="208" t="e">
        <f t="shared" ca="1" si="5"/>
        <v>#DIV/0!</v>
      </c>
      <c r="N19" s="208" t="e">
        <f t="shared" ca="1" si="6"/>
        <v>#DIV/0!</v>
      </c>
    </row>
    <row r="20" spans="1:14" ht="21">
      <c r="A20" s="963">
        <f ca="1">IF(ROW()-ROW($A$6)&lt;'الف-ب-ج'!$L$9,INDIRECT("BudgetDB!BP"&amp;('الف-ب-ج'!$M$9+ROW()-ROW($A$6))),"")</f>
        <v>0</v>
      </c>
      <c r="B20" s="217"/>
      <c r="C20" s="1427" cm="1">
        <f t="array" aca="1" ref="C20" ca="1">IF(ROW()-ROW($A$6)&lt;'الف-ب-ج'!$L$9,IF(روکش!$F$9="سه ماهه",INDIRECT("BudgetDB!BQ"&amp;('الف-ب-ج'!$M$9+ROW()-ROW($A$6))),INDIRECT("BudgetDB!BR"&amp;('الف-ب-ج'!$M$9+ROW()-ROW($A$6)))),"")</f>
        <v>0</v>
      </c>
      <c r="D20" s="2127"/>
      <c r="E20" s="488" t="str">
        <f t="shared" si="7"/>
        <v>-</v>
      </c>
      <c r="F20" s="2201" t="str">
        <f t="shared" ca="1" si="1"/>
        <v>-</v>
      </c>
      <c r="G20" s="498">
        <f t="shared" ca="1" si="2"/>
        <v>500</v>
      </c>
      <c r="I20" s="1360" t="str">
        <f t="shared" ca="1" si="3"/>
        <v>-</v>
      </c>
      <c r="J20" s="1081"/>
      <c r="K20" s="1081"/>
      <c r="L20" s="1423">
        <f t="shared" ca="1" si="4"/>
        <v>0</v>
      </c>
      <c r="M20" s="208" t="e">
        <f t="shared" ca="1" si="5"/>
        <v>#DIV/0!</v>
      </c>
      <c r="N20" s="208" t="e">
        <f t="shared" ca="1" si="6"/>
        <v>#DIV/0!</v>
      </c>
    </row>
    <row r="21" spans="1:14" ht="21">
      <c r="A21" s="963">
        <f ca="1">IF(ROW()-ROW($A$6)&lt;'الف-ب-ج'!$L$9,INDIRECT("BudgetDB!BP"&amp;('الف-ب-ج'!$M$9+ROW()-ROW($A$6))),"")</f>
        <v>0</v>
      </c>
      <c r="B21" s="217"/>
      <c r="C21" s="1427" cm="1">
        <f t="array" aca="1" ref="C21" ca="1">IF(ROW()-ROW($A$6)&lt;'الف-ب-ج'!$L$9,IF(روکش!$F$9="سه ماهه",INDIRECT("BudgetDB!BQ"&amp;('الف-ب-ج'!$M$9+ROW()-ROW($A$6))),INDIRECT("BudgetDB!BR"&amp;('الف-ب-ج'!$M$9+ROW()-ROW($A$6)))),"")</f>
        <v>0</v>
      </c>
      <c r="D21" s="2127"/>
      <c r="E21" s="488" t="str">
        <f t="shared" si="7"/>
        <v>-</v>
      </c>
      <c r="F21" s="2201" t="str">
        <f t="shared" ca="1" si="1"/>
        <v>-</v>
      </c>
      <c r="G21" s="498">
        <f t="shared" ca="1" si="2"/>
        <v>500</v>
      </c>
      <c r="I21" s="1360" t="str">
        <f t="shared" ca="1" si="3"/>
        <v>-</v>
      </c>
      <c r="J21" s="1081"/>
      <c r="K21" s="1081"/>
      <c r="L21" s="1423">
        <f t="shared" ca="1" si="4"/>
        <v>0</v>
      </c>
      <c r="M21" s="208" t="e">
        <f t="shared" ca="1" si="5"/>
        <v>#DIV/0!</v>
      </c>
      <c r="N21" s="208" t="e">
        <f t="shared" ca="1" si="6"/>
        <v>#DIV/0!</v>
      </c>
    </row>
    <row r="22" spans="1:14" ht="21">
      <c r="A22" s="963">
        <f ca="1">IF(ROW()-ROW($A$6)&lt;'الف-ب-ج'!$L$9,INDIRECT("BudgetDB!BP"&amp;('الف-ب-ج'!$M$9+ROW()-ROW($A$6))),"")</f>
        <v>0</v>
      </c>
      <c r="B22" s="217"/>
      <c r="C22" s="1427" cm="1">
        <f t="array" aca="1" ref="C22" ca="1">IF(ROW()-ROW($A$6)&lt;'الف-ب-ج'!$L$9,IF(روکش!$F$9="سه ماهه",INDIRECT("BudgetDB!BQ"&amp;('الف-ب-ج'!$M$9+ROW()-ROW($A$6))),INDIRECT("BudgetDB!BR"&amp;('الف-ب-ج'!$M$9+ROW()-ROW($A$6)))),"")</f>
        <v>0</v>
      </c>
      <c r="D22" s="2127"/>
      <c r="E22" s="488" t="str">
        <f t="shared" si="7"/>
        <v>-</v>
      </c>
      <c r="F22" s="2201" t="str">
        <f t="shared" ca="1" si="1"/>
        <v>-</v>
      </c>
      <c r="G22" s="498">
        <f t="shared" ca="1" si="2"/>
        <v>500</v>
      </c>
      <c r="I22" s="1360" t="str">
        <f t="shared" ca="1" si="3"/>
        <v>-</v>
      </c>
      <c r="J22" s="1081"/>
      <c r="K22" s="1081"/>
      <c r="L22" s="1423">
        <f t="shared" ca="1" si="4"/>
        <v>0</v>
      </c>
      <c r="M22" s="208" t="e">
        <f t="shared" ca="1" si="5"/>
        <v>#DIV/0!</v>
      </c>
      <c r="N22" s="208" t="e">
        <f t="shared" ca="1" si="6"/>
        <v>#DIV/0!</v>
      </c>
    </row>
    <row r="23" spans="1:14" ht="21">
      <c r="A23" s="963">
        <f ca="1">IF(ROW()-ROW($A$6)&lt;'الف-ب-ج'!$L$9,INDIRECT("BudgetDB!BP"&amp;('الف-ب-ج'!$M$9+ROW()-ROW($A$6))),"")</f>
        <v>0</v>
      </c>
      <c r="B23" s="217"/>
      <c r="C23" s="1427" cm="1">
        <f t="array" aca="1" ref="C23" ca="1">IF(ROW()-ROW($A$6)&lt;'الف-ب-ج'!$L$9,IF(روکش!$F$9="سه ماهه",INDIRECT("BudgetDB!BQ"&amp;('الف-ب-ج'!$M$9+ROW()-ROW($A$6))),INDIRECT("BudgetDB!BR"&amp;('الف-ب-ج'!$M$9+ROW()-ROW($A$6)))),"")</f>
        <v>0</v>
      </c>
      <c r="D23" s="2127"/>
      <c r="E23" s="488" t="str">
        <f t="shared" si="7"/>
        <v>-</v>
      </c>
      <c r="F23" s="2201" t="str">
        <f t="shared" ca="1" si="1"/>
        <v>-</v>
      </c>
      <c r="G23" s="498">
        <f t="shared" ca="1" si="2"/>
        <v>500</v>
      </c>
      <c r="I23" s="1360" t="str">
        <f t="shared" ca="1" si="3"/>
        <v>-</v>
      </c>
      <c r="J23" s="1081"/>
      <c r="K23" s="1081"/>
      <c r="L23" s="1423">
        <f t="shared" ca="1" si="4"/>
        <v>0</v>
      </c>
      <c r="M23" s="208" t="e">
        <f t="shared" ca="1" si="5"/>
        <v>#DIV/0!</v>
      </c>
      <c r="N23" s="208" t="e">
        <f t="shared" ca="1" si="6"/>
        <v>#DIV/0!</v>
      </c>
    </row>
    <row r="24" spans="1:14" ht="21">
      <c r="A24" s="963">
        <f ca="1">IF(ROW()-ROW($A$6)&lt;'الف-ب-ج'!$L$9,INDIRECT("BudgetDB!BP"&amp;('الف-ب-ج'!$M$9+ROW()-ROW($A$6))),"")</f>
        <v>0</v>
      </c>
      <c r="B24" s="217"/>
      <c r="C24" s="1427" cm="1">
        <f t="array" aca="1" ref="C24" ca="1">IF(ROW()-ROW($A$6)&lt;'الف-ب-ج'!$L$9,IF(روکش!$F$9="سه ماهه",INDIRECT("BudgetDB!BQ"&amp;('الف-ب-ج'!$M$9+ROW()-ROW($A$6))),INDIRECT("BudgetDB!BR"&amp;('الف-ب-ج'!$M$9+ROW()-ROW($A$6)))),"")</f>
        <v>0</v>
      </c>
      <c r="D24" s="2127"/>
      <c r="E24" s="488" t="str">
        <f t="shared" si="7"/>
        <v>-</v>
      </c>
      <c r="F24" s="2201" t="str">
        <f t="shared" ca="1" si="1"/>
        <v>-</v>
      </c>
      <c r="G24" s="498">
        <f t="shared" ca="1" si="2"/>
        <v>500</v>
      </c>
      <c r="I24" s="1360" t="str">
        <f t="shared" ca="1" si="3"/>
        <v>-</v>
      </c>
      <c r="J24" s="1081"/>
      <c r="K24" s="1081"/>
      <c r="L24" s="1423">
        <f t="shared" ca="1" si="4"/>
        <v>0</v>
      </c>
      <c r="M24" s="208" t="e">
        <f t="shared" ca="1" si="5"/>
        <v>#DIV/0!</v>
      </c>
      <c r="N24" s="208" t="e">
        <f t="shared" ca="1" si="6"/>
        <v>#DIV/0!</v>
      </c>
    </row>
    <row r="25" spans="1:14" ht="21">
      <c r="A25" s="963">
        <f ca="1">IF(ROW()-ROW($A$6)&lt;'الف-ب-ج'!$L$9,INDIRECT("BudgetDB!BP"&amp;('الف-ب-ج'!$M$9+ROW()-ROW($A$6))),"")</f>
        <v>0</v>
      </c>
      <c r="B25" s="217"/>
      <c r="C25" s="1427" cm="1">
        <f t="array" aca="1" ref="C25" ca="1">IF(ROW()-ROW($A$6)&lt;'الف-ب-ج'!$L$9,IF(روکش!$F$9="سه ماهه",INDIRECT("BudgetDB!BQ"&amp;('الف-ب-ج'!$M$9+ROW()-ROW($A$6))),INDIRECT("BudgetDB!BR"&amp;('الف-ب-ج'!$M$9+ROW()-ROW($A$6)))),"")</f>
        <v>0</v>
      </c>
      <c r="D25" s="2127"/>
      <c r="E25" s="488" t="str">
        <f t="shared" si="7"/>
        <v>-</v>
      </c>
      <c r="F25" s="2201" t="str">
        <f t="shared" ca="1" si="1"/>
        <v>-</v>
      </c>
      <c r="G25" s="498">
        <f t="shared" ca="1" si="2"/>
        <v>500</v>
      </c>
      <c r="I25" s="1360" t="str">
        <f t="shared" ca="1" si="3"/>
        <v>-</v>
      </c>
      <c r="J25" s="1081"/>
      <c r="K25" s="1081"/>
      <c r="L25" s="1423">
        <f t="shared" ca="1" si="4"/>
        <v>0</v>
      </c>
      <c r="M25" s="208" t="e">
        <f t="shared" ca="1" si="5"/>
        <v>#DIV/0!</v>
      </c>
      <c r="N25" s="208" t="e">
        <f t="shared" ca="1" si="6"/>
        <v>#DIV/0!</v>
      </c>
    </row>
    <row r="26" spans="1:14" ht="21">
      <c r="A26" s="496">
        <f ca="1">IF(ROW()-ROW($A$6)&lt;'الف-ب-ج'!$L$9,INDIRECT("BudgetDB!BP"&amp;('الف-ب-ج'!$M$9+ROW()-ROW($A$6))),"")</f>
        <v>0</v>
      </c>
      <c r="B26" s="217"/>
      <c r="C26" s="1427" cm="1">
        <f t="array" aca="1" ref="C26" ca="1">IF(ROW()-ROW($A$6)&lt;'الف-ب-ج'!$L$9,IF(روکش!$F$9="سه ماهه",INDIRECT("BudgetDB!BQ"&amp;('الف-ب-ج'!$M$9+ROW()-ROW($A$6))),INDIRECT("BudgetDB!BR"&amp;('الف-ب-ج'!$M$9+ROW()-ROW($A$6)))),"")</f>
        <v>0</v>
      </c>
      <c r="D26" s="2127"/>
      <c r="E26" s="488" t="str">
        <f t="shared" ref="E26:E30" si="8">IFERROR((D26-B26)*100/B26,"-")</f>
        <v>-</v>
      </c>
      <c r="F26" s="2201" t="str">
        <f t="shared" ca="1" si="1"/>
        <v>-</v>
      </c>
      <c r="G26" s="498">
        <f t="shared" ca="1" si="2"/>
        <v>500</v>
      </c>
      <c r="I26" s="1360" t="str">
        <f t="shared" ca="1" si="3"/>
        <v>-</v>
      </c>
      <c r="J26" s="1081"/>
      <c r="K26" s="1081"/>
      <c r="L26" s="1423">
        <f t="shared" ca="1" si="4"/>
        <v>0</v>
      </c>
      <c r="M26" s="208" t="e">
        <f t="shared" ca="1" si="5"/>
        <v>#DIV/0!</v>
      </c>
      <c r="N26" s="208" t="e">
        <f t="shared" ca="1" si="6"/>
        <v>#DIV/0!</v>
      </c>
    </row>
    <row r="27" spans="1:14" ht="21">
      <c r="A27" s="496">
        <f ca="1">IF(ROW()-ROW($A$6)&lt;'الف-ب-ج'!$L$9,INDIRECT("BudgetDB!BP"&amp;('الف-ب-ج'!$M$9+ROW()-ROW($A$6))),"")</f>
        <v>0</v>
      </c>
      <c r="B27" s="217"/>
      <c r="C27" s="1427" cm="1">
        <f t="array" aca="1" ref="C27" ca="1">IF(ROW()-ROW($A$6)&lt;'الف-ب-ج'!$L$9,IF(روکش!$F$9="سه ماهه",INDIRECT("BudgetDB!BQ"&amp;('الف-ب-ج'!$M$9+ROW()-ROW($A$6))),INDIRECT("BudgetDB!BR"&amp;('الف-ب-ج'!$M$9+ROW()-ROW($A$6)))),"")</f>
        <v>0</v>
      </c>
      <c r="D27" s="2127"/>
      <c r="E27" s="488" t="str">
        <f t="shared" si="8"/>
        <v>-</v>
      </c>
      <c r="F27" s="2201" t="str">
        <f ca="1">IFERROR(D27*100/C27,"-")</f>
        <v>-</v>
      </c>
      <c r="G27" s="498">
        <f t="shared" ca="1" si="2"/>
        <v>500</v>
      </c>
      <c r="I27" s="1360" t="str">
        <f t="shared" ca="1" si="3"/>
        <v>-</v>
      </c>
      <c r="J27" s="1081"/>
      <c r="K27" s="1081"/>
      <c r="L27" s="1423">
        <f t="shared" ca="1" si="4"/>
        <v>0</v>
      </c>
      <c r="M27" s="208" t="e">
        <f t="shared" ca="1" si="5"/>
        <v>#DIV/0!</v>
      </c>
      <c r="N27" s="208" t="e">
        <f t="shared" ca="1" si="6"/>
        <v>#DIV/0!</v>
      </c>
    </row>
    <row r="28" spans="1:14" ht="21">
      <c r="A28" s="496">
        <f ca="1">IF(ROW()-ROW($A$6)&lt;'الف-ب-ج'!$L$9,INDIRECT("BudgetDB!BP"&amp;('الف-ب-ج'!$M$9+ROW()-ROW($A$6))),"")</f>
        <v>0</v>
      </c>
      <c r="B28" s="217"/>
      <c r="C28" s="1427" cm="1">
        <f t="array" aca="1" ref="C28" ca="1">IF(ROW()-ROW($A$6)&lt;'الف-ب-ج'!$L$9,IF(روکش!$F$9="سه ماهه",INDIRECT("BudgetDB!BQ"&amp;('الف-ب-ج'!$M$9+ROW()-ROW($A$6))),INDIRECT("BudgetDB!BR"&amp;('الف-ب-ج'!$M$9+ROW()-ROW($A$6)))),"")</f>
        <v>0</v>
      </c>
      <c r="D28" s="2127"/>
      <c r="E28" s="488" t="str">
        <f t="shared" si="8"/>
        <v>-</v>
      </c>
      <c r="F28" s="2201" t="str">
        <f t="shared" ca="1" si="1"/>
        <v>-</v>
      </c>
      <c r="G28" s="498">
        <f t="shared" ca="1" si="2"/>
        <v>500</v>
      </c>
      <c r="I28" s="1360" t="str">
        <f t="shared" ca="1" si="3"/>
        <v>-</v>
      </c>
      <c r="J28" s="1081"/>
      <c r="K28" s="1081"/>
      <c r="L28" s="1423">
        <f t="shared" ca="1" si="4"/>
        <v>0</v>
      </c>
      <c r="M28" s="208" t="e">
        <f t="shared" ca="1" si="5"/>
        <v>#DIV/0!</v>
      </c>
      <c r="N28" s="208" t="e">
        <f t="shared" ca="1" si="6"/>
        <v>#DIV/0!</v>
      </c>
    </row>
    <row r="29" spans="1:14" ht="21">
      <c r="A29" s="496">
        <f ca="1">IF(ROW()-ROW($A$6)&lt;'الف-ب-ج'!$L$9,INDIRECT("BudgetDB!BP"&amp;('الف-ب-ج'!$M$9+ROW()-ROW($A$6))),"")</f>
        <v>0</v>
      </c>
      <c r="B29" s="217"/>
      <c r="C29" s="1427" cm="1">
        <f t="array" aca="1" ref="C29" ca="1">IF(ROW()-ROW($A$6)&lt;'الف-ب-ج'!$L$9,IF(روکش!$F$9="سه ماهه",INDIRECT("BudgetDB!BQ"&amp;('الف-ب-ج'!$M$9+ROW()-ROW($A$6))),INDIRECT("BudgetDB!BR"&amp;('الف-ب-ج'!$M$9+ROW()-ROW($A$6)))),"")</f>
        <v>0</v>
      </c>
      <c r="D29" s="2127"/>
      <c r="E29" s="488" t="str">
        <f t="shared" si="8"/>
        <v>-</v>
      </c>
      <c r="F29" s="2201" t="str">
        <f t="shared" ca="1" si="1"/>
        <v>-</v>
      </c>
      <c r="G29" s="498">
        <f t="shared" ca="1" si="2"/>
        <v>500</v>
      </c>
      <c r="I29" s="1360" t="str">
        <f t="shared" ca="1" si="3"/>
        <v>-</v>
      </c>
      <c r="J29" s="1081"/>
      <c r="K29" s="1081"/>
      <c r="L29" s="1423">
        <f t="shared" ca="1" si="4"/>
        <v>0</v>
      </c>
      <c r="M29" s="208" t="e">
        <f t="shared" ca="1" si="5"/>
        <v>#DIV/0!</v>
      </c>
      <c r="N29" s="208" t="e">
        <f t="shared" ca="1" si="6"/>
        <v>#DIV/0!</v>
      </c>
    </row>
    <row r="30" spans="1:14" ht="21.75" thickBot="1">
      <c r="A30" s="496">
        <f ca="1">IF(ROW()-ROW($A$6)&lt;'الف-ب-ج'!$L$9,INDIRECT("BudgetDB!BP"&amp;('الف-ب-ج'!$M$9+ROW()-ROW($A$6))),"")</f>
        <v>0</v>
      </c>
      <c r="B30" s="217"/>
      <c r="C30" s="2132" cm="1">
        <f t="array" aca="1" ref="C30" ca="1">IF(ROW()-ROW($A$6)&lt;'الف-ب-ج'!$L$9,IF(روکش!$F$9="سه ماهه",INDIRECT("BudgetDB!BQ"&amp;('الف-ب-ج'!$M$9+ROW()-ROW($A$6))),INDIRECT("BudgetDB!BR"&amp;('الف-ب-ج'!$M$9+ROW()-ROW($A$6)))),"")</f>
        <v>0</v>
      </c>
      <c r="D30" s="2127"/>
      <c r="E30" s="488" t="str">
        <f t="shared" si="8"/>
        <v>-</v>
      </c>
      <c r="F30" s="2202" t="str">
        <f t="shared" ca="1" si="1"/>
        <v>-</v>
      </c>
      <c r="G30" s="2203">
        <f t="shared" ca="1" si="2"/>
        <v>500</v>
      </c>
      <c r="I30" s="1360" t="str">
        <f t="shared" ca="1" si="3"/>
        <v>-</v>
      </c>
      <c r="J30" s="1081"/>
      <c r="K30" s="1081"/>
      <c r="L30" s="1423">
        <f t="shared" ca="1" si="4"/>
        <v>0</v>
      </c>
      <c r="M30" s="208" t="e">
        <f t="shared" ca="1" si="5"/>
        <v>#DIV/0!</v>
      </c>
      <c r="N30" s="208" t="e">
        <f t="shared" ca="1" si="6"/>
        <v>#DIV/0!</v>
      </c>
    </row>
    <row r="31" spans="1:14" ht="21.75" thickBot="1">
      <c r="A31" s="492" t="s">
        <v>384</v>
      </c>
      <c r="B31" s="493">
        <f>SUM(B6:B30)</f>
        <v>0</v>
      </c>
      <c r="C31" s="493">
        <f ca="1">SUM(C6:C30)</f>
        <v>0</v>
      </c>
      <c r="D31" s="494">
        <f>SUM(D6:D30)</f>
        <v>0</v>
      </c>
      <c r="E31" s="490" t="str">
        <f>IFERROR((D31-B31)*100/B31,"-")</f>
        <v>-</v>
      </c>
      <c r="F31" s="2204" t="str">
        <f t="shared" ca="1" si="1"/>
        <v>-</v>
      </c>
      <c r="G31" s="2205">
        <f t="shared" ca="1" si="2"/>
        <v>500</v>
      </c>
      <c r="I31" s="1360" t="s">
        <v>206</v>
      </c>
      <c r="J31" s="1081"/>
      <c r="K31" s="1081"/>
      <c r="L31" s="1423">
        <f t="shared" ca="1" si="4"/>
        <v>0</v>
      </c>
    </row>
    <row r="32" spans="1:14" ht="21.75" thickBot="1">
      <c r="A32" s="495" t="s">
        <v>52</v>
      </c>
      <c r="B32" s="1120"/>
      <c r="C32" s="1428" cm="1">
        <f t="array" aca="1" ref="C32" ca="1">IF(روکش!$F$9="سه ماهه",INDIRECT("BudgetDB!BS"&amp;('الف-ب-ج'!$M$9+ROW()-ROW($A$32))),INDIRECT("BudgetDB!BT"&amp;('الف-ب-ج'!$M$9+ROW()-ROW($A$32))))</f>
        <v>0</v>
      </c>
      <c r="D32" s="244"/>
      <c r="E32" s="490" t="str">
        <f>IFERROR((D32-B32)*100/B32,"-")</f>
        <v>-</v>
      </c>
      <c r="F32" s="2204" t="str">
        <f t="shared" ca="1" si="1"/>
        <v>-</v>
      </c>
      <c r="G32" s="2205">
        <f t="shared" ca="1" si="2"/>
        <v>500</v>
      </c>
      <c r="I32" s="1360" t="str">
        <f ca="1">IF(AND(C32=0,D32&gt;0),100,IFERROR(ABS(F32-100),"-"))</f>
        <v>-</v>
      </c>
      <c r="J32" s="1081"/>
      <c r="K32" s="1081"/>
      <c r="L32" s="1423">
        <f t="shared" ca="1" si="4"/>
        <v>0</v>
      </c>
    </row>
    <row r="33" spans="1:12" ht="21.75" thickBot="1">
      <c r="A33" s="492" t="s">
        <v>853</v>
      </c>
      <c r="B33" s="1425">
        <f>B31+B32</f>
        <v>0</v>
      </c>
      <c r="C33" s="493">
        <f ca="1">C31+C32</f>
        <v>0</v>
      </c>
      <c r="D33" s="494">
        <f>D31+D32</f>
        <v>0</v>
      </c>
      <c r="E33" s="490" t="str">
        <f>IFERROR((D33-B33)*100/B33,"-")</f>
        <v>-</v>
      </c>
      <c r="F33" s="2204" t="str">
        <f t="shared" ca="1" si="1"/>
        <v>-</v>
      </c>
      <c r="G33" s="2205">
        <f t="shared" ca="1" si="2"/>
        <v>500</v>
      </c>
      <c r="I33" s="1360" t="s">
        <v>206</v>
      </c>
      <c r="J33" s="1081"/>
      <c r="K33" s="1081"/>
      <c r="L33" s="1423">
        <f t="shared" ca="1" si="4"/>
        <v>0</v>
      </c>
    </row>
    <row r="34" spans="1:12" ht="21">
      <c r="A34" s="2906"/>
      <c r="B34" s="2906"/>
      <c r="C34" s="2906"/>
      <c r="D34" s="2906"/>
      <c r="E34" s="2906"/>
      <c r="F34" s="857"/>
      <c r="I34" s="1360" t="s">
        <v>206</v>
      </c>
      <c r="J34" s="1081"/>
      <c r="K34" s="1081"/>
      <c r="L34" s="1423">
        <f t="shared" si="4"/>
        <v>0</v>
      </c>
    </row>
    <row r="35" spans="1:12" ht="21">
      <c r="A35" s="8"/>
      <c r="B35" s="8"/>
      <c r="C35" s="720"/>
      <c r="E35" s="8"/>
      <c r="I35" s="1081"/>
      <c r="J35" s="1081"/>
      <c r="K35" s="1081"/>
      <c r="L35" s="1423">
        <f t="shared" si="4"/>
        <v>0</v>
      </c>
    </row>
    <row r="36" spans="1:12">
      <c r="L36" s="1423">
        <f t="shared" si="4"/>
        <v>0</v>
      </c>
    </row>
  </sheetData>
  <mergeCells count="8">
    <mergeCell ref="A1:G1"/>
    <mergeCell ref="A4:A5"/>
    <mergeCell ref="B4:B5"/>
    <mergeCell ref="A34:E34"/>
    <mergeCell ref="A3:C3"/>
    <mergeCell ref="D3:E3"/>
    <mergeCell ref="F5:G5"/>
    <mergeCell ref="F3:G3"/>
  </mergeCells>
  <conditionalFormatting sqref="A6:A30">
    <cfRule type="expression" dxfId="429" priority="4">
      <formula>AND($A6=0,OR($B6&lt;&gt;0,$D6&lt;&gt;0))</formula>
    </cfRule>
  </conditionalFormatting>
  <conditionalFormatting sqref="B6:B30">
    <cfRule type="expression" dxfId="428" priority="3">
      <formula>$M6=TRUE</formula>
    </cfRule>
  </conditionalFormatting>
  <conditionalFormatting sqref="D6:D30">
    <cfRule type="expression" dxfId="427" priority="2">
      <formula>$N6=TRUE</formula>
    </cfRule>
  </conditionalFormatting>
  <conditionalFormatting sqref="G6:G33">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2000-000007000000}">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0">
    <tabColor rgb="FF00B0F0"/>
    <pageSetUpPr fitToPage="1"/>
  </sheetPr>
  <dimension ref="A1:V30"/>
  <sheetViews>
    <sheetView rightToLeft="1" view="pageBreakPreview" zoomScale="60" zoomScaleNormal="100" workbookViewId="0">
      <selection activeCell="C26" sqref="C26"/>
    </sheetView>
  </sheetViews>
  <sheetFormatPr defaultColWidth="9" defaultRowHeight="15"/>
  <cols>
    <col min="1" max="1" width="30" style="5" customWidth="1"/>
    <col min="2" max="4" width="18.5703125" style="5" customWidth="1"/>
    <col min="5" max="6" width="13.5703125" style="5" customWidth="1"/>
    <col min="7" max="7" width="3.7109375" style="79" customWidth="1"/>
    <col min="8" max="8" width="9" style="79"/>
    <col min="9" max="11" width="9" style="79" hidden="1" customWidth="1"/>
    <col min="12" max="12" width="9" style="212" hidden="1" customWidth="1"/>
    <col min="13" max="13" width="9" style="208" hidden="1" customWidth="1"/>
    <col min="14" max="14" width="9" style="5" hidden="1" customWidth="1"/>
    <col min="15" max="17" width="9" style="79" hidden="1" customWidth="1"/>
    <col min="18" max="18" width="9" style="79"/>
    <col min="19" max="16384" width="9" style="5"/>
  </cols>
  <sheetData>
    <row r="1" spans="1:18" ht="24" customHeight="1">
      <c r="A1" s="2685" t="str">
        <f>روکش!D4</f>
        <v>انبارهای عمومی و خدمات گمرکی ایران</v>
      </c>
      <c r="B1" s="2685"/>
      <c r="C1" s="2685"/>
      <c r="D1" s="2685"/>
      <c r="E1" s="2685"/>
      <c r="F1" s="2685"/>
      <c r="G1" s="2685"/>
    </row>
    <row r="2" spans="1:18" ht="28.5" customHeight="1">
      <c r="A2" s="2912" t="str">
        <f>"صورت ريز هزينه‌هاي سربار تولید در دوره " &amp; روکش!F9 &amp; " سال " &amp; روکش!D9</f>
        <v>صورت ريز هزينه‌هاي سربار تولید در دوره شش ماهه سال 1405</v>
      </c>
      <c r="B2" s="2912"/>
      <c r="C2" s="2912"/>
      <c r="D2" s="2912"/>
      <c r="E2" s="2912"/>
      <c r="F2" s="2912"/>
      <c r="G2" s="2912"/>
      <c r="H2" s="832"/>
    </row>
    <row r="3" spans="1:18" s="860" customFormat="1" ht="20.100000000000001" customHeight="1" thickBot="1">
      <c r="A3" s="2723"/>
      <c r="B3" s="2723"/>
      <c r="C3" s="2723"/>
      <c r="D3" s="2910"/>
      <c r="E3" s="2910"/>
      <c r="F3" s="2911" t="s">
        <v>30</v>
      </c>
      <c r="G3" s="2911"/>
      <c r="H3" s="858"/>
      <c r="I3" s="858"/>
      <c r="J3" s="858"/>
      <c r="K3" s="858"/>
      <c r="L3" s="859"/>
      <c r="M3" s="208"/>
      <c r="N3" s="5"/>
      <c r="O3" s="858"/>
      <c r="P3" s="858"/>
      <c r="Q3" s="858"/>
      <c r="R3" s="858"/>
    </row>
    <row r="4" spans="1:18" ht="42" customHeight="1">
      <c r="A4" s="2907" t="s">
        <v>21</v>
      </c>
      <c r="B4" s="2907" t="s">
        <v>693</v>
      </c>
      <c r="C4" s="1222" t="s">
        <v>642</v>
      </c>
      <c r="D4" s="1223"/>
      <c r="E4" s="1223"/>
      <c r="F4" s="1224"/>
      <c r="G4" s="1224"/>
      <c r="I4" s="208"/>
      <c r="J4" s="208"/>
      <c r="K4" s="208"/>
      <c r="L4" s="1081" t="s">
        <v>792</v>
      </c>
      <c r="O4" s="208"/>
    </row>
    <row r="5" spans="1:18" ht="65.25" customHeight="1" thickBot="1">
      <c r="A5" s="2908"/>
      <c r="B5" s="2909"/>
      <c r="C5" s="713" t="s">
        <v>53</v>
      </c>
      <c r="D5" s="714" t="s">
        <v>216</v>
      </c>
      <c r="E5" s="714" t="s">
        <v>793</v>
      </c>
      <c r="F5" s="2875" t="s">
        <v>230</v>
      </c>
      <c r="G5" s="2876"/>
      <c r="I5" s="1081" t="s">
        <v>784</v>
      </c>
      <c r="J5" s="208"/>
      <c r="K5" s="208"/>
      <c r="L5" s="1081" t="s">
        <v>206</v>
      </c>
      <c r="O5" s="208"/>
    </row>
    <row r="6" spans="1:18" ht="21.75" customHeight="1">
      <c r="A6" s="1424" cm="1">
        <f t="array" aca="1" ref="A6" ca="1">IF(ROW()-ROW($A$6)&lt;'الف-ب-ج'!$L$9,INDIRECT("BudgetDB!BU"&amp;('الف-ب-ج'!$M$9+ROW()-ROW($A$6))),"")</f>
        <v>0</v>
      </c>
      <c r="B6" s="215"/>
      <c r="C6" s="1426" cm="1">
        <f t="array" aca="1" ref="C6" ca="1">IF(ROW()-ROW($A$6)&lt;'الف-ب-ج'!$L$9,IF(روکش!$F$9="سه ماهه",INDIRECT("BudgetDB!BV"&amp;('الف-ب-ج'!$M$9+ROW()-ROW($A$6))),INDIRECT("BudgetDB!BW"&amp;('الف-ب-ج'!$M$9+ROW()-ROW($A$6)))),"")</f>
        <v>0</v>
      </c>
      <c r="D6" s="2131"/>
      <c r="E6" s="486" t="str">
        <f t="shared" ref="E6:E28" si="0">IFERROR((D6-B6)*100/B6,"-")</f>
        <v>-</v>
      </c>
      <c r="F6" s="2199" t="str">
        <f t="shared" ref="F6:F15" ca="1" si="1">IFERROR(D6*100/C6,"-")</f>
        <v>-</v>
      </c>
      <c r="G6" s="415">
        <f ca="1">IFERROR(ABS(F6-100),500)</f>
        <v>500</v>
      </c>
      <c r="I6" s="1360" t="str">
        <f ca="1">IF(AND(C6=0,D6&gt;0),100,IFERROR(ABS(F6-100),"-"))</f>
        <v>-</v>
      </c>
      <c r="J6" s="208"/>
      <c r="K6" s="208"/>
      <c r="L6" s="1423">
        <f ca="1">IFERROR(B6+C6+D6,0)</f>
        <v>0</v>
      </c>
      <c r="M6" s="208" t="e">
        <f ca="1">AND(COUNTIF($A6,"*سایر*")=1,$B6/$B$26&gt;0.2)</f>
        <v>#DIV/0!</v>
      </c>
      <c r="N6" s="208" t="e">
        <f ca="1">AND(COUNTIF($A6,"*سایر*")=1,$D6/$D$26&gt;0.2)</f>
        <v>#DIV/0!</v>
      </c>
      <c r="O6" s="208"/>
    </row>
    <row r="7" spans="1:18" ht="21">
      <c r="A7" s="963" cm="1">
        <f t="array" aca="1" ref="A7" ca="1">IF(ROW()-ROW($A$6)&lt;'الف-ب-ج'!$L$9,INDIRECT("BudgetDB!BU"&amp;('الف-ب-ج'!$M$9+ROW()-ROW($A$6))),"")</f>
        <v>0</v>
      </c>
      <c r="B7" s="217"/>
      <c r="C7" s="1427" cm="1">
        <f t="array" aca="1" ref="C7" ca="1">IF(ROW()-ROW($A$6)&lt;'الف-ب-ج'!$L$9,IF(روکش!$F$9="سه ماهه",INDIRECT("BudgetDB!BV"&amp;('الف-ب-ج'!$M$9+ROW()-ROW($A$6))),INDIRECT("BudgetDB!BW"&amp;('الف-ب-ج'!$M$9+ROW()-ROW($A$6)))),"")</f>
        <v>0</v>
      </c>
      <c r="D7" s="2127"/>
      <c r="E7" s="488" t="str">
        <f t="shared" si="0"/>
        <v>-</v>
      </c>
      <c r="F7" s="2201" t="str">
        <f t="shared" ca="1" si="1"/>
        <v>-</v>
      </c>
      <c r="G7" s="418">
        <f t="shared" ref="G7:G28" ca="1" si="2">IFERROR(ABS(F7-100),500)</f>
        <v>500</v>
      </c>
      <c r="I7" s="1360" t="str">
        <f t="shared" ref="I7:I25" ca="1" si="3">IF(AND(C7=0,D7&gt;0),100,IFERROR(ABS(F7-100),"-"))</f>
        <v>-</v>
      </c>
      <c r="J7" s="208"/>
      <c r="K7" s="208"/>
      <c r="L7" s="1423">
        <f t="shared" ref="L7:L30" ca="1" si="4">IFERROR(B7+C7+D7,0)</f>
        <v>0</v>
      </c>
      <c r="M7" s="208" t="e">
        <f t="shared" ref="M7:M26" ca="1" si="5">AND(COUNTIF($A7,"*سایر*")=1,$B7/$B$26&gt;0.2)</f>
        <v>#DIV/0!</v>
      </c>
      <c r="N7" s="208" t="e">
        <f t="shared" ref="N7:N26" ca="1" si="6">AND(COUNTIF($A7,"*سایر*")=1,$D7/$D$26&gt;0.2)</f>
        <v>#DIV/0!</v>
      </c>
      <c r="O7" s="208"/>
    </row>
    <row r="8" spans="1:18" ht="21">
      <c r="A8" s="963" cm="1">
        <f t="array" aca="1" ref="A8" ca="1">IF(ROW()-ROW($A$6)&lt;'الف-ب-ج'!$L$9,INDIRECT("BudgetDB!BU"&amp;('الف-ب-ج'!$M$9+ROW()-ROW($A$6))),"")</f>
        <v>0</v>
      </c>
      <c r="B8" s="217"/>
      <c r="C8" s="1427" cm="1">
        <f t="array" aca="1" ref="C8" ca="1">IF(ROW()-ROW($A$6)&lt;'الف-ب-ج'!$L$9,IF(روکش!$F$9="سه ماهه",INDIRECT("BudgetDB!BV"&amp;('الف-ب-ج'!$M$9+ROW()-ROW($A$6))),INDIRECT("BudgetDB!BW"&amp;('الف-ب-ج'!$M$9+ROW()-ROW($A$6)))),"")</f>
        <v>0</v>
      </c>
      <c r="D8" s="2127"/>
      <c r="E8" s="488" t="str">
        <f t="shared" si="0"/>
        <v>-</v>
      </c>
      <c r="F8" s="2201" t="str">
        <f t="shared" ca="1" si="1"/>
        <v>-</v>
      </c>
      <c r="G8" s="418">
        <f t="shared" ca="1" si="2"/>
        <v>500</v>
      </c>
      <c r="I8" s="1360" t="str">
        <f t="shared" ca="1" si="3"/>
        <v>-</v>
      </c>
      <c r="J8" s="208"/>
      <c r="K8" s="208"/>
      <c r="L8" s="1423">
        <f t="shared" ca="1" si="4"/>
        <v>0</v>
      </c>
      <c r="M8" s="208" t="e">
        <f t="shared" ca="1" si="5"/>
        <v>#DIV/0!</v>
      </c>
      <c r="N8" s="208" t="e">
        <f t="shared" ca="1" si="6"/>
        <v>#DIV/0!</v>
      </c>
      <c r="O8" s="208"/>
    </row>
    <row r="9" spans="1:18" ht="21">
      <c r="A9" s="963" cm="1">
        <f t="array" aca="1" ref="A9" ca="1">IF(ROW()-ROW($A$6)&lt;'الف-ب-ج'!$L$9,INDIRECT("BudgetDB!BU"&amp;('الف-ب-ج'!$M$9+ROW()-ROW($A$6))),"")</f>
        <v>0</v>
      </c>
      <c r="B9" s="217"/>
      <c r="C9" s="1427" cm="1">
        <f t="array" aca="1" ref="C9" ca="1">IF(ROW()-ROW($A$6)&lt;'الف-ب-ج'!$L$9,IF(روکش!$F$9="سه ماهه",INDIRECT("BudgetDB!BV"&amp;('الف-ب-ج'!$M$9+ROW()-ROW($A$6))),INDIRECT("BudgetDB!BW"&amp;('الف-ب-ج'!$M$9+ROW()-ROW($A$6)))),"")</f>
        <v>0</v>
      </c>
      <c r="D9" s="2127"/>
      <c r="E9" s="488" t="str">
        <f t="shared" si="0"/>
        <v>-</v>
      </c>
      <c r="F9" s="2201" t="str">
        <f t="shared" ca="1" si="1"/>
        <v>-</v>
      </c>
      <c r="G9" s="418">
        <f t="shared" ca="1" si="2"/>
        <v>500</v>
      </c>
      <c r="I9" s="1360" t="str">
        <f t="shared" ca="1" si="3"/>
        <v>-</v>
      </c>
      <c r="J9" s="208"/>
      <c r="K9" s="208"/>
      <c r="L9" s="1423">
        <f t="shared" ca="1" si="4"/>
        <v>0</v>
      </c>
      <c r="M9" s="208" t="e">
        <f t="shared" ca="1" si="5"/>
        <v>#DIV/0!</v>
      </c>
      <c r="N9" s="208" t="e">
        <f t="shared" ca="1" si="6"/>
        <v>#DIV/0!</v>
      </c>
      <c r="O9" s="208"/>
    </row>
    <row r="10" spans="1:18" ht="21">
      <c r="A10" s="963" cm="1">
        <f t="array" aca="1" ref="A10" ca="1">IF(ROW()-ROW($A$6)&lt;'الف-ب-ج'!$L$9,INDIRECT("BudgetDB!BU"&amp;('الف-ب-ج'!$M$9+ROW()-ROW($A$6))),"")</f>
        <v>0</v>
      </c>
      <c r="B10" s="217"/>
      <c r="C10" s="1427" cm="1">
        <f t="array" aca="1" ref="C10" ca="1">IF(ROW()-ROW($A$6)&lt;'الف-ب-ج'!$L$9,IF(روکش!$F$9="سه ماهه",INDIRECT("BudgetDB!BV"&amp;('الف-ب-ج'!$M$9+ROW()-ROW($A$6))),INDIRECT("BudgetDB!BW"&amp;('الف-ب-ج'!$M$9+ROW()-ROW($A$6)))),"")</f>
        <v>0</v>
      </c>
      <c r="D10" s="2127"/>
      <c r="E10" s="488" t="str">
        <f t="shared" si="0"/>
        <v>-</v>
      </c>
      <c r="F10" s="2201" t="str">
        <f t="shared" ca="1" si="1"/>
        <v>-</v>
      </c>
      <c r="G10" s="498">
        <f t="shared" ca="1" si="2"/>
        <v>500</v>
      </c>
      <c r="I10" s="1360" t="str">
        <f t="shared" ca="1" si="3"/>
        <v>-</v>
      </c>
      <c r="J10" s="208"/>
      <c r="K10" s="208"/>
      <c r="L10" s="1423">
        <f t="shared" ca="1" si="4"/>
        <v>0</v>
      </c>
      <c r="M10" s="208" t="e">
        <f t="shared" ca="1" si="5"/>
        <v>#DIV/0!</v>
      </c>
      <c r="N10" s="208" t="e">
        <f t="shared" ca="1" si="6"/>
        <v>#DIV/0!</v>
      </c>
      <c r="O10" s="208"/>
    </row>
    <row r="11" spans="1:18" ht="21">
      <c r="A11" s="963" cm="1">
        <f t="array" aca="1" ref="A11" ca="1">IF(ROW()-ROW($A$6)&lt;'الف-ب-ج'!$L$9,INDIRECT("BudgetDB!BU"&amp;('الف-ب-ج'!$M$9+ROW()-ROW($A$6))),"")</f>
        <v>0</v>
      </c>
      <c r="B11" s="217"/>
      <c r="C11" s="1427" cm="1">
        <f t="array" aca="1" ref="C11" ca="1">IF(ROW()-ROW($A$6)&lt;'الف-ب-ج'!$L$9,IF(روکش!$F$9="سه ماهه",INDIRECT("BudgetDB!BV"&amp;('الف-ب-ج'!$M$9+ROW()-ROW($A$6))),INDIRECT("BudgetDB!BW"&amp;('الف-ب-ج'!$M$9+ROW()-ROW($A$6)))),"")</f>
        <v>0</v>
      </c>
      <c r="D11" s="2127"/>
      <c r="E11" s="488" t="str">
        <f t="shared" si="0"/>
        <v>-</v>
      </c>
      <c r="F11" s="2201" t="str">
        <f t="shared" ca="1" si="1"/>
        <v>-</v>
      </c>
      <c r="G11" s="498">
        <f t="shared" ca="1" si="2"/>
        <v>500</v>
      </c>
      <c r="I11" s="1360" t="str">
        <f t="shared" ca="1" si="3"/>
        <v>-</v>
      </c>
      <c r="J11" s="208"/>
      <c r="K11" s="208"/>
      <c r="L11" s="1423">
        <f t="shared" ca="1" si="4"/>
        <v>0</v>
      </c>
      <c r="M11" s="208" t="e">
        <f t="shared" ca="1" si="5"/>
        <v>#DIV/0!</v>
      </c>
      <c r="N11" s="208" t="e">
        <f t="shared" ca="1" si="6"/>
        <v>#DIV/0!</v>
      </c>
      <c r="O11" s="208"/>
    </row>
    <row r="12" spans="1:18" ht="21">
      <c r="A12" s="963" cm="1">
        <f t="array" aca="1" ref="A12" ca="1">IF(ROW()-ROW($A$6)&lt;'الف-ب-ج'!$L$9,INDIRECT("BudgetDB!BU"&amp;('الف-ب-ج'!$M$9+ROW()-ROW($A$6))),"")</f>
        <v>0</v>
      </c>
      <c r="B12" s="170"/>
      <c r="C12" s="1432" cm="1">
        <f t="array" aca="1" ref="C12" ca="1">IF(ROW()-ROW($A$6)&lt;'الف-ب-ج'!$L$9,IF(روکش!$F$9="سه ماهه",INDIRECT("BudgetDB!BV"&amp;('الف-ب-ج'!$M$9+ROW()-ROW($A$6))),INDIRECT("BudgetDB!BW"&amp;('الف-ب-ج'!$M$9+ROW()-ROW($A$6)))),"")</f>
        <v>0</v>
      </c>
      <c r="D12" s="246"/>
      <c r="E12" s="536" t="str">
        <f t="shared" si="0"/>
        <v>-</v>
      </c>
      <c r="F12" s="2201" t="str">
        <f t="shared" ca="1" si="1"/>
        <v>-</v>
      </c>
      <c r="G12" s="498">
        <f t="shared" ca="1" si="2"/>
        <v>500</v>
      </c>
      <c r="I12" s="1360" t="str">
        <f t="shared" ca="1" si="3"/>
        <v>-</v>
      </c>
      <c r="J12" s="208"/>
      <c r="K12" s="208"/>
      <c r="L12" s="1423">
        <f t="shared" ca="1" si="4"/>
        <v>0</v>
      </c>
      <c r="M12" s="208" t="e">
        <f t="shared" ca="1" si="5"/>
        <v>#DIV/0!</v>
      </c>
      <c r="N12" s="208" t="e">
        <f t="shared" ca="1" si="6"/>
        <v>#DIV/0!</v>
      </c>
      <c r="O12" s="208"/>
    </row>
    <row r="13" spans="1:18" ht="21">
      <c r="A13" s="963" cm="1">
        <f t="array" aca="1" ref="A13" ca="1">IF(ROW()-ROW($A$6)&lt;'الف-ب-ج'!$L$9,INDIRECT("BudgetDB!BU"&amp;('الف-ب-ج'!$M$9+ROW()-ROW($A$6))),"")</f>
        <v>0</v>
      </c>
      <c r="B13" s="170"/>
      <c r="C13" s="1432" cm="1">
        <f t="array" aca="1" ref="C13" ca="1">IF(ROW()-ROW($A$6)&lt;'الف-ب-ج'!$L$9,IF(روکش!$F$9="سه ماهه",INDIRECT("BudgetDB!BV"&amp;('الف-ب-ج'!$M$9+ROW()-ROW($A$6))),INDIRECT("BudgetDB!BW"&amp;('الف-ب-ج'!$M$9+ROW()-ROW($A$6)))),"")</f>
        <v>0</v>
      </c>
      <c r="D13" s="246"/>
      <c r="E13" s="536" t="str">
        <f t="shared" si="0"/>
        <v>-</v>
      </c>
      <c r="F13" s="2201" t="str">
        <f t="shared" ca="1" si="1"/>
        <v>-</v>
      </c>
      <c r="G13" s="498">
        <f t="shared" ca="1" si="2"/>
        <v>500</v>
      </c>
      <c r="I13" s="1360" t="str">
        <f t="shared" ca="1" si="3"/>
        <v>-</v>
      </c>
      <c r="J13" s="208"/>
      <c r="K13" s="208"/>
      <c r="L13" s="1423">
        <f t="shared" ca="1" si="4"/>
        <v>0</v>
      </c>
      <c r="M13" s="208" t="e">
        <f t="shared" ca="1" si="5"/>
        <v>#DIV/0!</v>
      </c>
      <c r="N13" s="208" t="e">
        <f t="shared" ca="1" si="6"/>
        <v>#DIV/0!</v>
      </c>
      <c r="O13" s="208"/>
    </row>
    <row r="14" spans="1:18" ht="21">
      <c r="A14" s="963" cm="1">
        <f t="array" aca="1" ref="A14" ca="1">IF(ROW()-ROW($A$6)&lt;'الف-ب-ج'!$L$9,INDIRECT("BudgetDB!BU"&amp;('الف-ب-ج'!$M$9+ROW()-ROW($A$6))),"")</f>
        <v>0</v>
      </c>
      <c r="B14" s="170"/>
      <c r="C14" s="1432" cm="1">
        <f t="array" aca="1" ref="C14" ca="1">IF(ROW()-ROW($A$6)&lt;'الف-ب-ج'!$L$9,IF(روکش!$F$9="سه ماهه",INDIRECT("BudgetDB!BV"&amp;('الف-ب-ج'!$M$9+ROW()-ROW($A$6))),INDIRECT("BudgetDB!BW"&amp;('الف-ب-ج'!$M$9+ROW()-ROW($A$6)))),"")</f>
        <v>0</v>
      </c>
      <c r="D14" s="246"/>
      <c r="E14" s="536" t="str">
        <f t="shared" si="0"/>
        <v>-</v>
      </c>
      <c r="F14" s="2201" t="str">
        <f t="shared" ca="1" si="1"/>
        <v>-</v>
      </c>
      <c r="G14" s="498">
        <f t="shared" ca="1" si="2"/>
        <v>500</v>
      </c>
      <c r="I14" s="1360" t="str">
        <f t="shared" ca="1" si="3"/>
        <v>-</v>
      </c>
      <c r="J14" s="208"/>
      <c r="K14" s="208"/>
      <c r="L14" s="1423">
        <f t="shared" ca="1" si="4"/>
        <v>0</v>
      </c>
      <c r="M14" s="208" t="e">
        <f t="shared" ca="1" si="5"/>
        <v>#DIV/0!</v>
      </c>
      <c r="N14" s="208" t="e">
        <f t="shared" ca="1" si="6"/>
        <v>#DIV/0!</v>
      </c>
      <c r="O14" s="208"/>
    </row>
    <row r="15" spans="1:18" ht="21">
      <c r="A15" s="963" cm="1">
        <f t="array" aca="1" ref="A15" ca="1">IF(ROW()-ROW($A$6)&lt;'الف-ب-ج'!$L$9,INDIRECT("BudgetDB!BU"&amp;('الف-ب-ج'!$M$9+ROW()-ROW($A$6))),"")</f>
        <v>0</v>
      </c>
      <c r="B15" s="170"/>
      <c r="C15" s="1432" cm="1">
        <f t="array" aca="1" ref="C15" ca="1">IF(ROW()-ROW($A$6)&lt;'الف-ب-ج'!$L$9,IF(روکش!$F$9="سه ماهه",INDIRECT("BudgetDB!BV"&amp;('الف-ب-ج'!$M$9+ROW()-ROW($A$6))),INDIRECT("BudgetDB!BW"&amp;('الف-ب-ج'!$M$9+ROW()-ROW($A$6)))),"")</f>
        <v>0</v>
      </c>
      <c r="D15" s="246"/>
      <c r="E15" s="536" t="str">
        <f t="shared" si="0"/>
        <v>-</v>
      </c>
      <c r="F15" s="2201" t="str">
        <f t="shared" ca="1" si="1"/>
        <v>-</v>
      </c>
      <c r="G15" s="498">
        <f t="shared" ca="1" si="2"/>
        <v>500</v>
      </c>
      <c r="I15" s="1360" t="str">
        <f t="shared" ca="1" si="3"/>
        <v>-</v>
      </c>
      <c r="J15" s="208"/>
      <c r="K15" s="208"/>
      <c r="L15" s="1423">
        <f t="shared" ca="1" si="4"/>
        <v>0</v>
      </c>
      <c r="M15" s="208" t="e">
        <f t="shared" ca="1" si="5"/>
        <v>#DIV/0!</v>
      </c>
      <c r="N15" s="208" t="e">
        <f t="shared" ca="1" si="6"/>
        <v>#DIV/0!</v>
      </c>
      <c r="O15" s="208"/>
    </row>
    <row r="16" spans="1:18" ht="21">
      <c r="A16" s="963" cm="1">
        <f t="array" aca="1" ref="A16" ca="1">IF(ROW()-ROW($A$6)&lt;'الف-ب-ج'!$L$9,INDIRECT("BudgetDB!BU"&amp;('الف-ب-ج'!$M$9+ROW()-ROW($A$6))),"")</f>
        <v>0</v>
      </c>
      <c r="B16" s="170"/>
      <c r="C16" s="1432" cm="1">
        <f t="array" aca="1" ref="C16" ca="1">IF(ROW()-ROW($A$6)&lt;'الف-ب-ج'!$L$9,IF(روکش!$F$9="سه ماهه",INDIRECT("BudgetDB!BV"&amp;('الف-ب-ج'!$M$9+ROW()-ROW($A$6))),INDIRECT("BudgetDB!BW"&amp;('الف-ب-ج'!$M$9+ROW()-ROW($A$6)))),"")</f>
        <v>0</v>
      </c>
      <c r="D16" s="246"/>
      <c r="E16" s="536" t="str">
        <f t="shared" si="0"/>
        <v>-</v>
      </c>
      <c r="F16" s="2201" t="str">
        <f t="shared" ref="F16:F27" ca="1" si="7">IFERROR(D16*100/C16,"-")</f>
        <v>-</v>
      </c>
      <c r="G16" s="498">
        <f t="shared" ca="1" si="2"/>
        <v>500</v>
      </c>
      <c r="I16" s="1360" t="str">
        <f t="shared" ca="1" si="3"/>
        <v>-</v>
      </c>
      <c r="J16" s="208"/>
      <c r="K16" s="208"/>
      <c r="L16" s="1423">
        <f t="shared" ca="1" si="4"/>
        <v>0</v>
      </c>
      <c r="M16" s="208" t="e">
        <f t="shared" ca="1" si="5"/>
        <v>#DIV/0!</v>
      </c>
      <c r="N16" s="208" t="e">
        <f t="shared" ca="1" si="6"/>
        <v>#DIV/0!</v>
      </c>
      <c r="O16" s="208"/>
    </row>
    <row r="17" spans="1:22" ht="21">
      <c r="A17" s="963" cm="1">
        <f t="array" aca="1" ref="A17" ca="1">IF(ROW()-ROW($A$6)&lt;'الف-ب-ج'!$L$9,INDIRECT("BudgetDB!BU"&amp;('الف-ب-ج'!$M$9+ROW()-ROW($A$6))),"")</f>
        <v>0</v>
      </c>
      <c r="B17" s="170"/>
      <c r="C17" s="1432" cm="1">
        <f t="array" aca="1" ref="C17" ca="1">IF(ROW()-ROW($A$6)&lt;'الف-ب-ج'!$L$9,IF(روکش!$F$9="سه ماهه",INDIRECT("BudgetDB!BV"&amp;('الف-ب-ج'!$M$9+ROW()-ROW($A$6))),INDIRECT("BudgetDB!BW"&amp;('الف-ب-ج'!$M$9+ROW()-ROW($A$6)))),"")</f>
        <v>0</v>
      </c>
      <c r="D17" s="246"/>
      <c r="E17" s="536" t="str">
        <f t="shared" si="0"/>
        <v>-</v>
      </c>
      <c r="F17" s="2201" t="str">
        <f t="shared" ca="1" si="7"/>
        <v>-</v>
      </c>
      <c r="G17" s="498">
        <f t="shared" ca="1" si="2"/>
        <v>500</v>
      </c>
      <c r="I17" s="1360" t="str">
        <f t="shared" ca="1" si="3"/>
        <v>-</v>
      </c>
      <c r="J17" s="208"/>
      <c r="K17" s="208"/>
      <c r="L17" s="1423">
        <f t="shared" ca="1" si="4"/>
        <v>0</v>
      </c>
      <c r="M17" s="208" t="e">
        <f t="shared" ca="1" si="5"/>
        <v>#DIV/0!</v>
      </c>
      <c r="N17" s="208" t="e">
        <f t="shared" ca="1" si="6"/>
        <v>#DIV/0!</v>
      </c>
      <c r="O17" s="208"/>
    </row>
    <row r="18" spans="1:22" ht="21">
      <c r="A18" s="963" cm="1">
        <f t="array" aca="1" ref="A18" ca="1">IF(ROW()-ROW($A$6)&lt;'الف-ب-ج'!$L$9,INDIRECT("BudgetDB!BU"&amp;('الف-ب-ج'!$M$9+ROW()-ROW($A$6))),"")</f>
        <v>0</v>
      </c>
      <c r="B18" s="170"/>
      <c r="C18" s="1432" cm="1">
        <f t="array" aca="1" ref="C18" ca="1">IF(ROW()-ROW($A$6)&lt;'الف-ب-ج'!$L$9,IF(روکش!$F$9="سه ماهه",INDIRECT("BudgetDB!BV"&amp;('الف-ب-ج'!$M$9+ROW()-ROW($A$6))),INDIRECT("BudgetDB!BW"&amp;('الف-ب-ج'!$M$9+ROW()-ROW($A$6)))),"")</f>
        <v>0</v>
      </c>
      <c r="D18" s="246"/>
      <c r="E18" s="536" t="str">
        <f t="shared" si="0"/>
        <v>-</v>
      </c>
      <c r="F18" s="2201" t="str">
        <f t="shared" ca="1" si="7"/>
        <v>-</v>
      </c>
      <c r="G18" s="498">
        <f t="shared" ca="1" si="2"/>
        <v>500</v>
      </c>
      <c r="I18" s="1360" t="str">
        <f t="shared" ca="1" si="3"/>
        <v>-</v>
      </c>
      <c r="J18" s="208"/>
      <c r="K18" s="208"/>
      <c r="L18" s="1423">
        <f t="shared" ca="1" si="4"/>
        <v>0</v>
      </c>
      <c r="M18" s="208" t="e">
        <f t="shared" ca="1" si="5"/>
        <v>#DIV/0!</v>
      </c>
      <c r="N18" s="208" t="e">
        <f t="shared" ca="1" si="6"/>
        <v>#DIV/0!</v>
      </c>
      <c r="O18" s="208"/>
    </row>
    <row r="19" spans="1:22" ht="21">
      <c r="A19" s="963" cm="1">
        <f t="array" aca="1" ref="A19" ca="1">IF(ROW()-ROW($A$6)&lt;'الف-ب-ج'!$L$9,INDIRECT("BudgetDB!BU"&amp;('الف-ب-ج'!$M$9+ROW()-ROW($A$6))),"")</f>
        <v>0</v>
      </c>
      <c r="B19" s="170"/>
      <c r="C19" s="1432" cm="1">
        <f t="array" aca="1" ref="C19" ca="1">IF(ROW()-ROW($A$6)&lt;'الف-ب-ج'!$L$9,IF(روکش!$F$9="سه ماهه",INDIRECT("BudgetDB!BV"&amp;('الف-ب-ج'!$M$9+ROW()-ROW($A$6))),INDIRECT("BudgetDB!BW"&amp;('الف-ب-ج'!$M$9+ROW()-ROW($A$6)))),"")</f>
        <v>0</v>
      </c>
      <c r="D19" s="246"/>
      <c r="E19" s="536" t="str">
        <f t="shared" si="0"/>
        <v>-</v>
      </c>
      <c r="F19" s="2201" t="str">
        <f t="shared" ca="1" si="7"/>
        <v>-</v>
      </c>
      <c r="G19" s="498">
        <f t="shared" ca="1" si="2"/>
        <v>500</v>
      </c>
      <c r="I19" s="1360" t="str">
        <f t="shared" ca="1" si="3"/>
        <v>-</v>
      </c>
      <c r="J19" s="208"/>
      <c r="K19" s="208"/>
      <c r="L19" s="1423">
        <f t="shared" ca="1" si="4"/>
        <v>0</v>
      </c>
      <c r="M19" s="208" t="e">
        <f t="shared" ca="1" si="5"/>
        <v>#DIV/0!</v>
      </c>
      <c r="N19" s="208" t="e">
        <f t="shared" ca="1" si="6"/>
        <v>#DIV/0!</v>
      </c>
      <c r="O19" s="208"/>
    </row>
    <row r="20" spans="1:22" ht="21">
      <c r="A20" s="963" cm="1">
        <f t="array" aca="1" ref="A20" ca="1">IF(ROW()-ROW($A$6)&lt;'الف-ب-ج'!$L$9,INDIRECT("BudgetDB!BU"&amp;('الف-ب-ج'!$M$9+ROW()-ROW($A$6))),"")</f>
        <v>0</v>
      </c>
      <c r="B20" s="170"/>
      <c r="C20" s="1432" cm="1">
        <f t="array" aca="1" ref="C20" ca="1">IF(ROW()-ROW($A$6)&lt;'الف-ب-ج'!$L$9,IF(روکش!$F$9="سه ماهه",INDIRECT("BudgetDB!BV"&amp;('الف-ب-ج'!$M$9+ROW()-ROW($A$6))),INDIRECT("BudgetDB!BW"&amp;('الف-ب-ج'!$M$9+ROW()-ROW($A$6)))),"")</f>
        <v>0</v>
      </c>
      <c r="D20" s="246"/>
      <c r="E20" s="536" t="str">
        <f t="shared" si="0"/>
        <v>-</v>
      </c>
      <c r="F20" s="2201" t="str">
        <f t="shared" ca="1" si="7"/>
        <v>-</v>
      </c>
      <c r="G20" s="498">
        <f t="shared" ca="1" si="2"/>
        <v>500</v>
      </c>
      <c r="I20" s="1360" t="str">
        <f t="shared" ca="1" si="3"/>
        <v>-</v>
      </c>
      <c r="J20" s="208"/>
      <c r="K20" s="208"/>
      <c r="L20" s="1423">
        <f t="shared" ca="1" si="4"/>
        <v>0</v>
      </c>
      <c r="M20" s="208" t="e">
        <f t="shared" ca="1" si="5"/>
        <v>#DIV/0!</v>
      </c>
      <c r="N20" s="208" t="e">
        <f t="shared" ca="1" si="6"/>
        <v>#DIV/0!</v>
      </c>
      <c r="O20" s="208"/>
    </row>
    <row r="21" spans="1:22" ht="21">
      <c r="A21" s="496" cm="1">
        <f t="array" aca="1" ref="A21" ca="1">IF(ROW()-ROW($A$6)&lt;'الف-ب-ج'!$L$9,INDIRECT("BudgetDB!BU"&amp;('الف-ب-ج'!$M$9+ROW()-ROW($A$6))),"")</f>
        <v>0</v>
      </c>
      <c r="B21" s="170"/>
      <c r="C21" s="1432" cm="1">
        <f t="array" aca="1" ref="C21" ca="1">IF(ROW()-ROW($A$6)&lt;'الف-ب-ج'!$L$9,IF(روکش!$F$9="سه ماهه",INDIRECT("BudgetDB!BV"&amp;('الف-ب-ج'!$M$9+ROW()-ROW($A$6))),INDIRECT("BudgetDB!BW"&amp;('الف-ب-ج'!$M$9+ROW()-ROW($A$6)))),"")</f>
        <v>0</v>
      </c>
      <c r="D21" s="246"/>
      <c r="E21" s="536" t="str">
        <f t="shared" ref="E21:E25" si="8">IFERROR((D21-B21)*100/B21,"-")</f>
        <v>-</v>
      </c>
      <c r="F21" s="2201" t="str">
        <f t="shared" ca="1" si="7"/>
        <v>-</v>
      </c>
      <c r="G21" s="498">
        <f t="shared" ca="1" si="2"/>
        <v>500</v>
      </c>
      <c r="I21" s="1360" t="str">
        <f t="shared" ca="1" si="3"/>
        <v>-</v>
      </c>
      <c r="J21" s="208"/>
      <c r="K21" s="208"/>
      <c r="L21" s="1423">
        <f t="shared" ca="1" si="4"/>
        <v>0</v>
      </c>
      <c r="M21" s="208" t="e">
        <f t="shared" ca="1" si="5"/>
        <v>#DIV/0!</v>
      </c>
      <c r="N21" s="208" t="e">
        <f t="shared" ca="1" si="6"/>
        <v>#DIV/0!</v>
      </c>
      <c r="O21" s="208"/>
    </row>
    <row r="22" spans="1:22" ht="21">
      <c r="A22" s="496" cm="1">
        <f t="array" aca="1" ref="A22" ca="1">IF(ROW()-ROW($A$6)&lt;'الف-ب-ج'!$L$9,INDIRECT("BudgetDB!BU"&amp;('الف-ب-ج'!$M$9+ROW()-ROW($A$6))),"")</f>
        <v>0</v>
      </c>
      <c r="B22" s="170"/>
      <c r="C22" s="1432" cm="1">
        <f t="array" aca="1" ref="C22" ca="1">IF(ROW()-ROW($A$6)&lt;'الف-ب-ج'!$L$9,IF(روکش!$F$9="سه ماهه",INDIRECT("BudgetDB!BV"&amp;('الف-ب-ج'!$M$9+ROW()-ROW($A$6))),INDIRECT("BudgetDB!BW"&amp;('الف-ب-ج'!$M$9+ROW()-ROW($A$6)))),"")</f>
        <v>0</v>
      </c>
      <c r="D22" s="246"/>
      <c r="E22" s="536" t="str">
        <f t="shared" si="8"/>
        <v>-</v>
      </c>
      <c r="F22" s="2201" t="str">
        <f t="shared" ca="1" si="7"/>
        <v>-</v>
      </c>
      <c r="G22" s="498">
        <f t="shared" ca="1" si="2"/>
        <v>500</v>
      </c>
      <c r="I22" s="1360" t="str">
        <f t="shared" ca="1" si="3"/>
        <v>-</v>
      </c>
      <c r="J22" s="208"/>
      <c r="K22" s="208"/>
      <c r="L22" s="1423">
        <f t="shared" ca="1" si="4"/>
        <v>0</v>
      </c>
      <c r="M22" s="208" t="e">
        <f t="shared" ca="1" si="5"/>
        <v>#DIV/0!</v>
      </c>
      <c r="N22" s="208" t="e">
        <f t="shared" ca="1" si="6"/>
        <v>#DIV/0!</v>
      </c>
      <c r="O22" s="208"/>
    </row>
    <row r="23" spans="1:22" ht="21">
      <c r="A23" s="496" cm="1">
        <f t="array" aca="1" ref="A23" ca="1">IF(ROW()-ROW($A$6)&lt;'الف-ب-ج'!$L$9,INDIRECT("BudgetDB!BU"&amp;('الف-ب-ج'!$M$9+ROW()-ROW($A$6))),"")</f>
        <v>0</v>
      </c>
      <c r="B23" s="170"/>
      <c r="C23" s="1432" cm="1">
        <f t="array" aca="1" ref="C23" ca="1">IF(ROW()-ROW($A$6)&lt;'الف-ب-ج'!$L$9,IF(روکش!$F$9="سه ماهه",INDIRECT("BudgetDB!BV"&amp;('الف-ب-ج'!$M$9+ROW()-ROW($A$6))),INDIRECT("BudgetDB!BW"&amp;('الف-ب-ج'!$M$9+ROW()-ROW($A$6)))),"")</f>
        <v>0</v>
      </c>
      <c r="D23" s="246"/>
      <c r="E23" s="536" t="str">
        <f t="shared" si="8"/>
        <v>-</v>
      </c>
      <c r="F23" s="2201" t="str">
        <f t="shared" ca="1" si="7"/>
        <v>-</v>
      </c>
      <c r="G23" s="498">
        <f t="shared" ca="1" si="2"/>
        <v>500</v>
      </c>
      <c r="I23" s="1360" t="str">
        <f t="shared" ca="1" si="3"/>
        <v>-</v>
      </c>
      <c r="J23" s="208"/>
      <c r="K23" s="208"/>
      <c r="L23" s="1423">
        <f t="shared" ca="1" si="4"/>
        <v>0</v>
      </c>
      <c r="M23" s="208" t="e">
        <f t="shared" ca="1" si="5"/>
        <v>#DIV/0!</v>
      </c>
      <c r="N23" s="208" t="e">
        <f t="shared" ca="1" si="6"/>
        <v>#DIV/0!</v>
      </c>
      <c r="O23" s="208"/>
    </row>
    <row r="24" spans="1:22" ht="21">
      <c r="A24" s="496" cm="1">
        <f t="array" aca="1" ref="A24" ca="1">IF(ROW()-ROW($A$6)&lt;'الف-ب-ج'!$L$9,INDIRECT("BudgetDB!BU"&amp;('الف-ب-ج'!$M$9+ROW()-ROW($A$6))),"")</f>
        <v>0</v>
      </c>
      <c r="B24" s="170"/>
      <c r="C24" s="1432" cm="1">
        <f t="array" aca="1" ref="C24" ca="1">IF(ROW()-ROW($A$6)&lt;'الف-ب-ج'!$L$9,IF(روکش!$F$9="سه ماهه",INDIRECT("BudgetDB!BV"&amp;('الف-ب-ج'!$M$9+ROW()-ROW($A$6))),INDIRECT("BudgetDB!BW"&amp;('الف-ب-ج'!$M$9+ROW()-ROW($A$6)))),"")</f>
        <v>0</v>
      </c>
      <c r="D24" s="246"/>
      <c r="E24" s="536" t="str">
        <f t="shared" si="8"/>
        <v>-</v>
      </c>
      <c r="F24" s="2201" t="str">
        <f t="shared" ca="1" si="7"/>
        <v>-</v>
      </c>
      <c r="G24" s="498">
        <f t="shared" ca="1" si="2"/>
        <v>500</v>
      </c>
      <c r="I24" s="1360" t="str">
        <f t="shared" ca="1" si="3"/>
        <v>-</v>
      </c>
      <c r="J24" s="208"/>
      <c r="K24" s="208"/>
      <c r="L24" s="1423">
        <f t="shared" ca="1" si="4"/>
        <v>0</v>
      </c>
      <c r="M24" s="208" t="e">
        <f t="shared" ca="1" si="5"/>
        <v>#DIV/0!</v>
      </c>
      <c r="N24" s="208" t="e">
        <f t="shared" ca="1" si="6"/>
        <v>#DIV/0!</v>
      </c>
      <c r="O24" s="208"/>
    </row>
    <row r="25" spans="1:22" ht="21.75" thickBot="1">
      <c r="A25" s="2045" cm="1">
        <f t="array" aca="1" ref="A25" ca="1">IF(ROW()-ROW($A$6)&lt;'الف-ب-ج'!$L$9,INDIRECT("BudgetDB!BU"&amp;('الف-ب-ج'!$M$9+ROW()-ROW($A$6))),"")</f>
        <v>0</v>
      </c>
      <c r="B25" s="170"/>
      <c r="C25" s="1432" cm="1">
        <f t="array" aca="1" ref="C25" ca="1">IF(ROW()-ROW($A$6)&lt;'الف-ب-ج'!$L$9,IF(روکش!$F$9="سه ماهه",INDIRECT("BudgetDB!BV"&amp;('الف-ب-ج'!$M$9+ROW()-ROW($A$6))),INDIRECT("BudgetDB!BW"&amp;('الف-ب-ج'!$M$9+ROW()-ROW($A$6)))),"")</f>
        <v>0</v>
      </c>
      <c r="D25" s="246"/>
      <c r="E25" s="536" t="str">
        <f t="shared" si="8"/>
        <v>-</v>
      </c>
      <c r="F25" s="2202" t="str">
        <f t="shared" ca="1" si="7"/>
        <v>-</v>
      </c>
      <c r="G25" s="2203">
        <f t="shared" ca="1" si="2"/>
        <v>500</v>
      </c>
      <c r="I25" s="1360" t="str">
        <f t="shared" ca="1" si="3"/>
        <v>-</v>
      </c>
      <c r="J25" s="208"/>
      <c r="K25" s="208"/>
      <c r="L25" s="1423">
        <f t="shared" ca="1" si="4"/>
        <v>0</v>
      </c>
      <c r="M25" s="208" t="e">
        <f t="shared" ca="1" si="5"/>
        <v>#DIV/0!</v>
      </c>
      <c r="N25" s="208" t="e">
        <f t="shared" ca="1" si="6"/>
        <v>#DIV/0!</v>
      </c>
      <c r="O25" s="208"/>
    </row>
    <row r="26" spans="1:22" ht="24.75" thickBot="1">
      <c r="A26" s="1429" t="s">
        <v>1</v>
      </c>
      <c r="B26" s="1430">
        <f>SUM(B6:B25)</f>
        <v>0</v>
      </c>
      <c r="C26" s="1430">
        <f ca="1">SUM(C6:C25)</f>
        <v>0</v>
      </c>
      <c r="D26" s="1431">
        <f>SUM(D6:D25)</f>
        <v>0</v>
      </c>
      <c r="E26" s="537" t="str">
        <f t="shared" si="0"/>
        <v>-</v>
      </c>
      <c r="F26" s="2204" t="str">
        <f t="shared" ca="1" si="7"/>
        <v>-</v>
      </c>
      <c r="G26" s="2205">
        <f t="shared" ca="1" si="2"/>
        <v>500</v>
      </c>
      <c r="I26" s="208"/>
      <c r="J26" s="208"/>
      <c r="K26" s="208"/>
      <c r="L26" s="1423">
        <f t="shared" ca="1" si="4"/>
        <v>0</v>
      </c>
      <c r="M26" s="208" t="e">
        <f t="shared" si="5"/>
        <v>#DIV/0!</v>
      </c>
      <c r="N26" s="208" t="e">
        <f t="shared" si="6"/>
        <v>#DIV/0!</v>
      </c>
      <c r="O26" s="208"/>
    </row>
    <row r="27" spans="1:22" ht="21.75" thickBot="1">
      <c r="A27" s="495" t="s">
        <v>1555</v>
      </c>
      <c r="B27" s="170"/>
      <c r="C27" s="1428" cm="1">
        <f t="array" aca="1" ref="C27" ca="1">IF(روکش!$F$9="سه ماهه",INDIRECT("BudgetDB!BX"&amp;('الف-ب-ج'!$M$9+ROW()-ROW($A$27))),INDIRECT("BudgetDB!BY"&amp;('الف-ب-ج'!$M$9+ROW()-ROW($A$27))))</f>
        <v>0</v>
      </c>
      <c r="D27" s="247"/>
      <c r="E27" s="537" t="str">
        <f t="shared" si="0"/>
        <v>-</v>
      </c>
      <c r="F27" s="2204" t="str">
        <f t="shared" ca="1" si="7"/>
        <v>-</v>
      </c>
      <c r="G27" s="2205">
        <f t="shared" ca="1" si="2"/>
        <v>500</v>
      </c>
      <c r="I27" s="208"/>
      <c r="J27" s="208"/>
      <c r="K27" s="208"/>
      <c r="L27" s="1423">
        <f t="shared" ca="1" si="4"/>
        <v>0</v>
      </c>
      <c r="N27" s="208"/>
      <c r="O27" s="208"/>
      <c r="V27" s="861"/>
    </row>
    <row r="28" spans="1:22" ht="24.75" thickBot="1">
      <c r="A28" s="1429" t="s">
        <v>436</v>
      </c>
      <c r="B28" s="1430">
        <f>B26+B27</f>
        <v>0</v>
      </c>
      <c r="C28" s="1430">
        <f ca="1">C26+C27</f>
        <v>0</v>
      </c>
      <c r="D28" s="1431">
        <f>D26+D27</f>
        <v>0</v>
      </c>
      <c r="E28" s="537" t="str">
        <f t="shared" si="0"/>
        <v>-</v>
      </c>
      <c r="F28" s="2204" t="str">
        <f ca="1">IFERROR(D28*100/C28,"-")</f>
        <v>-</v>
      </c>
      <c r="G28" s="2205">
        <f t="shared" ca="1" si="2"/>
        <v>500</v>
      </c>
      <c r="I28" s="208"/>
      <c r="J28" s="208"/>
      <c r="K28" s="208"/>
      <c r="L28" s="1423">
        <f t="shared" ca="1" si="4"/>
        <v>0</v>
      </c>
      <c r="N28" s="208"/>
      <c r="O28" s="208"/>
    </row>
    <row r="29" spans="1:22">
      <c r="I29" s="208"/>
      <c r="J29" s="208"/>
      <c r="K29" s="208"/>
      <c r="L29" s="1423">
        <f t="shared" si="4"/>
        <v>0</v>
      </c>
      <c r="N29" s="208"/>
      <c r="O29" s="208"/>
    </row>
    <row r="30" spans="1:22" ht="21">
      <c r="A30" s="8"/>
      <c r="B30" s="8"/>
      <c r="C30" s="720"/>
      <c r="D30" s="8"/>
      <c r="E30" s="8"/>
      <c r="I30" s="208"/>
      <c r="J30" s="208"/>
      <c r="K30" s="208"/>
      <c r="L30" s="1423">
        <f t="shared" si="4"/>
        <v>0</v>
      </c>
      <c r="N30" s="208"/>
      <c r="O30" s="208"/>
    </row>
  </sheetData>
  <mergeCells count="8">
    <mergeCell ref="A2:G2"/>
    <mergeCell ref="A1:G1"/>
    <mergeCell ref="A4:A5"/>
    <mergeCell ref="B4:B5"/>
    <mergeCell ref="D3:E3"/>
    <mergeCell ref="A3:C3"/>
    <mergeCell ref="F3:G3"/>
    <mergeCell ref="F5:G5"/>
  </mergeCells>
  <conditionalFormatting sqref="A6:A25">
    <cfRule type="expression" dxfId="426" priority="5">
      <formula>AND($A6=0,OR($B6&lt;&gt;0,$D6&lt;&gt;0))</formula>
    </cfRule>
  </conditionalFormatting>
  <conditionalFormatting sqref="B6:B25">
    <cfRule type="expression" dxfId="425" priority="4">
      <formula>$M6=TRUE</formula>
    </cfRule>
  </conditionalFormatting>
  <conditionalFormatting sqref="D6:D25">
    <cfRule type="expression" dxfId="424" priority="3">
      <formula>$N6=TRUE</formula>
    </cfRule>
  </conditionalFormatting>
  <conditionalFormatting sqref="G6:G28">
    <cfRule type="iconSet" priority="2">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7"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9" id="{00000000-000E-0000-2100-000007000000}">
            <x14:iconSet iconSet="3Symbols" custom="1">
              <x14:cfvo type="percent">
                <xm:f>0</xm:f>
              </x14:cfvo>
              <x14:cfvo type="num">
                <xm:f>0</xm:f>
              </x14:cfvo>
              <x14:cfvo type="num">
                <xm:f>0</xm:f>
              </x14:cfvo>
              <x14:cfIcon iconSet="3Symbols" iconId="1"/>
              <x14:cfIcon iconSet="3Symbols" iconId="1"/>
              <x14:cfIcon iconSet="NoIcons" iconId="0"/>
            </x14:iconSet>
          </x14:cfRule>
          <xm:sqref>E6:E25</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7">
    <tabColor rgb="FF00B0F0"/>
    <pageSetUpPr fitToPage="1"/>
  </sheetPr>
  <dimension ref="A1:I27"/>
  <sheetViews>
    <sheetView rightToLeft="1" view="pageBreakPreview" zoomScale="85" zoomScaleNormal="100" zoomScaleSheetLayoutView="85" workbookViewId="0">
      <selection activeCell="B9" sqref="B9"/>
    </sheetView>
  </sheetViews>
  <sheetFormatPr defaultRowHeight="17.25"/>
  <cols>
    <col min="1" max="1" width="52.140625" style="42" bestFit="1" customWidth="1"/>
    <col min="2" max="2" width="24.28515625" style="42" customWidth="1"/>
    <col min="3" max="3" width="21.42578125" style="42" customWidth="1"/>
    <col min="4" max="4" width="22.28515625" style="42" customWidth="1"/>
    <col min="5" max="5" width="18.7109375" style="42" customWidth="1"/>
    <col min="6" max="6" width="17.85546875" style="42" customWidth="1"/>
    <col min="7" max="7" width="3.7109375" style="42" customWidth="1"/>
    <col min="8" max="8" width="9" style="42"/>
    <col min="9" max="9" width="9.140625" style="42" hidden="1" customWidth="1"/>
    <col min="10" max="243" width="9" style="42"/>
    <col min="244" max="244" width="2.85546875" style="42" customWidth="1"/>
    <col min="245" max="245" width="17.7109375" style="42" customWidth="1"/>
    <col min="246" max="246" width="9" style="42"/>
    <col min="247" max="247" width="11.7109375" style="42" customWidth="1"/>
    <col min="248" max="248" width="12.7109375" style="42" customWidth="1"/>
    <col min="249" max="252" width="11.28515625" style="42" customWidth="1"/>
    <col min="253" max="257" width="10.85546875" style="42" customWidth="1"/>
    <col min="258" max="258" width="6.42578125" style="42" customWidth="1"/>
    <col min="259" max="259" width="3.42578125" style="42" customWidth="1"/>
    <col min="260" max="499" width="9" style="42"/>
    <col min="500" max="500" width="2.85546875" style="42" customWidth="1"/>
    <col min="501" max="501" width="17.7109375" style="42" customWidth="1"/>
    <col min="502" max="502" width="9" style="42"/>
    <col min="503" max="503" width="11.7109375" style="42" customWidth="1"/>
    <col min="504" max="504" width="12.7109375" style="42" customWidth="1"/>
    <col min="505" max="508" width="11.28515625" style="42" customWidth="1"/>
    <col min="509" max="513" width="10.85546875" style="42" customWidth="1"/>
    <col min="514" max="514" width="6.42578125" style="42" customWidth="1"/>
    <col min="515" max="515" width="3.42578125" style="42" customWidth="1"/>
    <col min="516" max="755" width="9" style="42"/>
    <col min="756" max="756" width="2.85546875" style="42" customWidth="1"/>
    <col min="757" max="757" width="17.7109375" style="42" customWidth="1"/>
    <col min="758" max="758" width="9" style="42"/>
    <col min="759" max="759" width="11.7109375" style="42" customWidth="1"/>
    <col min="760" max="760" width="12.7109375" style="42" customWidth="1"/>
    <col min="761" max="764" width="11.28515625" style="42" customWidth="1"/>
    <col min="765" max="769" width="10.85546875" style="42" customWidth="1"/>
    <col min="770" max="770" width="6.42578125" style="42" customWidth="1"/>
    <col min="771" max="771" width="3.42578125" style="42" customWidth="1"/>
    <col min="772" max="1011" width="9" style="42"/>
    <col min="1012" max="1012" width="2.85546875" style="42" customWidth="1"/>
    <col min="1013" max="1013" width="17.7109375" style="42" customWidth="1"/>
    <col min="1014" max="1014" width="9" style="42"/>
    <col min="1015" max="1015" width="11.7109375" style="42" customWidth="1"/>
    <col min="1016" max="1016" width="12.7109375" style="42" customWidth="1"/>
    <col min="1017" max="1020" width="11.28515625" style="42" customWidth="1"/>
    <col min="1021" max="1025" width="10.85546875" style="42" customWidth="1"/>
    <col min="1026" max="1026" width="6.42578125" style="42" customWidth="1"/>
    <col min="1027" max="1027" width="3.42578125" style="42" customWidth="1"/>
    <col min="1028" max="1267" width="9" style="42"/>
    <col min="1268" max="1268" width="2.85546875" style="42" customWidth="1"/>
    <col min="1269" max="1269" width="17.7109375" style="42" customWidth="1"/>
    <col min="1270" max="1270" width="9" style="42"/>
    <col min="1271" max="1271" width="11.7109375" style="42" customWidth="1"/>
    <col min="1272" max="1272" width="12.7109375" style="42" customWidth="1"/>
    <col min="1273" max="1276" width="11.28515625" style="42" customWidth="1"/>
    <col min="1277" max="1281" width="10.85546875" style="42" customWidth="1"/>
    <col min="1282" max="1282" width="6.42578125" style="42" customWidth="1"/>
    <col min="1283" max="1283" width="3.42578125" style="42" customWidth="1"/>
    <col min="1284" max="1523" width="9" style="42"/>
    <col min="1524" max="1524" width="2.85546875" style="42" customWidth="1"/>
    <col min="1525" max="1525" width="17.7109375" style="42" customWidth="1"/>
    <col min="1526" max="1526" width="9" style="42"/>
    <col min="1527" max="1527" width="11.7109375" style="42" customWidth="1"/>
    <col min="1528" max="1528" width="12.7109375" style="42" customWidth="1"/>
    <col min="1529" max="1532" width="11.28515625" style="42" customWidth="1"/>
    <col min="1533" max="1537" width="10.85546875" style="42" customWidth="1"/>
    <col min="1538" max="1538" width="6.42578125" style="42" customWidth="1"/>
    <col min="1539" max="1539" width="3.42578125" style="42" customWidth="1"/>
    <col min="1540" max="1779" width="9" style="42"/>
    <col min="1780" max="1780" width="2.85546875" style="42" customWidth="1"/>
    <col min="1781" max="1781" width="17.7109375" style="42" customWidth="1"/>
    <col min="1782" max="1782" width="9" style="42"/>
    <col min="1783" max="1783" width="11.7109375" style="42" customWidth="1"/>
    <col min="1784" max="1784" width="12.7109375" style="42" customWidth="1"/>
    <col min="1785" max="1788" width="11.28515625" style="42" customWidth="1"/>
    <col min="1789" max="1793" width="10.85546875" style="42" customWidth="1"/>
    <col min="1794" max="1794" width="6.42578125" style="42" customWidth="1"/>
    <col min="1795" max="1795" width="3.42578125" style="42" customWidth="1"/>
    <col min="1796" max="2035" width="9" style="42"/>
    <col min="2036" max="2036" width="2.85546875" style="42" customWidth="1"/>
    <col min="2037" max="2037" width="17.7109375" style="42" customWidth="1"/>
    <col min="2038" max="2038" width="9" style="42"/>
    <col min="2039" max="2039" width="11.7109375" style="42" customWidth="1"/>
    <col min="2040" max="2040" width="12.7109375" style="42" customWidth="1"/>
    <col min="2041" max="2044" width="11.28515625" style="42" customWidth="1"/>
    <col min="2045" max="2049" width="10.85546875" style="42" customWidth="1"/>
    <col min="2050" max="2050" width="6.42578125" style="42" customWidth="1"/>
    <col min="2051" max="2051" width="3.42578125" style="42" customWidth="1"/>
    <col min="2052" max="2291" width="9" style="42"/>
    <col min="2292" max="2292" width="2.85546875" style="42" customWidth="1"/>
    <col min="2293" max="2293" width="17.7109375" style="42" customWidth="1"/>
    <col min="2294" max="2294" width="9" style="42"/>
    <col min="2295" max="2295" width="11.7109375" style="42" customWidth="1"/>
    <col min="2296" max="2296" width="12.7109375" style="42" customWidth="1"/>
    <col min="2297" max="2300" width="11.28515625" style="42" customWidth="1"/>
    <col min="2301" max="2305" width="10.85546875" style="42" customWidth="1"/>
    <col min="2306" max="2306" width="6.42578125" style="42" customWidth="1"/>
    <col min="2307" max="2307" width="3.42578125" style="42" customWidth="1"/>
    <col min="2308" max="2547" width="9" style="42"/>
    <col min="2548" max="2548" width="2.85546875" style="42" customWidth="1"/>
    <col min="2549" max="2549" width="17.7109375" style="42" customWidth="1"/>
    <col min="2550" max="2550" width="9" style="42"/>
    <col min="2551" max="2551" width="11.7109375" style="42" customWidth="1"/>
    <col min="2552" max="2552" width="12.7109375" style="42" customWidth="1"/>
    <col min="2553" max="2556" width="11.28515625" style="42" customWidth="1"/>
    <col min="2557" max="2561" width="10.85546875" style="42" customWidth="1"/>
    <col min="2562" max="2562" width="6.42578125" style="42" customWidth="1"/>
    <col min="2563" max="2563" width="3.42578125" style="42" customWidth="1"/>
    <col min="2564" max="2803" width="9" style="42"/>
    <col min="2804" max="2804" width="2.85546875" style="42" customWidth="1"/>
    <col min="2805" max="2805" width="17.7109375" style="42" customWidth="1"/>
    <col min="2806" max="2806" width="9" style="42"/>
    <col min="2807" max="2807" width="11.7109375" style="42" customWidth="1"/>
    <col min="2808" max="2808" width="12.7109375" style="42" customWidth="1"/>
    <col min="2809" max="2812" width="11.28515625" style="42" customWidth="1"/>
    <col min="2813" max="2817" width="10.85546875" style="42" customWidth="1"/>
    <col min="2818" max="2818" width="6.42578125" style="42" customWidth="1"/>
    <col min="2819" max="2819" width="3.42578125" style="42" customWidth="1"/>
    <col min="2820" max="3059" width="9" style="42"/>
    <col min="3060" max="3060" width="2.85546875" style="42" customWidth="1"/>
    <col min="3061" max="3061" width="17.7109375" style="42" customWidth="1"/>
    <col min="3062" max="3062" width="9" style="42"/>
    <col min="3063" max="3063" width="11.7109375" style="42" customWidth="1"/>
    <col min="3064" max="3064" width="12.7109375" style="42" customWidth="1"/>
    <col min="3065" max="3068" width="11.28515625" style="42" customWidth="1"/>
    <col min="3069" max="3073" width="10.85546875" style="42" customWidth="1"/>
    <col min="3074" max="3074" width="6.42578125" style="42" customWidth="1"/>
    <col min="3075" max="3075" width="3.42578125" style="42" customWidth="1"/>
    <col min="3076" max="3315" width="9" style="42"/>
    <col min="3316" max="3316" width="2.85546875" style="42" customWidth="1"/>
    <col min="3317" max="3317" width="17.7109375" style="42" customWidth="1"/>
    <col min="3318" max="3318" width="9" style="42"/>
    <col min="3319" max="3319" width="11.7109375" style="42" customWidth="1"/>
    <col min="3320" max="3320" width="12.7109375" style="42" customWidth="1"/>
    <col min="3321" max="3324" width="11.28515625" style="42" customWidth="1"/>
    <col min="3325" max="3329" width="10.85546875" style="42" customWidth="1"/>
    <col min="3330" max="3330" width="6.42578125" style="42" customWidth="1"/>
    <col min="3331" max="3331" width="3.42578125" style="42" customWidth="1"/>
    <col min="3332" max="3571" width="9" style="42"/>
    <col min="3572" max="3572" width="2.85546875" style="42" customWidth="1"/>
    <col min="3573" max="3573" width="17.7109375" style="42" customWidth="1"/>
    <col min="3574" max="3574" width="9" style="42"/>
    <col min="3575" max="3575" width="11.7109375" style="42" customWidth="1"/>
    <col min="3576" max="3576" width="12.7109375" style="42" customWidth="1"/>
    <col min="3577" max="3580" width="11.28515625" style="42" customWidth="1"/>
    <col min="3581" max="3585" width="10.85546875" style="42" customWidth="1"/>
    <col min="3586" max="3586" width="6.42578125" style="42" customWidth="1"/>
    <col min="3587" max="3587" width="3.42578125" style="42" customWidth="1"/>
    <col min="3588" max="3827" width="9" style="42"/>
    <col min="3828" max="3828" width="2.85546875" style="42" customWidth="1"/>
    <col min="3829" max="3829" width="17.7109375" style="42" customWidth="1"/>
    <col min="3830" max="3830" width="9" style="42"/>
    <col min="3831" max="3831" width="11.7109375" style="42" customWidth="1"/>
    <col min="3832" max="3832" width="12.7109375" style="42" customWidth="1"/>
    <col min="3833" max="3836" width="11.28515625" style="42" customWidth="1"/>
    <col min="3837" max="3841" width="10.85546875" style="42" customWidth="1"/>
    <col min="3842" max="3842" width="6.42578125" style="42" customWidth="1"/>
    <col min="3843" max="3843" width="3.42578125" style="42" customWidth="1"/>
    <col min="3844" max="4083" width="9" style="42"/>
    <col min="4084" max="4084" width="2.85546875" style="42" customWidth="1"/>
    <col min="4085" max="4085" width="17.7109375" style="42" customWidth="1"/>
    <col min="4086" max="4086" width="9" style="42"/>
    <col min="4087" max="4087" width="11.7109375" style="42" customWidth="1"/>
    <col min="4088" max="4088" width="12.7109375" style="42" customWidth="1"/>
    <col min="4089" max="4092" width="11.28515625" style="42" customWidth="1"/>
    <col min="4093" max="4097" width="10.85546875" style="42" customWidth="1"/>
    <col min="4098" max="4098" width="6.42578125" style="42" customWidth="1"/>
    <col min="4099" max="4099" width="3.42578125" style="42" customWidth="1"/>
    <col min="4100" max="4339" width="9" style="42"/>
    <col min="4340" max="4340" width="2.85546875" style="42" customWidth="1"/>
    <col min="4341" max="4341" width="17.7109375" style="42" customWidth="1"/>
    <col min="4342" max="4342" width="9" style="42"/>
    <col min="4343" max="4343" width="11.7109375" style="42" customWidth="1"/>
    <col min="4344" max="4344" width="12.7109375" style="42" customWidth="1"/>
    <col min="4345" max="4348" width="11.28515625" style="42" customWidth="1"/>
    <col min="4349" max="4353" width="10.85546875" style="42" customWidth="1"/>
    <col min="4354" max="4354" width="6.42578125" style="42" customWidth="1"/>
    <col min="4355" max="4355" width="3.42578125" style="42" customWidth="1"/>
    <col min="4356" max="4595" width="9" style="42"/>
    <col min="4596" max="4596" width="2.85546875" style="42" customWidth="1"/>
    <col min="4597" max="4597" width="17.7109375" style="42" customWidth="1"/>
    <col min="4598" max="4598" width="9" style="42"/>
    <col min="4599" max="4599" width="11.7109375" style="42" customWidth="1"/>
    <col min="4600" max="4600" width="12.7109375" style="42" customWidth="1"/>
    <col min="4601" max="4604" width="11.28515625" style="42" customWidth="1"/>
    <col min="4605" max="4609" width="10.85546875" style="42" customWidth="1"/>
    <col min="4610" max="4610" width="6.42578125" style="42" customWidth="1"/>
    <col min="4611" max="4611" width="3.42578125" style="42" customWidth="1"/>
    <col min="4612" max="4851" width="9" style="42"/>
    <col min="4852" max="4852" width="2.85546875" style="42" customWidth="1"/>
    <col min="4853" max="4853" width="17.7109375" style="42" customWidth="1"/>
    <col min="4854" max="4854" width="9" style="42"/>
    <col min="4855" max="4855" width="11.7109375" style="42" customWidth="1"/>
    <col min="4856" max="4856" width="12.7109375" style="42" customWidth="1"/>
    <col min="4857" max="4860" width="11.28515625" style="42" customWidth="1"/>
    <col min="4861" max="4865" width="10.85546875" style="42" customWidth="1"/>
    <col min="4866" max="4866" width="6.42578125" style="42" customWidth="1"/>
    <col min="4867" max="4867" width="3.42578125" style="42" customWidth="1"/>
    <col min="4868" max="5107" width="9" style="42"/>
    <col min="5108" max="5108" width="2.85546875" style="42" customWidth="1"/>
    <col min="5109" max="5109" width="17.7109375" style="42" customWidth="1"/>
    <col min="5110" max="5110" width="9" style="42"/>
    <col min="5111" max="5111" width="11.7109375" style="42" customWidth="1"/>
    <col min="5112" max="5112" width="12.7109375" style="42" customWidth="1"/>
    <col min="5113" max="5116" width="11.28515625" style="42" customWidth="1"/>
    <col min="5117" max="5121" width="10.85546875" style="42" customWidth="1"/>
    <col min="5122" max="5122" width="6.42578125" style="42" customWidth="1"/>
    <col min="5123" max="5123" width="3.42578125" style="42" customWidth="1"/>
    <col min="5124" max="5363" width="9" style="42"/>
    <col min="5364" max="5364" width="2.85546875" style="42" customWidth="1"/>
    <col min="5365" max="5365" width="17.7109375" style="42" customWidth="1"/>
    <col min="5366" max="5366" width="9" style="42"/>
    <col min="5367" max="5367" width="11.7109375" style="42" customWidth="1"/>
    <col min="5368" max="5368" width="12.7109375" style="42" customWidth="1"/>
    <col min="5369" max="5372" width="11.28515625" style="42" customWidth="1"/>
    <col min="5373" max="5377" width="10.85546875" style="42" customWidth="1"/>
    <col min="5378" max="5378" width="6.42578125" style="42" customWidth="1"/>
    <col min="5379" max="5379" width="3.42578125" style="42" customWidth="1"/>
    <col min="5380" max="5619" width="9" style="42"/>
    <col min="5620" max="5620" width="2.85546875" style="42" customWidth="1"/>
    <col min="5621" max="5621" width="17.7109375" style="42" customWidth="1"/>
    <col min="5622" max="5622" width="9" style="42"/>
    <col min="5623" max="5623" width="11.7109375" style="42" customWidth="1"/>
    <col min="5624" max="5624" width="12.7109375" style="42" customWidth="1"/>
    <col min="5625" max="5628" width="11.28515625" style="42" customWidth="1"/>
    <col min="5629" max="5633" width="10.85546875" style="42" customWidth="1"/>
    <col min="5634" max="5634" width="6.42578125" style="42" customWidth="1"/>
    <col min="5635" max="5635" width="3.42578125" style="42" customWidth="1"/>
    <col min="5636" max="5875" width="9" style="42"/>
    <col min="5876" max="5876" width="2.85546875" style="42" customWidth="1"/>
    <col min="5877" max="5877" width="17.7109375" style="42" customWidth="1"/>
    <col min="5878" max="5878" width="9" style="42"/>
    <col min="5879" max="5879" width="11.7109375" style="42" customWidth="1"/>
    <col min="5880" max="5880" width="12.7109375" style="42" customWidth="1"/>
    <col min="5881" max="5884" width="11.28515625" style="42" customWidth="1"/>
    <col min="5885" max="5889" width="10.85546875" style="42" customWidth="1"/>
    <col min="5890" max="5890" width="6.42578125" style="42" customWidth="1"/>
    <col min="5891" max="5891" width="3.42578125" style="42" customWidth="1"/>
    <col min="5892" max="6131" width="9" style="42"/>
    <col min="6132" max="6132" width="2.85546875" style="42" customWidth="1"/>
    <col min="6133" max="6133" width="17.7109375" style="42" customWidth="1"/>
    <col min="6134" max="6134" width="9" style="42"/>
    <col min="6135" max="6135" width="11.7109375" style="42" customWidth="1"/>
    <col min="6136" max="6136" width="12.7109375" style="42" customWidth="1"/>
    <col min="6137" max="6140" width="11.28515625" style="42" customWidth="1"/>
    <col min="6141" max="6145" width="10.85546875" style="42" customWidth="1"/>
    <col min="6146" max="6146" width="6.42578125" style="42" customWidth="1"/>
    <col min="6147" max="6147" width="3.42578125" style="42" customWidth="1"/>
    <col min="6148" max="6387" width="9" style="42"/>
    <col min="6388" max="6388" width="2.85546875" style="42" customWidth="1"/>
    <col min="6389" max="6389" width="17.7109375" style="42" customWidth="1"/>
    <col min="6390" max="6390" width="9" style="42"/>
    <col min="6391" max="6391" width="11.7109375" style="42" customWidth="1"/>
    <col min="6392" max="6392" width="12.7109375" style="42" customWidth="1"/>
    <col min="6393" max="6396" width="11.28515625" style="42" customWidth="1"/>
    <col min="6397" max="6401" width="10.85546875" style="42" customWidth="1"/>
    <col min="6402" max="6402" width="6.42578125" style="42" customWidth="1"/>
    <col min="6403" max="6403" width="3.42578125" style="42" customWidth="1"/>
    <col min="6404" max="6643" width="9" style="42"/>
    <col min="6644" max="6644" width="2.85546875" style="42" customWidth="1"/>
    <col min="6645" max="6645" width="17.7109375" style="42" customWidth="1"/>
    <col min="6646" max="6646" width="9" style="42"/>
    <col min="6647" max="6647" width="11.7109375" style="42" customWidth="1"/>
    <col min="6648" max="6648" width="12.7109375" style="42" customWidth="1"/>
    <col min="6649" max="6652" width="11.28515625" style="42" customWidth="1"/>
    <col min="6653" max="6657" width="10.85546875" style="42" customWidth="1"/>
    <col min="6658" max="6658" width="6.42578125" style="42" customWidth="1"/>
    <col min="6659" max="6659" width="3.42578125" style="42" customWidth="1"/>
    <col min="6660" max="6899" width="9" style="42"/>
    <col min="6900" max="6900" width="2.85546875" style="42" customWidth="1"/>
    <col min="6901" max="6901" width="17.7109375" style="42" customWidth="1"/>
    <col min="6902" max="6902" width="9" style="42"/>
    <col min="6903" max="6903" width="11.7109375" style="42" customWidth="1"/>
    <col min="6904" max="6904" width="12.7109375" style="42" customWidth="1"/>
    <col min="6905" max="6908" width="11.28515625" style="42" customWidth="1"/>
    <col min="6909" max="6913" width="10.85546875" style="42" customWidth="1"/>
    <col min="6914" max="6914" width="6.42578125" style="42" customWidth="1"/>
    <col min="6915" max="6915" width="3.42578125" style="42" customWidth="1"/>
    <col min="6916" max="7155" width="9" style="42"/>
    <col min="7156" max="7156" width="2.85546875" style="42" customWidth="1"/>
    <col min="7157" max="7157" width="17.7109375" style="42" customWidth="1"/>
    <col min="7158" max="7158" width="9" style="42"/>
    <col min="7159" max="7159" width="11.7109375" style="42" customWidth="1"/>
    <col min="7160" max="7160" width="12.7109375" style="42" customWidth="1"/>
    <col min="7161" max="7164" width="11.28515625" style="42" customWidth="1"/>
    <col min="7165" max="7169" width="10.85546875" style="42" customWidth="1"/>
    <col min="7170" max="7170" width="6.42578125" style="42" customWidth="1"/>
    <col min="7171" max="7171" width="3.42578125" style="42" customWidth="1"/>
    <col min="7172" max="7411" width="9" style="42"/>
    <col min="7412" max="7412" width="2.85546875" style="42" customWidth="1"/>
    <col min="7413" max="7413" width="17.7109375" style="42" customWidth="1"/>
    <col min="7414" max="7414" width="9" style="42"/>
    <col min="7415" max="7415" width="11.7109375" style="42" customWidth="1"/>
    <col min="7416" max="7416" width="12.7109375" style="42" customWidth="1"/>
    <col min="7417" max="7420" width="11.28515625" style="42" customWidth="1"/>
    <col min="7421" max="7425" width="10.85546875" style="42" customWidth="1"/>
    <col min="7426" max="7426" width="6.42578125" style="42" customWidth="1"/>
    <col min="7427" max="7427" width="3.42578125" style="42" customWidth="1"/>
    <col min="7428" max="7667" width="9" style="42"/>
    <col min="7668" max="7668" width="2.85546875" style="42" customWidth="1"/>
    <col min="7669" max="7669" width="17.7109375" style="42" customWidth="1"/>
    <col min="7670" max="7670" width="9" style="42"/>
    <col min="7671" max="7671" width="11.7109375" style="42" customWidth="1"/>
    <col min="7672" max="7672" width="12.7109375" style="42" customWidth="1"/>
    <col min="7673" max="7676" width="11.28515625" style="42" customWidth="1"/>
    <col min="7677" max="7681" width="10.85546875" style="42" customWidth="1"/>
    <col min="7682" max="7682" width="6.42578125" style="42" customWidth="1"/>
    <col min="7683" max="7683" width="3.42578125" style="42" customWidth="1"/>
    <col min="7684" max="7923" width="9" style="42"/>
    <col min="7924" max="7924" width="2.85546875" style="42" customWidth="1"/>
    <col min="7925" max="7925" width="17.7109375" style="42" customWidth="1"/>
    <col min="7926" max="7926" width="9" style="42"/>
    <col min="7927" max="7927" width="11.7109375" style="42" customWidth="1"/>
    <col min="7928" max="7928" width="12.7109375" style="42" customWidth="1"/>
    <col min="7929" max="7932" width="11.28515625" style="42" customWidth="1"/>
    <col min="7933" max="7937" width="10.85546875" style="42" customWidth="1"/>
    <col min="7938" max="7938" width="6.42578125" style="42" customWidth="1"/>
    <col min="7939" max="7939" width="3.42578125" style="42" customWidth="1"/>
    <col min="7940" max="8179" width="9" style="42"/>
    <col min="8180" max="8180" width="2.85546875" style="42" customWidth="1"/>
    <col min="8181" max="8181" width="17.7109375" style="42" customWidth="1"/>
    <col min="8182" max="8182" width="9" style="42"/>
    <col min="8183" max="8183" width="11.7109375" style="42" customWidth="1"/>
    <col min="8184" max="8184" width="12.7109375" style="42" customWidth="1"/>
    <col min="8185" max="8188" width="11.28515625" style="42" customWidth="1"/>
    <col min="8189" max="8193" width="10.85546875" style="42" customWidth="1"/>
    <col min="8194" max="8194" width="6.42578125" style="42" customWidth="1"/>
    <col min="8195" max="8195" width="3.42578125" style="42" customWidth="1"/>
    <col min="8196" max="8435" width="9" style="42"/>
    <col min="8436" max="8436" width="2.85546875" style="42" customWidth="1"/>
    <col min="8437" max="8437" width="17.7109375" style="42" customWidth="1"/>
    <col min="8438" max="8438" width="9" style="42"/>
    <col min="8439" max="8439" width="11.7109375" style="42" customWidth="1"/>
    <col min="8440" max="8440" width="12.7109375" style="42" customWidth="1"/>
    <col min="8441" max="8444" width="11.28515625" style="42" customWidth="1"/>
    <col min="8445" max="8449" width="10.85546875" style="42" customWidth="1"/>
    <col min="8450" max="8450" width="6.42578125" style="42" customWidth="1"/>
    <col min="8451" max="8451" width="3.42578125" style="42" customWidth="1"/>
    <col min="8452" max="8691" width="9" style="42"/>
    <col min="8692" max="8692" width="2.85546875" style="42" customWidth="1"/>
    <col min="8693" max="8693" width="17.7109375" style="42" customWidth="1"/>
    <col min="8694" max="8694" width="9" style="42"/>
    <col min="8695" max="8695" width="11.7109375" style="42" customWidth="1"/>
    <col min="8696" max="8696" width="12.7109375" style="42" customWidth="1"/>
    <col min="8697" max="8700" width="11.28515625" style="42" customWidth="1"/>
    <col min="8701" max="8705" width="10.85546875" style="42" customWidth="1"/>
    <col min="8706" max="8706" width="6.42578125" style="42" customWidth="1"/>
    <col min="8707" max="8707" width="3.42578125" style="42" customWidth="1"/>
    <col min="8708" max="8947" width="9" style="42"/>
    <col min="8948" max="8948" width="2.85546875" style="42" customWidth="1"/>
    <col min="8949" max="8949" width="17.7109375" style="42" customWidth="1"/>
    <col min="8950" max="8950" width="9" style="42"/>
    <col min="8951" max="8951" width="11.7109375" style="42" customWidth="1"/>
    <col min="8952" max="8952" width="12.7109375" style="42" customWidth="1"/>
    <col min="8953" max="8956" width="11.28515625" style="42" customWidth="1"/>
    <col min="8957" max="8961" width="10.85546875" style="42" customWidth="1"/>
    <col min="8962" max="8962" width="6.42578125" style="42" customWidth="1"/>
    <col min="8963" max="8963" width="3.42578125" style="42" customWidth="1"/>
    <col min="8964" max="9203" width="9" style="42"/>
    <col min="9204" max="9204" width="2.85546875" style="42" customWidth="1"/>
    <col min="9205" max="9205" width="17.7109375" style="42" customWidth="1"/>
    <col min="9206" max="9206" width="9" style="42"/>
    <col min="9207" max="9207" width="11.7109375" style="42" customWidth="1"/>
    <col min="9208" max="9208" width="12.7109375" style="42" customWidth="1"/>
    <col min="9209" max="9212" width="11.28515625" style="42" customWidth="1"/>
    <col min="9213" max="9217" width="10.85546875" style="42" customWidth="1"/>
    <col min="9218" max="9218" width="6.42578125" style="42" customWidth="1"/>
    <col min="9219" max="9219" width="3.42578125" style="42" customWidth="1"/>
    <col min="9220" max="9459" width="9" style="42"/>
    <col min="9460" max="9460" width="2.85546875" style="42" customWidth="1"/>
    <col min="9461" max="9461" width="17.7109375" style="42" customWidth="1"/>
    <col min="9462" max="9462" width="9" style="42"/>
    <col min="9463" max="9463" width="11.7109375" style="42" customWidth="1"/>
    <col min="9464" max="9464" width="12.7109375" style="42" customWidth="1"/>
    <col min="9465" max="9468" width="11.28515625" style="42" customWidth="1"/>
    <col min="9469" max="9473" width="10.85546875" style="42" customWidth="1"/>
    <col min="9474" max="9474" width="6.42578125" style="42" customWidth="1"/>
    <col min="9475" max="9475" width="3.42578125" style="42" customWidth="1"/>
    <col min="9476" max="9715" width="9" style="42"/>
    <col min="9716" max="9716" width="2.85546875" style="42" customWidth="1"/>
    <col min="9717" max="9717" width="17.7109375" style="42" customWidth="1"/>
    <col min="9718" max="9718" width="9" style="42"/>
    <col min="9719" max="9719" width="11.7109375" style="42" customWidth="1"/>
    <col min="9720" max="9720" width="12.7109375" style="42" customWidth="1"/>
    <col min="9721" max="9724" width="11.28515625" style="42" customWidth="1"/>
    <col min="9725" max="9729" width="10.85546875" style="42" customWidth="1"/>
    <col min="9730" max="9730" width="6.42578125" style="42" customWidth="1"/>
    <col min="9731" max="9731" width="3.42578125" style="42" customWidth="1"/>
    <col min="9732" max="9971" width="9" style="42"/>
    <col min="9972" max="9972" width="2.85546875" style="42" customWidth="1"/>
    <col min="9973" max="9973" width="17.7109375" style="42" customWidth="1"/>
    <col min="9974" max="9974" width="9" style="42"/>
    <col min="9975" max="9975" width="11.7109375" style="42" customWidth="1"/>
    <col min="9976" max="9976" width="12.7109375" style="42" customWidth="1"/>
    <col min="9977" max="9980" width="11.28515625" style="42" customWidth="1"/>
    <col min="9981" max="9985" width="10.85546875" style="42" customWidth="1"/>
    <col min="9986" max="9986" width="6.42578125" style="42" customWidth="1"/>
    <col min="9987" max="9987" width="3.42578125" style="42" customWidth="1"/>
    <col min="9988" max="10227" width="9" style="42"/>
    <col min="10228" max="10228" width="2.85546875" style="42" customWidth="1"/>
    <col min="10229" max="10229" width="17.7109375" style="42" customWidth="1"/>
    <col min="10230" max="10230" width="9" style="42"/>
    <col min="10231" max="10231" width="11.7109375" style="42" customWidth="1"/>
    <col min="10232" max="10232" width="12.7109375" style="42" customWidth="1"/>
    <col min="10233" max="10236" width="11.28515625" style="42" customWidth="1"/>
    <col min="10237" max="10241" width="10.85546875" style="42" customWidth="1"/>
    <col min="10242" max="10242" width="6.42578125" style="42" customWidth="1"/>
    <col min="10243" max="10243" width="3.42578125" style="42" customWidth="1"/>
    <col min="10244" max="10483" width="9" style="42"/>
    <col min="10484" max="10484" width="2.85546875" style="42" customWidth="1"/>
    <col min="10485" max="10485" width="17.7109375" style="42" customWidth="1"/>
    <col min="10486" max="10486" width="9" style="42"/>
    <col min="10487" max="10487" width="11.7109375" style="42" customWidth="1"/>
    <col min="10488" max="10488" width="12.7109375" style="42" customWidth="1"/>
    <col min="10489" max="10492" width="11.28515625" style="42" customWidth="1"/>
    <col min="10493" max="10497" width="10.85546875" style="42" customWidth="1"/>
    <col min="10498" max="10498" width="6.42578125" style="42" customWidth="1"/>
    <col min="10499" max="10499" width="3.42578125" style="42" customWidth="1"/>
    <col min="10500" max="10739" width="9" style="42"/>
    <col min="10740" max="10740" width="2.85546875" style="42" customWidth="1"/>
    <col min="10741" max="10741" width="17.7109375" style="42" customWidth="1"/>
    <col min="10742" max="10742" width="9" style="42"/>
    <col min="10743" max="10743" width="11.7109375" style="42" customWidth="1"/>
    <col min="10744" max="10744" width="12.7109375" style="42" customWidth="1"/>
    <col min="10745" max="10748" width="11.28515625" style="42" customWidth="1"/>
    <col min="10749" max="10753" width="10.85546875" style="42" customWidth="1"/>
    <col min="10754" max="10754" width="6.42578125" style="42" customWidth="1"/>
    <col min="10755" max="10755" width="3.42578125" style="42" customWidth="1"/>
    <col min="10756" max="10995" width="9" style="42"/>
    <col min="10996" max="10996" width="2.85546875" style="42" customWidth="1"/>
    <col min="10997" max="10997" width="17.7109375" style="42" customWidth="1"/>
    <col min="10998" max="10998" width="9" style="42"/>
    <col min="10999" max="10999" width="11.7109375" style="42" customWidth="1"/>
    <col min="11000" max="11000" width="12.7109375" style="42" customWidth="1"/>
    <col min="11001" max="11004" width="11.28515625" style="42" customWidth="1"/>
    <col min="11005" max="11009" width="10.85546875" style="42" customWidth="1"/>
    <col min="11010" max="11010" width="6.42578125" style="42" customWidth="1"/>
    <col min="11011" max="11011" width="3.42578125" style="42" customWidth="1"/>
    <col min="11012" max="11251" width="9" style="42"/>
    <col min="11252" max="11252" width="2.85546875" style="42" customWidth="1"/>
    <col min="11253" max="11253" width="17.7109375" style="42" customWidth="1"/>
    <col min="11254" max="11254" width="9" style="42"/>
    <col min="11255" max="11255" width="11.7109375" style="42" customWidth="1"/>
    <col min="11256" max="11256" width="12.7109375" style="42" customWidth="1"/>
    <col min="11257" max="11260" width="11.28515625" style="42" customWidth="1"/>
    <col min="11261" max="11265" width="10.85546875" style="42" customWidth="1"/>
    <col min="11266" max="11266" width="6.42578125" style="42" customWidth="1"/>
    <col min="11267" max="11267" width="3.42578125" style="42" customWidth="1"/>
    <col min="11268" max="11507" width="9" style="42"/>
    <col min="11508" max="11508" width="2.85546875" style="42" customWidth="1"/>
    <col min="11509" max="11509" width="17.7109375" style="42" customWidth="1"/>
    <col min="11510" max="11510" width="9" style="42"/>
    <col min="11511" max="11511" width="11.7109375" style="42" customWidth="1"/>
    <col min="11512" max="11512" width="12.7109375" style="42" customWidth="1"/>
    <col min="11513" max="11516" width="11.28515625" style="42" customWidth="1"/>
    <col min="11517" max="11521" width="10.85546875" style="42" customWidth="1"/>
    <col min="11522" max="11522" width="6.42578125" style="42" customWidth="1"/>
    <col min="11523" max="11523" width="3.42578125" style="42" customWidth="1"/>
    <col min="11524" max="11763" width="9" style="42"/>
    <col min="11764" max="11764" width="2.85546875" style="42" customWidth="1"/>
    <col min="11765" max="11765" width="17.7109375" style="42" customWidth="1"/>
    <col min="11766" max="11766" width="9" style="42"/>
    <col min="11767" max="11767" width="11.7109375" style="42" customWidth="1"/>
    <col min="11768" max="11768" width="12.7109375" style="42" customWidth="1"/>
    <col min="11769" max="11772" width="11.28515625" style="42" customWidth="1"/>
    <col min="11773" max="11777" width="10.85546875" style="42" customWidth="1"/>
    <col min="11778" max="11778" width="6.42578125" style="42" customWidth="1"/>
    <col min="11779" max="11779" width="3.42578125" style="42" customWidth="1"/>
    <col min="11780" max="12019" width="9" style="42"/>
    <col min="12020" max="12020" width="2.85546875" style="42" customWidth="1"/>
    <col min="12021" max="12021" width="17.7109375" style="42" customWidth="1"/>
    <col min="12022" max="12022" width="9" style="42"/>
    <col min="12023" max="12023" width="11.7109375" style="42" customWidth="1"/>
    <col min="12024" max="12024" width="12.7109375" style="42" customWidth="1"/>
    <col min="12025" max="12028" width="11.28515625" style="42" customWidth="1"/>
    <col min="12029" max="12033" width="10.85546875" style="42" customWidth="1"/>
    <col min="12034" max="12034" width="6.42578125" style="42" customWidth="1"/>
    <col min="12035" max="12035" width="3.42578125" style="42" customWidth="1"/>
    <col min="12036" max="12275" width="9" style="42"/>
    <col min="12276" max="12276" width="2.85546875" style="42" customWidth="1"/>
    <col min="12277" max="12277" width="17.7109375" style="42" customWidth="1"/>
    <col min="12278" max="12278" width="9" style="42"/>
    <col min="12279" max="12279" width="11.7109375" style="42" customWidth="1"/>
    <col min="12280" max="12280" width="12.7109375" style="42" customWidth="1"/>
    <col min="12281" max="12284" width="11.28515625" style="42" customWidth="1"/>
    <col min="12285" max="12289" width="10.85546875" style="42" customWidth="1"/>
    <col min="12290" max="12290" width="6.42578125" style="42" customWidth="1"/>
    <col min="12291" max="12291" width="3.42578125" style="42" customWidth="1"/>
    <col min="12292" max="12531" width="9" style="42"/>
    <col min="12532" max="12532" width="2.85546875" style="42" customWidth="1"/>
    <col min="12533" max="12533" width="17.7109375" style="42" customWidth="1"/>
    <col min="12534" max="12534" width="9" style="42"/>
    <col min="12535" max="12535" width="11.7109375" style="42" customWidth="1"/>
    <col min="12536" max="12536" width="12.7109375" style="42" customWidth="1"/>
    <col min="12537" max="12540" width="11.28515625" style="42" customWidth="1"/>
    <col min="12541" max="12545" width="10.85546875" style="42" customWidth="1"/>
    <col min="12546" max="12546" width="6.42578125" style="42" customWidth="1"/>
    <col min="12547" max="12547" width="3.42578125" style="42" customWidth="1"/>
    <col min="12548" max="12787" width="9" style="42"/>
    <col min="12788" max="12788" width="2.85546875" style="42" customWidth="1"/>
    <col min="12789" max="12789" width="17.7109375" style="42" customWidth="1"/>
    <col min="12790" max="12790" width="9" style="42"/>
    <col min="12791" max="12791" width="11.7109375" style="42" customWidth="1"/>
    <col min="12792" max="12792" width="12.7109375" style="42" customWidth="1"/>
    <col min="12793" max="12796" width="11.28515625" style="42" customWidth="1"/>
    <col min="12797" max="12801" width="10.85546875" style="42" customWidth="1"/>
    <col min="12802" max="12802" width="6.42578125" style="42" customWidth="1"/>
    <col min="12803" max="12803" width="3.42578125" style="42" customWidth="1"/>
    <col min="12804" max="13043" width="9" style="42"/>
    <col min="13044" max="13044" width="2.85546875" style="42" customWidth="1"/>
    <col min="13045" max="13045" width="17.7109375" style="42" customWidth="1"/>
    <col min="13046" max="13046" width="9" style="42"/>
    <col min="13047" max="13047" width="11.7109375" style="42" customWidth="1"/>
    <col min="13048" max="13048" width="12.7109375" style="42" customWidth="1"/>
    <col min="13049" max="13052" width="11.28515625" style="42" customWidth="1"/>
    <col min="13053" max="13057" width="10.85546875" style="42" customWidth="1"/>
    <col min="13058" max="13058" width="6.42578125" style="42" customWidth="1"/>
    <col min="13059" max="13059" width="3.42578125" style="42" customWidth="1"/>
    <col min="13060" max="13299" width="9" style="42"/>
    <col min="13300" max="13300" width="2.85546875" style="42" customWidth="1"/>
    <col min="13301" max="13301" width="17.7109375" style="42" customWidth="1"/>
    <col min="13302" max="13302" width="9" style="42"/>
    <col min="13303" max="13303" width="11.7109375" style="42" customWidth="1"/>
    <col min="13304" max="13304" width="12.7109375" style="42" customWidth="1"/>
    <col min="13305" max="13308" width="11.28515625" style="42" customWidth="1"/>
    <col min="13309" max="13313" width="10.85546875" style="42" customWidth="1"/>
    <col min="13314" max="13314" width="6.42578125" style="42" customWidth="1"/>
    <col min="13315" max="13315" width="3.42578125" style="42" customWidth="1"/>
    <col min="13316" max="13555" width="9" style="42"/>
    <col min="13556" max="13556" width="2.85546875" style="42" customWidth="1"/>
    <col min="13557" max="13557" width="17.7109375" style="42" customWidth="1"/>
    <col min="13558" max="13558" width="9" style="42"/>
    <col min="13559" max="13559" width="11.7109375" style="42" customWidth="1"/>
    <col min="13560" max="13560" width="12.7109375" style="42" customWidth="1"/>
    <col min="13561" max="13564" width="11.28515625" style="42" customWidth="1"/>
    <col min="13565" max="13569" width="10.85546875" style="42" customWidth="1"/>
    <col min="13570" max="13570" width="6.42578125" style="42" customWidth="1"/>
    <col min="13571" max="13571" width="3.42578125" style="42" customWidth="1"/>
    <col min="13572" max="13811" width="9" style="42"/>
    <col min="13812" max="13812" width="2.85546875" style="42" customWidth="1"/>
    <col min="13813" max="13813" width="17.7109375" style="42" customWidth="1"/>
    <col min="13814" max="13814" width="9" style="42"/>
    <col min="13815" max="13815" width="11.7109375" style="42" customWidth="1"/>
    <col min="13816" max="13816" width="12.7109375" style="42" customWidth="1"/>
    <col min="13817" max="13820" width="11.28515625" style="42" customWidth="1"/>
    <col min="13821" max="13825" width="10.85546875" style="42" customWidth="1"/>
    <col min="13826" max="13826" width="6.42578125" style="42" customWidth="1"/>
    <col min="13827" max="13827" width="3.42578125" style="42" customWidth="1"/>
    <col min="13828" max="14067" width="9" style="42"/>
    <col min="14068" max="14068" width="2.85546875" style="42" customWidth="1"/>
    <col min="14069" max="14069" width="17.7109375" style="42" customWidth="1"/>
    <col min="14070" max="14070" width="9" style="42"/>
    <col min="14071" max="14071" width="11.7109375" style="42" customWidth="1"/>
    <col min="14072" max="14072" width="12.7109375" style="42" customWidth="1"/>
    <col min="14073" max="14076" width="11.28515625" style="42" customWidth="1"/>
    <col min="14077" max="14081" width="10.85546875" style="42" customWidth="1"/>
    <col min="14082" max="14082" width="6.42578125" style="42" customWidth="1"/>
    <col min="14083" max="14083" width="3.42578125" style="42" customWidth="1"/>
    <col min="14084" max="14323" width="9" style="42"/>
    <col min="14324" max="14324" width="2.85546875" style="42" customWidth="1"/>
    <col min="14325" max="14325" width="17.7109375" style="42" customWidth="1"/>
    <col min="14326" max="14326" width="9" style="42"/>
    <col min="14327" max="14327" width="11.7109375" style="42" customWidth="1"/>
    <col min="14328" max="14328" width="12.7109375" style="42" customWidth="1"/>
    <col min="14329" max="14332" width="11.28515625" style="42" customWidth="1"/>
    <col min="14333" max="14337" width="10.85546875" style="42" customWidth="1"/>
    <col min="14338" max="14338" width="6.42578125" style="42" customWidth="1"/>
    <col min="14339" max="14339" width="3.42578125" style="42" customWidth="1"/>
    <col min="14340" max="14579" width="9" style="42"/>
    <col min="14580" max="14580" width="2.85546875" style="42" customWidth="1"/>
    <col min="14581" max="14581" width="17.7109375" style="42" customWidth="1"/>
    <col min="14582" max="14582" width="9" style="42"/>
    <col min="14583" max="14583" width="11.7109375" style="42" customWidth="1"/>
    <col min="14584" max="14584" width="12.7109375" style="42" customWidth="1"/>
    <col min="14585" max="14588" width="11.28515625" style="42" customWidth="1"/>
    <col min="14589" max="14593" width="10.85546875" style="42" customWidth="1"/>
    <col min="14594" max="14594" width="6.42578125" style="42" customWidth="1"/>
    <col min="14595" max="14595" width="3.42578125" style="42" customWidth="1"/>
    <col min="14596" max="14835" width="9" style="42"/>
    <col min="14836" max="14836" width="2.85546875" style="42" customWidth="1"/>
    <col min="14837" max="14837" width="17.7109375" style="42" customWidth="1"/>
    <col min="14838" max="14838" width="9" style="42"/>
    <col min="14839" max="14839" width="11.7109375" style="42" customWidth="1"/>
    <col min="14840" max="14840" width="12.7109375" style="42" customWidth="1"/>
    <col min="14841" max="14844" width="11.28515625" style="42" customWidth="1"/>
    <col min="14845" max="14849" width="10.85546875" style="42" customWidth="1"/>
    <col min="14850" max="14850" width="6.42578125" style="42" customWidth="1"/>
    <col min="14851" max="14851" width="3.42578125" style="42" customWidth="1"/>
    <col min="14852" max="15091" width="9" style="42"/>
    <col min="15092" max="15092" width="2.85546875" style="42" customWidth="1"/>
    <col min="15093" max="15093" width="17.7109375" style="42" customWidth="1"/>
    <col min="15094" max="15094" width="9" style="42"/>
    <col min="15095" max="15095" width="11.7109375" style="42" customWidth="1"/>
    <col min="15096" max="15096" width="12.7109375" style="42" customWidth="1"/>
    <col min="15097" max="15100" width="11.28515625" style="42" customWidth="1"/>
    <col min="15101" max="15105" width="10.85546875" style="42" customWidth="1"/>
    <col min="15106" max="15106" width="6.42578125" style="42" customWidth="1"/>
    <col min="15107" max="15107" width="3.42578125" style="42" customWidth="1"/>
    <col min="15108" max="15347" width="9" style="42"/>
    <col min="15348" max="15348" width="2.85546875" style="42" customWidth="1"/>
    <col min="15349" max="15349" width="17.7109375" style="42" customWidth="1"/>
    <col min="15350" max="15350" width="9" style="42"/>
    <col min="15351" max="15351" width="11.7109375" style="42" customWidth="1"/>
    <col min="15352" max="15352" width="12.7109375" style="42" customWidth="1"/>
    <col min="15353" max="15356" width="11.28515625" style="42" customWidth="1"/>
    <col min="15357" max="15361" width="10.85546875" style="42" customWidth="1"/>
    <col min="15362" max="15362" width="6.42578125" style="42" customWidth="1"/>
    <col min="15363" max="15363" width="3.42578125" style="42" customWidth="1"/>
    <col min="15364" max="15603" width="9" style="42"/>
    <col min="15604" max="15604" width="2.85546875" style="42" customWidth="1"/>
    <col min="15605" max="15605" width="17.7109375" style="42" customWidth="1"/>
    <col min="15606" max="15606" width="9" style="42"/>
    <col min="15607" max="15607" width="11.7109375" style="42" customWidth="1"/>
    <col min="15608" max="15608" width="12.7109375" style="42" customWidth="1"/>
    <col min="15609" max="15612" width="11.28515625" style="42" customWidth="1"/>
    <col min="15613" max="15617" width="10.85546875" style="42" customWidth="1"/>
    <col min="15618" max="15618" width="6.42578125" style="42" customWidth="1"/>
    <col min="15619" max="15619" width="3.42578125" style="42" customWidth="1"/>
    <col min="15620" max="15859" width="9" style="42"/>
    <col min="15860" max="15860" width="2.85546875" style="42" customWidth="1"/>
    <col min="15861" max="15861" width="17.7109375" style="42" customWidth="1"/>
    <col min="15862" max="15862" width="9" style="42"/>
    <col min="15863" max="15863" width="11.7109375" style="42" customWidth="1"/>
    <col min="15864" max="15864" width="12.7109375" style="42" customWidth="1"/>
    <col min="15865" max="15868" width="11.28515625" style="42" customWidth="1"/>
    <col min="15869" max="15873" width="10.85546875" style="42" customWidth="1"/>
    <col min="15874" max="15874" width="6.42578125" style="42" customWidth="1"/>
    <col min="15875" max="15875" width="3.42578125" style="42" customWidth="1"/>
    <col min="15876" max="16115" width="9" style="42"/>
    <col min="16116" max="16116" width="2.85546875" style="42" customWidth="1"/>
    <col min="16117" max="16117" width="17.7109375" style="42" customWidth="1"/>
    <col min="16118" max="16118" width="9" style="42"/>
    <col min="16119" max="16119" width="11.7109375" style="42" customWidth="1"/>
    <col min="16120" max="16120" width="12.7109375" style="42" customWidth="1"/>
    <col min="16121" max="16124" width="11.28515625" style="42" customWidth="1"/>
    <col min="16125" max="16129" width="10.85546875" style="42" customWidth="1"/>
    <col min="16130" max="16130" width="6.42578125" style="42" customWidth="1"/>
    <col min="16131" max="16131" width="3.42578125" style="42" customWidth="1"/>
    <col min="16132" max="16382" width="9" style="42"/>
    <col min="16383" max="16384" width="9" style="42" customWidth="1"/>
  </cols>
  <sheetData>
    <row r="1" spans="1:9" s="5" customFormat="1" ht="24" customHeight="1">
      <c r="A1" s="2685" t="str">
        <f>روکش!D4</f>
        <v>انبارهای عمومی و خدمات گمرکی ایران</v>
      </c>
      <c r="B1" s="2685"/>
      <c r="C1" s="2685"/>
      <c r="D1" s="2685"/>
      <c r="E1" s="2685"/>
      <c r="F1" s="2685"/>
      <c r="G1" s="2685"/>
    </row>
    <row r="2" spans="1:9" s="5" customFormat="1" ht="28.5" customHeight="1">
      <c r="A2" s="1206" t="str">
        <f>"بهای تمام شده محصول توليدي فروخته شده در دوره " &amp; روکش!F9 &amp; " سال " &amp; روکش!D9</f>
        <v>بهای تمام شده محصول توليدي فروخته شده در دوره شش ماهه سال 1405</v>
      </c>
      <c r="B2" s="1205"/>
      <c r="C2" s="1202"/>
      <c r="D2" s="1202"/>
      <c r="E2" s="1202"/>
      <c r="F2" s="1202"/>
      <c r="G2" s="1202"/>
    </row>
    <row r="3" spans="1:9" s="1" customFormat="1" ht="20.100000000000001" customHeight="1" thickBot="1">
      <c r="A3" s="2723"/>
      <c r="B3" s="2723"/>
      <c r="C3" s="2917"/>
      <c r="D3" s="2212"/>
      <c r="E3" s="2212"/>
      <c r="F3" s="1208" t="s">
        <v>30</v>
      </c>
      <c r="G3" s="1208"/>
    </row>
    <row r="4" spans="1:9" s="1" customFormat="1" ht="24">
      <c r="A4" s="2753" t="s">
        <v>0</v>
      </c>
      <c r="B4" s="2914" t="s">
        <v>693</v>
      </c>
      <c r="C4" s="1434" t="s">
        <v>642</v>
      </c>
      <c r="D4" s="1435"/>
      <c r="E4" s="1435"/>
      <c r="F4" s="2213"/>
      <c r="G4" s="1376"/>
    </row>
    <row r="5" spans="1:9" s="1" customFormat="1" ht="42.75" thickBot="1">
      <c r="A5" s="2913"/>
      <c r="B5" s="2915"/>
      <c r="C5" s="713" t="s">
        <v>53</v>
      </c>
      <c r="D5" s="714" t="s">
        <v>216</v>
      </c>
      <c r="E5" s="714" t="s">
        <v>804</v>
      </c>
      <c r="F5" s="2875" t="s">
        <v>230</v>
      </c>
      <c r="G5" s="2876"/>
      <c r="I5" s="1193"/>
    </row>
    <row r="6" spans="1:9" s="1" customFormat="1" ht="21">
      <c r="A6" s="1436" t="s">
        <v>33</v>
      </c>
      <c r="B6" s="1122"/>
      <c r="C6" s="1792" cm="1">
        <f t="array" aca="1" ref="C6" ca="1">INDIRECT("BudgetDB!BZ"&amp;('الف-ب-ج'!$M$9+ROW()-ROW($A$6)))</f>
        <v>0</v>
      </c>
      <c r="D6" s="1441">
        <f>'خرید مواد اولیه تولید'!I24</f>
        <v>0</v>
      </c>
      <c r="E6" s="2214" t="str">
        <f t="shared" ref="E6:E25" si="0">IFERROR((D6-B6)*100/B6,"-")</f>
        <v>-</v>
      </c>
      <c r="F6" s="2169" t="str">
        <f ca="1">IFERROR(D6*100/C6,"-")</f>
        <v>-</v>
      </c>
      <c r="G6" s="415">
        <f ca="1">IFERROR(ABS(F6-100),500)</f>
        <v>500</v>
      </c>
      <c r="I6" s="1433" t="s">
        <v>206</v>
      </c>
    </row>
    <row r="7" spans="1:9" s="1" customFormat="1" ht="21">
      <c r="A7" s="1437" t="s">
        <v>1418</v>
      </c>
      <c r="B7" s="1122"/>
      <c r="C7" s="1447">
        <f ca="1">'خرید مواد اولیه تولید'!L24</f>
        <v>0</v>
      </c>
      <c r="D7" s="1442">
        <f>'خرید مواد اولیه تولید'!Q24</f>
        <v>0</v>
      </c>
      <c r="E7" s="508" t="str">
        <f t="shared" si="0"/>
        <v>-</v>
      </c>
      <c r="F7" s="2170" t="str">
        <f ca="1">IFERROR(D7*100/C7,"-")</f>
        <v>-</v>
      </c>
      <c r="G7" s="418">
        <f t="shared" ref="G7:G25" ca="1" si="1">IFERROR(ABS(F7-100),500)</f>
        <v>500</v>
      </c>
      <c r="I7" s="1433">
        <f t="shared" ref="I7:I24" ca="1" si="2">B7+C7+D7</f>
        <v>0</v>
      </c>
    </row>
    <row r="8" spans="1:9" s="1" customFormat="1" ht="21">
      <c r="A8" s="1438" t="s">
        <v>1419</v>
      </c>
      <c r="B8" s="1122"/>
      <c r="C8" s="863" cm="1">
        <f t="array" aca="1" ref="C8" ca="1">IF(ROW()-ROW($A$8)&lt;'الف-ب-ج'!$L$9,IF(روکش!$F$9="سه ماهه",INDIRECT("BudgetDB!CA"&amp;('الف-ب-ج'!$M$9+ROW()-ROW($A$8))),INDIRECT("BudgetDB!CB"&amp;('الف-ب-ج'!$M$9+ROW()-ROW($A$8)))),"")</f>
        <v>0</v>
      </c>
      <c r="D8" s="1442">
        <f>'خرید مواد اولیه تولید'!F46</f>
        <v>0</v>
      </c>
      <c r="E8" s="508" t="str">
        <f t="shared" si="0"/>
        <v>-</v>
      </c>
      <c r="F8" s="2170" t="str">
        <f ca="1">IFERROR(D8*100/C8,"-")</f>
        <v>-</v>
      </c>
      <c r="G8" s="418">
        <f t="shared" ca="1" si="1"/>
        <v>500</v>
      </c>
      <c r="I8" s="1433">
        <f t="shared" ca="1" si="2"/>
        <v>0</v>
      </c>
    </row>
    <row r="9" spans="1:9" s="1" customFormat="1" ht="21.75" thickBot="1">
      <c r="A9" s="1437" t="s">
        <v>1420</v>
      </c>
      <c r="B9" s="1122"/>
      <c r="C9" s="863" cm="1">
        <f t="array" aca="1" ref="C9" ca="1">IF(ROW()-ROW($A$8)&lt;'الف-ب-ج'!$L$9,IF(روکش!$F$9="سه ماهه",INDIRECT("BudgetDB!CA"&amp;('الف-ب-ج'!$M$9+ROW()-ROW($A$8))),INDIRECT("BudgetDB!CB"&amp;('الف-ب-ج'!$M$9+ROW()-ROW($A$8)))),"")</f>
        <v>0</v>
      </c>
      <c r="D9" s="1442">
        <f>'خرید مواد اولیه تولید'!V46</f>
        <v>0</v>
      </c>
      <c r="E9" s="508" t="str">
        <f t="shared" si="0"/>
        <v>-</v>
      </c>
      <c r="F9" s="2215" t="str">
        <f ca="1">IFERROR(D9*100/C9,"-")</f>
        <v>-</v>
      </c>
      <c r="G9" s="2216">
        <f t="shared" ca="1" si="1"/>
        <v>500</v>
      </c>
      <c r="I9" s="1433" t="s">
        <v>206</v>
      </c>
    </row>
    <row r="10" spans="1:9" s="1" customFormat="1" ht="21.75">
      <c r="A10" s="1439" t="s">
        <v>34</v>
      </c>
      <c r="B10" s="1445">
        <f>B6+B7-B9-B8</f>
        <v>0</v>
      </c>
      <c r="C10" s="1446">
        <f t="shared" ref="C10:D10" ca="1" si="3">C6+C7-C9-C8</f>
        <v>0</v>
      </c>
      <c r="D10" s="1443">
        <f t="shared" si="3"/>
        <v>0</v>
      </c>
      <c r="E10" s="533" t="str">
        <f t="shared" si="0"/>
        <v>-</v>
      </c>
      <c r="F10" s="2217" t="str">
        <f t="shared" ref="F10:F25" ca="1" si="4">IFERROR(D10*100/C10,"-")</f>
        <v>-</v>
      </c>
      <c r="G10" s="2218">
        <f t="shared" ca="1" si="1"/>
        <v>500</v>
      </c>
      <c r="I10" s="1433" t="s">
        <v>206</v>
      </c>
    </row>
    <row r="11" spans="1:9" s="1" customFormat="1" ht="21">
      <c r="A11" s="1437" t="s">
        <v>1423</v>
      </c>
      <c r="B11" s="514">
        <f>'هزینه پرسنلی مستقیم تولید'!B33</f>
        <v>0</v>
      </c>
      <c r="C11" s="1447">
        <f ca="1">'هزینه پرسنلی مستقیم تولید'!C33</f>
        <v>0</v>
      </c>
      <c r="D11" s="1442">
        <f>'هزینه پرسنلی مستقیم تولید'!D33</f>
        <v>0</v>
      </c>
      <c r="E11" s="508" t="str">
        <f t="shared" si="0"/>
        <v>-</v>
      </c>
      <c r="F11" s="2219" t="str">
        <f t="shared" ca="1" si="4"/>
        <v>-</v>
      </c>
      <c r="G11" s="2220">
        <f t="shared" ca="1" si="1"/>
        <v>500</v>
      </c>
      <c r="I11" s="1433">
        <f t="shared" ca="1" si="2"/>
        <v>0</v>
      </c>
    </row>
    <row r="12" spans="1:9" s="1" customFormat="1" ht="21">
      <c r="A12" s="1437" t="s">
        <v>1424</v>
      </c>
      <c r="B12" s="514">
        <f>'هزینه پرسنلی غیرمستقیم تولید'!B33</f>
        <v>0</v>
      </c>
      <c r="C12" s="1447">
        <f ca="1">'هزینه پرسنلی غیرمستقیم تولید'!C33</f>
        <v>0</v>
      </c>
      <c r="D12" s="1442">
        <f>'هزینه پرسنلی غیرمستقیم تولید'!D33</f>
        <v>0</v>
      </c>
      <c r="E12" s="508" t="str">
        <f t="shared" si="0"/>
        <v>-</v>
      </c>
      <c r="F12" s="2219" t="str">
        <f t="shared" ca="1" si="4"/>
        <v>-</v>
      </c>
      <c r="G12" s="2220">
        <f t="shared" ca="1" si="1"/>
        <v>500</v>
      </c>
      <c r="I12" s="1433">
        <f t="shared" ca="1" si="2"/>
        <v>0</v>
      </c>
    </row>
    <row r="13" spans="1:9" s="1" customFormat="1" ht="21">
      <c r="A13" s="1440" t="s">
        <v>1425</v>
      </c>
      <c r="B13" s="515">
        <f>'هزینه سربار تولید'!B28</f>
        <v>0</v>
      </c>
      <c r="C13" s="1448">
        <f ca="1">'هزینه سربار تولید'!C28</f>
        <v>0</v>
      </c>
      <c r="D13" s="1444">
        <f>'هزینه سربار تولید'!D28</f>
        <v>0</v>
      </c>
      <c r="E13" s="512" t="str">
        <f t="shared" si="0"/>
        <v>-</v>
      </c>
      <c r="F13" s="2221" t="str">
        <f t="shared" ca="1" si="4"/>
        <v>-</v>
      </c>
      <c r="G13" s="2222">
        <f t="shared" ca="1" si="1"/>
        <v>500</v>
      </c>
      <c r="I13" s="1433">
        <f t="shared" ca="1" si="2"/>
        <v>0</v>
      </c>
    </row>
    <row r="14" spans="1:9" s="1" customFormat="1" ht="21">
      <c r="A14" s="1440" t="s">
        <v>1397</v>
      </c>
      <c r="B14" s="1187"/>
      <c r="C14" s="864" cm="1">
        <f t="array" aca="1" ref="C14" ca="1">IF(ROW()-ROW($A$14)&lt;'الف-ب-ج'!$L$9,IF(روکش!$F$9="سه ماهه",INDIRECT("BudgetDB!CC"&amp;('الف-ب-ج'!$M$9+ROW()-ROW($A$14))),INDIRECT("BudgetDB!CD"&amp;('الف-ب-ج'!$M$9+ROW()-ROW($A$14)))),"")</f>
        <v>0</v>
      </c>
      <c r="D14" s="1188"/>
      <c r="E14" s="512" t="str">
        <f>IFERROR((D14-B14)*100/B14,"-")</f>
        <v>-</v>
      </c>
      <c r="F14" s="2221" t="str">
        <f ca="1">IFERROR(D14*100/C14,"-")</f>
        <v>-</v>
      </c>
      <c r="G14" s="2222">
        <f t="shared" ca="1" si="1"/>
        <v>500</v>
      </c>
      <c r="I14" s="1433">
        <f t="shared" ca="1" si="2"/>
        <v>0</v>
      </c>
    </row>
    <row r="15" spans="1:9" s="1" customFormat="1" ht="21">
      <c r="A15" s="1440" t="s">
        <v>1398</v>
      </c>
      <c r="B15" s="1187"/>
      <c r="C15" s="864" cm="1">
        <f t="array" aca="1" ref="C15" ca="1">IF(ROW()-ROW($A$14)&lt;'الف-ب-ج'!$L$9,IF(روکش!$F$9="سه ماهه",INDIRECT("BudgetDB!CC"&amp;('الف-ب-ج'!$M$9+ROW()-ROW($A$14))),INDIRECT("BudgetDB!CD"&amp;('الف-ب-ج'!$M$9+ROW()-ROW($A$14)))),"")</f>
        <v>0</v>
      </c>
      <c r="D15" s="1188"/>
      <c r="E15" s="512" t="str">
        <f>IFERROR((D15-B15)*100/B15,"-")</f>
        <v>-</v>
      </c>
      <c r="F15" s="2221" t="str">
        <f ca="1">IFERROR(D15*100/C15,"-")</f>
        <v>-</v>
      </c>
      <c r="G15" s="2222">
        <f t="shared" ca="1" si="1"/>
        <v>500</v>
      </c>
      <c r="I15" s="1433">
        <f t="shared" ca="1" si="2"/>
        <v>0</v>
      </c>
    </row>
    <row r="16" spans="1:9" s="1" customFormat="1" ht="21.75" thickBot="1">
      <c r="A16" s="1440" t="s">
        <v>1426</v>
      </c>
      <c r="B16" s="515">
        <f ca="1">_xlfn.IFNA(VLOOKUP("هزينه هاي جذب نشده در توليد",'سایر عملیاتی'!A7:F77,2,FALSE),0)</f>
        <v>0</v>
      </c>
      <c r="C16" s="1448">
        <f ca="1">_xlfn.IFNA(VLOOKUP("هزينه هاي جذب نشده در توليد",'سایر عملیاتی'!A7:F77,3,FALSE),0)</f>
        <v>0</v>
      </c>
      <c r="D16" s="1444">
        <f ca="1">_xlfn.IFNA(VLOOKUP("هزينه هاي جذب نشده در توليد",'سایر عملیاتی'!A7:F77,4,FALSE),0)</f>
        <v>0</v>
      </c>
      <c r="E16" s="512" t="str">
        <f t="shared" ca="1" si="0"/>
        <v>-</v>
      </c>
      <c r="F16" s="2221" t="str">
        <f t="shared" ca="1" si="4"/>
        <v>-</v>
      </c>
      <c r="G16" s="2222">
        <f t="shared" ca="1" si="1"/>
        <v>500</v>
      </c>
      <c r="I16" s="1433">
        <f t="shared" ca="1" si="2"/>
        <v>0</v>
      </c>
    </row>
    <row r="17" spans="1:9" s="1" customFormat="1" ht="21.75">
      <c r="A17" s="1439" t="s">
        <v>35</v>
      </c>
      <c r="B17" s="1445">
        <f ca="1">SUM(B10:B13)-B16+B14-B15</f>
        <v>0</v>
      </c>
      <c r="C17" s="1446">
        <f ca="1">SUM(C10:C13)-C16+C14-C15</f>
        <v>0</v>
      </c>
      <c r="D17" s="1443">
        <f ca="1">SUM(D10:D13)-D16+D14-D15</f>
        <v>0</v>
      </c>
      <c r="E17" s="533" t="str">
        <f t="shared" ca="1" si="0"/>
        <v>-</v>
      </c>
      <c r="F17" s="2217" t="str">
        <f t="shared" ca="1" si="4"/>
        <v>-</v>
      </c>
      <c r="G17" s="2218">
        <f t="shared" ca="1" si="1"/>
        <v>500</v>
      </c>
      <c r="I17" s="1433" t="s">
        <v>206</v>
      </c>
    </row>
    <row r="18" spans="1:9" s="1" customFormat="1" ht="21">
      <c r="A18" s="1437" t="s">
        <v>1427</v>
      </c>
      <c r="B18" s="267"/>
      <c r="C18" s="863" cm="1">
        <f t="array" aca="1" ref="C18" ca="1">IF(ROW()-ROW($A$18)&lt;'الف-ب-ج'!$L$9,IF(روکش!$F$9="سه ماهه",INDIRECT("BudgetDB!CE"&amp;('الف-ب-ج'!$M$9+ROW()-ROW($A$18))),INDIRECT("BudgetDB!CF"&amp;('الف-ب-ج'!$M$9+ROW()-ROW($A$18)))),"")</f>
        <v>0</v>
      </c>
      <c r="D18" s="1075"/>
      <c r="E18" s="508" t="str">
        <f t="shared" si="0"/>
        <v>-</v>
      </c>
      <c r="F18" s="2219" t="str">
        <f t="shared" ca="1" si="4"/>
        <v>-</v>
      </c>
      <c r="G18" s="2220">
        <f t="shared" ca="1" si="1"/>
        <v>500</v>
      </c>
      <c r="I18" s="1433">
        <f t="shared" ca="1" si="2"/>
        <v>0</v>
      </c>
    </row>
    <row r="19" spans="1:9" s="1" customFormat="1" ht="21">
      <c r="A19" s="1440" t="s">
        <v>1428</v>
      </c>
      <c r="B19" s="1123"/>
      <c r="C19" s="864" cm="1">
        <f t="array" aca="1" ref="C19" ca="1">IF(ROW()-ROW($A$18)&lt;'الف-ب-ج'!$L$9,IF(روکش!$F$9="سه ماهه",INDIRECT("BudgetDB!CE"&amp;('الف-ب-ج'!$M$9+ROW()-ROW($A$18))),INDIRECT("BudgetDB!CF"&amp;('الف-ب-ج'!$M$9+ROW()-ROW($A$18)))),"")</f>
        <v>0</v>
      </c>
      <c r="D19" s="1076"/>
      <c r="E19" s="508" t="str">
        <f>IFERROR((D19-B19)*100/B19,"-")</f>
        <v>-</v>
      </c>
      <c r="F19" s="2219" t="str">
        <f ca="1">IFERROR(D19*100/C19,"-")</f>
        <v>-</v>
      </c>
      <c r="G19" s="2220">
        <f t="shared" ca="1" si="1"/>
        <v>500</v>
      </c>
      <c r="I19" s="1433">
        <f t="shared" ca="1" si="2"/>
        <v>0</v>
      </c>
    </row>
    <row r="20" spans="1:9" s="1" customFormat="1" ht="21.75" thickBot="1">
      <c r="A20" s="1440" t="s">
        <v>1399</v>
      </c>
      <c r="B20" s="1123"/>
      <c r="C20" s="864" cm="1">
        <f t="array" aca="1" ref="C20" ca="1">IF(ROW()-ROW($A$18)&lt;'الف-ب-ج'!$L$9,IF(روکش!$F$9="سه ماهه",INDIRECT("BudgetDB!CE"&amp;('الف-ب-ج'!$M$9+ROW()-ROW($A$18))),INDIRECT("BudgetDB!CF"&amp;('الف-ب-ج'!$M$9+ROW()-ROW($A$18)))),"")</f>
        <v>0</v>
      </c>
      <c r="D20" s="1076"/>
      <c r="E20" s="512" t="str">
        <f t="shared" si="0"/>
        <v>-</v>
      </c>
      <c r="F20" s="2221" t="str">
        <f t="shared" ca="1" si="4"/>
        <v>-</v>
      </c>
      <c r="G20" s="2222">
        <f t="shared" ca="1" si="1"/>
        <v>500</v>
      </c>
      <c r="I20" s="1433">
        <f t="shared" ca="1" si="2"/>
        <v>0</v>
      </c>
    </row>
    <row r="21" spans="1:9" s="1" customFormat="1" ht="21.75">
      <c r="A21" s="1439" t="s">
        <v>1421</v>
      </c>
      <c r="B21" s="1446">
        <f ca="1">B17+B18-B19+B20</f>
        <v>0</v>
      </c>
      <c r="C21" s="1446">
        <f ca="1">C17+C18-C19+C20</f>
        <v>0</v>
      </c>
      <c r="D21" s="1443">
        <f ca="1">D17+D18-D19+D20</f>
        <v>0</v>
      </c>
      <c r="E21" s="533" t="str">
        <f t="shared" ca="1" si="0"/>
        <v>-</v>
      </c>
      <c r="F21" s="2217" t="str">
        <f t="shared" ca="1" si="4"/>
        <v>-</v>
      </c>
      <c r="G21" s="2218">
        <f t="shared" ca="1" si="1"/>
        <v>500</v>
      </c>
      <c r="I21" s="1433" t="s">
        <v>206</v>
      </c>
    </row>
    <row r="22" spans="1:9" s="1" customFormat="1" ht="21">
      <c r="A22" s="1437" t="s">
        <v>1429</v>
      </c>
      <c r="B22" s="267"/>
      <c r="C22" s="863" cm="1">
        <f t="array" aca="1" ref="C22" ca="1">IF(ROW()-ROW($A$22)&lt;'الف-ب-ج'!$L$9,IF(روکش!$F$9="سه ماهه",INDIRECT("BudgetDB!CG"&amp;('الف-ب-ج'!$M$9+ROW()-ROW($A$22))),INDIRECT("BudgetDB!CH"&amp;('الف-ب-ج'!$M$9+ROW()-ROW($A$22)))),"")</f>
        <v>0</v>
      </c>
      <c r="D22" s="1075"/>
      <c r="E22" s="508" t="str">
        <f t="shared" si="0"/>
        <v>-</v>
      </c>
      <c r="F22" s="2219" t="str">
        <f t="shared" ca="1" si="4"/>
        <v>-</v>
      </c>
      <c r="G22" s="2220">
        <f t="shared" ca="1" si="1"/>
        <v>500</v>
      </c>
      <c r="I22" s="1433">
        <f t="shared" ca="1" si="2"/>
        <v>0</v>
      </c>
    </row>
    <row r="23" spans="1:9" s="1" customFormat="1" ht="21">
      <c r="A23" s="1437" t="s">
        <v>1430</v>
      </c>
      <c r="B23" s="267"/>
      <c r="C23" s="863" cm="1">
        <f t="array" aca="1" ref="C23" ca="1">IF(ROW()-ROW($A$22)&lt;'الف-ب-ج'!$L$9,IF(روکش!$F$9="سه ماهه",INDIRECT("BudgetDB!CG"&amp;('الف-ب-ج'!$M$9+ROW()-ROW($A$22))),INDIRECT("BudgetDB!CH"&amp;('الف-ب-ج'!$M$9+ROW()-ROW($A$22)))),"")</f>
        <v>0</v>
      </c>
      <c r="D23" s="1075"/>
      <c r="E23" s="508" t="str">
        <f t="shared" si="0"/>
        <v>-</v>
      </c>
      <c r="F23" s="2219" t="str">
        <f t="shared" ca="1" si="4"/>
        <v>-</v>
      </c>
      <c r="G23" s="2220">
        <f t="shared" ca="1" si="1"/>
        <v>500</v>
      </c>
      <c r="I23" s="1433">
        <f t="shared" ca="1" si="2"/>
        <v>0</v>
      </c>
    </row>
    <row r="24" spans="1:9" s="1" customFormat="1" ht="21.75" thickBot="1">
      <c r="A24" s="1440" t="s">
        <v>1431</v>
      </c>
      <c r="B24" s="1124"/>
      <c r="C24" s="934" cm="1">
        <f t="array" aca="1" ref="C24" ca="1">IF(ROW()-ROW($A$22)&lt;'الف-ب-ج'!$L$9,IF(روکش!$F$9="سه ماهه",INDIRECT("BudgetDB!CG"&amp;('الف-ب-ج'!$M$9+ROW()-ROW($A$22))),INDIRECT("BudgetDB!CH"&amp;('الف-ب-ج'!$M$9+ROW()-ROW($A$22)))),"")</f>
        <v>0</v>
      </c>
      <c r="D24" s="248"/>
      <c r="E24" s="512" t="str">
        <f t="shared" si="0"/>
        <v>-</v>
      </c>
      <c r="F24" s="2221" t="str">
        <f t="shared" ca="1" si="4"/>
        <v>-</v>
      </c>
      <c r="G24" s="2222">
        <f t="shared" ca="1" si="1"/>
        <v>500</v>
      </c>
      <c r="I24" s="1433">
        <f t="shared" ca="1" si="2"/>
        <v>0</v>
      </c>
    </row>
    <row r="25" spans="1:9" s="1" customFormat="1" ht="24.75" thickBot="1">
      <c r="A25" s="1429" t="s">
        <v>1422</v>
      </c>
      <c r="B25" s="1484">
        <f ca="1">B21+B22-B23+B24</f>
        <v>0</v>
      </c>
      <c r="C25" s="1485">
        <f ca="1">C21+C22-C23+C24</f>
        <v>0</v>
      </c>
      <c r="D25" s="1486">
        <f ca="1">D21+D22-D23+D24</f>
        <v>0</v>
      </c>
      <c r="E25" s="1487" t="str">
        <f t="shared" ca="1" si="0"/>
        <v>-</v>
      </c>
      <c r="F25" s="2223" t="str">
        <f t="shared" ca="1" si="4"/>
        <v>-</v>
      </c>
      <c r="G25" s="2224">
        <f t="shared" ca="1" si="1"/>
        <v>500</v>
      </c>
      <c r="I25" s="1193" t="s">
        <v>206</v>
      </c>
    </row>
    <row r="26" spans="1:9" s="1" customFormat="1" ht="9" customHeight="1">
      <c r="A26" s="2916"/>
      <c r="B26" s="2916"/>
      <c r="C26" s="2916"/>
      <c r="D26" s="2916"/>
      <c r="E26" s="2916"/>
      <c r="F26" s="2916"/>
      <c r="G26" s="2151"/>
    </row>
    <row r="27" spans="1:9" ht="27">
      <c r="A27" s="43"/>
      <c r="B27" s="43"/>
      <c r="C27" s="43"/>
      <c r="D27" s="43"/>
      <c r="E27" s="43"/>
      <c r="F27" s="43"/>
      <c r="G27" s="43"/>
    </row>
  </sheetData>
  <mergeCells count="6">
    <mergeCell ref="A1:G1"/>
    <mergeCell ref="A4:A5"/>
    <mergeCell ref="B4:B5"/>
    <mergeCell ref="A26:F26"/>
    <mergeCell ref="A3:C3"/>
    <mergeCell ref="F5:G5"/>
  </mergeCells>
  <conditionalFormatting sqref="G6:G25">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8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9" id="{00000000-000E-0000-22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E6:E25</xm:sqref>
        </x14:conditionalFormatting>
      </x14:conditionalFormatting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9">
    <tabColor rgb="FF00B0F0"/>
    <pageSetUpPr fitToPage="1"/>
  </sheetPr>
  <dimension ref="A1:DM28"/>
  <sheetViews>
    <sheetView rightToLeft="1" topLeftCell="CM1" workbookViewId="0">
      <selection activeCell="DD13" sqref="CN13:DD13"/>
    </sheetView>
  </sheetViews>
  <sheetFormatPr defaultRowHeight="17.25"/>
  <cols>
    <col min="1" max="1" width="3.5703125" style="40" customWidth="1"/>
    <col min="2" max="2" width="20.5703125" style="40" customWidth="1"/>
    <col min="3" max="3" width="9.5703125" style="40" customWidth="1"/>
    <col min="4" max="11" width="13.5703125" style="40" customWidth="1"/>
    <col min="12" max="12" width="3.5703125" style="40" customWidth="1"/>
    <col min="13" max="13" width="20.5703125" style="40" customWidth="1"/>
    <col min="14" max="14" width="9.5703125" style="40" customWidth="1"/>
    <col min="15" max="22" width="13.5703125" style="40" customWidth="1"/>
    <col min="23" max="23" width="3.5703125" style="40" customWidth="1"/>
    <col min="24" max="24" width="20.5703125" style="40" customWidth="1"/>
    <col min="25" max="25" width="9.5703125" style="40" customWidth="1"/>
    <col min="26" max="33" width="13.5703125" style="40" customWidth="1"/>
    <col min="34" max="34" width="3.5703125" style="40" customWidth="1"/>
    <col min="35" max="35" width="20.5703125" style="40" customWidth="1"/>
    <col min="36" max="36" width="9.5703125" style="40" customWidth="1"/>
    <col min="37" max="44" width="13.5703125" style="40" customWidth="1"/>
    <col min="45" max="45" width="3.5703125" style="40" customWidth="1"/>
    <col min="46" max="46" width="20.5703125" style="40" customWidth="1"/>
    <col min="47" max="47" width="9.5703125" style="40" customWidth="1"/>
    <col min="48" max="55" width="13.5703125" style="40" customWidth="1"/>
    <col min="56" max="56" width="3.5703125" style="40" customWidth="1"/>
    <col min="57" max="57" width="20.5703125" style="40" customWidth="1"/>
    <col min="58" max="58" width="9.5703125" style="40" customWidth="1"/>
    <col min="59" max="66" width="13.5703125" style="40" customWidth="1"/>
    <col min="67" max="67" width="3.5703125" style="40" customWidth="1"/>
    <col min="68" max="68" width="20.5703125" style="40" customWidth="1"/>
    <col min="69" max="69" width="9.5703125" style="40" customWidth="1"/>
    <col min="70" max="77" width="13.5703125" style="40" customWidth="1"/>
    <col min="78" max="78" width="3.5703125" style="40" customWidth="1"/>
    <col min="79" max="79" width="20.5703125" style="40" customWidth="1"/>
    <col min="80" max="80" width="9.5703125" style="40" customWidth="1"/>
    <col min="81" max="88" width="13.5703125" style="40" customWidth="1"/>
    <col min="89" max="89" width="3.5703125" style="40" customWidth="1"/>
    <col min="90" max="90" width="20.5703125" style="40" customWidth="1"/>
    <col min="91" max="91" width="9.5703125" style="40" customWidth="1"/>
    <col min="92" max="99" width="13.5703125" style="40" customWidth="1"/>
    <col min="100" max="100" width="3.5703125" style="40" customWidth="1"/>
    <col min="101" max="101" width="20.5703125" style="40" customWidth="1"/>
    <col min="102" max="102" width="9.5703125" style="40" customWidth="1"/>
    <col min="103" max="110" width="13.5703125" style="40" customWidth="1"/>
    <col min="111" max="111" width="3.5703125" style="40" customWidth="1"/>
    <col min="112" max="112" width="20.5703125" style="40" customWidth="1"/>
    <col min="113" max="113" width="12" style="40" customWidth="1"/>
    <col min="114" max="115" width="20.7109375" style="40" customWidth="1"/>
    <col min="116" max="116" width="15.7109375" style="40" customWidth="1"/>
    <col min="117" max="117" width="6.42578125" style="40" customWidth="1"/>
    <col min="118" max="348" width="9" style="40"/>
    <col min="349" max="349" width="1.42578125" style="40" customWidth="1"/>
    <col min="350" max="350" width="3.5703125" style="40" customWidth="1"/>
    <col min="351" max="351" width="10.7109375" style="40" customWidth="1"/>
    <col min="352" max="352" width="5.42578125" style="40" customWidth="1"/>
    <col min="353" max="353" width="13.5703125" style="40" bestFit="1" customWidth="1"/>
    <col min="354" max="354" width="9.42578125" style="40" customWidth="1"/>
    <col min="355" max="355" width="13.5703125" style="40" bestFit="1" customWidth="1"/>
    <col min="356" max="356" width="7" style="40" bestFit="1" customWidth="1"/>
    <col min="357" max="357" width="11.5703125" style="40" customWidth="1"/>
    <col min="358" max="358" width="13.5703125" style="40" bestFit="1" customWidth="1"/>
    <col min="359" max="359" width="9.42578125" style="40" customWidth="1"/>
    <col min="360" max="360" width="13.5703125" style="40" bestFit="1" customWidth="1"/>
    <col min="361" max="362" width="9.42578125" style="40" customWidth="1"/>
    <col min="363" max="363" width="13.5703125" style="40" bestFit="1" customWidth="1"/>
    <col min="364" max="364" width="9.42578125" style="40" customWidth="1"/>
    <col min="365" max="365" width="13.5703125" style="40" bestFit="1" customWidth="1"/>
    <col min="366" max="367" width="9.42578125" style="40" customWidth="1"/>
    <col min="368" max="368" width="13.5703125" style="40" bestFit="1" customWidth="1"/>
    <col min="369" max="369" width="9.42578125" style="40" customWidth="1"/>
    <col min="370" max="370" width="3" style="40" customWidth="1"/>
    <col min="371" max="371" width="14.140625" style="40" customWidth="1"/>
    <col min="372" max="372" width="6.42578125" style="40" customWidth="1"/>
    <col min="373" max="604" width="9" style="40"/>
    <col min="605" max="605" width="1.42578125" style="40" customWidth="1"/>
    <col min="606" max="606" width="3.5703125" style="40" customWidth="1"/>
    <col min="607" max="607" width="10.7109375" style="40" customWidth="1"/>
    <col min="608" max="608" width="5.42578125" style="40" customWidth="1"/>
    <col min="609" max="609" width="13.5703125" style="40" bestFit="1" customWidth="1"/>
    <col min="610" max="610" width="9.42578125" style="40" customWidth="1"/>
    <col min="611" max="611" width="13.5703125" style="40" bestFit="1" customWidth="1"/>
    <col min="612" max="612" width="7" style="40" bestFit="1" customWidth="1"/>
    <col min="613" max="613" width="11.5703125" style="40" customWidth="1"/>
    <col min="614" max="614" width="13.5703125" style="40" bestFit="1" customWidth="1"/>
    <col min="615" max="615" width="9.42578125" style="40" customWidth="1"/>
    <col min="616" max="616" width="13.5703125" style="40" bestFit="1" customWidth="1"/>
    <col min="617" max="618" width="9.42578125" style="40" customWidth="1"/>
    <col min="619" max="619" width="13.5703125" style="40" bestFit="1" customWidth="1"/>
    <col min="620" max="620" width="9.42578125" style="40" customWidth="1"/>
    <col min="621" max="621" width="13.5703125" style="40" bestFit="1" customWidth="1"/>
    <col min="622" max="623" width="9.42578125" style="40" customWidth="1"/>
    <col min="624" max="624" width="13.5703125" style="40" bestFit="1" customWidth="1"/>
    <col min="625" max="625" width="9.42578125" style="40" customWidth="1"/>
    <col min="626" max="626" width="3" style="40" customWidth="1"/>
    <col min="627" max="627" width="14.140625" style="40" customWidth="1"/>
    <col min="628" max="628" width="6.42578125" style="40" customWidth="1"/>
    <col min="629" max="860" width="9" style="40"/>
    <col min="861" max="861" width="1.42578125" style="40" customWidth="1"/>
    <col min="862" max="862" width="3.5703125" style="40" customWidth="1"/>
    <col min="863" max="863" width="10.7109375" style="40" customWidth="1"/>
    <col min="864" max="864" width="5.42578125" style="40" customWidth="1"/>
    <col min="865" max="865" width="13.5703125" style="40" bestFit="1" customWidth="1"/>
    <col min="866" max="866" width="9.42578125" style="40" customWidth="1"/>
    <col min="867" max="867" width="13.5703125" style="40" bestFit="1" customWidth="1"/>
    <col min="868" max="868" width="7" style="40" bestFit="1" customWidth="1"/>
    <col min="869" max="869" width="11.5703125" style="40" customWidth="1"/>
    <col min="870" max="870" width="13.5703125" style="40" bestFit="1" customWidth="1"/>
    <col min="871" max="871" width="9.42578125" style="40" customWidth="1"/>
    <col min="872" max="872" width="13.5703125" style="40" bestFit="1" customWidth="1"/>
    <col min="873" max="874" width="9.42578125" style="40" customWidth="1"/>
    <col min="875" max="875" width="13.5703125" style="40" bestFit="1" customWidth="1"/>
    <col min="876" max="876" width="9.42578125" style="40" customWidth="1"/>
    <col min="877" max="877" width="13.5703125" style="40" bestFit="1" customWidth="1"/>
    <col min="878" max="879" width="9.42578125" style="40" customWidth="1"/>
    <col min="880" max="880" width="13.5703125" style="40" bestFit="1" customWidth="1"/>
    <col min="881" max="881" width="9.42578125" style="40" customWidth="1"/>
    <col min="882" max="882" width="3" style="40" customWidth="1"/>
    <col min="883" max="883" width="14.140625" style="40" customWidth="1"/>
    <col min="884" max="884" width="6.42578125" style="40" customWidth="1"/>
    <col min="885" max="1116" width="9" style="40"/>
    <col min="1117" max="1117" width="1.42578125" style="40" customWidth="1"/>
    <col min="1118" max="1118" width="3.5703125" style="40" customWidth="1"/>
    <col min="1119" max="1119" width="10.7109375" style="40" customWidth="1"/>
    <col min="1120" max="1120" width="5.42578125" style="40" customWidth="1"/>
    <col min="1121" max="1121" width="13.5703125" style="40" bestFit="1" customWidth="1"/>
    <col min="1122" max="1122" width="9.42578125" style="40" customWidth="1"/>
    <col min="1123" max="1123" width="13.5703125" style="40" bestFit="1" customWidth="1"/>
    <col min="1124" max="1124" width="7" style="40" bestFit="1" customWidth="1"/>
    <col min="1125" max="1125" width="11.5703125" style="40" customWidth="1"/>
    <col min="1126" max="1126" width="13.5703125" style="40" bestFit="1" customWidth="1"/>
    <col min="1127" max="1127" width="9.42578125" style="40" customWidth="1"/>
    <col min="1128" max="1128" width="13.5703125" style="40" bestFit="1" customWidth="1"/>
    <col min="1129" max="1130" width="9.42578125" style="40" customWidth="1"/>
    <col min="1131" max="1131" width="13.5703125" style="40" bestFit="1" customWidth="1"/>
    <col min="1132" max="1132" width="9.42578125" style="40" customWidth="1"/>
    <col min="1133" max="1133" width="13.5703125" style="40" bestFit="1" customWidth="1"/>
    <col min="1134" max="1135" width="9.42578125" style="40" customWidth="1"/>
    <col min="1136" max="1136" width="13.5703125" style="40" bestFit="1" customWidth="1"/>
    <col min="1137" max="1137" width="9.42578125" style="40" customWidth="1"/>
    <col min="1138" max="1138" width="3" style="40" customWidth="1"/>
    <col min="1139" max="1139" width="14.140625" style="40" customWidth="1"/>
    <col min="1140" max="1140" width="6.42578125" style="40" customWidth="1"/>
    <col min="1141" max="1372" width="9" style="40"/>
    <col min="1373" max="1373" width="1.42578125" style="40" customWidth="1"/>
    <col min="1374" max="1374" width="3.5703125" style="40" customWidth="1"/>
    <col min="1375" max="1375" width="10.7109375" style="40" customWidth="1"/>
    <col min="1376" max="1376" width="5.42578125" style="40" customWidth="1"/>
    <col min="1377" max="1377" width="13.5703125" style="40" bestFit="1" customWidth="1"/>
    <col min="1378" max="1378" width="9.42578125" style="40" customWidth="1"/>
    <col min="1379" max="1379" width="13.5703125" style="40" bestFit="1" customWidth="1"/>
    <col min="1380" max="1380" width="7" style="40" bestFit="1" customWidth="1"/>
    <col min="1381" max="1381" width="11.5703125" style="40" customWidth="1"/>
    <col min="1382" max="1382" width="13.5703125" style="40" bestFit="1" customWidth="1"/>
    <col min="1383" max="1383" width="9.42578125" style="40" customWidth="1"/>
    <col min="1384" max="1384" width="13.5703125" style="40" bestFit="1" customWidth="1"/>
    <col min="1385" max="1386" width="9.42578125" style="40" customWidth="1"/>
    <col min="1387" max="1387" width="13.5703125" style="40" bestFit="1" customWidth="1"/>
    <col min="1388" max="1388" width="9.42578125" style="40" customWidth="1"/>
    <col min="1389" max="1389" width="13.5703125" style="40" bestFit="1" customWidth="1"/>
    <col min="1390" max="1391" width="9.42578125" style="40" customWidth="1"/>
    <col min="1392" max="1392" width="13.5703125" style="40" bestFit="1" customWidth="1"/>
    <col min="1393" max="1393" width="9.42578125" style="40" customWidth="1"/>
    <col min="1394" max="1394" width="3" style="40" customWidth="1"/>
    <col min="1395" max="1395" width="14.140625" style="40" customWidth="1"/>
    <col min="1396" max="1396" width="6.42578125" style="40" customWidth="1"/>
    <col min="1397" max="1628" width="9" style="40"/>
    <col min="1629" max="1629" width="1.42578125" style="40" customWidth="1"/>
    <col min="1630" max="1630" width="3.5703125" style="40" customWidth="1"/>
    <col min="1631" max="1631" width="10.7109375" style="40" customWidth="1"/>
    <col min="1632" max="1632" width="5.42578125" style="40" customWidth="1"/>
    <col min="1633" max="1633" width="13.5703125" style="40" bestFit="1" customWidth="1"/>
    <col min="1634" max="1634" width="9.42578125" style="40" customWidth="1"/>
    <col min="1635" max="1635" width="13.5703125" style="40" bestFit="1" customWidth="1"/>
    <col min="1636" max="1636" width="7" style="40" bestFit="1" customWidth="1"/>
    <col min="1637" max="1637" width="11.5703125" style="40" customWidth="1"/>
    <col min="1638" max="1638" width="13.5703125" style="40" bestFit="1" customWidth="1"/>
    <col min="1639" max="1639" width="9.42578125" style="40" customWidth="1"/>
    <col min="1640" max="1640" width="13.5703125" style="40" bestFit="1" customWidth="1"/>
    <col min="1641" max="1642" width="9.42578125" style="40" customWidth="1"/>
    <col min="1643" max="1643" width="13.5703125" style="40" bestFit="1" customWidth="1"/>
    <col min="1644" max="1644" width="9.42578125" style="40" customWidth="1"/>
    <col min="1645" max="1645" width="13.5703125" style="40" bestFit="1" customWidth="1"/>
    <col min="1646" max="1647" width="9.42578125" style="40" customWidth="1"/>
    <col min="1648" max="1648" width="13.5703125" style="40" bestFit="1" customWidth="1"/>
    <col min="1649" max="1649" width="9.42578125" style="40" customWidth="1"/>
    <col min="1650" max="1650" width="3" style="40" customWidth="1"/>
    <col min="1651" max="1651" width="14.140625" style="40" customWidth="1"/>
    <col min="1652" max="1652" width="6.42578125" style="40" customWidth="1"/>
    <col min="1653" max="1884" width="9" style="40"/>
    <col min="1885" max="1885" width="1.42578125" style="40" customWidth="1"/>
    <col min="1886" max="1886" width="3.5703125" style="40" customWidth="1"/>
    <col min="1887" max="1887" width="10.7109375" style="40" customWidth="1"/>
    <col min="1888" max="1888" width="5.42578125" style="40" customWidth="1"/>
    <col min="1889" max="1889" width="13.5703125" style="40" bestFit="1" customWidth="1"/>
    <col min="1890" max="1890" width="9.42578125" style="40" customWidth="1"/>
    <col min="1891" max="1891" width="13.5703125" style="40" bestFit="1" customWidth="1"/>
    <col min="1892" max="1892" width="7" style="40" bestFit="1" customWidth="1"/>
    <col min="1893" max="1893" width="11.5703125" style="40" customWidth="1"/>
    <col min="1894" max="1894" width="13.5703125" style="40" bestFit="1" customWidth="1"/>
    <col min="1895" max="1895" width="9.42578125" style="40" customWidth="1"/>
    <col min="1896" max="1896" width="13.5703125" style="40" bestFit="1" customWidth="1"/>
    <col min="1897" max="1898" width="9.42578125" style="40" customWidth="1"/>
    <col min="1899" max="1899" width="13.5703125" style="40" bestFit="1" customWidth="1"/>
    <col min="1900" max="1900" width="9.42578125" style="40" customWidth="1"/>
    <col min="1901" max="1901" width="13.5703125" style="40" bestFit="1" customWidth="1"/>
    <col min="1902" max="1903" width="9.42578125" style="40" customWidth="1"/>
    <col min="1904" max="1904" width="13.5703125" style="40" bestFit="1" customWidth="1"/>
    <col min="1905" max="1905" width="9.42578125" style="40" customWidth="1"/>
    <col min="1906" max="1906" width="3" style="40" customWidth="1"/>
    <col min="1907" max="1907" width="14.140625" style="40" customWidth="1"/>
    <col min="1908" max="1908" width="6.42578125" style="40" customWidth="1"/>
    <col min="1909" max="2140" width="9" style="40"/>
    <col min="2141" max="2141" width="1.42578125" style="40" customWidth="1"/>
    <col min="2142" max="2142" width="3.5703125" style="40" customWidth="1"/>
    <col min="2143" max="2143" width="10.7109375" style="40" customWidth="1"/>
    <col min="2144" max="2144" width="5.42578125" style="40" customWidth="1"/>
    <col min="2145" max="2145" width="13.5703125" style="40" bestFit="1" customWidth="1"/>
    <col min="2146" max="2146" width="9.42578125" style="40" customWidth="1"/>
    <col min="2147" max="2147" width="13.5703125" style="40" bestFit="1" customWidth="1"/>
    <col min="2148" max="2148" width="7" style="40" bestFit="1" customWidth="1"/>
    <col min="2149" max="2149" width="11.5703125" style="40" customWidth="1"/>
    <col min="2150" max="2150" width="13.5703125" style="40" bestFit="1" customWidth="1"/>
    <col min="2151" max="2151" width="9.42578125" style="40" customWidth="1"/>
    <col min="2152" max="2152" width="13.5703125" style="40" bestFit="1" customWidth="1"/>
    <col min="2153" max="2154" width="9.42578125" style="40" customWidth="1"/>
    <col min="2155" max="2155" width="13.5703125" style="40" bestFit="1" customWidth="1"/>
    <col min="2156" max="2156" width="9.42578125" style="40" customWidth="1"/>
    <col min="2157" max="2157" width="13.5703125" style="40" bestFit="1" customWidth="1"/>
    <col min="2158" max="2159" width="9.42578125" style="40" customWidth="1"/>
    <col min="2160" max="2160" width="13.5703125" style="40" bestFit="1" customWidth="1"/>
    <col min="2161" max="2161" width="9.42578125" style="40" customWidth="1"/>
    <col min="2162" max="2162" width="3" style="40" customWidth="1"/>
    <col min="2163" max="2163" width="14.140625" style="40" customWidth="1"/>
    <col min="2164" max="2164" width="6.42578125" style="40" customWidth="1"/>
    <col min="2165" max="2396" width="9" style="40"/>
    <col min="2397" max="2397" width="1.42578125" style="40" customWidth="1"/>
    <col min="2398" max="2398" width="3.5703125" style="40" customWidth="1"/>
    <col min="2399" max="2399" width="10.7109375" style="40" customWidth="1"/>
    <col min="2400" max="2400" width="5.42578125" style="40" customWidth="1"/>
    <col min="2401" max="2401" width="13.5703125" style="40" bestFit="1" customWidth="1"/>
    <col min="2402" max="2402" width="9.42578125" style="40" customWidth="1"/>
    <col min="2403" max="2403" width="13.5703125" style="40" bestFit="1" customWidth="1"/>
    <col min="2404" max="2404" width="7" style="40" bestFit="1" customWidth="1"/>
    <col min="2405" max="2405" width="11.5703125" style="40" customWidth="1"/>
    <col min="2406" max="2406" width="13.5703125" style="40" bestFit="1" customWidth="1"/>
    <col min="2407" max="2407" width="9.42578125" style="40" customWidth="1"/>
    <col min="2408" max="2408" width="13.5703125" style="40" bestFit="1" customWidth="1"/>
    <col min="2409" max="2410" width="9.42578125" style="40" customWidth="1"/>
    <col min="2411" max="2411" width="13.5703125" style="40" bestFit="1" customWidth="1"/>
    <col min="2412" max="2412" width="9.42578125" style="40" customWidth="1"/>
    <col min="2413" max="2413" width="13.5703125" style="40" bestFit="1" customWidth="1"/>
    <col min="2414" max="2415" width="9.42578125" style="40" customWidth="1"/>
    <col min="2416" max="2416" width="13.5703125" style="40" bestFit="1" customWidth="1"/>
    <col min="2417" max="2417" width="9.42578125" style="40" customWidth="1"/>
    <col min="2418" max="2418" width="3" style="40" customWidth="1"/>
    <col min="2419" max="2419" width="14.140625" style="40" customWidth="1"/>
    <col min="2420" max="2420" width="6.42578125" style="40" customWidth="1"/>
    <col min="2421" max="2652" width="9" style="40"/>
    <col min="2653" max="2653" width="1.42578125" style="40" customWidth="1"/>
    <col min="2654" max="2654" width="3.5703125" style="40" customWidth="1"/>
    <col min="2655" max="2655" width="10.7109375" style="40" customWidth="1"/>
    <col min="2656" max="2656" width="5.42578125" style="40" customWidth="1"/>
    <col min="2657" max="2657" width="13.5703125" style="40" bestFit="1" customWidth="1"/>
    <col min="2658" max="2658" width="9.42578125" style="40" customWidth="1"/>
    <col min="2659" max="2659" width="13.5703125" style="40" bestFit="1" customWidth="1"/>
    <col min="2660" max="2660" width="7" style="40" bestFit="1" customWidth="1"/>
    <col min="2661" max="2661" width="11.5703125" style="40" customWidth="1"/>
    <col min="2662" max="2662" width="13.5703125" style="40" bestFit="1" customWidth="1"/>
    <col min="2663" max="2663" width="9.42578125" style="40" customWidth="1"/>
    <col min="2664" max="2664" width="13.5703125" style="40" bestFit="1" customWidth="1"/>
    <col min="2665" max="2666" width="9.42578125" style="40" customWidth="1"/>
    <col min="2667" max="2667" width="13.5703125" style="40" bestFit="1" customWidth="1"/>
    <col min="2668" max="2668" width="9.42578125" style="40" customWidth="1"/>
    <col min="2669" max="2669" width="13.5703125" style="40" bestFit="1" customWidth="1"/>
    <col min="2670" max="2671" width="9.42578125" style="40" customWidth="1"/>
    <col min="2672" max="2672" width="13.5703125" style="40" bestFit="1" customWidth="1"/>
    <col min="2673" max="2673" width="9.42578125" style="40" customWidth="1"/>
    <col min="2674" max="2674" width="3" style="40" customWidth="1"/>
    <col min="2675" max="2675" width="14.140625" style="40" customWidth="1"/>
    <col min="2676" max="2676" width="6.42578125" style="40" customWidth="1"/>
    <col min="2677" max="2908" width="9" style="40"/>
    <col min="2909" max="2909" width="1.42578125" style="40" customWidth="1"/>
    <col min="2910" max="2910" width="3.5703125" style="40" customWidth="1"/>
    <col min="2911" max="2911" width="10.7109375" style="40" customWidth="1"/>
    <col min="2912" max="2912" width="5.42578125" style="40" customWidth="1"/>
    <col min="2913" max="2913" width="13.5703125" style="40" bestFit="1" customWidth="1"/>
    <col min="2914" max="2914" width="9.42578125" style="40" customWidth="1"/>
    <col min="2915" max="2915" width="13.5703125" style="40" bestFit="1" customWidth="1"/>
    <col min="2916" max="2916" width="7" style="40" bestFit="1" customWidth="1"/>
    <col min="2917" max="2917" width="11.5703125" style="40" customWidth="1"/>
    <col min="2918" max="2918" width="13.5703125" style="40" bestFit="1" customWidth="1"/>
    <col min="2919" max="2919" width="9.42578125" style="40" customWidth="1"/>
    <col min="2920" max="2920" width="13.5703125" style="40" bestFit="1" customWidth="1"/>
    <col min="2921" max="2922" width="9.42578125" style="40" customWidth="1"/>
    <col min="2923" max="2923" width="13.5703125" style="40" bestFit="1" customWidth="1"/>
    <col min="2924" max="2924" width="9.42578125" style="40" customWidth="1"/>
    <col min="2925" max="2925" width="13.5703125" style="40" bestFit="1" customWidth="1"/>
    <col min="2926" max="2927" width="9.42578125" style="40" customWidth="1"/>
    <col min="2928" max="2928" width="13.5703125" style="40" bestFit="1" customWidth="1"/>
    <col min="2929" max="2929" width="9.42578125" style="40" customWidth="1"/>
    <col min="2930" max="2930" width="3" style="40" customWidth="1"/>
    <col min="2931" max="2931" width="14.140625" style="40" customWidth="1"/>
    <col min="2932" max="2932" width="6.42578125" style="40" customWidth="1"/>
    <col min="2933" max="3164" width="9" style="40"/>
    <col min="3165" max="3165" width="1.42578125" style="40" customWidth="1"/>
    <col min="3166" max="3166" width="3.5703125" style="40" customWidth="1"/>
    <col min="3167" max="3167" width="10.7109375" style="40" customWidth="1"/>
    <col min="3168" max="3168" width="5.42578125" style="40" customWidth="1"/>
    <col min="3169" max="3169" width="13.5703125" style="40" bestFit="1" customWidth="1"/>
    <col min="3170" max="3170" width="9.42578125" style="40" customWidth="1"/>
    <col min="3171" max="3171" width="13.5703125" style="40" bestFit="1" customWidth="1"/>
    <col min="3172" max="3172" width="7" style="40" bestFit="1" customWidth="1"/>
    <col min="3173" max="3173" width="11.5703125" style="40" customWidth="1"/>
    <col min="3174" max="3174" width="13.5703125" style="40" bestFit="1" customWidth="1"/>
    <col min="3175" max="3175" width="9.42578125" style="40" customWidth="1"/>
    <col min="3176" max="3176" width="13.5703125" style="40" bestFit="1" customWidth="1"/>
    <col min="3177" max="3178" width="9.42578125" style="40" customWidth="1"/>
    <col min="3179" max="3179" width="13.5703125" style="40" bestFit="1" customWidth="1"/>
    <col min="3180" max="3180" width="9.42578125" style="40" customWidth="1"/>
    <col min="3181" max="3181" width="13.5703125" style="40" bestFit="1" customWidth="1"/>
    <col min="3182" max="3183" width="9.42578125" style="40" customWidth="1"/>
    <col min="3184" max="3184" width="13.5703125" style="40" bestFit="1" customWidth="1"/>
    <col min="3185" max="3185" width="9.42578125" style="40" customWidth="1"/>
    <col min="3186" max="3186" width="3" style="40" customWidth="1"/>
    <col min="3187" max="3187" width="14.140625" style="40" customWidth="1"/>
    <col min="3188" max="3188" width="6.42578125" style="40" customWidth="1"/>
    <col min="3189" max="3420" width="9" style="40"/>
    <col min="3421" max="3421" width="1.42578125" style="40" customWidth="1"/>
    <col min="3422" max="3422" width="3.5703125" style="40" customWidth="1"/>
    <col min="3423" max="3423" width="10.7109375" style="40" customWidth="1"/>
    <col min="3424" max="3424" width="5.42578125" style="40" customWidth="1"/>
    <col min="3425" max="3425" width="13.5703125" style="40" bestFit="1" customWidth="1"/>
    <col min="3426" max="3426" width="9.42578125" style="40" customWidth="1"/>
    <col min="3427" max="3427" width="13.5703125" style="40" bestFit="1" customWidth="1"/>
    <col min="3428" max="3428" width="7" style="40" bestFit="1" customWidth="1"/>
    <col min="3429" max="3429" width="11.5703125" style="40" customWidth="1"/>
    <col min="3430" max="3430" width="13.5703125" style="40" bestFit="1" customWidth="1"/>
    <col min="3431" max="3431" width="9.42578125" style="40" customWidth="1"/>
    <col min="3432" max="3432" width="13.5703125" style="40" bestFit="1" customWidth="1"/>
    <col min="3433" max="3434" width="9.42578125" style="40" customWidth="1"/>
    <col min="3435" max="3435" width="13.5703125" style="40" bestFit="1" customWidth="1"/>
    <col min="3436" max="3436" width="9.42578125" style="40" customWidth="1"/>
    <col min="3437" max="3437" width="13.5703125" style="40" bestFit="1" customWidth="1"/>
    <col min="3438" max="3439" width="9.42578125" style="40" customWidth="1"/>
    <col min="3440" max="3440" width="13.5703125" style="40" bestFit="1" customWidth="1"/>
    <col min="3441" max="3441" width="9.42578125" style="40" customWidth="1"/>
    <col min="3442" max="3442" width="3" style="40" customWidth="1"/>
    <col min="3443" max="3443" width="14.140625" style="40" customWidth="1"/>
    <col min="3444" max="3444" width="6.42578125" style="40" customWidth="1"/>
    <col min="3445" max="3676" width="9" style="40"/>
    <col min="3677" max="3677" width="1.42578125" style="40" customWidth="1"/>
    <col min="3678" max="3678" width="3.5703125" style="40" customWidth="1"/>
    <col min="3679" max="3679" width="10.7109375" style="40" customWidth="1"/>
    <col min="3680" max="3680" width="5.42578125" style="40" customWidth="1"/>
    <col min="3681" max="3681" width="13.5703125" style="40" bestFit="1" customWidth="1"/>
    <col min="3682" max="3682" width="9.42578125" style="40" customWidth="1"/>
    <col min="3683" max="3683" width="13.5703125" style="40" bestFit="1" customWidth="1"/>
    <col min="3684" max="3684" width="7" style="40" bestFit="1" customWidth="1"/>
    <col min="3685" max="3685" width="11.5703125" style="40" customWidth="1"/>
    <col min="3686" max="3686" width="13.5703125" style="40" bestFit="1" customWidth="1"/>
    <col min="3687" max="3687" width="9.42578125" style="40" customWidth="1"/>
    <col min="3688" max="3688" width="13.5703125" style="40" bestFit="1" customWidth="1"/>
    <col min="3689" max="3690" width="9.42578125" style="40" customWidth="1"/>
    <col min="3691" max="3691" width="13.5703125" style="40" bestFit="1" customWidth="1"/>
    <col min="3692" max="3692" width="9.42578125" style="40" customWidth="1"/>
    <col min="3693" max="3693" width="13.5703125" style="40" bestFit="1" customWidth="1"/>
    <col min="3694" max="3695" width="9.42578125" style="40" customWidth="1"/>
    <col min="3696" max="3696" width="13.5703125" style="40" bestFit="1" customWidth="1"/>
    <col min="3697" max="3697" width="9.42578125" style="40" customWidth="1"/>
    <col min="3698" max="3698" width="3" style="40" customWidth="1"/>
    <col min="3699" max="3699" width="14.140625" style="40" customWidth="1"/>
    <col min="3700" max="3700" width="6.42578125" style="40" customWidth="1"/>
    <col min="3701" max="3932" width="9" style="40"/>
    <col min="3933" max="3933" width="1.42578125" style="40" customWidth="1"/>
    <col min="3934" max="3934" width="3.5703125" style="40" customWidth="1"/>
    <col min="3935" max="3935" width="10.7109375" style="40" customWidth="1"/>
    <col min="3936" max="3936" width="5.42578125" style="40" customWidth="1"/>
    <col min="3937" max="3937" width="13.5703125" style="40" bestFit="1" customWidth="1"/>
    <col min="3938" max="3938" width="9.42578125" style="40" customWidth="1"/>
    <col min="3939" max="3939" width="13.5703125" style="40" bestFit="1" customWidth="1"/>
    <col min="3940" max="3940" width="7" style="40" bestFit="1" customWidth="1"/>
    <col min="3941" max="3941" width="11.5703125" style="40" customWidth="1"/>
    <col min="3942" max="3942" width="13.5703125" style="40" bestFit="1" customWidth="1"/>
    <col min="3943" max="3943" width="9.42578125" style="40" customWidth="1"/>
    <col min="3944" max="3944" width="13.5703125" style="40" bestFit="1" customWidth="1"/>
    <col min="3945" max="3946" width="9.42578125" style="40" customWidth="1"/>
    <col min="3947" max="3947" width="13.5703125" style="40" bestFit="1" customWidth="1"/>
    <col min="3948" max="3948" width="9.42578125" style="40" customWidth="1"/>
    <col min="3949" max="3949" width="13.5703125" style="40" bestFit="1" customWidth="1"/>
    <col min="3950" max="3951" width="9.42578125" style="40" customWidth="1"/>
    <col min="3952" max="3952" width="13.5703125" style="40" bestFit="1" customWidth="1"/>
    <col min="3953" max="3953" width="9.42578125" style="40" customWidth="1"/>
    <col min="3954" max="3954" width="3" style="40" customWidth="1"/>
    <col min="3955" max="3955" width="14.140625" style="40" customWidth="1"/>
    <col min="3956" max="3956" width="6.42578125" style="40" customWidth="1"/>
    <col min="3957" max="4188" width="9" style="40"/>
    <col min="4189" max="4189" width="1.42578125" style="40" customWidth="1"/>
    <col min="4190" max="4190" width="3.5703125" style="40" customWidth="1"/>
    <col min="4191" max="4191" width="10.7109375" style="40" customWidth="1"/>
    <col min="4192" max="4192" width="5.42578125" style="40" customWidth="1"/>
    <col min="4193" max="4193" width="13.5703125" style="40" bestFit="1" customWidth="1"/>
    <col min="4194" max="4194" width="9.42578125" style="40" customWidth="1"/>
    <col min="4195" max="4195" width="13.5703125" style="40" bestFit="1" customWidth="1"/>
    <col min="4196" max="4196" width="7" style="40" bestFit="1" customWidth="1"/>
    <col min="4197" max="4197" width="11.5703125" style="40" customWidth="1"/>
    <col min="4198" max="4198" width="13.5703125" style="40" bestFit="1" customWidth="1"/>
    <col min="4199" max="4199" width="9.42578125" style="40" customWidth="1"/>
    <col min="4200" max="4200" width="13.5703125" style="40" bestFit="1" customWidth="1"/>
    <col min="4201" max="4202" width="9.42578125" style="40" customWidth="1"/>
    <col min="4203" max="4203" width="13.5703125" style="40" bestFit="1" customWidth="1"/>
    <col min="4204" max="4204" width="9.42578125" style="40" customWidth="1"/>
    <col min="4205" max="4205" width="13.5703125" style="40" bestFit="1" customWidth="1"/>
    <col min="4206" max="4207" width="9.42578125" style="40" customWidth="1"/>
    <col min="4208" max="4208" width="13.5703125" style="40" bestFit="1" customWidth="1"/>
    <col min="4209" max="4209" width="9.42578125" style="40" customWidth="1"/>
    <col min="4210" max="4210" width="3" style="40" customWidth="1"/>
    <col min="4211" max="4211" width="14.140625" style="40" customWidth="1"/>
    <col min="4212" max="4212" width="6.42578125" style="40" customWidth="1"/>
    <col min="4213" max="4444" width="9" style="40"/>
    <col min="4445" max="4445" width="1.42578125" style="40" customWidth="1"/>
    <col min="4446" max="4446" width="3.5703125" style="40" customWidth="1"/>
    <col min="4447" max="4447" width="10.7109375" style="40" customWidth="1"/>
    <col min="4448" max="4448" width="5.42578125" style="40" customWidth="1"/>
    <col min="4449" max="4449" width="13.5703125" style="40" bestFit="1" customWidth="1"/>
    <col min="4450" max="4450" width="9.42578125" style="40" customWidth="1"/>
    <col min="4451" max="4451" width="13.5703125" style="40" bestFit="1" customWidth="1"/>
    <col min="4452" max="4452" width="7" style="40" bestFit="1" customWidth="1"/>
    <col min="4453" max="4453" width="11.5703125" style="40" customWidth="1"/>
    <col min="4454" max="4454" width="13.5703125" style="40" bestFit="1" customWidth="1"/>
    <col min="4455" max="4455" width="9.42578125" style="40" customWidth="1"/>
    <col min="4456" max="4456" width="13.5703125" style="40" bestFit="1" customWidth="1"/>
    <col min="4457" max="4458" width="9.42578125" style="40" customWidth="1"/>
    <col min="4459" max="4459" width="13.5703125" style="40" bestFit="1" customWidth="1"/>
    <col min="4460" max="4460" width="9.42578125" style="40" customWidth="1"/>
    <col min="4461" max="4461" width="13.5703125" style="40" bestFit="1" customWidth="1"/>
    <col min="4462" max="4463" width="9.42578125" style="40" customWidth="1"/>
    <col min="4464" max="4464" width="13.5703125" style="40" bestFit="1" customWidth="1"/>
    <col min="4465" max="4465" width="9.42578125" style="40" customWidth="1"/>
    <col min="4466" max="4466" width="3" style="40" customWidth="1"/>
    <col min="4467" max="4467" width="14.140625" style="40" customWidth="1"/>
    <col min="4468" max="4468" width="6.42578125" style="40" customWidth="1"/>
    <col min="4469" max="4700" width="9" style="40"/>
    <col min="4701" max="4701" width="1.42578125" style="40" customWidth="1"/>
    <col min="4702" max="4702" width="3.5703125" style="40" customWidth="1"/>
    <col min="4703" max="4703" width="10.7109375" style="40" customWidth="1"/>
    <col min="4704" max="4704" width="5.42578125" style="40" customWidth="1"/>
    <col min="4705" max="4705" width="13.5703125" style="40" bestFit="1" customWidth="1"/>
    <col min="4706" max="4706" width="9.42578125" style="40" customWidth="1"/>
    <col min="4707" max="4707" width="13.5703125" style="40" bestFit="1" customWidth="1"/>
    <col min="4708" max="4708" width="7" style="40" bestFit="1" customWidth="1"/>
    <col min="4709" max="4709" width="11.5703125" style="40" customWidth="1"/>
    <col min="4710" max="4710" width="13.5703125" style="40" bestFit="1" customWidth="1"/>
    <col min="4711" max="4711" width="9.42578125" style="40" customWidth="1"/>
    <col min="4712" max="4712" width="13.5703125" style="40" bestFit="1" customWidth="1"/>
    <col min="4713" max="4714" width="9.42578125" style="40" customWidth="1"/>
    <col min="4715" max="4715" width="13.5703125" style="40" bestFit="1" customWidth="1"/>
    <col min="4716" max="4716" width="9.42578125" style="40" customWidth="1"/>
    <col min="4717" max="4717" width="13.5703125" style="40" bestFit="1" customWidth="1"/>
    <col min="4718" max="4719" width="9.42578125" style="40" customWidth="1"/>
    <col min="4720" max="4720" width="13.5703125" style="40" bestFit="1" customWidth="1"/>
    <col min="4721" max="4721" width="9.42578125" style="40" customWidth="1"/>
    <col min="4722" max="4722" width="3" style="40" customWidth="1"/>
    <col min="4723" max="4723" width="14.140625" style="40" customWidth="1"/>
    <col min="4724" max="4724" width="6.42578125" style="40" customWidth="1"/>
    <col min="4725" max="4956" width="9" style="40"/>
    <col min="4957" max="4957" width="1.42578125" style="40" customWidth="1"/>
    <col min="4958" max="4958" width="3.5703125" style="40" customWidth="1"/>
    <col min="4959" max="4959" width="10.7109375" style="40" customWidth="1"/>
    <col min="4960" max="4960" width="5.42578125" style="40" customWidth="1"/>
    <col min="4961" max="4961" width="13.5703125" style="40" bestFit="1" customWidth="1"/>
    <col min="4962" max="4962" width="9.42578125" style="40" customWidth="1"/>
    <col min="4963" max="4963" width="13.5703125" style="40" bestFit="1" customWidth="1"/>
    <col min="4964" max="4964" width="7" style="40" bestFit="1" customWidth="1"/>
    <col min="4965" max="4965" width="11.5703125" style="40" customWidth="1"/>
    <col min="4966" max="4966" width="13.5703125" style="40" bestFit="1" customWidth="1"/>
    <col min="4967" max="4967" width="9.42578125" style="40" customWidth="1"/>
    <col min="4968" max="4968" width="13.5703125" style="40" bestFit="1" customWidth="1"/>
    <col min="4969" max="4970" width="9.42578125" style="40" customWidth="1"/>
    <col min="4971" max="4971" width="13.5703125" style="40" bestFit="1" customWidth="1"/>
    <col min="4972" max="4972" width="9.42578125" style="40" customWidth="1"/>
    <col min="4973" max="4973" width="13.5703125" style="40" bestFit="1" customWidth="1"/>
    <col min="4974" max="4975" width="9.42578125" style="40" customWidth="1"/>
    <col min="4976" max="4976" width="13.5703125" style="40" bestFit="1" customWidth="1"/>
    <col min="4977" max="4977" width="9.42578125" style="40" customWidth="1"/>
    <col min="4978" max="4978" width="3" style="40" customWidth="1"/>
    <col min="4979" max="4979" width="14.140625" style="40" customWidth="1"/>
    <col min="4980" max="4980" width="6.42578125" style="40" customWidth="1"/>
    <col min="4981" max="5212" width="9" style="40"/>
    <col min="5213" max="5213" width="1.42578125" style="40" customWidth="1"/>
    <col min="5214" max="5214" width="3.5703125" style="40" customWidth="1"/>
    <col min="5215" max="5215" width="10.7109375" style="40" customWidth="1"/>
    <col min="5216" max="5216" width="5.42578125" style="40" customWidth="1"/>
    <col min="5217" max="5217" width="13.5703125" style="40" bestFit="1" customWidth="1"/>
    <col min="5218" max="5218" width="9.42578125" style="40" customWidth="1"/>
    <col min="5219" max="5219" width="13.5703125" style="40" bestFit="1" customWidth="1"/>
    <col min="5220" max="5220" width="7" style="40" bestFit="1" customWidth="1"/>
    <col min="5221" max="5221" width="11.5703125" style="40" customWidth="1"/>
    <col min="5222" max="5222" width="13.5703125" style="40" bestFit="1" customWidth="1"/>
    <col min="5223" max="5223" width="9.42578125" style="40" customWidth="1"/>
    <col min="5224" max="5224" width="13.5703125" style="40" bestFit="1" customWidth="1"/>
    <col min="5225" max="5226" width="9.42578125" style="40" customWidth="1"/>
    <col min="5227" max="5227" width="13.5703125" style="40" bestFit="1" customWidth="1"/>
    <col min="5228" max="5228" width="9.42578125" style="40" customWidth="1"/>
    <col min="5229" max="5229" width="13.5703125" style="40" bestFit="1" customWidth="1"/>
    <col min="5230" max="5231" width="9.42578125" style="40" customWidth="1"/>
    <col min="5232" max="5232" width="13.5703125" style="40" bestFit="1" customWidth="1"/>
    <col min="5233" max="5233" width="9.42578125" style="40" customWidth="1"/>
    <col min="5234" max="5234" width="3" style="40" customWidth="1"/>
    <col min="5235" max="5235" width="14.140625" style="40" customWidth="1"/>
    <col min="5236" max="5236" width="6.42578125" style="40" customWidth="1"/>
    <col min="5237" max="5468" width="9" style="40"/>
    <col min="5469" max="5469" width="1.42578125" style="40" customWidth="1"/>
    <col min="5470" max="5470" width="3.5703125" style="40" customWidth="1"/>
    <col min="5471" max="5471" width="10.7109375" style="40" customWidth="1"/>
    <col min="5472" max="5472" width="5.42578125" style="40" customWidth="1"/>
    <col min="5473" max="5473" width="13.5703125" style="40" bestFit="1" customWidth="1"/>
    <col min="5474" max="5474" width="9.42578125" style="40" customWidth="1"/>
    <col min="5475" max="5475" width="13.5703125" style="40" bestFit="1" customWidth="1"/>
    <col min="5476" max="5476" width="7" style="40" bestFit="1" customWidth="1"/>
    <col min="5477" max="5477" width="11.5703125" style="40" customWidth="1"/>
    <col min="5478" max="5478" width="13.5703125" style="40" bestFit="1" customWidth="1"/>
    <col min="5479" max="5479" width="9.42578125" style="40" customWidth="1"/>
    <col min="5480" max="5480" width="13.5703125" style="40" bestFit="1" customWidth="1"/>
    <col min="5481" max="5482" width="9.42578125" style="40" customWidth="1"/>
    <col min="5483" max="5483" width="13.5703125" style="40" bestFit="1" customWidth="1"/>
    <col min="5484" max="5484" width="9.42578125" style="40" customWidth="1"/>
    <col min="5485" max="5485" width="13.5703125" style="40" bestFit="1" customWidth="1"/>
    <col min="5486" max="5487" width="9.42578125" style="40" customWidth="1"/>
    <col min="5488" max="5488" width="13.5703125" style="40" bestFit="1" customWidth="1"/>
    <col min="5489" max="5489" width="9.42578125" style="40" customWidth="1"/>
    <col min="5490" max="5490" width="3" style="40" customWidth="1"/>
    <col min="5491" max="5491" width="14.140625" style="40" customWidth="1"/>
    <col min="5492" max="5492" width="6.42578125" style="40" customWidth="1"/>
    <col min="5493" max="5724" width="9" style="40"/>
    <col min="5725" max="5725" width="1.42578125" style="40" customWidth="1"/>
    <col min="5726" max="5726" width="3.5703125" style="40" customWidth="1"/>
    <col min="5727" max="5727" width="10.7109375" style="40" customWidth="1"/>
    <col min="5728" max="5728" width="5.42578125" style="40" customWidth="1"/>
    <col min="5729" max="5729" width="13.5703125" style="40" bestFit="1" customWidth="1"/>
    <col min="5730" max="5730" width="9.42578125" style="40" customWidth="1"/>
    <col min="5731" max="5731" width="13.5703125" style="40" bestFit="1" customWidth="1"/>
    <col min="5732" max="5732" width="7" style="40" bestFit="1" customWidth="1"/>
    <col min="5733" max="5733" width="11.5703125" style="40" customWidth="1"/>
    <col min="5734" max="5734" width="13.5703125" style="40" bestFit="1" customWidth="1"/>
    <col min="5735" max="5735" width="9.42578125" style="40" customWidth="1"/>
    <col min="5736" max="5736" width="13.5703125" style="40" bestFit="1" customWidth="1"/>
    <col min="5737" max="5738" width="9.42578125" style="40" customWidth="1"/>
    <col min="5739" max="5739" width="13.5703125" style="40" bestFit="1" customWidth="1"/>
    <col min="5740" max="5740" width="9.42578125" style="40" customWidth="1"/>
    <col min="5741" max="5741" width="13.5703125" style="40" bestFit="1" customWidth="1"/>
    <col min="5742" max="5743" width="9.42578125" style="40" customWidth="1"/>
    <col min="5744" max="5744" width="13.5703125" style="40" bestFit="1" customWidth="1"/>
    <col min="5745" max="5745" width="9.42578125" style="40" customWidth="1"/>
    <col min="5746" max="5746" width="3" style="40" customWidth="1"/>
    <col min="5747" max="5747" width="14.140625" style="40" customWidth="1"/>
    <col min="5748" max="5748" width="6.42578125" style="40" customWidth="1"/>
    <col min="5749" max="5980" width="9" style="40"/>
    <col min="5981" max="5981" width="1.42578125" style="40" customWidth="1"/>
    <col min="5982" max="5982" width="3.5703125" style="40" customWidth="1"/>
    <col min="5983" max="5983" width="10.7109375" style="40" customWidth="1"/>
    <col min="5984" max="5984" width="5.42578125" style="40" customWidth="1"/>
    <col min="5985" max="5985" width="13.5703125" style="40" bestFit="1" customWidth="1"/>
    <col min="5986" max="5986" width="9.42578125" style="40" customWidth="1"/>
    <col min="5987" max="5987" width="13.5703125" style="40" bestFit="1" customWidth="1"/>
    <col min="5988" max="5988" width="7" style="40" bestFit="1" customWidth="1"/>
    <col min="5989" max="5989" width="11.5703125" style="40" customWidth="1"/>
    <col min="5990" max="5990" width="13.5703125" style="40" bestFit="1" customWidth="1"/>
    <col min="5991" max="5991" width="9.42578125" style="40" customWidth="1"/>
    <col min="5992" max="5992" width="13.5703125" style="40" bestFit="1" customWidth="1"/>
    <col min="5993" max="5994" width="9.42578125" style="40" customWidth="1"/>
    <col min="5995" max="5995" width="13.5703125" style="40" bestFit="1" customWidth="1"/>
    <col min="5996" max="5996" width="9.42578125" style="40" customWidth="1"/>
    <col min="5997" max="5997" width="13.5703125" style="40" bestFit="1" customWidth="1"/>
    <col min="5998" max="5999" width="9.42578125" style="40" customWidth="1"/>
    <col min="6000" max="6000" width="13.5703125" style="40" bestFit="1" customWidth="1"/>
    <col min="6001" max="6001" width="9.42578125" style="40" customWidth="1"/>
    <col min="6002" max="6002" width="3" style="40" customWidth="1"/>
    <col min="6003" max="6003" width="14.140625" style="40" customWidth="1"/>
    <col min="6004" max="6004" width="6.42578125" style="40" customWidth="1"/>
    <col min="6005" max="6236" width="9" style="40"/>
    <col min="6237" max="6237" width="1.42578125" style="40" customWidth="1"/>
    <col min="6238" max="6238" width="3.5703125" style="40" customWidth="1"/>
    <col min="6239" max="6239" width="10.7109375" style="40" customWidth="1"/>
    <col min="6240" max="6240" width="5.42578125" style="40" customWidth="1"/>
    <col min="6241" max="6241" width="13.5703125" style="40" bestFit="1" customWidth="1"/>
    <col min="6242" max="6242" width="9.42578125" style="40" customWidth="1"/>
    <col min="6243" max="6243" width="13.5703125" style="40" bestFit="1" customWidth="1"/>
    <col min="6244" max="6244" width="7" style="40" bestFit="1" customWidth="1"/>
    <col min="6245" max="6245" width="11.5703125" style="40" customWidth="1"/>
    <col min="6246" max="6246" width="13.5703125" style="40" bestFit="1" customWidth="1"/>
    <col min="6247" max="6247" width="9.42578125" style="40" customWidth="1"/>
    <col min="6248" max="6248" width="13.5703125" style="40" bestFit="1" customWidth="1"/>
    <col min="6249" max="6250" width="9.42578125" style="40" customWidth="1"/>
    <col min="6251" max="6251" width="13.5703125" style="40" bestFit="1" customWidth="1"/>
    <col min="6252" max="6252" width="9.42578125" style="40" customWidth="1"/>
    <col min="6253" max="6253" width="13.5703125" style="40" bestFit="1" customWidth="1"/>
    <col min="6254" max="6255" width="9.42578125" style="40" customWidth="1"/>
    <col min="6256" max="6256" width="13.5703125" style="40" bestFit="1" customWidth="1"/>
    <col min="6257" max="6257" width="9.42578125" style="40" customWidth="1"/>
    <col min="6258" max="6258" width="3" style="40" customWidth="1"/>
    <col min="6259" max="6259" width="14.140625" style="40" customWidth="1"/>
    <col min="6260" max="6260" width="6.42578125" style="40" customWidth="1"/>
    <col min="6261" max="6492" width="9" style="40"/>
    <col min="6493" max="6493" width="1.42578125" style="40" customWidth="1"/>
    <col min="6494" max="6494" width="3.5703125" style="40" customWidth="1"/>
    <col min="6495" max="6495" width="10.7109375" style="40" customWidth="1"/>
    <col min="6496" max="6496" width="5.42578125" style="40" customWidth="1"/>
    <col min="6497" max="6497" width="13.5703125" style="40" bestFit="1" customWidth="1"/>
    <col min="6498" max="6498" width="9.42578125" style="40" customWidth="1"/>
    <col min="6499" max="6499" width="13.5703125" style="40" bestFit="1" customWidth="1"/>
    <col min="6500" max="6500" width="7" style="40" bestFit="1" customWidth="1"/>
    <col min="6501" max="6501" width="11.5703125" style="40" customWidth="1"/>
    <col min="6502" max="6502" width="13.5703125" style="40" bestFit="1" customWidth="1"/>
    <col min="6503" max="6503" width="9.42578125" style="40" customWidth="1"/>
    <col min="6504" max="6504" width="13.5703125" style="40" bestFit="1" customWidth="1"/>
    <col min="6505" max="6506" width="9.42578125" style="40" customWidth="1"/>
    <col min="6507" max="6507" width="13.5703125" style="40" bestFit="1" customWidth="1"/>
    <col min="6508" max="6508" width="9.42578125" style="40" customWidth="1"/>
    <col min="6509" max="6509" width="13.5703125" style="40" bestFit="1" customWidth="1"/>
    <col min="6510" max="6511" width="9.42578125" style="40" customWidth="1"/>
    <col min="6512" max="6512" width="13.5703125" style="40" bestFit="1" customWidth="1"/>
    <col min="6513" max="6513" width="9.42578125" style="40" customWidth="1"/>
    <col min="6514" max="6514" width="3" style="40" customWidth="1"/>
    <col min="6515" max="6515" width="14.140625" style="40" customWidth="1"/>
    <col min="6516" max="6516" width="6.42578125" style="40" customWidth="1"/>
    <col min="6517" max="6748" width="9" style="40"/>
    <col min="6749" max="6749" width="1.42578125" style="40" customWidth="1"/>
    <col min="6750" max="6750" width="3.5703125" style="40" customWidth="1"/>
    <col min="6751" max="6751" width="10.7109375" style="40" customWidth="1"/>
    <col min="6752" max="6752" width="5.42578125" style="40" customWidth="1"/>
    <col min="6753" max="6753" width="13.5703125" style="40" bestFit="1" customWidth="1"/>
    <col min="6754" max="6754" width="9.42578125" style="40" customWidth="1"/>
    <col min="6755" max="6755" width="13.5703125" style="40" bestFit="1" customWidth="1"/>
    <col min="6756" max="6756" width="7" style="40" bestFit="1" customWidth="1"/>
    <col min="6757" max="6757" width="11.5703125" style="40" customWidth="1"/>
    <col min="6758" max="6758" width="13.5703125" style="40" bestFit="1" customWidth="1"/>
    <col min="6759" max="6759" width="9.42578125" style="40" customWidth="1"/>
    <col min="6760" max="6760" width="13.5703125" style="40" bestFit="1" customWidth="1"/>
    <col min="6761" max="6762" width="9.42578125" style="40" customWidth="1"/>
    <col min="6763" max="6763" width="13.5703125" style="40" bestFit="1" customWidth="1"/>
    <col min="6764" max="6764" width="9.42578125" style="40" customWidth="1"/>
    <col min="6765" max="6765" width="13.5703125" style="40" bestFit="1" customWidth="1"/>
    <col min="6766" max="6767" width="9.42578125" style="40" customWidth="1"/>
    <col min="6768" max="6768" width="13.5703125" style="40" bestFit="1" customWidth="1"/>
    <col min="6769" max="6769" width="9.42578125" style="40" customWidth="1"/>
    <col min="6770" max="6770" width="3" style="40" customWidth="1"/>
    <col min="6771" max="6771" width="14.140625" style="40" customWidth="1"/>
    <col min="6772" max="6772" width="6.42578125" style="40" customWidth="1"/>
    <col min="6773" max="7004" width="9" style="40"/>
    <col min="7005" max="7005" width="1.42578125" style="40" customWidth="1"/>
    <col min="7006" max="7006" width="3.5703125" style="40" customWidth="1"/>
    <col min="7007" max="7007" width="10.7109375" style="40" customWidth="1"/>
    <col min="7008" max="7008" width="5.42578125" style="40" customWidth="1"/>
    <col min="7009" max="7009" width="13.5703125" style="40" bestFit="1" customWidth="1"/>
    <col min="7010" max="7010" width="9.42578125" style="40" customWidth="1"/>
    <col min="7011" max="7011" width="13.5703125" style="40" bestFit="1" customWidth="1"/>
    <col min="7012" max="7012" width="7" style="40" bestFit="1" customWidth="1"/>
    <col min="7013" max="7013" width="11.5703125" style="40" customWidth="1"/>
    <col min="7014" max="7014" width="13.5703125" style="40" bestFit="1" customWidth="1"/>
    <col min="7015" max="7015" width="9.42578125" style="40" customWidth="1"/>
    <col min="7016" max="7016" width="13.5703125" style="40" bestFit="1" customWidth="1"/>
    <col min="7017" max="7018" width="9.42578125" style="40" customWidth="1"/>
    <col min="7019" max="7019" width="13.5703125" style="40" bestFit="1" customWidth="1"/>
    <col min="7020" max="7020" width="9.42578125" style="40" customWidth="1"/>
    <col min="7021" max="7021" width="13.5703125" style="40" bestFit="1" customWidth="1"/>
    <col min="7022" max="7023" width="9.42578125" style="40" customWidth="1"/>
    <col min="7024" max="7024" width="13.5703125" style="40" bestFit="1" customWidth="1"/>
    <col min="7025" max="7025" width="9.42578125" style="40" customWidth="1"/>
    <col min="7026" max="7026" width="3" style="40" customWidth="1"/>
    <col min="7027" max="7027" width="14.140625" style="40" customWidth="1"/>
    <col min="7028" max="7028" width="6.42578125" style="40" customWidth="1"/>
    <col min="7029" max="7260" width="9" style="40"/>
    <col min="7261" max="7261" width="1.42578125" style="40" customWidth="1"/>
    <col min="7262" max="7262" width="3.5703125" style="40" customWidth="1"/>
    <col min="7263" max="7263" width="10.7109375" style="40" customWidth="1"/>
    <col min="7264" max="7264" width="5.42578125" style="40" customWidth="1"/>
    <col min="7265" max="7265" width="13.5703125" style="40" bestFit="1" customWidth="1"/>
    <col min="7266" max="7266" width="9.42578125" style="40" customWidth="1"/>
    <col min="7267" max="7267" width="13.5703125" style="40" bestFit="1" customWidth="1"/>
    <col min="7268" max="7268" width="7" style="40" bestFit="1" customWidth="1"/>
    <col min="7269" max="7269" width="11.5703125" style="40" customWidth="1"/>
    <col min="7270" max="7270" width="13.5703125" style="40" bestFit="1" customWidth="1"/>
    <col min="7271" max="7271" width="9.42578125" style="40" customWidth="1"/>
    <col min="7272" max="7272" width="13.5703125" style="40" bestFit="1" customWidth="1"/>
    <col min="7273" max="7274" width="9.42578125" style="40" customWidth="1"/>
    <col min="7275" max="7275" width="13.5703125" style="40" bestFit="1" customWidth="1"/>
    <col min="7276" max="7276" width="9.42578125" style="40" customWidth="1"/>
    <col min="7277" max="7277" width="13.5703125" style="40" bestFit="1" customWidth="1"/>
    <col min="7278" max="7279" width="9.42578125" style="40" customWidth="1"/>
    <col min="7280" max="7280" width="13.5703125" style="40" bestFit="1" customWidth="1"/>
    <col min="7281" max="7281" width="9.42578125" style="40" customWidth="1"/>
    <col min="7282" max="7282" width="3" style="40" customWidth="1"/>
    <col min="7283" max="7283" width="14.140625" style="40" customWidth="1"/>
    <col min="7284" max="7284" width="6.42578125" style="40" customWidth="1"/>
    <col min="7285" max="7516" width="9" style="40"/>
    <col min="7517" max="7517" width="1.42578125" style="40" customWidth="1"/>
    <col min="7518" max="7518" width="3.5703125" style="40" customWidth="1"/>
    <col min="7519" max="7519" width="10.7109375" style="40" customWidth="1"/>
    <col min="7520" max="7520" width="5.42578125" style="40" customWidth="1"/>
    <col min="7521" max="7521" width="13.5703125" style="40" bestFit="1" customWidth="1"/>
    <col min="7522" max="7522" width="9.42578125" style="40" customWidth="1"/>
    <col min="7523" max="7523" width="13.5703125" style="40" bestFit="1" customWidth="1"/>
    <col min="7524" max="7524" width="7" style="40" bestFit="1" customWidth="1"/>
    <col min="7525" max="7525" width="11.5703125" style="40" customWidth="1"/>
    <col min="7526" max="7526" width="13.5703125" style="40" bestFit="1" customWidth="1"/>
    <col min="7527" max="7527" width="9.42578125" style="40" customWidth="1"/>
    <col min="7528" max="7528" width="13.5703125" style="40" bestFit="1" customWidth="1"/>
    <col min="7529" max="7530" width="9.42578125" style="40" customWidth="1"/>
    <col min="7531" max="7531" width="13.5703125" style="40" bestFit="1" customWidth="1"/>
    <col min="7532" max="7532" width="9.42578125" style="40" customWidth="1"/>
    <col min="7533" max="7533" width="13.5703125" style="40" bestFit="1" customWidth="1"/>
    <col min="7534" max="7535" width="9.42578125" style="40" customWidth="1"/>
    <col min="7536" max="7536" width="13.5703125" style="40" bestFit="1" customWidth="1"/>
    <col min="7537" max="7537" width="9.42578125" style="40" customWidth="1"/>
    <col min="7538" max="7538" width="3" style="40" customWidth="1"/>
    <col min="7539" max="7539" width="14.140625" style="40" customWidth="1"/>
    <col min="7540" max="7540" width="6.42578125" style="40" customWidth="1"/>
    <col min="7541" max="7772" width="9" style="40"/>
    <col min="7773" max="7773" width="1.42578125" style="40" customWidth="1"/>
    <col min="7774" max="7774" width="3.5703125" style="40" customWidth="1"/>
    <col min="7775" max="7775" width="10.7109375" style="40" customWidth="1"/>
    <col min="7776" max="7776" width="5.42578125" style="40" customWidth="1"/>
    <col min="7777" max="7777" width="13.5703125" style="40" bestFit="1" customWidth="1"/>
    <col min="7778" max="7778" width="9.42578125" style="40" customWidth="1"/>
    <col min="7779" max="7779" width="13.5703125" style="40" bestFit="1" customWidth="1"/>
    <col min="7780" max="7780" width="7" style="40" bestFit="1" customWidth="1"/>
    <col min="7781" max="7781" width="11.5703125" style="40" customWidth="1"/>
    <col min="7782" max="7782" width="13.5703125" style="40" bestFit="1" customWidth="1"/>
    <col min="7783" max="7783" width="9.42578125" style="40" customWidth="1"/>
    <col min="7784" max="7784" width="13.5703125" style="40" bestFit="1" customWidth="1"/>
    <col min="7785" max="7786" width="9.42578125" style="40" customWidth="1"/>
    <col min="7787" max="7787" width="13.5703125" style="40" bestFit="1" customWidth="1"/>
    <col min="7788" max="7788" width="9.42578125" style="40" customWidth="1"/>
    <col min="7789" max="7789" width="13.5703125" style="40" bestFit="1" customWidth="1"/>
    <col min="7790" max="7791" width="9.42578125" style="40" customWidth="1"/>
    <col min="7792" max="7792" width="13.5703125" style="40" bestFit="1" customWidth="1"/>
    <col min="7793" max="7793" width="9.42578125" style="40" customWidth="1"/>
    <col min="7794" max="7794" width="3" style="40" customWidth="1"/>
    <col min="7795" max="7795" width="14.140625" style="40" customWidth="1"/>
    <col min="7796" max="7796" width="6.42578125" style="40" customWidth="1"/>
    <col min="7797" max="8028" width="9" style="40"/>
    <col min="8029" max="8029" width="1.42578125" style="40" customWidth="1"/>
    <col min="8030" max="8030" width="3.5703125" style="40" customWidth="1"/>
    <col min="8031" max="8031" width="10.7109375" style="40" customWidth="1"/>
    <col min="8032" max="8032" width="5.42578125" style="40" customWidth="1"/>
    <col min="8033" max="8033" width="13.5703125" style="40" bestFit="1" customWidth="1"/>
    <col min="8034" max="8034" width="9.42578125" style="40" customWidth="1"/>
    <col min="8035" max="8035" width="13.5703125" style="40" bestFit="1" customWidth="1"/>
    <col min="8036" max="8036" width="7" style="40" bestFit="1" customWidth="1"/>
    <col min="8037" max="8037" width="11.5703125" style="40" customWidth="1"/>
    <col min="8038" max="8038" width="13.5703125" style="40" bestFit="1" customWidth="1"/>
    <col min="8039" max="8039" width="9.42578125" style="40" customWidth="1"/>
    <col min="8040" max="8040" width="13.5703125" style="40" bestFit="1" customWidth="1"/>
    <col min="8041" max="8042" width="9.42578125" style="40" customWidth="1"/>
    <col min="8043" max="8043" width="13.5703125" style="40" bestFit="1" customWidth="1"/>
    <col min="8044" max="8044" width="9.42578125" style="40" customWidth="1"/>
    <col min="8045" max="8045" width="13.5703125" style="40" bestFit="1" customWidth="1"/>
    <col min="8046" max="8047" width="9.42578125" style="40" customWidth="1"/>
    <col min="8048" max="8048" width="13.5703125" style="40" bestFit="1" customWidth="1"/>
    <col min="8049" max="8049" width="9.42578125" style="40" customWidth="1"/>
    <col min="8050" max="8050" width="3" style="40" customWidth="1"/>
    <col min="8051" max="8051" width="14.140625" style="40" customWidth="1"/>
    <col min="8052" max="8052" width="6.42578125" style="40" customWidth="1"/>
    <col min="8053" max="8284" width="9" style="40"/>
    <col min="8285" max="8285" width="1.42578125" style="40" customWidth="1"/>
    <col min="8286" max="8286" width="3.5703125" style="40" customWidth="1"/>
    <col min="8287" max="8287" width="10.7109375" style="40" customWidth="1"/>
    <col min="8288" max="8288" width="5.42578125" style="40" customWidth="1"/>
    <col min="8289" max="8289" width="13.5703125" style="40" bestFit="1" customWidth="1"/>
    <col min="8290" max="8290" width="9.42578125" style="40" customWidth="1"/>
    <col min="8291" max="8291" width="13.5703125" style="40" bestFit="1" customWidth="1"/>
    <col min="8292" max="8292" width="7" style="40" bestFit="1" customWidth="1"/>
    <col min="8293" max="8293" width="11.5703125" style="40" customWidth="1"/>
    <col min="8294" max="8294" width="13.5703125" style="40" bestFit="1" customWidth="1"/>
    <col min="8295" max="8295" width="9.42578125" style="40" customWidth="1"/>
    <col min="8296" max="8296" width="13.5703125" style="40" bestFit="1" customWidth="1"/>
    <col min="8297" max="8298" width="9.42578125" style="40" customWidth="1"/>
    <col min="8299" max="8299" width="13.5703125" style="40" bestFit="1" customWidth="1"/>
    <col min="8300" max="8300" width="9.42578125" style="40" customWidth="1"/>
    <col min="8301" max="8301" width="13.5703125" style="40" bestFit="1" customWidth="1"/>
    <col min="8302" max="8303" width="9.42578125" style="40" customWidth="1"/>
    <col min="8304" max="8304" width="13.5703125" style="40" bestFit="1" customWidth="1"/>
    <col min="8305" max="8305" width="9.42578125" style="40" customWidth="1"/>
    <col min="8306" max="8306" width="3" style="40" customWidth="1"/>
    <col min="8307" max="8307" width="14.140625" style="40" customWidth="1"/>
    <col min="8308" max="8308" width="6.42578125" style="40" customWidth="1"/>
    <col min="8309" max="8540" width="9" style="40"/>
    <col min="8541" max="8541" width="1.42578125" style="40" customWidth="1"/>
    <col min="8542" max="8542" width="3.5703125" style="40" customWidth="1"/>
    <col min="8543" max="8543" width="10.7109375" style="40" customWidth="1"/>
    <col min="8544" max="8544" width="5.42578125" style="40" customWidth="1"/>
    <col min="8545" max="8545" width="13.5703125" style="40" bestFit="1" customWidth="1"/>
    <col min="8546" max="8546" width="9.42578125" style="40" customWidth="1"/>
    <col min="8547" max="8547" width="13.5703125" style="40" bestFit="1" customWidth="1"/>
    <col min="8548" max="8548" width="7" style="40" bestFit="1" customWidth="1"/>
    <col min="8549" max="8549" width="11.5703125" style="40" customWidth="1"/>
    <col min="8550" max="8550" width="13.5703125" style="40" bestFit="1" customWidth="1"/>
    <col min="8551" max="8551" width="9.42578125" style="40" customWidth="1"/>
    <col min="8552" max="8552" width="13.5703125" style="40" bestFit="1" customWidth="1"/>
    <col min="8553" max="8554" width="9.42578125" style="40" customWidth="1"/>
    <col min="8555" max="8555" width="13.5703125" style="40" bestFit="1" customWidth="1"/>
    <col min="8556" max="8556" width="9.42578125" style="40" customWidth="1"/>
    <col min="8557" max="8557" width="13.5703125" style="40" bestFit="1" customWidth="1"/>
    <col min="8558" max="8559" width="9.42578125" style="40" customWidth="1"/>
    <col min="8560" max="8560" width="13.5703125" style="40" bestFit="1" customWidth="1"/>
    <col min="8561" max="8561" width="9.42578125" style="40" customWidth="1"/>
    <col min="8562" max="8562" width="3" style="40" customWidth="1"/>
    <col min="8563" max="8563" width="14.140625" style="40" customWidth="1"/>
    <col min="8564" max="8564" width="6.42578125" style="40" customWidth="1"/>
    <col min="8565" max="8796" width="9" style="40"/>
    <col min="8797" max="8797" width="1.42578125" style="40" customWidth="1"/>
    <col min="8798" max="8798" width="3.5703125" style="40" customWidth="1"/>
    <col min="8799" max="8799" width="10.7109375" style="40" customWidth="1"/>
    <col min="8800" max="8800" width="5.42578125" style="40" customWidth="1"/>
    <col min="8801" max="8801" width="13.5703125" style="40" bestFit="1" customWidth="1"/>
    <col min="8802" max="8802" width="9.42578125" style="40" customWidth="1"/>
    <col min="8803" max="8803" width="13.5703125" style="40" bestFit="1" customWidth="1"/>
    <col min="8804" max="8804" width="7" style="40" bestFit="1" customWidth="1"/>
    <col min="8805" max="8805" width="11.5703125" style="40" customWidth="1"/>
    <col min="8806" max="8806" width="13.5703125" style="40" bestFit="1" customWidth="1"/>
    <col min="8807" max="8807" width="9.42578125" style="40" customWidth="1"/>
    <col min="8808" max="8808" width="13.5703125" style="40" bestFit="1" customWidth="1"/>
    <col min="8809" max="8810" width="9.42578125" style="40" customWidth="1"/>
    <col min="8811" max="8811" width="13.5703125" style="40" bestFit="1" customWidth="1"/>
    <col min="8812" max="8812" width="9.42578125" style="40" customWidth="1"/>
    <col min="8813" max="8813" width="13.5703125" style="40" bestFit="1" customWidth="1"/>
    <col min="8814" max="8815" width="9.42578125" style="40" customWidth="1"/>
    <col min="8816" max="8816" width="13.5703125" style="40" bestFit="1" customWidth="1"/>
    <col min="8817" max="8817" width="9.42578125" style="40" customWidth="1"/>
    <col min="8818" max="8818" width="3" style="40" customWidth="1"/>
    <col min="8819" max="8819" width="14.140625" style="40" customWidth="1"/>
    <col min="8820" max="8820" width="6.42578125" style="40" customWidth="1"/>
    <col min="8821" max="9052" width="9" style="40"/>
    <col min="9053" max="9053" width="1.42578125" style="40" customWidth="1"/>
    <col min="9054" max="9054" width="3.5703125" style="40" customWidth="1"/>
    <col min="9055" max="9055" width="10.7109375" style="40" customWidth="1"/>
    <col min="9056" max="9056" width="5.42578125" style="40" customWidth="1"/>
    <col min="9057" max="9057" width="13.5703125" style="40" bestFit="1" customWidth="1"/>
    <col min="9058" max="9058" width="9.42578125" style="40" customWidth="1"/>
    <col min="9059" max="9059" width="13.5703125" style="40" bestFit="1" customWidth="1"/>
    <col min="9060" max="9060" width="7" style="40" bestFit="1" customWidth="1"/>
    <col min="9061" max="9061" width="11.5703125" style="40" customWidth="1"/>
    <col min="9062" max="9062" width="13.5703125" style="40" bestFit="1" customWidth="1"/>
    <col min="9063" max="9063" width="9.42578125" style="40" customWidth="1"/>
    <col min="9064" max="9064" width="13.5703125" style="40" bestFit="1" customWidth="1"/>
    <col min="9065" max="9066" width="9.42578125" style="40" customWidth="1"/>
    <col min="9067" max="9067" width="13.5703125" style="40" bestFit="1" customWidth="1"/>
    <col min="9068" max="9068" width="9.42578125" style="40" customWidth="1"/>
    <col min="9069" max="9069" width="13.5703125" style="40" bestFit="1" customWidth="1"/>
    <col min="9070" max="9071" width="9.42578125" style="40" customWidth="1"/>
    <col min="9072" max="9072" width="13.5703125" style="40" bestFit="1" customWidth="1"/>
    <col min="9073" max="9073" width="9.42578125" style="40" customWidth="1"/>
    <col min="9074" max="9074" width="3" style="40" customWidth="1"/>
    <col min="9075" max="9075" width="14.140625" style="40" customWidth="1"/>
    <col min="9076" max="9076" width="6.42578125" style="40" customWidth="1"/>
    <col min="9077" max="9308" width="9" style="40"/>
    <col min="9309" max="9309" width="1.42578125" style="40" customWidth="1"/>
    <col min="9310" max="9310" width="3.5703125" style="40" customWidth="1"/>
    <col min="9311" max="9311" width="10.7109375" style="40" customWidth="1"/>
    <col min="9312" max="9312" width="5.42578125" style="40" customWidth="1"/>
    <col min="9313" max="9313" width="13.5703125" style="40" bestFit="1" customWidth="1"/>
    <col min="9314" max="9314" width="9.42578125" style="40" customWidth="1"/>
    <col min="9315" max="9315" width="13.5703125" style="40" bestFit="1" customWidth="1"/>
    <col min="9316" max="9316" width="7" style="40" bestFit="1" customWidth="1"/>
    <col min="9317" max="9317" width="11.5703125" style="40" customWidth="1"/>
    <col min="9318" max="9318" width="13.5703125" style="40" bestFit="1" customWidth="1"/>
    <col min="9319" max="9319" width="9.42578125" style="40" customWidth="1"/>
    <col min="9320" max="9320" width="13.5703125" style="40" bestFit="1" customWidth="1"/>
    <col min="9321" max="9322" width="9.42578125" style="40" customWidth="1"/>
    <col min="9323" max="9323" width="13.5703125" style="40" bestFit="1" customWidth="1"/>
    <col min="9324" max="9324" width="9.42578125" style="40" customWidth="1"/>
    <col min="9325" max="9325" width="13.5703125" style="40" bestFit="1" customWidth="1"/>
    <col min="9326" max="9327" width="9.42578125" style="40" customWidth="1"/>
    <col min="9328" max="9328" width="13.5703125" style="40" bestFit="1" customWidth="1"/>
    <col min="9329" max="9329" width="9.42578125" style="40" customWidth="1"/>
    <col min="9330" max="9330" width="3" style="40" customWidth="1"/>
    <col min="9331" max="9331" width="14.140625" style="40" customWidth="1"/>
    <col min="9332" max="9332" width="6.42578125" style="40" customWidth="1"/>
    <col min="9333" max="9564" width="9" style="40"/>
    <col min="9565" max="9565" width="1.42578125" style="40" customWidth="1"/>
    <col min="9566" max="9566" width="3.5703125" style="40" customWidth="1"/>
    <col min="9567" max="9567" width="10.7109375" style="40" customWidth="1"/>
    <col min="9568" max="9568" width="5.42578125" style="40" customWidth="1"/>
    <col min="9569" max="9569" width="13.5703125" style="40" bestFit="1" customWidth="1"/>
    <col min="9570" max="9570" width="9.42578125" style="40" customWidth="1"/>
    <col min="9571" max="9571" width="13.5703125" style="40" bestFit="1" customWidth="1"/>
    <col min="9572" max="9572" width="7" style="40" bestFit="1" customWidth="1"/>
    <col min="9573" max="9573" width="11.5703125" style="40" customWidth="1"/>
    <col min="9574" max="9574" width="13.5703125" style="40" bestFit="1" customWidth="1"/>
    <col min="9575" max="9575" width="9.42578125" style="40" customWidth="1"/>
    <col min="9576" max="9576" width="13.5703125" style="40" bestFit="1" customWidth="1"/>
    <col min="9577" max="9578" width="9.42578125" style="40" customWidth="1"/>
    <col min="9579" max="9579" width="13.5703125" style="40" bestFit="1" customWidth="1"/>
    <col min="9580" max="9580" width="9.42578125" style="40" customWidth="1"/>
    <col min="9581" max="9581" width="13.5703125" style="40" bestFit="1" customWidth="1"/>
    <col min="9582" max="9583" width="9.42578125" style="40" customWidth="1"/>
    <col min="9584" max="9584" width="13.5703125" style="40" bestFit="1" customWidth="1"/>
    <col min="9585" max="9585" width="9.42578125" style="40" customWidth="1"/>
    <col min="9586" max="9586" width="3" style="40" customWidth="1"/>
    <col min="9587" max="9587" width="14.140625" style="40" customWidth="1"/>
    <col min="9588" max="9588" width="6.42578125" style="40" customWidth="1"/>
    <col min="9589" max="9820" width="9" style="40"/>
    <col min="9821" max="9821" width="1.42578125" style="40" customWidth="1"/>
    <col min="9822" max="9822" width="3.5703125" style="40" customWidth="1"/>
    <col min="9823" max="9823" width="10.7109375" style="40" customWidth="1"/>
    <col min="9824" max="9824" width="5.42578125" style="40" customWidth="1"/>
    <col min="9825" max="9825" width="13.5703125" style="40" bestFit="1" customWidth="1"/>
    <col min="9826" max="9826" width="9.42578125" style="40" customWidth="1"/>
    <col min="9827" max="9827" width="13.5703125" style="40" bestFit="1" customWidth="1"/>
    <col min="9828" max="9828" width="7" style="40" bestFit="1" customWidth="1"/>
    <col min="9829" max="9829" width="11.5703125" style="40" customWidth="1"/>
    <col min="9830" max="9830" width="13.5703125" style="40" bestFit="1" customWidth="1"/>
    <col min="9831" max="9831" width="9.42578125" style="40" customWidth="1"/>
    <col min="9832" max="9832" width="13.5703125" style="40" bestFit="1" customWidth="1"/>
    <col min="9833" max="9834" width="9.42578125" style="40" customWidth="1"/>
    <col min="9835" max="9835" width="13.5703125" style="40" bestFit="1" customWidth="1"/>
    <col min="9836" max="9836" width="9.42578125" style="40" customWidth="1"/>
    <col min="9837" max="9837" width="13.5703125" style="40" bestFit="1" customWidth="1"/>
    <col min="9838" max="9839" width="9.42578125" style="40" customWidth="1"/>
    <col min="9840" max="9840" width="13.5703125" style="40" bestFit="1" customWidth="1"/>
    <col min="9841" max="9841" width="9.42578125" style="40" customWidth="1"/>
    <col min="9842" max="9842" width="3" style="40" customWidth="1"/>
    <col min="9843" max="9843" width="14.140625" style="40" customWidth="1"/>
    <col min="9844" max="9844" width="6.42578125" style="40" customWidth="1"/>
    <col min="9845" max="10076" width="9" style="40"/>
    <col min="10077" max="10077" width="1.42578125" style="40" customWidth="1"/>
    <col min="10078" max="10078" width="3.5703125" style="40" customWidth="1"/>
    <col min="10079" max="10079" width="10.7109375" style="40" customWidth="1"/>
    <col min="10080" max="10080" width="5.42578125" style="40" customWidth="1"/>
    <col min="10081" max="10081" width="13.5703125" style="40" bestFit="1" customWidth="1"/>
    <col min="10082" max="10082" width="9.42578125" style="40" customWidth="1"/>
    <col min="10083" max="10083" width="13.5703125" style="40" bestFit="1" customWidth="1"/>
    <col min="10084" max="10084" width="7" style="40" bestFit="1" customWidth="1"/>
    <col min="10085" max="10085" width="11.5703125" style="40" customWidth="1"/>
    <col min="10086" max="10086" width="13.5703125" style="40" bestFit="1" customWidth="1"/>
    <col min="10087" max="10087" width="9.42578125" style="40" customWidth="1"/>
    <col min="10088" max="10088" width="13.5703125" style="40" bestFit="1" customWidth="1"/>
    <col min="10089" max="10090" width="9.42578125" style="40" customWidth="1"/>
    <col min="10091" max="10091" width="13.5703125" style="40" bestFit="1" customWidth="1"/>
    <col min="10092" max="10092" width="9.42578125" style="40" customWidth="1"/>
    <col min="10093" max="10093" width="13.5703125" style="40" bestFit="1" customWidth="1"/>
    <col min="10094" max="10095" width="9.42578125" style="40" customWidth="1"/>
    <col min="10096" max="10096" width="13.5703125" style="40" bestFit="1" customWidth="1"/>
    <col min="10097" max="10097" width="9.42578125" style="40" customWidth="1"/>
    <col min="10098" max="10098" width="3" style="40" customWidth="1"/>
    <col min="10099" max="10099" width="14.140625" style="40" customWidth="1"/>
    <col min="10100" max="10100" width="6.42578125" style="40" customWidth="1"/>
    <col min="10101" max="10332" width="9" style="40"/>
    <col min="10333" max="10333" width="1.42578125" style="40" customWidth="1"/>
    <col min="10334" max="10334" width="3.5703125" style="40" customWidth="1"/>
    <col min="10335" max="10335" width="10.7109375" style="40" customWidth="1"/>
    <col min="10336" max="10336" width="5.42578125" style="40" customWidth="1"/>
    <col min="10337" max="10337" width="13.5703125" style="40" bestFit="1" customWidth="1"/>
    <col min="10338" max="10338" width="9.42578125" style="40" customWidth="1"/>
    <col min="10339" max="10339" width="13.5703125" style="40" bestFit="1" customWidth="1"/>
    <col min="10340" max="10340" width="7" style="40" bestFit="1" customWidth="1"/>
    <col min="10341" max="10341" width="11.5703125" style="40" customWidth="1"/>
    <col min="10342" max="10342" width="13.5703125" style="40" bestFit="1" customWidth="1"/>
    <col min="10343" max="10343" width="9.42578125" style="40" customWidth="1"/>
    <col min="10344" max="10344" width="13.5703125" style="40" bestFit="1" customWidth="1"/>
    <col min="10345" max="10346" width="9.42578125" style="40" customWidth="1"/>
    <col min="10347" max="10347" width="13.5703125" style="40" bestFit="1" customWidth="1"/>
    <col min="10348" max="10348" width="9.42578125" style="40" customWidth="1"/>
    <col min="10349" max="10349" width="13.5703125" style="40" bestFit="1" customWidth="1"/>
    <col min="10350" max="10351" width="9.42578125" style="40" customWidth="1"/>
    <col min="10352" max="10352" width="13.5703125" style="40" bestFit="1" customWidth="1"/>
    <col min="10353" max="10353" width="9.42578125" style="40" customWidth="1"/>
    <col min="10354" max="10354" width="3" style="40" customWidth="1"/>
    <col min="10355" max="10355" width="14.140625" style="40" customWidth="1"/>
    <col min="10356" max="10356" width="6.42578125" style="40" customWidth="1"/>
    <col min="10357" max="10588" width="9" style="40"/>
    <col min="10589" max="10589" width="1.42578125" style="40" customWidth="1"/>
    <col min="10590" max="10590" width="3.5703125" style="40" customWidth="1"/>
    <col min="10591" max="10591" width="10.7109375" style="40" customWidth="1"/>
    <col min="10592" max="10592" width="5.42578125" style="40" customWidth="1"/>
    <col min="10593" max="10593" width="13.5703125" style="40" bestFit="1" customWidth="1"/>
    <col min="10594" max="10594" width="9.42578125" style="40" customWidth="1"/>
    <col min="10595" max="10595" width="13.5703125" style="40" bestFit="1" customWidth="1"/>
    <col min="10596" max="10596" width="7" style="40" bestFit="1" customWidth="1"/>
    <col min="10597" max="10597" width="11.5703125" style="40" customWidth="1"/>
    <col min="10598" max="10598" width="13.5703125" style="40" bestFit="1" customWidth="1"/>
    <col min="10599" max="10599" width="9.42578125" style="40" customWidth="1"/>
    <col min="10600" max="10600" width="13.5703125" style="40" bestFit="1" customWidth="1"/>
    <col min="10601" max="10602" width="9.42578125" style="40" customWidth="1"/>
    <col min="10603" max="10603" width="13.5703125" style="40" bestFit="1" customWidth="1"/>
    <col min="10604" max="10604" width="9.42578125" style="40" customWidth="1"/>
    <col min="10605" max="10605" width="13.5703125" style="40" bestFit="1" customWidth="1"/>
    <col min="10606" max="10607" width="9.42578125" style="40" customWidth="1"/>
    <col min="10608" max="10608" width="13.5703125" style="40" bestFit="1" customWidth="1"/>
    <col min="10609" max="10609" width="9.42578125" style="40" customWidth="1"/>
    <col min="10610" max="10610" width="3" style="40" customWidth="1"/>
    <col min="10611" max="10611" width="14.140625" style="40" customWidth="1"/>
    <col min="10612" max="10612" width="6.42578125" style="40" customWidth="1"/>
    <col min="10613" max="10844" width="9" style="40"/>
    <col min="10845" max="10845" width="1.42578125" style="40" customWidth="1"/>
    <col min="10846" max="10846" width="3.5703125" style="40" customWidth="1"/>
    <col min="10847" max="10847" width="10.7109375" style="40" customWidth="1"/>
    <col min="10848" max="10848" width="5.42578125" style="40" customWidth="1"/>
    <col min="10849" max="10849" width="13.5703125" style="40" bestFit="1" customWidth="1"/>
    <col min="10850" max="10850" width="9.42578125" style="40" customWidth="1"/>
    <col min="10851" max="10851" width="13.5703125" style="40" bestFit="1" customWidth="1"/>
    <col min="10852" max="10852" width="7" style="40" bestFit="1" customWidth="1"/>
    <col min="10853" max="10853" width="11.5703125" style="40" customWidth="1"/>
    <col min="10854" max="10854" width="13.5703125" style="40" bestFit="1" customWidth="1"/>
    <col min="10855" max="10855" width="9.42578125" style="40" customWidth="1"/>
    <col min="10856" max="10856" width="13.5703125" style="40" bestFit="1" customWidth="1"/>
    <col min="10857" max="10858" width="9.42578125" style="40" customWidth="1"/>
    <col min="10859" max="10859" width="13.5703125" style="40" bestFit="1" customWidth="1"/>
    <col min="10860" max="10860" width="9.42578125" style="40" customWidth="1"/>
    <col min="10861" max="10861" width="13.5703125" style="40" bestFit="1" customWidth="1"/>
    <col min="10862" max="10863" width="9.42578125" style="40" customWidth="1"/>
    <col min="10864" max="10864" width="13.5703125" style="40" bestFit="1" customWidth="1"/>
    <col min="10865" max="10865" width="9.42578125" style="40" customWidth="1"/>
    <col min="10866" max="10866" width="3" style="40" customWidth="1"/>
    <col min="10867" max="10867" width="14.140625" style="40" customWidth="1"/>
    <col min="10868" max="10868" width="6.42578125" style="40" customWidth="1"/>
    <col min="10869" max="11100" width="9" style="40"/>
    <col min="11101" max="11101" width="1.42578125" style="40" customWidth="1"/>
    <col min="11102" max="11102" width="3.5703125" style="40" customWidth="1"/>
    <col min="11103" max="11103" width="10.7109375" style="40" customWidth="1"/>
    <col min="11104" max="11104" width="5.42578125" style="40" customWidth="1"/>
    <col min="11105" max="11105" width="13.5703125" style="40" bestFit="1" customWidth="1"/>
    <col min="11106" max="11106" width="9.42578125" style="40" customWidth="1"/>
    <col min="11107" max="11107" width="13.5703125" style="40" bestFit="1" customWidth="1"/>
    <col min="11108" max="11108" width="7" style="40" bestFit="1" customWidth="1"/>
    <col min="11109" max="11109" width="11.5703125" style="40" customWidth="1"/>
    <col min="11110" max="11110" width="13.5703125" style="40" bestFit="1" customWidth="1"/>
    <col min="11111" max="11111" width="9.42578125" style="40" customWidth="1"/>
    <col min="11112" max="11112" width="13.5703125" style="40" bestFit="1" customWidth="1"/>
    <col min="11113" max="11114" width="9.42578125" style="40" customWidth="1"/>
    <col min="11115" max="11115" width="13.5703125" style="40" bestFit="1" customWidth="1"/>
    <col min="11116" max="11116" width="9.42578125" style="40" customWidth="1"/>
    <col min="11117" max="11117" width="13.5703125" style="40" bestFit="1" customWidth="1"/>
    <col min="11118" max="11119" width="9.42578125" style="40" customWidth="1"/>
    <col min="11120" max="11120" width="13.5703125" style="40" bestFit="1" customWidth="1"/>
    <col min="11121" max="11121" width="9.42578125" style="40" customWidth="1"/>
    <col min="11122" max="11122" width="3" style="40" customWidth="1"/>
    <col min="11123" max="11123" width="14.140625" style="40" customWidth="1"/>
    <col min="11124" max="11124" width="6.42578125" style="40" customWidth="1"/>
    <col min="11125" max="11356" width="9" style="40"/>
    <col min="11357" max="11357" width="1.42578125" style="40" customWidth="1"/>
    <col min="11358" max="11358" width="3.5703125" style="40" customWidth="1"/>
    <col min="11359" max="11359" width="10.7109375" style="40" customWidth="1"/>
    <col min="11360" max="11360" width="5.42578125" style="40" customWidth="1"/>
    <col min="11361" max="11361" width="13.5703125" style="40" bestFit="1" customWidth="1"/>
    <col min="11362" max="11362" width="9.42578125" style="40" customWidth="1"/>
    <col min="11363" max="11363" width="13.5703125" style="40" bestFit="1" customWidth="1"/>
    <col min="11364" max="11364" width="7" style="40" bestFit="1" customWidth="1"/>
    <col min="11365" max="11365" width="11.5703125" style="40" customWidth="1"/>
    <col min="11366" max="11366" width="13.5703125" style="40" bestFit="1" customWidth="1"/>
    <col min="11367" max="11367" width="9.42578125" style="40" customWidth="1"/>
    <col min="11368" max="11368" width="13.5703125" style="40" bestFit="1" customWidth="1"/>
    <col min="11369" max="11370" width="9.42578125" style="40" customWidth="1"/>
    <col min="11371" max="11371" width="13.5703125" style="40" bestFit="1" customWidth="1"/>
    <col min="11372" max="11372" width="9.42578125" style="40" customWidth="1"/>
    <col min="11373" max="11373" width="13.5703125" style="40" bestFit="1" customWidth="1"/>
    <col min="11374" max="11375" width="9.42578125" style="40" customWidth="1"/>
    <col min="11376" max="11376" width="13.5703125" style="40" bestFit="1" customWidth="1"/>
    <col min="11377" max="11377" width="9.42578125" style="40" customWidth="1"/>
    <col min="11378" max="11378" width="3" style="40" customWidth="1"/>
    <col min="11379" max="11379" width="14.140625" style="40" customWidth="1"/>
    <col min="11380" max="11380" width="6.42578125" style="40" customWidth="1"/>
    <col min="11381" max="11612" width="9" style="40"/>
    <col min="11613" max="11613" width="1.42578125" style="40" customWidth="1"/>
    <col min="11614" max="11614" width="3.5703125" style="40" customWidth="1"/>
    <col min="11615" max="11615" width="10.7109375" style="40" customWidth="1"/>
    <col min="11616" max="11616" width="5.42578125" style="40" customWidth="1"/>
    <col min="11617" max="11617" width="13.5703125" style="40" bestFit="1" customWidth="1"/>
    <col min="11618" max="11618" width="9.42578125" style="40" customWidth="1"/>
    <col min="11619" max="11619" width="13.5703125" style="40" bestFit="1" customWidth="1"/>
    <col min="11620" max="11620" width="7" style="40" bestFit="1" customWidth="1"/>
    <col min="11621" max="11621" width="11.5703125" style="40" customWidth="1"/>
    <col min="11622" max="11622" width="13.5703125" style="40" bestFit="1" customWidth="1"/>
    <col min="11623" max="11623" width="9.42578125" style="40" customWidth="1"/>
    <col min="11624" max="11624" width="13.5703125" style="40" bestFit="1" customWidth="1"/>
    <col min="11625" max="11626" width="9.42578125" style="40" customWidth="1"/>
    <col min="11627" max="11627" width="13.5703125" style="40" bestFit="1" customWidth="1"/>
    <col min="11628" max="11628" width="9.42578125" style="40" customWidth="1"/>
    <col min="11629" max="11629" width="13.5703125" style="40" bestFit="1" customWidth="1"/>
    <col min="11630" max="11631" width="9.42578125" style="40" customWidth="1"/>
    <col min="11632" max="11632" width="13.5703125" style="40" bestFit="1" customWidth="1"/>
    <col min="11633" max="11633" width="9.42578125" style="40" customWidth="1"/>
    <col min="11634" max="11634" width="3" style="40" customWidth="1"/>
    <col min="11635" max="11635" width="14.140625" style="40" customWidth="1"/>
    <col min="11636" max="11636" width="6.42578125" style="40" customWidth="1"/>
    <col min="11637" max="11868" width="9" style="40"/>
    <col min="11869" max="11869" width="1.42578125" style="40" customWidth="1"/>
    <col min="11870" max="11870" width="3.5703125" style="40" customWidth="1"/>
    <col min="11871" max="11871" width="10.7109375" style="40" customWidth="1"/>
    <col min="11872" max="11872" width="5.42578125" style="40" customWidth="1"/>
    <col min="11873" max="11873" width="13.5703125" style="40" bestFit="1" customWidth="1"/>
    <col min="11874" max="11874" width="9.42578125" style="40" customWidth="1"/>
    <col min="11875" max="11875" width="13.5703125" style="40" bestFit="1" customWidth="1"/>
    <col min="11876" max="11876" width="7" style="40" bestFit="1" customWidth="1"/>
    <col min="11877" max="11877" width="11.5703125" style="40" customWidth="1"/>
    <col min="11878" max="11878" width="13.5703125" style="40" bestFit="1" customWidth="1"/>
    <col min="11879" max="11879" width="9.42578125" style="40" customWidth="1"/>
    <col min="11880" max="11880" width="13.5703125" style="40" bestFit="1" customWidth="1"/>
    <col min="11881" max="11882" width="9.42578125" style="40" customWidth="1"/>
    <col min="11883" max="11883" width="13.5703125" style="40" bestFit="1" customWidth="1"/>
    <col min="11884" max="11884" width="9.42578125" style="40" customWidth="1"/>
    <col min="11885" max="11885" width="13.5703125" style="40" bestFit="1" customWidth="1"/>
    <col min="11886" max="11887" width="9.42578125" style="40" customWidth="1"/>
    <col min="11888" max="11888" width="13.5703125" style="40" bestFit="1" customWidth="1"/>
    <col min="11889" max="11889" width="9.42578125" style="40" customWidth="1"/>
    <col min="11890" max="11890" width="3" style="40" customWidth="1"/>
    <col min="11891" max="11891" width="14.140625" style="40" customWidth="1"/>
    <col min="11892" max="11892" width="6.42578125" style="40" customWidth="1"/>
    <col min="11893" max="12124" width="9" style="40"/>
    <col min="12125" max="12125" width="1.42578125" style="40" customWidth="1"/>
    <col min="12126" max="12126" width="3.5703125" style="40" customWidth="1"/>
    <col min="12127" max="12127" width="10.7109375" style="40" customWidth="1"/>
    <col min="12128" max="12128" width="5.42578125" style="40" customWidth="1"/>
    <col min="12129" max="12129" width="13.5703125" style="40" bestFit="1" customWidth="1"/>
    <col min="12130" max="12130" width="9.42578125" style="40" customWidth="1"/>
    <col min="12131" max="12131" width="13.5703125" style="40" bestFit="1" customWidth="1"/>
    <col min="12132" max="12132" width="7" style="40" bestFit="1" customWidth="1"/>
    <col min="12133" max="12133" width="11.5703125" style="40" customWidth="1"/>
    <col min="12134" max="12134" width="13.5703125" style="40" bestFit="1" customWidth="1"/>
    <col min="12135" max="12135" width="9.42578125" style="40" customWidth="1"/>
    <col min="12136" max="12136" width="13.5703125" style="40" bestFit="1" customWidth="1"/>
    <col min="12137" max="12138" width="9.42578125" style="40" customWidth="1"/>
    <col min="12139" max="12139" width="13.5703125" style="40" bestFit="1" customWidth="1"/>
    <col min="12140" max="12140" width="9.42578125" style="40" customWidth="1"/>
    <col min="12141" max="12141" width="13.5703125" style="40" bestFit="1" customWidth="1"/>
    <col min="12142" max="12143" width="9.42578125" style="40" customWidth="1"/>
    <col min="12144" max="12144" width="13.5703125" style="40" bestFit="1" customWidth="1"/>
    <col min="12145" max="12145" width="9.42578125" style="40" customWidth="1"/>
    <col min="12146" max="12146" width="3" style="40" customWidth="1"/>
    <col min="12147" max="12147" width="14.140625" style="40" customWidth="1"/>
    <col min="12148" max="12148" width="6.42578125" style="40" customWidth="1"/>
    <col min="12149" max="12380" width="9" style="40"/>
    <col min="12381" max="12381" width="1.42578125" style="40" customWidth="1"/>
    <col min="12382" max="12382" width="3.5703125" style="40" customWidth="1"/>
    <col min="12383" max="12383" width="10.7109375" style="40" customWidth="1"/>
    <col min="12384" max="12384" width="5.42578125" style="40" customWidth="1"/>
    <col min="12385" max="12385" width="13.5703125" style="40" bestFit="1" customWidth="1"/>
    <col min="12386" max="12386" width="9.42578125" style="40" customWidth="1"/>
    <col min="12387" max="12387" width="13.5703125" style="40" bestFit="1" customWidth="1"/>
    <col min="12388" max="12388" width="7" style="40" bestFit="1" customWidth="1"/>
    <col min="12389" max="12389" width="11.5703125" style="40" customWidth="1"/>
    <col min="12390" max="12390" width="13.5703125" style="40" bestFit="1" customWidth="1"/>
    <col min="12391" max="12391" width="9.42578125" style="40" customWidth="1"/>
    <col min="12392" max="12392" width="13.5703125" style="40" bestFit="1" customWidth="1"/>
    <col min="12393" max="12394" width="9.42578125" style="40" customWidth="1"/>
    <col min="12395" max="12395" width="13.5703125" style="40" bestFit="1" customWidth="1"/>
    <col min="12396" max="12396" width="9.42578125" style="40" customWidth="1"/>
    <col min="12397" max="12397" width="13.5703125" style="40" bestFit="1" customWidth="1"/>
    <col min="12398" max="12399" width="9.42578125" style="40" customWidth="1"/>
    <col min="12400" max="12400" width="13.5703125" style="40" bestFit="1" customWidth="1"/>
    <col min="12401" max="12401" width="9.42578125" style="40" customWidth="1"/>
    <col min="12402" max="12402" width="3" style="40" customWidth="1"/>
    <col min="12403" max="12403" width="14.140625" style="40" customWidth="1"/>
    <col min="12404" max="12404" width="6.42578125" style="40" customWidth="1"/>
    <col min="12405" max="12636" width="9" style="40"/>
    <col min="12637" max="12637" width="1.42578125" style="40" customWidth="1"/>
    <col min="12638" max="12638" width="3.5703125" style="40" customWidth="1"/>
    <col min="12639" max="12639" width="10.7109375" style="40" customWidth="1"/>
    <col min="12640" max="12640" width="5.42578125" style="40" customWidth="1"/>
    <col min="12641" max="12641" width="13.5703125" style="40" bestFit="1" customWidth="1"/>
    <col min="12642" max="12642" width="9.42578125" style="40" customWidth="1"/>
    <col min="12643" max="12643" width="13.5703125" style="40" bestFit="1" customWidth="1"/>
    <col min="12644" max="12644" width="7" style="40" bestFit="1" customWidth="1"/>
    <col min="12645" max="12645" width="11.5703125" style="40" customWidth="1"/>
    <col min="12646" max="12646" width="13.5703125" style="40" bestFit="1" customWidth="1"/>
    <col min="12647" max="12647" width="9.42578125" style="40" customWidth="1"/>
    <col min="12648" max="12648" width="13.5703125" style="40" bestFit="1" customWidth="1"/>
    <col min="12649" max="12650" width="9.42578125" style="40" customWidth="1"/>
    <col min="12651" max="12651" width="13.5703125" style="40" bestFit="1" customWidth="1"/>
    <col min="12652" max="12652" width="9.42578125" style="40" customWidth="1"/>
    <col min="12653" max="12653" width="13.5703125" style="40" bestFit="1" customWidth="1"/>
    <col min="12654" max="12655" width="9.42578125" style="40" customWidth="1"/>
    <col min="12656" max="12656" width="13.5703125" style="40" bestFit="1" customWidth="1"/>
    <col min="12657" max="12657" width="9.42578125" style="40" customWidth="1"/>
    <col min="12658" max="12658" width="3" style="40" customWidth="1"/>
    <col min="12659" max="12659" width="14.140625" style="40" customWidth="1"/>
    <col min="12660" max="12660" width="6.42578125" style="40" customWidth="1"/>
    <col min="12661" max="12892" width="9" style="40"/>
    <col min="12893" max="12893" width="1.42578125" style="40" customWidth="1"/>
    <col min="12894" max="12894" width="3.5703125" style="40" customWidth="1"/>
    <col min="12895" max="12895" width="10.7109375" style="40" customWidth="1"/>
    <col min="12896" max="12896" width="5.42578125" style="40" customWidth="1"/>
    <col min="12897" max="12897" width="13.5703125" style="40" bestFit="1" customWidth="1"/>
    <col min="12898" max="12898" width="9.42578125" style="40" customWidth="1"/>
    <col min="12899" max="12899" width="13.5703125" style="40" bestFit="1" customWidth="1"/>
    <col min="12900" max="12900" width="7" style="40" bestFit="1" customWidth="1"/>
    <col min="12901" max="12901" width="11.5703125" style="40" customWidth="1"/>
    <col min="12902" max="12902" width="13.5703125" style="40" bestFit="1" customWidth="1"/>
    <col min="12903" max="12903" width="9.42578125" style="40" customWidth="1"/>
    <col min="12904" max="12904" width="13.5703125" style="40" bestFit="1" customWidth="1"/>
    <col min="12905" max="12906" width="9.42578125" style="40" customWidth="1"/>
    <col min="12907" max="12907" width="13.5703125" style="40" bestFit="1" customWidth="1"/>
    <col min="12908" max="12908" width="9.42578125" style="40" customWidth="1"/>
    <col min="12909" max="12909" width="13.5703125" style="40" bestFit="1" customWidth="1"/>
    <col min="12910" max="12911" width="9.42578125" style="40" customWidth="1"/>
    <col min="12912" max="12912" width="13.5703125" style="40" bestFit="1" customWidth="1"/>
    <col min="12913" max="12913" width="9.42578125" style="40" customWidth="1"/>
    <col min="12914" max="12914" width="3" style="40" customWidth="1"/>
    <col min="12915" max="12915" width="14.140625" style="40" customWidth="1"/>
    <col min="12916" max="12916" width="6.42578125" style="40" customWidth="1"/>
    <col min="12917" max="13148" width="9" style="40"/>
    <col min="13149" max="13149" width="1.42578125" style="40" customWidth="1"/>
    <col min="13150" max="13150" width="3.5703125" style="40" customWidth="1"/>
    <col min="13151" max="13151" width="10.7109375" style="40" customWidth="1"/>
    <col min="13152" max="13152" width="5.42578125" style="40" customWidth="1"/>
    <col min="13153" max="13153" width="13.5703125" style="40" bestFit="1" customWidth="1"/>
    <col min="13154" max="13154" width="9.42578125" style="40" customWidth="1"/>
    <col min="13155" max="13155" width="13.5703125" style="40" bestFit="1" customWidth="1"/>
    <col min="13156" max="13156" width="7" style="40" bestFit="1" customWidth="1"/>
    <col min="13157" max="13157" width="11.5703125" style="40" customWidth="1"/>
    <col min="13158" max="13158" width="13.5703125" style="40" bestFit="1" customWidth="1"/>
    <col min="13159" max="13159" width="9.42578125" style="40" customWidth="1"/>
    <col min="13160" max="13160" width="13.5703125" style="40" bestFit="1" customWidth="1"/>
    <col min="13161" max="13162" width="9.42578125" style="40" customWidth="1"/>
    <col min="13163" max="13163" width="13.5703125" style="40" bestFit="1" customWidth="1"/>
    <col min="13164" max="13164" width="9.42578125" style="40" customWidth="1"/>
    <col min="13165" max="13165" width="13.5703125" style="40" bestFit="1" customWidth="1"/>
    <col min="13166" max="13167" width="9.42578125" style="40" customWidth="1"/>
    <col min="13168" max="13168" width="13.5703125" style="40" bestFit="1" customWidth="1"/>
    <col min="13169" max="13169" width="9.42578125" style="40" customWidth="1"/>
    <col min="13170" max="13170" width="3" style="40" customWidth="1"/>
    <col min="13171" max="13171" width="14.140625" style="40" customWidth="1"/>
    <col min="13172" max="13172" width="6.42578125" style="40" customWidth="1"/>
    <col min="13173" max="13404" width="9" style="40"/>
    <col min="13405" max="13405" width="1.42578125" style="40" customWidth="1"/>
    <col min="13406" max="13406" width="3.5703125" style="40" customWidth="1"/>
    <col min="13407" max="13407" width="10.7109375" style="40" customWidth="1"/>
    <col min="13408" max="13408" width="5.42578125" style="40" customWidth="1"/>
    <col min="13409" max="13409" width="13.5703125" style="40" bestFit="1" customWidth="1"/>
    <col min="13410" max="13410" width="9.42578125" style="40" customWidth="1"/>
    <col min="13411" max="13411" width="13.5703125" style="40" bestFit="1" customWidth="1"/>
    <col min="13412" max="13412" width="7" style="40" bestFit="1" customWidth="1"/>
    <col min="13413" max="13413" width="11.5703125" style="40" customWidth="1"/>
    <col min="13414" max="13414" width="13.5703125" style="40" bestFit="1" customWidth="1"/>
    <col min="13415" max="13415" width="9.42578125" style="40" customWidth="1"/>
    <col min="13416" max="13416" width="13.5703125" style="40" bestFit="1" customWidth="1"/>
    <col min="13417" max="13418" width="9.42578125" style="40" customWidth="1"/>
    <col min="13419" max="13419" width="13.5703125" style="40" bestFit="1" customWidth="1"/>
    <col min="13420" max="13420" width="9.42578125" style="40" customWidth="1"/>
    <col min="13421" max="13421" width="13.5703125" style="40" bestFit="1" customWidth="1"/>
    <col min="13422" max="13423" width="9.42578125" style="40" customWidth="1"/>
    <col min="13424" max="13424" width="13.5703125" style="40" bestFit="1" customWidth="1"/>
    <col min="13425" max="13425" width="9.42578125" style="40" customWidth="1"/>
    <col min="13426" max="13426" width="3" style="40" customWidth="1"/>
    <col min="13427" max="13427" width="14.140625" style="40" customWidth="1"/>
    <col min="13428" max="13428" width="6.42578125" style="40" customWidth="1"/>
    <col min="13429" max="13660" width="9" style="40"/>
    <col min="13661" max="13661" width="1.42578125" style="40" customWidth="1"/>
    <col min="13662" max="13662" width="3.5703125" style="40" customWidth="1"/>
    <col min="13663" max="13663" width="10.7109375" style="40" customWidth="1"/>
    <col min="13664" max="13664" width="5.42578125" style="40" customWidth="1"/>
    <col min="13665" max="13665" width="13.5703125" style="40" bestFit="1" customWidth="1"/>
    <col min="13666" max="13666" width="9.42578125" style="40" customWidth="1"/>
    <col min="13667" max="13667" width="13.5703125" style="40" bestFit="1" customWidth="1"/>
    <col min="13668" max="13668" width="7" style="40" bestFit="1" customWidth="1"/>
    <col min="13669" max="13669" width="11.5703125" style="40" customWidth="1"/>
    <col min="13670" max="13670" width="13.5703125" style="40" bestFit="1" customWidth="1"/>
    <col min="13671" max="13671" width="9.42578125" style="40" customWidth="1"/>
    <col min="13672" max="13672" width="13.5703125" style="40" bestFit="1" customWidth="1"/>
    <col min="13673" max="13674" width="9.42578125" style="40" customWidth="1"/>
    <col min="13675" max="13675" width="13.5703125" style="40" bestFit="1" customWidth="1"/>
    <col min="13676" max="13676" width="9.42578125" style="40" customWidth="1"/>
    <col min="13677" max="13677" width="13.5703125" style="40" bestFit="1" customWidth="1"/>
    <col min="13678" max="13679" width="9.42578125" style="40" customWidth="1"/>
    <col min="13680" max="13680" width="13.5703125" style="40" bestFit="1" customWidth="1"/>
    <col min="13681" max="13681" width="9.42578125" style="40" customWidth="1"/>
    <col min="13682" max="13682" width="3" style="40" customWidth="1"/>
    <col min="13683" max="13683" width="14.140625" style="40" customWidth="1"/>
    <col min="13684" max="13684" width="6.42578125" style="40" customWidth="1"/>
    <col min="13685" max="13916" width="9" style="40"/>
    <col min="13917" max="13917" width="1.42578125" style="40" customWidth="1"/>
    <col min="13918" max="13918" width="3.5703125" style="40" customWidth="1"/>
    <col min="13919" max="13919" width="10.7109375" style="40" customWidth="1"/>
    <col min="13920" max="13920" width="5.42578125" style="40" customWidth="1"/>
    <col min="13921" max="13921" width="13.5703125" style="40" bestFit="1" customWidth="1"/>
    <col min="13922" max="13922" width="9.42578125" style="40" customWidth="1"/>
    <col min="13923" max="13923" width="13.5703125" style="40" bestFit="1" customWidth="1"/>
    <col min="13924" max="13924" width="7" style="40" bestFit="1" customWidth="1"/>
    <col min="13925" max="13925" width="11.5703125" style="40" customWidth="1"/>
    <col min="13926" max="13926" width="13.5703125" style="40" bestFit="1" customWidth="1"/>
    <col min="13927" max="13927" width="9.42578125" style="40" customWidth="1"/>
    <col min="13928" max="13928" width="13.5703125" style="40" bestFit="1" customWidth="1"/>
    <col min="13929" max="13930" width="9.42578125" style="40" customWidth="1"/>
    <col min="13931" max="13931" width="13.5703125" style="40" bestFit="1" customWidth="1"/>
    <col min="13932" max="13932" width="9.42578125" style="40" customWidth="1"/>
    <col min="13933" max="13933" width="13.5703125" style="40" bestFit="1" customWidth="1"/>
    <col min="13934" max="13935" width="9.42578125" style="40" customWidth="1"/>
    <col min="13936" max="13936" width="13.5703125" style="40" bestFit="1" customWidth="1"/>
    <col min="13937" max="13937" width="9.42578125" style="40" customWidth="1"/>
    <col min="13938" max="13938" width="3" style="40" customWidth="1"/>
    <col min="13939" max="13939" width="14.140625" style="40" customWidth="1"/>
    <col min="13940" max="13940" width="6.42578125" style="40" customWidth="1"/>
    <col min="13941" max="14172" width="9" style="40"/>
    <col min="14173" max="14173" width="1.42578125" style="40" customWidth="1"/>
    <col min="14174" max="14174" width="3.5703125" style="40" customWidth="1"/>
    <col min="14175" max="14175" width="10.7109375" style="40" customWidth="1"/>
    <col min="14176" max="14176" width="5.42578125" style="40" customWidth="1"/>
    <col min="14177" max="14177" width="13.5703125" style="40" bestFit="1" customWidth="1"/>
    <col min="14178" max="14178" width="9.42578125" style="40" customWidth="1"/>
    <col min="14179" max="14179" width="13.5703125" style="40" bestFit="1" customWidth="1"/>
    <col min="14180" max="14180" width="7" style="40" bestFit="1" customWidth="1"/>
    <col min="14181" max="14181" width="11.5703125" style="40" customWidth="1"/>
    <col min="14182" max="14182" width="13.5703125" style="40" bestFit="1" customWidth="1"/>
    <col min="14183" max="14183" width="9.42578125" style="40" customWidth="1"/>
    <col min="14184" max="14184" width="13.5703125" style="40" bestFit="1" customWidth="1"/>
    <col min="14185" max="14186" width="9.42578125" style="40" customWidth="1"/>
    <col min="14187" max="14187" width="13.5703125" style="40" bestFit="1" customWidth="1"/>
    <col min="14188" max="14188" width="9.42578125" style="40" customWidth="1"/>
    <col min="14189" max="14189" width="13.5703125" style="40" bestFit="1" customWidth="1"/>
    <col min="14190" max="14191" width="9.42578125" style="40" customWidth="1"/>
    <col min="14192" max="14192" width="13.5703125" style="40" bestFit="1" customWidth="1"/>
    <col min="14193" max="14193" width="9.42578125" style="40" customWidth="1"/>
    <col min="14194" max="14194" width="3" style="40" customWidth="1"/>
    <col min="14195" max="14195" width="14.140625" style="40" customWidth="1"/>
    <col min="14196" max="14196" width="6.42578125" style="40" customWidth="1"/>
    <col min="14197" max="14428" width="9" style="40"/>
    <col min="14429" max="14429" width="1.42578125" style="40" customWidth="1"/>
    <col min="14430" max="14430" width="3.5703125" style="40" customWidth="1"/>
    <col min="14431" max="14431" width="10.7109375" style="40" customWidth="1"/>
    <col min="14432" max="14432" width="5.42578125" style="40" customWidth="1"/>
    <col min="14433" max="14433" width="13.5703125" style="40" bestFit="1" customWidth="1"/>
    <col min="14434" max="14434" width="9.42578125" style="40" customWidth="1"/>
    <col min="14435" max="14435" width="13.5703125" style="40" bestFit="1" customWidth="1"/>
    <col min="14436" max="14436" width="7" style="40" bestFit="1" customWidth="1"/>
    <col min="14437" max="14437" width="11.5703125" style="40" customWidth="1"/>
    <col min="14438" max="14438" width="13.5703125" style="40" bestFit="1" customWidth="1"/>
    <col min="14439" max="14439" width="9.42578125" style="40" customWidth="1"/>
    <col min="14440" max="14440" width="13.5703125" style="40" bestFit="1" customWidth="1"/>
    <col min="14441" max="14442" width="9.42578125" style="40" customWidth="1"/>
    <col min="14443" max="14443" width="13.5703125" style="40" bestFit="1" customWidth="1"/>
    <col min="14444" max="14444" width="9.42578125" style="40" customWidth="1"/>
    <col min="14445" max="14445" width="13.5703125" style="40" bestFit="1" customWidth="1"/>
    <col min="14446" max="14447" width="9.42578125" style="40" customWidth="1"/>
    <col min="14448" max="14448" width="13.5703125" style="40" bestFit="1" customWidth="1"/>
    <col min="14449" max="14449" width="9.42578125" style="40" customWidth="1"/>
    <col min="14450" max="14450" width="3" style="40" customWidth="1"/>
    <col min="14451" max="14451" width="14.140625" style="40" customWidth="1"/>
    <col min="14452" max="14452" width="6.42578125" style="40" customWidth="1"/>
    <col min="14453" max="14684" width="9" style="40"/>
    <col min="14685" max="14685" width="1.42578125" style="40" customWidth="1"/>
    <col min="14686" max="14686" width="3.5703125" style="40" customWidth="1"/>
    <col min="14687" max="14687" width="10.7109375" style="40" customWidth="1"/>
    <col min="14688" max="14688" width="5.42578125" style="40" customWidth="1"/>
    <col min="14689" max="14689" width="13.5703125" style="40" bestFit="1" customWidth="1"/>
    <col min="14690" max="14690" width="9.42578125" style="40" customWidth="1"/>
    <col min="14691" max="14691" width="13.5703125" style="40" bestFit="1" customWidth="1"/>
    <col min="14692" max="14692" width="7" style="40" bestFit="1" customWidth="1"/>
    <col min="14693" max="14693" width="11.5703125" style="40" customWidth="1"/>
    <col min="14694" max="14694" width="13.5703125" style="40" bestFit="1" customWidth="1"/>
    <col min="14695" max="14695" width="9.42578125" style="40" customWidth="1"/>
    <col min="14696" max="14696" width="13.5703125" style="40" bestFit="1" customWidth="1"/>
    <col min="14697" max="14698" width="9.42578125" style="40" customWidth="1"/>
    <col min="14699" max="14699" width="13.5703125" style="40" bestFit="1" customWidth="1"/>
    <col min="14700" max="14700" width="9.42578125" style="40" customWidth="1"/>
    <col min="14701" max="14701" width="13.5703125" style="40" bestFit="1" customWidth="1"/>
    <col min="14702" max="14703" width="9.42578125" style="40" customWidth="1"/>
    <col min="14704" max="14704" width="13.5703125" style="40" bestFit="1" customWidth="1"/>
    <col min="14705" max="14705" width="9.42578125" style="40" customWidth="1"/>
    <col min="14706" max="14706" width="3" style="40" customWidth="1"/>
    <col min="14707" max="14707" width="14.140625" style="40" customWidth="1"/>
    <col min="14708" max="14708" width="6.42578125" style="40" customWidth="1"/>
    <col min="14709" max="14940" width="9" style="40"/>
    <col min="14941" max="14941" width="1.42578125" style="40" customWidth="1"/>
    <col min="14942" max="14942" width="3.5703125" style="40" customWidth="1"/>
    <col min="14943" max="14943" width="10.7109375" style="40" customWidth="1"/>
    <col min="14944" max="14944" width="5.42578125" style="40" customWidth="1"/>
    <col min="14945" max="14945" width="13.5703125" style="40" bestFit="1" customWidth="1"/>
    <col min="14946" max="14946" width="9.42578125" style="40" customWidth="1"/>
    <col min="14947" max="14947" width="13.5703125" style="40" bestFit="1" customWidth="1"/>
    <col min="14948" max="14948" width="7" style="40" bestFit="1" customWidth="1"/>
    <col min="14949" max="14949" width="11.5703125" style="40" customWidth="1"/>
    <col min="14950" max="14950" width="13.5703125" style="40" bestFit="1" customWidth="1"/>
    <col min="14951" max="14951" width="9.42578125" style="40" customWidth="1"/>
    <col min="14952" max="14952" width="13.5703125" style="40" bestFit="1" customWidth="1"/>
    <col min="14953" max="14954" width="9.42578125" style="40" customWidth="1"/>
    <col min="14955" max="14955" width="13.5703125" style="40" bestFit="1" customWidth="1"/>
    <col min="14956" max="14956" width="9.42578125" style="40" customWidth="1"/>
    <col min="14957" max="14957" width="13.5703125" style="40" bestFit="1" customWidth="1"/>
    <col min="14958" max="14959" width="9.42578125" style="40" customWidth="1"/>
    <col min="14960" max="14960" width="13.5703125" style="40" bestFit="1" customWidth="1"/>
    <col min="14961" max="14961" width="9.42578125" style="40" customWidth="1"/>
    <col min="14962" max="14962" width="3" style="40" customWidth="1"/>
    <col min="14963" max="14963" width="14.140625" style="40" customWidth="1"/>
    <col min="14964" max="14964" width="6.42578125" style="40" customWidth="1"/>
    <col min="14965" max="15196" width="9" style="40"/>
    <col min="15197" max="15197" width="1.42578125" style="40" customWidth="1"/>
    <col min="15198" max="15198" width="3.5703125" style="40" customWidth="1"/>
    <col min="15199" max="15199" width="10.7109375" style="40" customWidth="1"/>
    <col min="15200" max="15200" width="5.42578125" style="40" customWidth="1"/>
    <col min="15201" max="15201" width="13.5703125" style="40" bestFit="1" customWidth="1"/>
    <col min="15202" max="15202" width="9.42578125" style="40" customWidth="1"/>
    <col min="15203" max="15203" width="13.5703125" style="40" bestFit="1" customWidth="1"/>
    <col min="15204" max="15204" width="7" style="40" bestFit="1" customWidth="1"/>
    <col min="15205" max="15205" width="11.5703125" style="40" customWidth="1"/>
    <col min="15206" max="15206" width="13.5703125" style="40" bestFit="1" customWidth="1"/>
    <col min="15207" max="15207" width="9.42578125" style="40" customWidth="1"/>
    <col min="15208" max="15208" width="13.5703125" style="40" bestFit="1" customWidth="1"/>
    <col min="15209" max="15210" width="9.42578125" style="40" customWidth="1"/>
    <col min="15211" max="15211" width="13.5703125" style="40" bestFit="1" customWidth="1"/>
    <col min="15212" max="15212" width="9.42578125" style="40" customWidth="1"/>
    <col min="15213" max="15213" width="13.5703125" style="40" bestFit="1" customWidth="1"/>
    <col min="15214" max="15215" width="9.42578125" style="40" customWidth="1"/>
    <col min="15216" max="15216" width="13.5703125" style="40" bestFit="1" customWidth="1"/>
    <col min="15217" max="15217" width="9.42578125" style="40" customWidth="1"/>
    <col min="15218" max="15218" width="3" style="40" customWidth="1"/>
    <col min="15219" max="15219" width="14.140625" style="40" customWidth="1"/>
    <col min="15220" max="15220" width="6.42578125" style="40" customWidth="1"/>
    <col min="15221" max="15452" width="9" style="40"/>
    <col min="15453" max="15453" width="1.42578125" style="40" customWidth="1"/>
    <col min="15454" max="15454" width="3.5703125" style="40" customWidth="1"/>
    <col min="15455" max="15455" width="10.7109375" style="40" customWidth="1"/>
    <col min="15456" max="15456" width="5.42578125" style="40" customWidth="1"/>
    <col min="15457" max="15457" width="13.5703125" style="40" bestFit="1" customWidth="1"/>
    <col min="15458" max="15458" width="9.42578125" style="40" customWidth="1"/>
    <col min="15459" max="15459" width="13.5703125" style="40" bestFit="1" customWidth="1"/>
    <col min="15460" max="15460" width="7" style="40" bestFit="1" customWidth="1"/>
    <col min="15461" max="15461" width="11.5703125" style="40" customWidth="1"/>
    <col min="15462" max="15462" width="13.5703125" style="40" bestFit="1" customWidth="1"/>
    <col min="15463" max="15463" width="9.42578125" style="40" customWidth="1"/>
    <col min="15464" max="15464" width="13.5703125" style="40" bestFit="1" customWidth="1"/>
    <col min="15465" max="15466" width="9.42578125" style="40" customWidth="1"/>
    <col min="15467" max="15467" width="13.5703125" style="40" bestFit="1" customWidth="1"/>
    <col min="15468" max="15468" width="9.42578125" style="40" customWidth="1"/>
    <col min="15469" max="15469" width="13.5703125" style="40" bestFit="1" customWidth="1"/>
    <col min="15470" max="15471" width="9.42578125" style="40" customWidth="1"/>
    <col min="15472" max="15472" width="13.5703125" style="40" bestFit="1" customWidth="1"/>
    <col min="15473" max="15473" width="9.42578125" style="40" customWidth="1"/>
    <col min="15474" max="15474" width="3" style="40" customWidth="1"/>
    <col min="15475" max="15475" width="14.140625" style="40" customWidth="1"/>
    <col min="15476" max="15476" width="6.42578125" style="40" customWidth="1"/>
    <col min="15477" max="15708" width="9" style="40"/>
    <col min="15709" max="15709" width="1.42578125" style="40" customWidth="1"/>
    <col min="15710" max="15710" width="3.5703125" style="40" customWidth="1"/>
    <col min="15711" max="15711" width="10.7109375" style="40" customWidth="1"/>
    <col min="15712" max="15712" width="5.42578125" style="40" customWidth="1"/>
    <col min="15713" max="15713" width="13.5703125" style="40" bestFit="1" customWidth="1"/>
    <col min="15714" max="15714" width="9.42578125" style="40" customWidth="1"/>
    <col min="15715" max="15715" width="13.5703125" style="40" bestFit="1" customWidth="1"/>
    <col min="15716" max="15716" width="7" style="40" bestFit="1" customWidth="1"/>
    <col min="15717" max="15717" width="11.5703125" style="40" customWidth="1"/>
    <col min="15718" max="15718" width="13.5703125" style="40" bestFit="1" customWidth="1"/>
    <col min="15719" max="15719" width="9.42578125" style="40" customWidth="1"/>
    <col min="15720" max="15720" width="13.5703125" style="40" bestFit="1" customWidth="1"/>
    <col min="15721" max="15722" width="9.42578125" style="40" customWidth="1"/>
    <col min="15723" max="15723" width="13.5703125" style="40" bestFit="1" customWidth="1"/>
    <col min="15724" max="15724" width="9.42578125" style="40" customWidth="1"/>
    <col min="15725" max="15725" width="13.5703125" style="40" bestFit="1" customWidth="1"/>
    <col min="15726" max="15727" width="9.42578125" style="40" customWidth="1"/>
    <col min="15728" max="15728" width="13.5703125" style="40" bestFit="1" customWidth="1"/>
    <col min="15729" max="15729" width="9.42578125" style="40" customWidth="1"/>
    <col min="15730" max="15730" width="3" style="40" customWidth="1"/>
    <col min="15731" max="15731" width="14.140625" style="40" customWidth="1"/>
    <col min="15732" max="15732" width="6.42578125" style="40" customWidth="1"/>
    <col min="15733" max="15964" width="9" style="40"/>
    <col min="15965" max="15965" width="1.42578125" style="40" customWidth="1"/>
    <col min="15966" max="15966" width="3.5703125" style="40" customWidth="1"/>
    <col min="15967" max="15967" width="10.7109375" style="40" customWidth="1"/>
    <col min="15968" max="15968" width="5.42578125" style="40" customWidth="1"/>
    <col min="15969" max="15969" width="13.5703125" style="40" bestFit="1" customWidth="1"/>
    <col min="15970" max="15970" width="9.42578125" style="40" customWidth="1"/>
    <col min="15971" max="15971" width="13.5703125" style="40" bestFit="1" customWidth="1"/>
    <col min="15972" max="15972" width="7" style="40" bestFit="1" customWidth="1"/>
    <col min="15973" max="15973" width="11.5703125" style="40" customWidth="1"/>
    <col min="15974" max="15974" width="13.5703125" style="40" bestFit="1" customWidth="1"/>
    <col min="15975" max="15975" width="9.42578125" style="40" customWidth="1"/>
    <col min="15976" max="15976" width="13.5703125" style="40" bestFit="1" customWidth="1"/>
    <col min="15977" max="15978" width="9.42578125" style="40" customWidth="1"/>
    <col min="15979" max="15979" width="13.5703125" style="40" bestFit="1" customWidth="1"/>
    <col min="15980" max="15980" width="9.42578125" style="40" customWidth="1"/>
    <col min="15981" max="15981" width="13.5703125" style="40" bestFit="1" customWidth="1"/>
    <col min="15982" max="15983" width="9.42578125" style="40" customWidth="1"/>
    <col min="15984" max="15984" width="13.5703125" style="40" bestFit="1" customWidth="1"/>
    <col min="15985" max="15985" width="9.42578125" style="40" customWidth="1"/>
    <col min="15986" max="15986" width="3" style="40" customWidth="1"/>
    <col min="15987" max="15987" width="14.140625" style="40" customWidth="1"/>
    <col min="15988" max="15988" width="6.42578125" style="40" customWidth="1"/>
    <col min="15989" max="16220" width="9" style="40"/>
    <col min="16221" max="16221" width="1.42578125" style="40" customWidth="1"/>
    <col min="16222" max="16222" width="3.5703125" style="40" customWidth="1"/>
    <col min="16223" max="16223" width="10.7109375" style="40" customWidth="1"/>
    <col min="16224" max="16224" width="5.42578125" style="40" customWidth="1"/>
    <col min="16225" max="16225" width="13.5703125" style="40" bestFit="1" customWidth="1"/>
    <col min="16226" max="16226" width="9.42578125" style="40" customWidth="1"/>
    <col min="16227" max="16227" width="13.5703125" style="40" bestFit="1" customWidth="1"/>
    <col min="16228" max="16228" width="7" style="40" bestFit="1" customWidth="1"/>
    <col min="16229" max="16229" width="11.5703125" style="40" customWidth="1"/>
    <col min="16230" max="16230" width="13.5703125" style="40" bestFit="1" customWidth="1"/>
    <col min="16231" max="16231" width="9.42578125" style="40" customWidth="1"/>
    <col min="16232" max="16232" width="13.5703125" style="40" bestFit="1" customWidth="1"/>
    <col min="16233" max="16234" width="9.42578125" style="40" customWidth="1"/>
    <col min="16235" max="16235" width="13.5703125" style="40" bestFit="1" customWidth="1"/>
    <col min="16236" max="16236" width="9.42578125" style="40" customWidth="1"/>
    <col min="16237" max="16237" width="13.5703125" style="40" bestFit="1" customWidth="1"/>
    <col min="16238" max="16239" width="9.42578125" style="40" customWidth="1"/>
    <col min="16240" max="16240" width="13.5703125" style="40" bestFit="1" customWidth="1"/>
    <col min="16241" max="16241" width="9.42578125" style="40" customWidth="1"/>
    <col min="16242" max="16242" width="3" style="40" customWidth="1"/>
    <col min="16243" max="16243" width="14.140625" style="40" customWidth="1"/>
    <col min="16244" max="16244" width="6.42578125" style="40" customWidth="1"/>
    <col min="16245" max="16383" width="9" style="40"/>
    <col min="16384" max="16384" width="9" style="40" customWidth="1"/>
  </cols>
  <sheetData>
    <row r="1" spans="1:117" s="455" customFormat="1" ht="28.5" customHeight="1" thickBot="1">
      <c r="A1" s="1449" t="str">
        <f>"مقادیر مصرف مواداولیه در دوره " &amp; روکش!F9 &amp; " سال " &amp; روکش!D9</f>
        <v>مقادیر مصرف مواداولیه در دوره شش ماهه سال 1405</v>
      </c>
      <c r="B1" s="1449"/>
      <c r="C1" s="1449"/>
      <c r="D1" s="1449"/>
      <c r="E1" s="1450"/>
      <c r="F1" s="2724" t="s">
        <v>394</v>
      </c>
      <c r="G1" s="2724"/>
      <c r="H1" s="1451"/>
      <c r="I1" s="1451"/>
      <c r="J1" s="1451"/>
      <c r="K1" s="1451"/>
      <c r="L1" s="1452"/>
      <c r="M1" s="1452"/>
      <c r="N1" s="1452"/>
      <c r="O1" s="516"/>
      <c r="P1" s="1451"/>
      <c r="Q1" s="2936"/>
      <c r="R1" s="2936"/>
      <c r="S1" s="1451"/>
      <c r="T1" s="1451"/>
      <c r="U1" s="1451"/>
      <c r="V1" s="1451"/>
      <c r="W1" s="1452"/>
      <c r="X1" s="1452"/>
      <c r="Y1" s="1452"/>
      <c r="Z1" s="516"/>
      <c r="AA1" s="1451"/>
      <c r="AB1" s="2936"/>
      <c r="AC1" s="2936"/>
      <c r="AD1" s="1451"/>
      <c r="AE1" s="1451"/>
      <c r="AF1" s="1451"/>
      <c r="AG1" s="1451"/>
      <c r="AH1" s="1452"/>
      <c r="AI1" s="1452"/>
      <c r="AJ1" s="1452"/>
      <c r="AK1" s="516"/>
      <c r="AL1" s="1451"/>
      <c r="AM1" s="2936"/>
      <c r="AN1" s="2936"/>
      <c r="AO1" s="1451"/>
      <c r="AP1" s="1451"/>
      <c r="AQ1" s="1451"/>
      <c r="AR1" s="1451"/>
      <c r="AS1" s="1452"/>
      <c r="AT1" s="1452"/>
      <c r="AU1" s="1452"/>
      <c r="AV1" s="516"/>
      <c r="AW1" s="1451"/>
      <c r="AX1" s="2936"/>
      <c r="AY1" s="2936"/>
      <c r="AZ1" s="1451"/>
      <c r="BA1" s="1451"/>
      <c r="BB1" s="1451"/>
      <c r="BC1" s="1451"/>
      <c r="BD1" s="1452"/>
      <c r="BE1" s="1452"/>
      <c r="BF1" s="1452"/>
      <c r="BG1" s="516"/>
      <c r="BH1" s="1451"/>
      <c r="BI1" s="2936"/>
      <c r="BJ1" s="2936"/>
      <c r="BK1" s="1451"/>
      <c r="BL1" s="1451"/>
      <c r="BM1" s="1451"/>
      <c r="BN1" s="1451"/>
      <c r="BO1" s="1452"/>
      <c r="BP1" s="1452"/>
      <c r="BQ1" s="1452"/>
      <c r="BR1" s="516"/>
      <c r="BS1" s="1451"/>
      <c r="BT1" s="2936"/>
      <c r="BU1" s="2936"/>
      <c r="BV1" s="1451"/>
      <c r="BW1" s="1451"/>
      <c r="BX1" s="1451"/>
      <c r="BY1" s="1451"/>
      <c r="BZ1" s="1452"/>
      <c r="CA1" s="1452"/>
      <c r="CB1" s="1452"/>
      <c r="CC1" s="516"/>
      <c r="CD1" s="1451"/>
      <c r="CE1" s="2936"/>
      <c r="CF1" s="2936"/>
      <c r="CG1" s="1451"/>
      <c r="CH1" s="1451"/>
      <c r="CI1" s="1451"/>
      <c r="CJ1" s="1451"/>
      <c r="CK1" s="1452"/>
      <c r="CL1" s="1452"/>
      <c r="CM1" s="1452"/>
      <c r="CN1" s="516"/>
      <c r="CO1" s="1451"/>
      <c r="CP1" s="2936"/>
      <c r="CQ1" s="2936"/>
      <c r="CR1" s="1451"/>
      <c r="CS1" s="1451"/>
      <c r="CT1" s="1451"/>
      <c r="CU1" s="1451"/>
      <c r="CV1" s="1452"/>
      <c r="CW1" s="1452"/>
      <c r="CX1" s="1452"/>
      <c r="CY1" s="516"/>
      <c r="CZ1" s="1451"/>
      <c r="DA1" s="2936"/>
      <c r="DB1" s="2936"/>
      <c r="DC1" s="1451"/>
      <c r="DD1" s="1451"/>
      <c r="DE1" s="1451"/>
      <c r="DF1" s="1451"/>
      <c r="DG1" s="1452"/>
      <c r="DH1" s="1452"/>
      <c r="DI1" s="1452"/>
      <c r="DJ1" s="1452"/>
      <c r="DK1" s="1452"/>
    </row>
    <row r="2" spans="1:117" s="1455" customFormat="1" ht="26.25" customHeight="1" thickBot="1">
      <c r="A2" s="2919" t="s">
        <v>5</v>
      </c>
      <c r="B2" s="2922" t="s">
        <v>395</v>
      </c>
      <c r="C2" s="2925" t="s">
        <v>16</v>
      </c>
      <c r="D2" s="1453" t="s">
        <v>416</v>
      </c>
      <c r="E2" s="2933">
        <f ca="1">'مقادیر تولید'!B6</f>
        <v>0</v>
      </c>
      <c r="F2" s="2934"/>
      <c r="G2" s="2934"/>
      <c r="H2" s="1453" t="s">
        <v>417</v>
      </c>
      <c r="I2" s="2933">
        <f ca="1">'مقادیر تولید'!B7</f>
        <v>0</v>
      </c>
      <c r="J2" s="2934"/>
      <c r="K2" s="2934"/>
      <c r="L2" s="2919" t="s">
        <v>5</v>
      </c>
      <c r="M2" s="2922" t="s">
        <v>395</v>
      </c>
      <c r="N2" s="2925" t="s">
        <v>16</v>
      </c>
      <c r="O2" s="1453" t="s">
        <v>418</v>
      </c>
      <c r="P2" s="2933">
        <f ca="1">'مقادیر تولید'!B8</f>
        <v>0</v>
      </c>
      <c r="Q2" s="2934"/>
      <c r="R2" s="2934"/>
      <c r="S2" s="1453" t="s">
        <v>419</v>
      </c>
      <c r="T2" s="2933">
        <f ca="1">'مقادیر تولید'!B9</f>
        <v>0</v>
      </c>
      <c r="U2" s="2934"/>
      <c r="V2" s="2934"/>
      <c r="W2" s="2919" t="s">
        <v>5</v>
      </c>
      <c r="X2" s="2922" t="s">
        <v>395</v>
      </c>
      <c r="Y2" s="2925" t="s">
        <v>16</v>
      </c>
      <c r="Z2" s="1453" t="s">
        <v>420</v>
      </c>
      <c r="AA2" s="2933">
        <f ca="1">'مقادیر تولید'!B10</f>
        <v>0</v>
      </c>
      <c r="AB2" s="2934"/>
      <c r="AC2" s="2934"/>
      <c r="AD2" s="1453" t="s">
        <v>421</v>
      </c>
      <c r="AE2" s="2933">
        <f ca="1">'مقادیر تولید'!B11</f>
        <v>0</v>
      </c>
      <c r="AF2" s="2934"/>
      <c r="AG2" s="2934"/>
      <c r="AH2" s="2919" t="s">
        <v>5</v>
      </c>
      <c r="AI2" s="2922" t="s">
        <v>395</v>
      </c>
      <c r="AJ2" s="2925" t="s">
        <v>16</v>
      </c>
      <c r="AK2" s="1453" t="s">
        <v>422</v>
      </c>
      <c r="AL2" s="2933">
        <f ca="1">'مقادیر تولید'!B12</f>
        <v>0</v>
      </c>
      <c r="AM2" s="2934"/>
      <c r="AN2" s="2934"/>
      <c r="AO2" s="1453" t="s">
        <v>423</v>
      </c>
      <c r="AP2" s="2933">
        <f ca="1">'مقادیر تولید'!B13</f>
        <v>0</v>
      </c>
      <c r="AQ2" s="2934"/>
      <c r="AR2" s="2934"/>
      <c r="AS2" s="2919" t="s">
        <v>5</v>
      </c>
      <c r="AT2" s="2922" t="s">
        <v>395</v>
      </c>
      <c r="AU2" s="2925" t="s">
        <v>16</v>
      </c>
      <c r="AV2" s="1453" t="s">
        <v>424</v>
      </c>
      <c r="AW2" s="2933">
        <f ca="1">'مقادیر تولید'!B14</f>
        <v>0</v>
      </c>
      <c r="AX2" s="2934"/>
      <c r="AY2" s="2934"/>
      <c r="AZ2" s="1453" t="s">
        <v>425</v>
      </c>
      <c r="BA2" s="2933">
        <f ca="1">'مقادیر تولید'!B15</f>
        <v>0</v>
      </c>
      <c r="BB2" s="2934"/>
      <c r="BC2" s="2934"/>
      <c r="BD2" s="2919" t="s">
        <v>5</v>
      </c>
      <c r="BE2" s="2922" t="s">
        <v>395</v>
      </c>
      <c r="BF2" s="2925" t="s">
        <v>16</v>
      </c>
      <c r="BG2" s="1453" t="s">
        <v>426</v>
      </c>
      <c r="BH2" s="2933">
        <f ca="1">'مقادیر تولید'!B16</f>
        <v>0</v>
      </c>
      <c r="BI2" s="2934"/>
      <c r="BJ2" s="2934"/>
      <c r="BK2" s="1453" t="s">
        <v>427</v>
      </c>
      <c r="BL2" s="2933">
        <f ca="1">'مقادیر تولید'!B17</f>
        <v>0</v>
      </c>
      <c r="BM2" s="2934"/>
      <c r="BN2" s="2934"/>
      <c r="BO2" s="2919" t="s">
        <v>5</v>
      </c>
      <c r="BP2" s="2922" t="s">
        <v>395</v>
      </c>
      <c r="BQ2" s="2925" t="s">
        <v>16</v>
      </c>
      <c r="BR2" s="1453" t="s">
        <v>428</v>
      </c>
      <c r="BS2" s="2933">
        <f ca="1">'مقادیر تولید'!B18</f>
        <v>0</v>
      </c>
      <c r="BT2" s="2934"/>
      <c r="BU2" s="2934"/>
      <c r="BV2" s="1453" t="s">
        <v>429</v>
      </c>
      <c r="BW2" s="2933">
        <f ca="1">'مقادیر تولید'!B19</f>
        <v>0</v>
      </c>
      <c r="BX2" s="2934"/>
      <c r="BY2" s="2934"/>
      <c r="BZ2" s="2919" t="s">
        <v>5</v>
      </c>
      <c r="CA2" s="2922" t="s">
        <v>395</v>
      </c>
      <c r="CB2" s="2925" t="s">
        <v>16</v>
      </c>
      <c r="CC2" s="1453" t="s">
        <v>430</v>
      </c>
      <c r="CD2" s="2933">
        <f ca="1">'مقادیر تولید'!B20</f>
        <v>0</v>
      </c>
      <c r="CE2" s="2934"/>
      <c r="CF2" s="2934"/>
      <c r="CG2" s="1453" t="s">
        <v>431</v>
      </c>
      <c r="CH2" s="2933">
        <f ca="1">'مقادیر تولید'!B21</f>
        <v>0</v>
      </c>
      <c r="CI2" s="2934"/>
      <c r="CJ2" s="2934"/>
      <c r="CK2" s="2919" t="s">
        <v>5</v>
      </c>
      <c r="CL2" s="2922" t="s">
        <v>395</v>
      </c>
      <c r="CM2" s="2925" t="s">
        <v>16</v>
      </c>
      <c r="CN2" s="1453" t="s">
        <v>432</v>
      </c>
      <c r="CO2" s="2933">
        <f ca="1">'مقادیر تولید'!B22</f>
        <v>0</v>
      </c>
      <c r="CP2" s="2934"/>
      <c r="CQ2" s="2934"/>
      <c r="CR2" s="1453" t="s">
        <v>433</v>
      </c>
      <c r="CS2" s="2933">
        <f ca="1">'مقادیر تولید'!B23</f>
        <v>0</v>
      </c>
      <c r="CT2" s="2934"/>
      <c r="CU2" s="2934"/>
      <c r="CV2" s="2919" t="s">
        <v>5</v>
      </c>
      <c r="CW2" s="2922" t="s">
        <v>395</v>
      </c>
      <c r="CX2" s="2925" t="s">
        <v>16</v>
      </c>
      <c r="CY2" s="1453" t="s">
        <v>434</v>
      </c>
      <c r="CZ2" s="2933">
        <f ca="1">'مقادیر تولید'!B24</f>
        <v>0</v>
      </c>
      <c r="DA2" s="2934"/>
      <c r="DB2" s="2934"/>
      <c r="DC2" s="1453" t="s">
        <v>435</v>
      </c>
      <c r="DD2" s="2933">
        <f ca="1">'مقادیر تولید'!B25</f>
        <v>0</v>
      </c>
      <c r="DE2" s="2934"/>
      <c r="DF2" s="2934"/>
      <c r="DG2" s="2919" t="s">
        <v>5</v>
      </c>
      <c r="DH2" s="2922" t="s">
        <v>395</v>
      </c>
      <c r="DI2" s="2925" t="s">
        <v>16</v>
      </c>
      <c r="DJ2" s="2937" t="s">
        <v>2056</v>
      </c>
      <c r="DK2" s="2937" t="s">
        <v>2057</v>
      </c>
      <c r="DL2" s="2937" t="s">
        <v>685</v>
      </c>
      <c r="DM2" s="1454"/>
    </row>
    <row r="3" spans="1:117" s="1456" customFormat="1" ht="24" customHeight="1" thickBot="1">
      <c r="A3" s="2920"/>
      <c r="B3" s="2923"/>
      <c r="C3" s="2926"/>
      <c r="D3" s="2907" t="s">
        <v>684</v>
      </c>
      <c r="E3" s="2928" t="s">
        <v>414</v>
      </c>
      <c r="F3" s="2929"/>
      <c r="G3" s="2930"/>
      <c r="H3" s="2907" t="s">
        <v>684</v>
      </c>
      <c r="I3" s="2928" t="s">
        <v>414</v>
      </c>
      <c r="J3" s="2929"/>
      <c r="K3" s="2930"/>
      <c r="L3" s="2920"/>
      <c r="M3" s="2923"/>
      <c r="N3" s="2926"/>
      <c r="O3" s="2907" t="s">
        <v>684</v>
      </c>
      <c r="P3" s="2928" t="s">
        <v>414</v>
      </c>
      <c r="Q3" s="2929"/>
      <c r="R3" s="2930"/>
      <c r="S3" s="2907" t="s">
        <v>684</v>
      </c>
      <c r="T3" s="2928" t="s">
        <v>414</v>
      </c>
      <c r="U3" s="2929"/>
      <c r="V3" s="2930"/>
      <c r="W3" s="2920"/>
      <c r="X3" s="2923"/>
      <c r="Y3" s="2926"/>
      <c r="Z3" s="2907" t="s">
        <v>684</v>
      </c>
      <c r="AA3" s="2928" t="s">
        <v>414</v>
      </c>
      <c r="AB3" s="2929"/>
      <c r="AC3" s="2930"/>
      <c r="AD3" s="2907" t="s">
        <v>684</v>
      </c>
      <c r="AE3" s="2928" t="s">
        <v>414</v>
      </c>
      <c r="AF3" s="2929"/>
      <c r="AG3" s="2930"/>
      <c r="AH3" s="2920"/>
      <c r="AI3" s="2923"/>
      <c r="AJ3" s="2926"/>
      <c r="AK3" s="2907" t="s">
        <v>684</v>
      </c>
      <c r="AL3" s="2928" t="s">
        <v>414</v>
      </c>
      <c r="AM3" s="2929"/>
      <c r="AN3" s="2930"/>
      <c r="AO3" s="2907" t="s">
        <v>684</v>
      </c>
      <c r="AP3" s="2928" t="s">
        <v>414</v>
      </c>
      <c r="AQ3" s="2929"/>
      <c r="AR3" s="2930"/>
      <c r="AS3" s="2920"/>
      <c r="AT3" s="2923"/>
      <c r="AU3" s="2926"/>
      <c r="AV3" s="2907" t="s">
        <v>684</v>
      </c>
      <c r="AW3" s="2928" t="s">
        <v>414</v>
      </c>
      <c r="AX3" s="2929"/>
      <c r="AY3" s="2930"/>
      <c r="AZ3" s="2907" t="s">
        <v>684</v>
      </c>
      <c r="BA3" s="2928" t="s">
        <v>414</v>
      </c>
      <c r="BB3" s="2929"/>
      <c r="BC3" s="2930"/>
      <c r="BD3" s="2920"/>
      <c r="BE3" s="2923"/>
      <c r="BF3" s="2926"/>
      <c r="BG3" s="2907" t="s">
        <v>684</v>
      </c>
      <c r="BH3" s="2928" t="s">
        <v>414</v>
      </c>
      <c r="BI3" s="2929"/>
      <c r="BJ3" s="2930"/>
      <c r="BK3" s="2907" t="s">
        <v>684</v>
      </c>
      <c r="BL3" s="2928" t="s">
        <v>414</v>
      </c>
      <c r="BM3" s="2929"/>
      <c r="BN3" s="2930"/>
      <c r="BO3" s="2920"/>
      <c r="BP3" s="2923"/>
      <c r="BQ3" s="2926"/>
      <c r="BR3" s="2907" t="s">
        <v>684</v>
      </c>
      <c r="BS3" s="2928" t="s">
        <v>414</v>
      </c>
      <c r="BT3" s="2929"/>
      <c r="BU3" s="2930"/>
      <c r="BV3" s="2907" t="s">
        <v>684</v>
      </c>
      <c r="BW3" s="2928" t="s">
        <v>414</v>
      </c>
      <c r="BX3" s="2929"/>
      <c r="BY3" s="2930"/>
      <c r="BZ3" s="2920"/>
      <c r="CA3" s="2923"/>
      <c r="CB3" s="2926"/>
      <c r="CC3" s="2907" t="s">
        <v>684</v>
      </c>
      <c r="CD3" s="2928" t="s">
        <v>414</v>
      </c>
      <c r="CE3" s="2929"/>
      <c r="CF3" s="2930"/>
      <c r="CG3" s="2907" t="s">
        <v>684</v>
      </c>
      <c r="CH3" s="2928" t="s">
        <v>414</v>
      </c>
      <c r="CI3" s="2929"/>
      <c r="CJ3" s="2930"/>
      <c r="CK3" s="2920"/>
      <c r="CL3" s="2923"/>
      <c r="CM3" s="2926"/>
      <c r="CN3" s="2907" t="s">
        <v>684</v>
      </c>
      <c r="CO3" s="2928" t="s">
        <v>414</v>
      </c>
      <c r="CP3" s="2929"/>
      <c r="CQ3" s="2930"/>
      <c r="CR3" s="2907" t="s">
        <v>684</v>
      </c>
      <c r="CS3" s="2928" t="s">
        <v>414</v>
      </c>
      <c r="CT3" s="2929"/>
      <c r="CU3" s="2930"/>
      <c r="CV3" s="2920"/>
      <c r="CW3" s="2923"/>
      <c r="CX3" s="2926"/>
      <c r="CY3" s="2907" t="s">
        <v>684</v>
      </c>
      <c r="CZ3" s="2928" t="s">
        <v>414</v>
      </c>
      <c r="DA3" s="2929"/>
      <c r="DB3" s="2930"/>
      <c r="DC3" s="2907" t="s">
        <v>684</v>
      </c>
      <c r="DD3" s="2928" t="s">
        <v>414</v>
      </c>
      <c r="DE3" s="2929"/>
      <c r="DF3" s="2930"/>
      <c r="DG3" s="2920"/>
      <c r="DH3" s="2923"/>
      <c r="DI3" s="2926"/>
      <c r="DJ3" s="2938"/>
      <c r="DK3" s="2938"/>
      <c r="DL3" s="2938"/>
    </row>
    <row r="4" spans="1:117" s="1456" customFormat="1" ht="19.5" customHeight="1">
      <c r="A4" s="2920"/>
      <c r="B4" s="2923"/>
      <c r="C4" s="2926"/>
      <c r="D4" s="2918"/>
      <c r="E4" s="1354" t="s">
        <v>396</v>
      </c>
      <c r="F4" s="2931">
        <f>'مقادیر تولید'!$J$6</f>
        <v>0</v>
      </c>
      <c r="G4" s="2932"/>
      <c r="H4" s="2918"/>
      <c r="I4" s="1354" t="s">
        <v>396</v>
      </c>
      <c r="J4" s="2931">
        <f>'مقادیر تولید'!$J$7</f>
        <v>0</v>
      </c>
      <c r="K4" s="2932"/>
      <c r="L4" s="2920"/>
      <c r="M4" s="2923"/>
      <c r="N4" s="2926"/>
      <c r="O4" s="2918"/>
      <c r="P4" s="1354" t="s">
        <v>396</v>
      </c>
      <c r="Q4" s="2931">
        <f>'مقادیر تولید'!$J$8</f>
        <v>0</v>
      </c>
      <c r="R4" s="2932"/>
      <c r="S4" s="2918"/>
      <c r="T4" s="1354" t="s">
        <v>396</v>
      </c>
      <c r="U4" s="2931">
        <f>'مقادیر تولید'!J9</f>
        <v>0</v>
      </c>
      <c r="V4" s="2932"/>
      <c r="W4" s="2920"/>
      <c r="X4" s="2923"/>
      <c r="Y4" s="2926"/>
      <c r="Z4" s="2918"/>
      <c r="AA4" s="1354" t="s">
        <v>396</v>
      </c>
      <c r="AB4" s="2931">
        <f>'مقادیر تولید'!J10</f>
        <v>0</v>
      </c>
      <c r="AC4" s="2932"/>
      <c r="AD4" s="2918"/>
      <c r="AE4" s="1354" t="s">
        <v>396</v>
      </c>
      <c r="AF4" s="2931">
        <f>'مقادیر تولید'!J11</f>
        <v>0</v>
      </c>
      <c r="AG4" s="2932"/>
      <c r="AH4" s="2920"/>
      <c r="AI4" s="2923"/>
      <c r="AJ4" s="2926"/>
      <c r="AK4" s="2918"/>
      <c r="AL4" s="1354" t="s">
        <v>396</v>
      </c>
      <c r="AM4" s="2931">
        <f>'مقادیر تولید'!J12</f>
        <v>0</v>
      </c>
      <c r="AN4" s="2932"/>
      <c r="AO4" s="2918"/>
      <c r="AP4" s="1354" t="s">
        <v>396</v>
      </c>
      <c r="AQ4" s="2931">
        <f>'مقادیر تولید'!J13</f>
        <v>0</v>
      </c>
      <c r="AR4" s="2932"/>
      <c r="AS4" s="2920"/>
      <c r="AT4" s="2923"/>
      <c r="AU4" s="2926"/>
      <c r="AV4" s="2918"/>
      <c r="AW4" s="1354" t="s">
        <v>396</v>
      </c>
      <c r="AX4" s="2931">
        <f>'مقادیر تولید'!J14</f>
        <v>0</v>
      </c>
      <c r="AY4" s="2932"/>
      <c r="AZ4" s="2918"/>
      <c r="BA4" s="1354" t="s">
        <v>396</v>
      </c>
      <c r="BB4" s="2931">
        <f>'مقادیر تولید'!J15</f>
        <v>0</v>
      </c>
      <c r="BC4" s="2932"/>
      <c r="BD4" s="2920"/>
      <c r="BE4" s="2923"/>
      <c r="BF4" s="2926"/>
      <c r="BG4" s="2918"/>
      <c r="BH4" s="1354" t="s">
        <v>396</v>
      </c>
      <c r="BI4" s="2931">
        <f>'مقادیر تولید'!J16</f>
        <v>0</v>
      </c>
      <c r="BJ4" s="2932"/>
      <c r="BK4" s="2918"/>
      <c r="BL4" s="1354" t="s">
        <v>396</v>
      </c>
      <c r="BM4" s="2931">
        <f>'مقادیر تولید'!J17</f>
        <v>0</v>
      </c>
      <c r="BN4" s="2932"/>
      <c r="BO4" s="2920"/>
      <c r="BP4" s="2923"/>
      <c r="BQ4" s="2926"/>
      <c r="BR4" s="2918"/>
      <c r="BS4" s="1354" t="s">
        <v>396</v>
      </c>
      <c r="BT4" s="2931">
        <f>'مقادیر تولید'!J18</f>
        <v>0</v>
      </c>
      <c r="BU4" s="2932"/>
      <c r="BV4" s="2918"/>
      <c r="BW4" s="1354" t="s">
        <v>396</v>
      </c>
      <c r="BX4" s="2931">
        <f>'مقادیر تولید'!J19</f>
        <v>0</v>
      </c>
      <c r="BY4" s="2932"/>
      <c r="BZ4" s="2920"/>
      <c r="CA4" s="2923"/>
      <c r="CB4" s="2926"/>
      <c r="CC4" s="2918"/>
      <c r="CD4" s="1354" t="s">
        <v>396</v>
      </c>
      <c r="CE4" s="2931">
        <f>'مقادیر تولید'!J20</f>
        <v>0</v>
      </c>
      <c r="CF4" s="2932"/>
      <c r="CG4" s="2918"/>
      <c r="CH4" s="1354" t="s">
        <v>396</v>
      </c>
      <c r="CI4" s="2931">
        <f>'مقادیر تولید'!J21</f>
        <v>0</v>
      </c>
      <c r="CJ4" s="2932"/>
      <c r="CK4" s="2920"/>
      <c r="CL4" s="2923"/>
      <c r="CM4" s="2926"/>
      <c r="CN4" s="2918"/>
      <c r="CO4" s="1354" t="s">
        <v>396</v>
      </c>
      <c r="CP4" s="2931">
        <f>'مقادیر تولید'!J22</f>
        <v>0</v>
      </c>
      <c r="CQ4" s="2932"/>
      <c r="CR4" s="2918"/>
      <c r="CS4" s="1354" t="s">
        <v>396</v>
      </c>
      <c r="CT4" s="2931">
        <f>'مقادیر تولید'!J23</f>
        <v>0</v>
      </c>
      <c r="CU4" s="2932"/>
      <c r="CV4" s="2920"/>
      <c r="CW4" s="2923"/>
      <c r="CX4" s="2926"/>
      <c r="CY4" s="2918"/>
      <c r="CZ4" s="1354" t="s">
        <v>396</v>
      </c>
      <c r="DA4" s="2931">
        <f>'مقادیر تولید'!J24</f>
        <v>0</v>
      </c>
      <c r="DB4" s="2932"/>
      <c r="DC4" s="2918"/>
      <c r="DD4" s="1354" t="s">
        <v>396</v>
      </c>
      <c r="DE4" s="2931">
        <f>'مقادیر تولید'!J25</f>
        <v>0</v>
      </c>
      <c r="DF4" s="2932"/>
      <c r="DG4" s="2920"/>
      <c r="DH4" s="2923"/>
      <c r="DI4" s="2926"/>
      <c r="DJ4" s="2938"/>
      <c r="DK4" s="2938"/>
      <c r="DL4" s="2938"/>
    </row>
    <row r="5" spans="1:117" s="1456" customFormat="1" ht="39.75" customHeight="1" thickBot="1">
      <c r="A5" s="2921"/>
      <c r="B5" s="2924"/>
      <c r="C5" s="2927"/>
      <c r="D5" s="1457" t="s">
        <v>397</v>
      </c>
      <c r="E5" s="1352" t="s">
        <v>397</v>
      </c>
      <c r="F5" s="1458" t="s">
        <v>415</v>
      </c>
      <c r="G5" s="1353" t="s">
        <v>685</v>
      </c>
      <c r="H5" s="1457" t="s">
        <v>397</v>
      </c>
      <c r="I5" s="1352" t="s">
        <v>397</v>
      </c>
      <c r="J5" s="1458" t="s">
        <v>415</v>
      </c>
      <c r="K5" s="1353" t="s">
        <v>685</v>
      </c>
      <c r="L5" s="2921"/>
      <c r="M5" s="2924"/>
      <c r="N5" s="2927"/>
      <c r="O5" s="1457" t="s">
        <v>397</v>
      </c>
      <c r="P5" s="1352" t="s">
        <v>397</v>
      </c>
      <c r="Q5" s="1458" t="s">
        <v>415</v>
      </c>
      <c r="R5" s="1353" t="s">
        <v>685</v>
      </c>
      <c r="S5" s="1457" t="s">
        <v>397</v>
      </c>
      <c r="T5" s="1352" t="s">
        <v>397</v>
      </c>
      <c r="U5" s="1458" t="s">
        <v>415</v>
      </c>
      <c r="V5" s="1353" t="s">
        <v>685</v>
      </c>
      <c r="W5" s="2921"/>
      <c r="X5" s="2924"/>
      <c r="Y5" s="2927"/>
      <c r="Z5" s="1457" t="s">
        <v>397</v>
      </c>
      <c r="AA5" s="1352" t="s">
        <v>397</v>
      </c>
      <c r="AB5" s="1458" t="s">
        <v>415</v>
      </c>
      <c r="AC5" s="1353" t="s">
        <v>685</v>
      </c>
      <c r="AD5" s="1457" t="s">
        <v>397</v>
      </c>
      <c r="AE5" s="1352" t="s">
        <v>397</v>
      </c>
      <c r="AF5" s="1458" t="s">
        <v>415</v>
      </c>
      <c r="AG5" s="1353" t="s">
        <v>685</v>
      </c>
      <c r="AH5" s="2921"/>
      <c r="AI5" s="2924"/>
      <c r="AJ5" s="2927"/>
      <c r="AK5" s="1457" t="s">
        <v>397</v>
      </c>
      <c r="AL5" s="1352" t="s">
        <v>397</v>
      </c>
      <c r="AM5" s="1458" t="s">
        <v>415</v>
      </c>
      <c r="AN5" s="1353" t="s">
        <v>685</v>
      </c>
      <c r="AO5" s="1457" t="s">
        <v>397</v>
      </c>
      <c r="AP5" s="1352" t="s">
        <v>397</v>
      </c>
      <c r="AQ5" s="1458" t="s">
        <v>415</v>
      </c>
      <c r="AR5" s="1353" t="s">
        <v>685</v>
      </c>
      <c r="AS5" s="2921"/>
      <c r="AT5" s="2924"/>
      <c r="AU5" s="2927"/>
      <c r="AV5" s="1457" t="s">
        <v>397</v>
      </c>
      <c r="AW5" s="1352" t="s">
        <v>397</v>
      </c>
      <c r="AX5" s="1458" t="s">
        <v>415</v>
      </c>
      <c r="AY5" s="1353" t="s">
        <v>685</v>
      </c>
      <c r="AZ5" s="1457" t="s">
        <v>397</v>
      </c>
      <c r="BA5" s="1352" t="s">
        <v>397</v>
      </c>
      <c r="BB5" s="1458" t="s">
        <v>415</v>
      </c>
      <c r="BC5" s="1353" t="s">
        <v>685</v>
      </c>
      <c r="BD5" s="2921"/>
      <c r="BE5" s="2924"/>
      <c r="BF5" s="2927"/>
      <c r="BG5" s="1457" t="s">
        <v>397</v>
      </c>
      <c r="BH5" s="1352" t="s">
        <v>397</v>
      </c>
      <c r="BI5" s="1458" t="s">
        <v>415</v>
      </c>
      <c r="BJ5" s="1353" t="s">
        <v>685</v>
      </c>
      <c r="BK5" s="1457" t="s">
        <v>397</v>
      </c>
      <c r="BL5" s="1352" t="s">
        <v>397</v>
      </c>
      <c r="BM5" s="1458" t="s">
        <v>415</v>
      </c>
      <c r="BN5" s="1353" t="s">
        <v>685</v>
      </c>
      <c r="BO5" s="2921"/>
      <c r="BP5" s="2924"/>
      <c r="BQ5" s="2927"/>
      <c r="BR5" s="1457" t="s">
        <v>397</v>
      </c>
      <c r="BS5" s="1352" t="s">
        <v>397</v>
      </c>
      <c r="BT5" s="1458" t="s">
        <v>415</v>
      </c>
      <c r="BU5" s="1353" t="s">
        <v>685</v>
      </c>
      <c r="BV5" s="1457" t="s">
        <v>397</v>
      </c>
      <c r="BW5" s="1352" t="s">
        <v>397</v>
      </c>
      <c r="BX5" s="1458" t="s">
        <v>415</v>
      </c>
      <c r="BY5" s="1353" t="s">
        <v>685</v>
      </c>
      <c r="BZ5" s="2921"/>
      <c r="CA5" s="2924"/>
      <c r="CB5" s="2927"/>
      <c r="CC5" s="1457" t="s">
        <v>397</v>
      </c>
      <c r="CD5" s="1352" t="s">
        <v>397</v>
      </c>
      <c r="CE5" s="1458" t="s">
        <v>415</v>
      </c>
      <c r="CF5" s="1353" t="s">
        <v>685</v>
      </c>
      <c r="CG5" s="1457" t="s">
        <v>397</v>
      </c>
      <c r="CH5" s="1352" t="s">
        <v>397</v>
      </c>
      <c r="CI5" s="1458" t="s">
        <v>415</v>
      </c>
      <c r="CJ5" s="1353" t="s">
        <v>685</v>
      </c>
      <c r="CK5" s="2921"/>
      <c r="CL5" s="2924"/>
      <c r="CM5" s="2927"/>
      <c r="CN5" s="1457" t="s">
        <v>397</v>
      </c>
      <c r="CO5" s="1352" t="s">
        <v>397</v>
      </c>
      <c r="CP5" s="1458" t="s">
        <v>415</v>
      </c>
      <c r="CQ5" s="1353" t="s">
        <v>685</v>
      </c>
      <c r="CR5" s="1457" t="s">
        <v>397</v>
      </c>
      <c r="CS5" s="1352" t="s">
        <v>397</v>
      </c>
      <c r="CT5" s="1458" t="s">
        <v>415</v>
      </c>
      <c r="CU5" s="1353" t="s">
        <v>685</v>
      </c>
      <c r="CV5" s="2921"/>
      <c r="CW5" s="2924"/>
      <c r="CX5" s="2927"/>
      <c r="CY5" s="1457" t="s">
        <v>397</v>
      </c>
      <c r="CZ5" s="1352" t="s">
        <v>397</v>
      </c>
      <c r="DA5" s="1458" t="s">
        <v>415</v>
      </c>
      <c r="DB5" s="1353" t="s">
        <v>685</v>
      </c>
      <c r="DC5" s="1457" t="s">
        <v>397</v>
      </c>
      <c r="DD5" s="1352" t="s">
        <v>397</v>
      </c>
      <c r="DE5" s="1458" t="s">
        <v>415</v>
      </c>
      <c r="DF5" s="1353" t="s">
        <v>685</v>
      </c>
      <c r="DG5" s="2921"/>
      <c r="DH5" s="2924"/>
      <c r="DI5" s="2927"/>
      <c r="DJ5" s="2939"/>
      <c r="DK5" s="2939"/>
      <c r="DL5" s="2939"/>
    </row>
    <row r="6" spans="1:117" s="37" customFormat="1" ht="30" customHeight="1">
      <c r="A6" s="1459" t="s">
        <v>398</v>
      </c>
      <c r="B6" s="1460">
        <f ca="1">'خرید مواد اولیه تولید'!B7</f>
        <v>0</v>
      </c>
      <c r="C6" s="1461">
        <f ca="1">'خرید مواد اولیه تولید'!C7</f>
        <v>0</v>
      </c>
      <c r="D6" s="1488">
        <f ca="1">IF(ROW()-ROW($A$6)&lt;'الف-ب-ج'!$L$9,INDIRECT("BudgetDB!CI"&amp;('الف-ب-ج'!$M$9+ROW()-ROW($A$6))),"")</f>
        <v>0</v>
      </c>
      <c r="E6" s="678"/>
      <c r="F6" s="1471">
        <f>$F$4*E6</f>
        <v>0</v>
      </c>
      <c r="G6" s="1472" t="str">
        <f ca="1">IFERROR((E6-D6)*100/D6,"-")</f>
        <v>-</v>
      </c>
      <c r="H6" s="1488">
        <f ca="1">IF(ROW()-ROW($A$6)&lt;'الف-ب-ج'!$L$9,INDIRECT("BudgetDB!CJ"&amp;('الف-ب-ج'!$M$9+ROW()-ROW($A$6))),"")</f>
        <v>0</v>
      </c>
      <c r="I6" s="678"/>
      <c r="J6" s="1471">
        <f>$J$4*I6</f>
        <v>0</v>
      </c>
      <c r="K6" s="1472" t="str">
        <f ca="1">IFERROR((I6-H6)*100/H6,"-")</f>
        <v>-</v>
      </c>
      <c r="L6" s="1459" t="s">
        <v>398</v>
      </c>
      <c r="M6" s="1460">
        <f ca="1">$B6</f>
        <v>0</v>
      </c>
      <c r="N6" s="1461">
        <f ca="1">$C6</f>
        <v>0</v>
      </c>
      <c r="O6" s="1488">
        <f ca="1">IF(ROW()-ROW($A$6)&lt;'الف-ب-ج'!$L$9,INDIRECT("BudgetDB!CK"&amp;('الف-ب-ج'!$M$9+ROW()-ROW($A$6))),"")</f>
        <v>0</v>
      </c>
      <c r="P6" s="678"/>
      <c r="Q6" s="1471">
        <f>$Q$4*P6</f>
        <v>0</v>
      </c>
      <c r="R6" s="1472" t="str">
        <f ca="1">IFERROR((P6-O6)*100/O6,"-")</f>
        <v>-</v>
      </c>
      <c r="S6" s="1488">
        <f ca="1">IF(ROW()-ROW($A$6)&lt;'الف-ب-ج'!$L$9,INDIRECT("BudgetDB!CL"&amp;('الف-ب-ج'!$M$9+ROW()-ROW($A$6))),"")</f>
        <v>0</v>
      </c>
      <c r="T6" s="678"/>
      <c r="U6" s="1471">
        <f>$U$4*T6</f>
        <v>0</v>
      </c>
      <c r="V6" s="1472" t="str">
        <f ca="1">IFERROR((T6-S6)*100/S6,"-")</f>
        <v>-</v>
      </c>
      <c r="W6" s="1459" t="s">
        <v>398</v>
      </c>
      <c r="X6" s="1460">
        <f ca="1">$B6</f>
        <v>0</v>
      </c>
      <c r="Y6" s="1461">
        <f ca="1">$C6</f>
        <v>0</v>
      </c>
      <c r="Z6" s="1488">
        <f ca="1">IF(ROW()-ROW($A$6)&lt;'الف-ب-ج'!$L$9,INDIRECT("BudgetDB!CM"&amp;('الف-ب-ج'!$M$9+ROW()-ROW($A$6))),"")</f>
        <v>0</v>
      </c>
      <c r="AA6" s="678"/>
      <c r="AB6" s="1471">
        <f>AB$4*AA6</f>
        <v>0</v>
      </c>
      <c r="AC6" s="1472" t="str">
        <f ca="1">IFERROR((AA6-Z6)*100/Z6,"-")</f>
        <v>-</v>
      </c>
      <c r="AD6" s="1488">
        <f ca="1">IF(ROW()-ROW($A$6)&lt;'الف-ب-ج'!$L$9,INDIRECT("BudgetDB!CN"&amp;('الف-ب-ج'!$M$9+ROW()-ROW($A$6))),"")</f>
        <v>0</v>
      </c>
      <c r="AE6" s="678"/>
      <c r="AF6" s="1471">
        <f>AF$4*AE6</f>
        <v>0</v>
      </c>
      <c r="AG6" s="1472" t="str">
        <f ca="1">IFERROR((AE6-AD6)*100/AD6,"-")</f>
        <v>-</v>
      </c>
      <c r="AH6" s="1459" t="s">
        <v>398</v>
      </c>
      <c r="AI6" s="1460">
        <f ca="1">$B6</f>
        <v>0</v>
      </c>
      <c r="AJ6" s="1461">
        <f ca="1">$C6</f>
        <v>0</v>
      </c>
      <c r="AK6" s="1488">
        <f ca="1">IF(ROW()-ROW($A$6)&lt;'الف-ب-ج'!$L$9,INDIRECT("BudgetDB!CO"&amp;('الف-ب-ج'!$M$9+ROW()-ROW($A$6))),"")</f>
        <v>0</v>
      </c>
      <c r="AL6" s="678"/>
      <c r="AM6" s="1471">
        <f>AM$4*AL6</f>
        <v>0</v>
      </c>
      <c r="AN6" s="1472" t="str">
        <f ca="1">IFERROR((AL6-AK6)*100/AK6,"-")</f>
        <v>-</v>
      </c>
      <c r="AO6" s="1488">
        <f ca="1">IF(ROW()-ROW($A$6)&lt;'الف-ب-ج'!$L$9,INDIRECT("BudgetDB!CP"&amp;('الف-ب-ج'!$M$9+ROW()-ROW($A$6))),"")</f>
        <v>0</v>
      </c>
      <c r="AP6" s="678"/>
      <c r="AQ6" s="1471">
        <f>AQ$4*AP6</f>
        <v>0</v>
      </c>
      <c r="AR6" s="1472" t="str">
        <f ca="1">IFERROR((AP6-AO6)*100/AO6,"-")</f>
        <v>-</v>
      </c>
      <c r="AS6" s="1459" t="s">
        <v>398</v>
      </c>
      <c r="AT6" s="1460">
        <f ca="1">$B6</f>
        <v>0</v>
      </c>
      <c r="AU6" s="1461">
        <f ca="1">$C6</f>
        <v>0</v>
      </c>
      <c r="AV6" s="1488">
        <f ca="1">IF(ROW()-ROW($A$6)&lt;'الف-ب-ج'!$L$9,INDIRECT("BudgetDB!CQ"&amp;('الف-ب-ج'!$M$9+ROW()-ROW($A$6))),"")</f>
        <v>0</v>
      </c>
      <c r="AW6" s="678"/>
      <c r="AX6" s="1471">
        <f>AX$4*AW6</f>
        <v>0</v>
      </c>
      <c r="AY6" s="1472" t="str">
        <f ca="1">IFERROR((AW6-AV6)*100/AV6,"-")</f>
        <v>-</v>
      </c>
      <c r="AZ6" s="1488">
        <f ca="1">IF(ROW()-ROW($A$6)&lt;'الف-ب-ج'!$L$9,INDIRECT("BudgetDB!CR"&amp;('الف-ب-ج'!$M$9+ROW()-ROW($A$6))),"")</f>
        <v>0</v>
      </c>
      <c r="BA6" s="678"/>
      <c r="BB6" s="1471">
        <f>BB$4*BA6</f>
        <v>0</v>
      </c>
      <c r="BC6" s="1472" t="str">
        <f ca="1">IFERROR((BA6-AZ6)*100/AZ6,"-")</f>
        <v>-</v>
      </c>
      <c r="BD6" s="1459" t="s">
        <v>398</v>
      </c>
      <c r="BE6" s="1460">
        <f ca="1">$B6</f>
        <v>0</v>
      </c>
      <c r="BF6" s="1461">
        <f ca="1">$C6</f>
        <v>0</v>
      </c>
      <c r="BG6" s="1488">
        <f ca="1">IF(ROW()-ROW($A$6)&lt;'الف-ب-ج'!$L$9,INDIRECT("BudgetDB!CS"&amp;('الف-ب-ج'!$M$9+ROW()-ROW($A$6))),"")</f>
        <v>0</v>
      </c>
      <c r="BH6" s="678"/>
      <c r="BI6" s="1471">
        <f>BI$4*BH6</f>
        <v>0</v>
      </c>
      <c r="BJ6" s="1472" t="str">
        <f ca="1">IFERROR((BH6-BG6)*100/BG6,"-")</f>
        <v>-</v>
      </c>
      <c r="BK6" s="1488">
        <f ca="1">IF(ROW()-ROW($A$6)&lt;'الف-ب-ج'!$L$9,INDIRECT("BudgetDB!CT"&amp;('الف-ب-ج'!$M$9+ROW()-ROW($A$6))),"")</f>
        <v>0</v>
      </c>
      <c r="BL6" s="678"/>
      <c r="BM6" s="1471">
        <f>BM$4*BL6</f>
        <v>0</v>
      </c>
      <c r="BN6" s="1472" t="str">
        <f ca="1">IFERROR((BL6-BK6)*100/BK6,"-")</f>
        <v>-</v>
      </c>
      <c r="BO6" s="1459" t="s">
        <v>398</v>
      </c>
      <c r="BP6" s="1460">
        <f ca="1">$B6</f>
        <v>0</v>
      </c>
      <c r="BQ6" s="1461">
        <f ca="1">$C6</f>
        <v>0</v>
      </c>
      <c r="BR6" s="1488">
        <f ca="1">IF(ROW()-ROW($A$6)&lt;'الف-ب-ج'!$L$9,INDIRECT("BudgetDB!CU"&amp;('الف-ب-ج'!$M$9+ROW()-ROW($A$6))),"")</f>
        <v>0</v>
      </c>
      <c r="BS6" s="678"/>
      <c r="BT6" s="1471">
        <f>BT$4*BS6</f>
        <v>0</v>
      </c>
      <c r="BU6" s="1472" t="str">
        <f ca="1">IFERROR((BS6-BR6)*100/BR6,"-")</f>
        <v>-</v>
      </c>
      <c r="BV6" s="1488">
        <f ca="1">IF(ROW()-ROW($A$6)&lt;'الف-ب-ج'!$L$9,INDIRECT("BudgetDB!CV"&amp;('الف-ب-ج'!$M$9+ROW()-ROW($A$6))),"")</f>
        <v>0</v>
      </c>
      <c r="BW6" s="678"/>
      <c r="BX6" s="1471">
        <f>BX$4*BW6</f>
        <v>0</v>
      </c>
      <c r="BY6" s="1472" t="str">
        <f ca="1">IFERROR((BW6-BV6)*100/BV6,"-")</f>
        <v>-</v>
      </c>
      <c r="BZ6" s="1459" t="s">
        <v>398</v>
      </c>
      <c r="CA6" s="1460">
        <f ca="1">$B6</f>
        <v>0</v>
      </c>
      <c r="CB6" s="1461">
        <f ca="1">$C6</f>
        <v>0</v>
      </c>
      <c r="CC6" s="1488">
        <f ca="1">IF(ROW()-ROW($A$6)&lt;'الف-ب-ج'!$L$9,INDIRECT("BudgetDB!CW"&amp;('الف-ب-ج'!$M$9+ROW()-ROW($A$6))),"")</f>
        <v>0</v>
      </c>
      <c r="CD6" s="678"/>
      <c r="CE6" s="1471">
        <f>CE$4*CD6</f>
        <v>0</v>
      </c>
      <c r="CF6" s="1472" t="str">
        <f ca="1">IFERROR((CD6-CC6)*100/CC6,"-")</f>
        <v>-</v>
      </c>
      <c r="CG6" s="1488">
        <f ca="1">IF(ROW()-ROW($A$6)&lt;'الف-ب-ج'!$L$9,INDIRECT("BudgetDB!CX"&amp;('الف-ب-ج'!$M$9+ROW()-ROW($A$6))),"")</f>
        <v>0</v>
      </c>
      <c r="CH6" s="678"/>
      <c r="CI6" s="1471">
        <f>CI$4*CH6</f>
        <v>0</v>
      </c>
      <c r="CJ6" s="1472" t="str">
        <f ca="1">IFERROR((CH6-CG6)*100/CG6,"-")</f>
        <v>-</v>
      </c>
      <c r="CK6" s="1459" t="s">
        <v>398</v>
      </c>
      <c r="CL6" s="1460">
        <f ca="1">$B6</f>
        <v>0</v>
      </c>
      <c r="CM6" s="1461">
        <f ca="1">$C6</f>
        <v>0</v>
      </c>
      <c r="CN6" s="1488">
        <f ca="1">IF(ROW()-ROW($A$6)&lt;'الف-ب-ج'!$L$9,INDIRECT("BudgetDB!CY"&amp;('الف-ب-ج'!$M$9+ROW()-ROW($A$6))),"")</f>
        <v>0</v>
      </c>
      <c r="CO6" s="678"/>
      <c r="CP6" s="1471">
        <f>CP$4*CO6</f>
        <v>0</v>
      </c>
      <c r="CQ6" s="1472" t="str">
        <f ca="1">IFERROR((CO6-CN6)*100/CN6,"-")</f>
        <v>-</v>
      </c>
      <c r="CR6" s="1488">
        <f ca="1">IF(ROW()-ROW($A$6)&lt;'الف-ب-ج'!$L$9,INDIRECT("BudgetDB!CZ"&amp;('الف-ب-ج'!$M$9+ROW()-ROW($A$6))),"")</f>
        <v>0</v>
      </c>
      <c r="CS6" s="678"/>
      <c r="CT6" s="1471">
        <f>CT$4*CS6</f>
        <v>0</v>
      </c>
      <c r="CU6" s="1472" t="str">
        <f ca="1">IFERROR((CS6-CR6)*100/CR6,"-")</f>
        <v>-</v>
      </c>
      <c r="CV6" s="1459" t="s">
        <v>398</v>
      </c>
      <c r="CW6" s="1460">
        <f ca="1">$B6</f>
        <v>0</v>
      </c>
      <c r="CX6" s="1461">
        <f ca="1">$C6</f>
        <v>0</v>
      </c>
      <c r="CY6" s="1488">
        <f ca="1">IF(ROW()-ROW($A$6)&lt;'الف-ب-ج'!$L$9,INDIRECT("BudgetDB!DA"&amp;('الف-ب-ج'!$M$9+ROW()-ROW($A$6))),"")</f>
        <v>0</v>
      </c>
      <c r="CZ6" s="678"/>
      <c r="DA6" s="1471">
        <f>DA$4*CZ6</f>
        <v>0</v>
      </c>
      <c r="DB6" s="1472" t="str">
        <f ca="1">IFERROR((CZ6-CY6)*100/CY6,"-")</f>
        <v>-</v>
      </c>
      <c r="DC6" s="1488">
        <f ca="1">IF(ROW()-ROW($A$6)&lt;'الف-ب-ج'!$L$9,INDIRECT("BudgetDB!DB"&amp;('الف-ب-ج'!$M$9+ROW()-ROW($A$6))),"")</f>
        <v>0</v>
      </c>
      <c r="DD6" s="678"/>
      <c r="DE6" s="1471">
        <f>DE$4*DD6</f>
        <v>0</v>
      </c>
      <c r="DF6" s="1472" t="str">
        <f ca="1">IFERROR((DD6-DC6)*100/DC6,"-")</f>
        <v>-</v>
      </c>
      <c r="DG6" s="1459" t="s">
        <v>398</v>
      </c>
      <c r="DH6" s="1460">
        <f ca="1">$B6</f>
        <v>0</v>
      </c>
      <c r="DI6" s="1461">
        <f ca="1">$C6</f>
        <v>0</v>
      </c>
      <c r="DJ6" s="1476">
        <f ca="1">DC6*$DE$4+CY6*$DA$4+CR6*$CT$4+CN6*$CP$4+D6*$F$4+CG6*$CI$4+CC6*$CE$4+BV6*$BX$4+BR6*$BT$4+BK6*$BM$4+BG6*$BI$4+AZ6*$BB$4+AV6*$AX$4+AO6*$AQ$4+AK6*$AM$4+AD6*$AF$4+Z6*$AB$4+S6*$U$4+O6*$Q$4+H6*$J$4</f>
        <v>0</v>
      </c>
      <c r="DK6" s="1477">
        <f>DE6+DA6+CT6+CP6+CI6+CE6+BX6+BT6+BM6+BI6+BB6+AX6+AQ6+AM6+AF6+AB6+U6+Q6+J6+F6</f>
        <v>0</v>
      </c>
      <c r="DL6" s="1472" t="str">
        <f ca="1">IFERROR((DK6-DJ6)*100/DJ6,"-")</f>
        <v>-</v>
      </c>
    </row>
    <row r="7" spans="1:117" s="37" customFormat="1" ht="30" customHeight="1">
      <c r="A7" s="1462" t="s">
        <v>399</v>
      </c>
      <c r="B7" s="1463">
        <f ca="1">'خرید مواد اولیه تولید'!B8</f>
        <v>0</v>
      </c>
      <c r="C7" s="1464">
        <f ca="1">'خرید مواد اولیه تولید'!C8</f>
        <v>0</v>
      </c>
      <c r="D7" s="1489">
        <f ca="1">IF(ROW()-ROW($A$6)&lt;'الف-ب-ج'!$L$9,INDIRECT("BudgetDB!CI"&amp;('الف-ب-ج'!$M$9+ROW()-ROW($A$6))),"")</f>
        <v>0</v>
      </c>
      <c r="E7" s="679"/>
      <c r="F7" s="1473">
        <f t="shared" ref="F7:F22" si="0">$F$4*E7</f>
        <v>0</v>
      </c>
      <c r="G7" s="1464" t="str">
        <f t="shared" ref="G7:G22" ca="1" si="1">IFERROR((E7-D7)*100/D7,"-")</f>
        <v>-</v>
      </c>
      <c r="H7" s="1489">
        <f ca="1">IF(ROW()-ROW($A$6)&lt;'الف-ب-ج'!$L$9,INDIRECT("BudgetDB!CJ"&amp;('الف-ب-ج'!$M$9+ROW()-ROW($A$6))),"")</f>
        <v>0</v>
      </c>
      <c r="I7" s="679"/>
      <c r="J7" s="1473">
        <f t="shared" ref="J7:J22" si="2">$J$4*I7</f>
        <v>0</v>
      </c>
      <c r="K7" s="1464" t="str">
        <f t="shared" ref="K7:K22" ca="1" si="3">IFERROR((I7-H7)*100/H7,"-")</f>
        <v>-</v>
      </c>
      <c r="L7" s="1462" t="s">
        <v>399</v>
      </c>
      <c r="M7" s="1463">
        <f t="shared" ref="M7:M22" ca="1" si="4">$B7</f>
        <v>0</v>
      </c>
      <c r="N7" s="1464">
        <f t="shared" ref="N7:N22" ca="1" si="5">$C7</f>
        <v>0</v>
      </c>
      <c r="O7" s="1489">
        <f ca="1">IF(ROW()-ROW($A$6)&lt;'الف-ب-ج'!$L$9,INDIRECT("BudgetDB!CK"&amp;('الف-ب-ج'!$M$9+ROW()-ROW($A$6))),"")</f>
        <v>0</v>
      </c>
      <c r="P7" s="679"/>
      <c r="Q7" s="1473">
        <f t="shared" ref="Q7:Q22" si="6">$Q$4*P7</f>
        <v>0</v>
      </c>
      <c r="R7" s="1464" t="str">
        <f t="shared" ref="R7:R22" ca="1" si="7">IFERROR((P7-O7)*100/O7,"-")</f>
        <v>-</v>
      </c>
      <c r="S7" s="1489">
        <f ca="1">IF(ROW()-ROW($A$6)&lt;'الف-ب-ج'!$L$9,INDIRECT("BudgetDB!CL"&amp;('الف-ب-ج'!$M$9+ROW()-ROW($A$6))),"")</f>
        <v>0</v>
      </c>
      <c r="T7" s="679"/>
      <c r="U7" s="1473">
        <f t="shared" ref="U7:U22" si="8">$U$4*T7</f>
        <v>0</v>
      </c>
      <c r="V7" s="1464" t="str">
        <f t="shared" ref="V7:V22" ca="1" si="9">IFERROR((T7-S7)*100/S7,"-")</f>
        <v>-</v>
      </c>
      <c r="W7" s="1462" t="s">
        <v>399</v>
      </c>
      <c r="X7" s="1463">
        <f t="shared" ref="X7:X22" ca="1" si="10">$B7</f>
        <v>0</v>
      </c>
      <c r="Y7" s="1464">
        <f t="shared" ref="Y7:Y22" ca="1" si="11">$C7</f>
        <v>0</v>
      </c>
      <c r="Z7" s="1489">
        <f ca="1">IF(ROW()-ROW($A$6)&lt;'الف-ب-ج'!$L$9,INDIRECT("BudgetDB!CM"&amp;('الف-ب-ج'!$M$9+ROW()-ROW($A$6))),"")</f>
        <v>0</v>
      </c>
      <c r="AA7" s="679"/>
      <c r="AB7" s="1473">
        <f t="shared" ref="AB7:AB22" si="12">AB$4*AA7</f>
        <v>0</v>
      </c>
      <c r="AC7" s="1464" t="str">
        <f t="shared" ref="AC7:AC22" ca="1" si="13">IFERROR((AA7-Z7)*100/Z7,"-")</f>
        <v>-</v>
      </c>
      <c r="AD7" s="1489">
        <f ca="1">IF(ROW()-ROW($A$6)&lt;'الف-ب-ج'!$L$9,INDIRECT("BudgetDB!CN"&amp;('الف-ب-ج'!$M$9+ROW()-ROW($A$6))),"")</f>
        <v>0</v>
      </c>
      <c r="AE7" s="679"/>
      <c r="AF7" s="1473">
        <f t="shared" ref="AF7:AF22" si="14">AF$4*AE7</f>
        <v>0</v>
      </c>
      <c r="AG7" s="1464" t="str">
        <f t="shared" ref="AG7:AG22" ca="1" si="15">IFERROR((AE7-AD7)*100/AD7,"-")</f>
        <v>-</v>
      </c>
      <c r="AH7" s="1462" t="s">
        <v>399</v>
      </c>
      <c r="AI7" s="1463">
        <f t="shared" ref="AI7:AI22" ca="1" si="16">$B7</f>
        <v>0</v>
      </c>
      <c r="AJ7" s="1464">
        <f t="shared" ref="AJ7:AJ22" ca="1" si="17">$C7</f>
        <v>0</v>
      </c>
      <c r="AK7" s="1489">
        <f ca="1">IF(ROW()-ROW($A$6)&lt;'الف-ب-ج'!$L$9,INDIRECT("BudgetDB!CO"&amp;('الف-ب-ج'!$M$9+ROW()-ROW($A$6))),"")</f>
        <v>0</v>
      </c>
      <c r="AL7" s="679"/>
      <c r="AM7" s="1473">
        <f t="shared" ref="AM7:AM22" si="18">AM$4*AL7</f>
        <v>0</v>
      </c>
      <c r="AN7" s="1464" t="str">
        <f t="shared" ref="AN7:AN22" ca="1" si="19">IFERROR((AL7-AK7)*100/AK7,"-")</f>
        <v>-</v>
      </c>
      <c r="AO7" s="1489">
        <f ca="1">IF(ROW()-ROW($A$6)&lt;'الف-ب-ج'!$L$9,INDIRECT("BudgetDB!CP"&amp;('الف-ب-ج'!$M$9+ROW()-ROW($A$6))),"")</f>
        <v>0</v>
      </c>
      <c r="AP7" s="679"/>
      <c r="AQ7" s="1473">
        <f t="shared" ref="AQ7:AQ22" si="20">AQ$4*AP7</f>
        <v>0</v>
      </c>
      <c r="AR7" s="1464" t="str">
        <f t="shared" ref="AR7:AR22" ca="1" si="21">IFERROR((AP7-AO7)*100/AO7,"-")</f>
        <v>-</v>
      </c>
      <c r="AS7" s="1462" t="s">
        <v>399</v>
      </c>
      <c r="AT7" s="1463">
        <f t="shared" ref="AT7:AT22" ca="1" si="22">$B7</f>
        <v>0</v>
      </c>
      <c r="AU7" s="1464">
        <f t="shared" ref="AU7:AU22" ca="1" si="23">$C7</f>
        <v>0</v>
      </c>
      <c r="AV7" s="1489">
        <f ca="1">IF(ROW()-ROW($A$6)&lt;'الف-ب-ج'!$L$9,INDIRECT("BudgetDB!CQ"&amp;('الف-ب-ج'!$M$9+ROW()-ROW($A$6))),"")</f>
        <v>0</v>
      </c>
      <c r="AW7" s="679"/>
      <c r="AX7" s="1473">
        <f t="shared" ref="AX7:AX22" si="24">AX$4*AW7</f>
        <v>0</v>
      </c>
      <c r="AY7" s="1464" t="str">
        <f t="shared" ref="AY7:AY22" ca="1" si="25">IFERROR((AW7-AV7)*100/AV7,"-")</f>
        <v>-</v>
      </c>
      <c r="AZ7" s="1489">
        <f ca="1">IF(ROW()-ROW($A$6)&lt;'الف-ب-ج'!$L$9,INDIRECT("BudgetDB!CR"&amp;('الف-ب-ج'!$M$9+ROW()-ROW($A$6))),"")</f>
        <v>0</v>
      </c>
      <c r="BA7" s="679"/>
      <c r="BB7" s="1473">
        <f t="shared" ref="BB7:BB22" si="26">BB$4*BA7</f>
        <v>0</v>
      </c>
      <c r="BC7" s="1464" t="str">
        <f t="shared" ref="BC7:BC22" ca="1" si="27">IFERROR((BA7-AZ7)*100/AZ7,"-")</f>
        <v>-</v>
      </c>
      <c r="BD7" s="1462" t="s">
        <v>399</v>
      </c>
      <c r="BE7" s="1463">
        <f t="shared" ref="BE7:BE22" ca="1" si="28">$B7</f>
        <v>0</v>
      </c>
      <c r="BF7" s="1464">
        <f t="shared" ref="BF7:BF22" ca="1" si="29">$C7</f>
        <v>0</v>
      </c>
      <c r="BG7" s="1489">
        <f ca="1">IF(ROW()-ROW($A$6)&lt;'الف-ب-ج'!$L$9,INDIRECT("BudgetDB!CS"&amp;('الف-ب-ج'!$M$9+ROW()-ROW($A$6))),"")</f>
        <v>0</v>
      </c>
      <c r="BH7" s="679"/>
      <c r="BI7" s="1473">
        <f t="shared" ref="BI7:BI22" si="30">BI$4*BH7</f>
        <v>0</v>
      </c>
      <c r="BJ7" s="1464" t="str">
        <f t="shared" ref="BJ7:BJ22" ca="1" si="31">IFERROR((BH7-BG7)*100/BG7,"-")</f>
        <v>-</v>
      </c>
      <c r="BK7" s="1489">
        <f ca="1">IF(ROW()-ROW($A$6)&lt;'الف-ب-ج'!$L$9,INDIRECT("BudgetDB!CT"&amp;('الف-ب-ج'!$M$9+ROW()-ROW($A$6))),"")</f>
        <v>0</v>
      </c>
      <c r="BL7" s="679"/>
      <c r="BM7" s="1473">
        <f t="shared" ref="BM7:BM22" si="32">BM$4*BL7</f>
        <v>0</v>
      </c>
      <c r="BN7" s="1464" t="str">
        <f t="shared" ref="BN7:BN22" ca="1" si="33">IFERROR((BL7-BK7)*100/BK7,"-")</f>
        <v>-</v>
      </c>
      <c r="BO7" s="1462" t="s">
        <v>399</v>
      </c>
      <c r="BP7" s="1463">
        <f t="shared" ref="BP7:BP22" ca="1" si="34">$B7</f>
        <v>0</v>
      </c>
      <c r="BQ7" s="1464">
        <f t="shared" ref="BQ7:BQ22" ca="1" si="35">$C7</f>
        <v>0</v>
      </c>
      <c r="BR7" s="1489">
        <f ca="1">IF(ROW()-ROW($A$6)&lt;'الف-ب-ج'!$L$9,INDIRECT("BudgetDB!CU"&amp;('الف-ب-ج'!$M$9+ROW()-ROW($A$6))),"")</f>
        <v>0</v>
      </c>
      <c r="BS7" s="679"/>
      <c r="BT7" s="1473">
        <f t="shared" ref="BT7:BT22" si="36">BT$4*BS7</f>
        <v>0</v>
      </c>
      <c r="BU7" s="1464" t="str">
        <f t="shared" ref="BU7:BU22" ca="1" si="37">IFERROR((BS7-BR7)*100/BR7,"-")</f>
        <v>-</v>
      </c>
      <c r="BV7" s="1489">
        <f ca="1">IF(ROW()-ROW($A$6)&lt;'الف-ب-ج'!$L$9,INDIRECT("BudgetDB!CV"&amp;('الف-ب-ج'!$M$9+ROW()-ROW($A$6))),"")</f>
        <v>0</v>
      </c>
      <c r="BW7" s="679"/>
      <c r="BX7" s="1473">
        <f t="shared" ref="BX7:BX22" si="38">BX$4*BW7</f>
        <v>0</v>
      </c>
      <c r="BY7" s="1464" t="str">
        <f t="shared" ref="BY7:BY22" ca="1" si="39">IFERROR((BW7-BV7)*100/BV7,"-")</f>
        <v>-</v>
      </c>
      <c r="BZ7" s="1462" t="s">
        <v>399</v>
      </c>
      <c r="CA7" s="1463">
        <f t="shared" ref="CA7:CA22" ca="1" si="40">$B7</f>
        <v>0</v>
      </c>
      <c r="CB7" s="1464">
        <f t="shared" ref="CB7:CB22" ca="1" si="41">$C7</f>
        <v>0</v>
      </c>
      <c r="CC7" s="1489">
        <f ca="1">IF(ROW()-ROW($A$6)&lt;'الف-ب-ج'!$L$9,INDIRECT("BudgetDB!CW"&amp;('الف-ب-ج'!$M$9+ROW()-ROW($A$6))),"")</f>
        <v>0</v>
      </c>
      <c r="CD7" s="679"/>
      <c r="CE7" s="1473">
        <f t="shared" ref="CE7:CE22" si="42">CE$4*CD7</f>
        <v>0</v>
      </c>
      <c r="CF7" s="1464" t="str">
        <f t="shared" ref="CF7:CF22" ca="1" si="43">IFERROR((CD7-CC7)*100/CC7,"-")</f>
        <v>-</v>
      </c>
      <c r="CG7" s="1489">
        <f ca="1">IF(ROW()-ROW($A$6)&lt;'الف-ب-ج'!$L$9,INDIRECT("BudgetDB!CX"&amp;('الف-ب-ج'!$M$9+ROW()-ROW($A$6))),"")</f>
        <v>0</v>
      </c>
      <c r="CH7" s="679"/>
      <c r="CI7" s="1473">
        <f t="shared" ref="CI7:CI22" si="44">CI$4*CH7</f>
        <v>0</v>
      </c>
      <c r="CJ7" s="1464" t="str">
        <f t="shared" ref="CJ7:CJ22" ca="1" si="45">IFERROR((CH7-CG7)*100/CG7,"-")</f>
        <v>-</v>
      </c>
      <c r="CK7" s="1462" t="s">
        <v>399</v>
      </c>
      <c r="CL7" s="1463">
        <f t="shared" ref="CL7:CL22" ca="1" si="46">$B7</f>
        <v>0</v>
      </c>
      <c r="CM7" s="1464">
        <f t="shared" ref="CM7:CM22" ca="1" si="47">$C7</f>
        <v>0</v>
      </c>
      <c r="CN7" s="1489">
        <f ca="1">IF(ROW()-ROW($A$6)&lt;'الف-ب-ج'!$L$9,INDIRECT("BudgetDB!CY"&amp;('الف-ب-ج'!$M$9+ROW()-ROW($A$6))),"")</f>
        <v>0</v>
      </c>
      <c r="CO7" s="679"/>
      <c r="CP7" s="1473">
        <f t="shared" ref="CP7:CP22" si="48">CP$4*CO7</f>
        <v>0</v>
      </c>
      <c r="CQ7" s="1464" t="str">
        <f t="shared" ref="CQ7:CQ22" ca="1" si="49">IFERROR((CO7-CN7)*100/CN7,"-")</f>
        <v>-</v>
      </c>
      <c r="CR7" s="1489">
        <f ca="1">IF(ROW()-ROW($A$6)&lt;'الف-ب-ج'!$L$9,INDIRECT("BudgetDB!CZ"&amp;('الف-ب-ج'!$M$9+ROW()-ROW($A$6))),"")</f>
        <v>0</v>
      </c>
      <c r="CS7" s="679"/>
      <c r="CT7" s="1473">
        <f t="shared" ref="CT7:CT22" si="50">CT$4*CS7</f>
        <v>0</v>
      </c>
      <c r="CU7" s="1464" t="str">
        <f t="shared" ref="CU7:CU22" ca="1" si="51">IFERROR((CS7-CR7)*100/CR7,"-")</f>
        <v>-</v>
      </c>
      <c r="CV7" s="1462" t="s">
        <v>399</v>
      </c>
      <c r="CW7" s="1463">
        <f t="shared" ref="CW7:CW22" ca="1" si="52">$B7</f>
        <v>0</v>
      </c>
      <c r="CX7" s="1464">
        <f t="shared" ref="CX7:CX22" ca="1" si="53">$C7</f>
        <v>0</v>
      </c>
      <c r="CY7" s="1489">
        <f ca="1">IF(ROW()-ROW($A$6)&lt;'الف-ب-ج'!$L$9,INDIRECT("BudgetDB!DA"&amp;('الف-ب-ج'!$M$9+ROW()-ROW($A$6))),"")</f>
        <v>0</v>
      </c>
      <c r="CZ7" s="679"/>
      <c r="DA7" s="1473">
        <f t="shared" ref="DA7:DA22" si="54">DA$4*CZ7</f>
        <v>0</v>
      </c>
      <c r="DB7" s="1464" t="str">
        <f t="shared" ref="DB7:DB22" ca="1" si="55">IFERROR((CZ7-CY7)*100/CY7,"-")</f>
        <v>-</v>
      </c>
      <c r="DC7" s="1489">
        <f ca="1">IF(ROW()-ROW($A$6)&lt;'الف-ب-ج'!$L$9,INDIRECT("BudgetDB!DB"&amp;('الف-ب-ج'!$M$9+ROW()-ROW($A$6))),"")</f>
        <v>0</v>
      </c>
      <c r="DD7" s="679"/>
      <c r="DE7" s="1473">
        <f t="shared" ref="DE7:DE22" si="56">DE$4*DD7</f>
        <v>0</v>
      </c>
      <c r="DF7" s="1464" t="str">
        <f t="shared" ref="DF7:DF22" ca="1" si="57">IFERROR((DD7-DC7)*100/DC7,"-")</f>
        <v>-</v>
      </c>
      <c r="DG7" s="1462" t="s">
        <v>399</v>
      </c>
      <c r="DH7" s="1463">
        <f t="shared" ref="DH7:DH22" ca="1" si="58">$B7</f>
        <v>0</v>
      </c>
      <c r="DI7" s="1464">
        <f t="shared" ref="DI7:DI22" ca="1" si="59">$C7</f>
        <v>0</v>
      </c>
      <c r="DJ7" s="1478">
        <f t="shared" ref="DJ7:DJ22" ca="1" si="60">DC7*$DE$4+CY7*$DA$4+CR7*$CT$4+CN7*$CP$4+D7*$F$4+CG7*$CI$4+CC7*$CE$4+BV7*$BX$4+BR7*$BT$4+BK7*$BM$4+BG7*$BI$4+AZ7*$BB$4+AV7*$AX$4+AO7*$AQ$4+AK7*$AM$4+AD7*$AF$4+Z7*$AB$4+S7*$U$4+O7*$Q$4+H7*$J$4</f>
        <v>0</v>
      </c>
      <c r="DK7" s="1479">
        <f t="shared" ref="DK7:DK22" si="61">DE7+DA7+CT7+CP7+CI7+CE7+BX7+BT7+BM7+BI7+BB7+AX7+AQ7+AM7+AF7+AB7+U7+Q7+J7+F7</f>
        <v>0</v>
      </c>
      <c r="DL7" s="1472" t="str">
        <f t="shared" ref="DL7:DL22" ca="1" si="62">IFERROR((DK7-DJ7)*100/DJ7,"-")</f>
        <v>-</v>
      </c>
    </row>
    <row r="8" spans="1:117" s="37" customFormat="1" ht="30" customHeight="1">
      <c r="A8" s="1462" t="s">
        <v>400</v>
      </c>
      <c r="B8" s="1463">
        <f ca="1">'خرید مواد اولیه تولید'!B9</f>
        <v>0</v>
      </c>
      <c r="C8" s="1464">
        <f ca="1">'خرید مواد اولیه تولید'!C9</f>
        <v>0</v>
      </c>
      <c r="D8" s="1489">
        <f ca="1">IF(ROW()-ROW($A$6)&lt;'الف-ب-ج'!$L$9,INDIRECT("BudgetDB!CI"&amp;('الف-ب-ج'!$M$9+ROW()-ROW($A$6))),"")</f>
        <v>0</v>
      </c>
      <c r="E8" s="679"/>
      <c r="F8" s="1473">
        <f t="shared" si="0"/>
        <v>0</v>
      </c>
      <c r="G8" s="1464" t="str">
        <f t="shared" ca="1" si="1"/>
        <v>-</v>
      </c>
      <c r="H8" s="1489">
        <f ca="1">IF(ROW()-ROW($A$6)&lt;'الف-ب-ج'!$L$9,INDIRECT("BudgetDB!CJ"&amp;('الف-ب-ج'!$M$9+ROW()-ROW($A$6))),"")</f>
        <v>0</v>
      </c>
      <c r="I8" s="679"/>
      <c r="J8" s="1473">
        <f t="shared" si="2"/>
        <v>0</v>
      </c>
      <c r="K8" s="1464" t="str">
        <f t="shared" ca="1" si="3"/>
        <v>-</v>
      </c>
      <c r="L8" s="1462" t="s">
        <v>400</v>
      </c>
      <c r="M8" s="1463">
        <f t="shared" ca="1" si="4"/>
        <v>0</v>
      </c>
      <c r="N8" s="1464">
        <f t="shared" ca="1" si="5"/>
        <v>0</v>
      </c>
      <c r="O8" s="1489">
        <f ca="1">IF(ROW()-ROW($A$6)&lt;'الف-ب-ج'!$L$9,INDIRECT("BudgetDB!CK"&amp;('الف-ب-ج'!$M$9+ROW()-ROW($A$6))),"")</f>
        <v>0</v>
      </c>
      <c r="P8" s="679"/>
      <c r="Q8" s="1473">
        <f t="shared" si="6"/>
        <v>0</v>
      </c>
      <c r="R8" s="1464" t="str">
        <f t="shared" ca="1" si="7"/>
        <v>-</v>
      </c>
      <c r="S8" s="1489">
        <f ca="1">IF(ROW()-ROW($A$6)&lt;'الف-ب-ج'!$L$9,INDIRECT("BudgetDB!CL"&amp;('الف-ب-ج'!$M$9+ROW()-ROW($A$6))),"")</f>
        <v>0</v>
      </c>
      <c r="T8" s="679"/>
      <c r="U8" s="1473">
        <f t="shared" si="8"/>
        <v>0</v>
      </c>
      <c r="V8" s="1464" t="str">
        <f t="shared" ca="1" si="9"/>
        <v>-</v>
      </c>
      <c r="W8" s="1462" t="s">
        <v>400</v>
      </c>
      <c r="X8" s="1463">
        <f t="shared" ca="1" si="10"/>
        <v>0</v>
      </c>
      <c r="Y8" s="1464">
        <f t="shared" ca="1" si="11"/>
        <v>0</v>
      </c>
      <c r="Z8" s="1489">
        <f ca="1">IF(ROW()-ROW($A$6)&lt;'الف-ب-ج'!$L$9,INDIRECT("BudgetDB!CM"&amp;('الف-ب-ج'!$M$9+ROW()-ROW($A$6))),"")</f>
        <v>0</v>
      </c>
      <c r="AA8" s="679"/>
      <c r="AB8" s="1473">
        <f t="shared" si="12"/>
        <v>0</v>
      </c>
      <c r="AC8" s="1464" t="str">
        <f t="shared" ca="1" si="13"/>
        <v>-</v>
      </c>
      <c r="AD8" s="1489">
        <f ca="1">IF(ROW()-ROW($A$6)&lt;'الف-ب-ج'!$L$9,INDIRECT("BudgetDB!CN"&amp;('الف-ب-ج'!$M$9+ROW()-ROW($A$6))),"")</f>
        <v>0</v>
      </c>
      <c r="AE8" s="679"/>
      <c r="AF8" s="1473">
        <f t="shared" si="14"/>
        <v>0</v>
      </c>
      <c r="AG8" s="1464" t="str">
        <f t="shared" ca="1" si="15"/>
        <v>-</v>
      </c>
      <c r="AH8" s="1462" t="s">
        <v>400</v>
      </c>
      <c r="AI8" s="1463">
        <f t="shared" ca="1" si="16"/>
        <v>0</v>
      </c>
      <c r="AJ8" s="1464">
        <f t="shared" ca="1" si="17"/>
        <v>0</v>
      </c>
      <c r="AK8" s="1489">
        <f ca="1">IF(ROW()-ROW($A$6)&lt;'الف-ب-ج'!$L$9,INDIRECT("BudgetDB!CO"&amp;('الف-ب-ج'!$M$9+ROW()-ROW($A$6))),"")</f>
        <v>0</v>
      </c>
      <c r="AL8" s="679"/>
      <c r="AM8" s="1473">
        <f t="shared" si="18"/>
        <v>0</v>
      </c>
      <c r="AN8" s="1464" t="str">
        <f t="shared" ca="1" si="19"/>
        <v>-</v>
      </c>
      <c r="AO8" s="1489">
        <f ca="1">IF(ROW()-ROW($A$6)&lt;'الف-ب-ج'!$L$9,INDIRECT("BudgetDB!CP"&amp;('الف-ب-ج'!$M$9+ROW()-ROW($A$6))),"")</f>
        <v>0</v>
      </c>
      <c r="AP8" s="679"/>
      <c r="AQ8" s="1473">
        <f t="shared" si="20"/>
        <v>0</v>
      </c>
      <c r="AR8" s="1464" t="str">
        <f t="shared" ca="1" si="21"/>
        <v>-</v>
      </c>
      <c r="AS8" s="1462" t="s">
        <v>400</v>
      </c>
      <c r="AT8" s="1463">
        <f t="shared" ca="1" si="22"/>
        <v>0</v>
      </c>
      <c r="AU8" s="1464">
        <f t="shared" ca="1" si="23"/>
        <v>0</v>
      </c>
      <c r="AV8" s="1489">
        <f ca="1">IF(ROW()-ROW($A$6)&lt;'الف-ب-ج'!$L$9,INDIRECT("BudgetDB!CQ"&amp;('الف-ب-ج'!$M$9+ROW()-ROW($A$6))),"")</f>
        <v>0</v>
      </c>
      <c r="AW8" s="679"/>
      <c r="AX8" s="1473">
        <f t="shared" si="24"/>
        <v>0</v>
      </c>
      <c r="AY8" s="1464" t="str">
        <f t="shared" ca="1" si="25"/>
        <v>-</v>
      </c>
      <c r="AZ8" s="1489">
        <f ca="1">IF(ROW()-ROW($A$6)&lt;'الف-ب-ج'!$L$9,INDIRECT("BudgetDB!CR"&amp;('الف-ب-ج'!$M$9+ROW()-ROW($A$6))),"")</f>
        <v>0</v>
      </c>
      <c r="BA8" s="679"/>
      <c r="BB8" s="1473">
        <f t="shared" si="26"/>
        <v>0</v>
      </c>
      <c r="BC8" s="1464" t="str">
        <f t="shared" ca="1" si="27"/>
        <v>-</v>
      </c>
      <c r="BD8" s="1462" t="s">
        <v>400</v>
      </c>
      <c r="BE8" s="1463">
        <f t="shared" ca="1" si="28"/>
        <v>0</v>
      </c>
      <c r="BF8" s="1464">
        <f t="shared" ca="1" si="29"/>
        <v>0</v>
      </c>
      <c r="BG8" s="1489">
        <f ca="1">IF(ROW()-ROW($A$6)&lt;'الف-ب-ج'!$L$9,INDIRECT("BudgetDB!CS"&amp;('الف-ب-ج'!$M$9+ROW()-ROW($A$6))),"")</f>
        <v>0</v>
      </c>
      <c r="BH8" s="679"/>
      <c r="BI8" s="1473">
        <f t="shared" si="30"/>
        <v>0</v>
      </c>
      <c r="BJ8" s="1464" t="str">
        <f t="shared" ca="1" si="31"/>
        <v>-</v>
      </c>
      <c r="BK8" s="1489">
        <f ca="1">IF(ROW()-ROW($A$6)&lt;'الف-ب-ج'!$L$9,INDIRECT("BudgetDB!CT"&amp;('الف-ب-ج'!$M$9+ROW()-ROW($A$6))),"")</f>
        <v>0</v>
      </c>
      <c r="BL8" s="679"/>
      <c r="BM8" s="1473">
        <f t="shared" si="32"/>
        <v>0</v>
      </c>
      <c r="BN8" s="1464" t="str">
        <f t="shared" ca="1" si="33"/>
        <v>-</v>
      </c>
      <c r="BO8" s="1462" t="s">
        <v>400</v>
      </c>
      <c r="BP8" s="1463">
        <f t="shared" ca="1" si="34"/>
        <v>0</v>
      </c>
      <c r="BQ8" s="1464">
        <f t="shared" ca="1" si="35"/>
        <v>0</v>
      </c>
      <c r="BR8" s="1489">
        <f ca="1">IF(ROW()-ROW($A$6)&lt;'الف-ب-ج'!$L$9,INDIRECT("BudgetDB!CU"&amp;('الف-ب-ج'!$M$9+ROW()-ROW($A$6))),"")</f>
        <v>0</v>
      </c>
      <c r="BS8" s="679"/>
      <c r="BT8" s="1473">
        <f t="shared" si="36"/>
        <v>0</v>
      </c>
      <c r="BU8" s="1464" t="str">
        <f t="shared" ca="1" si="37"/>
        <v>-</v>
      </c>
      <c r="BV8" s="1489">
        <f ca="1">IF(ROW()-ROW($A$6)&lt;'الف-ب-ج'!$L$9,INDIRECT("BudgetDB!CV"&amp;('الف-ب-ج'!$M$9+ROW()-ROW($A$6))),"")</f>
        <v>0</v>
      </c>
      <c r="BW8" s="679"/>
      <c r="BX8" s="1473">
        <f t="shared" si="38"/>
        <v>0</v>
      </c>
      <c r="BY8" s="1464" t="str">
        <f t="shared" ca="1" si="39"/>
        <v>-</v>
      </c>
      <c r="BZ8" s="1462" t="s">
        <v>400</v>
      </c>
      <c r="CA8" s="1463">
        <f t="shared" ca="1" si="40"/>
        <v>0</v>
      </c>
      <c r="CB8" s="1464">
        <f t="shared" ca="1" si="41"/>
        <v>0</v>
      </c>
      <c r="CC8" s="1489">
        <f ca="1">IF(ROW()-ROW($A$6)&lt;'الف-ب-ج'!$L$9,INDIRECT("BudgetDB!CW"&amp;('الف-ب-ج'!$M$9+ROW()-ROW($A$6))),"")</f>
        <v>0</v>
      </c>
      <c r="CD8" s="679"/>
      <c r="CE8" s="1473">
        <f t="shared" si="42"/>
        <v>0</v>
      </c>
      <c r="CF8" s="1464" t="str">
        <f t="shared" ca="1" si="43"/>
        <v>-</v>
      </c>
      <c r="CG8" s="1489">
        <f ca="1">IF(ROW()-ROW($A$6)&lt;'الف-ب-ج'!$L$9,INDIRECT("BudgetDB!CX"&amp;('الف-ب-ج'!$M$9+ROW()-ROW($A$6))),"")</f>
        <v>0</v>
      </c>
      <c r="CH8" s="679"/>
      <c r="CI8" s="1473">
        <f t="shared" si="44"/>
        <v>0</v>
      </c>
      <c r="CJ8" s="1464" t="str">
        <f t="shared" ca="1" si="45"/>
        <v>-</v>
      </c>
      <c r="CK8" s="1462" t="s">
        <v>400</v>
      </c>
      <c r="CL8" s="1463">
        <f t="shared" ca="1" si="46"/>
        <v>0</v>
      </c>
      <c r="CM8" s="1464">
        <f t="shared" ca="1" si="47"/>
        <v>0</v>
      </c>
      <c r="CN8" s="1489">
        <f ca="1">IF(ROW()-ROW($A$6)&lt;'الف-ب-ج'!$L$9,INDIRECT("BudgetDB!CY"&amp;('الف-ب-ج'!$M$9+ROW()-ROW($A$6))),"")</f>
        <v>0</v>
      </c>
      <c r="CO8" s="679"/>
      <c r="CP8" s="1473">
        <f t="shared" si="48"/>
        <v>0</v>
      </c>
      <c r="CQ8" s="1464" t="str">
        <f t="shared" ca="1" si="49"/>
        <v>-</v>
      </c>
      <c r="CR8" s="1489">
        <f ca="1">IF(ROW()-ROW($A$6)&lt;'الف-ب-ج'!$L$9,INDIRECT("BudgetDB!CZ"&amp;('الف-ب-ج'!$M$9+ROW()-ROW($A$6))),"")</f>
        <v>0</v>
      </c>
      <c r="CS8" s="679"/>
      <c r="CT8" s="1473">
        <f t="shared" si="50"/>
        <v>0</v>
      </c>
      <c r="CU8" s="1464" t="str">
        <f t="shared" ca="1" si="51"/>
        <v>-</v>
      </c>
      <c r="CV8" s="1462" t="s">
        <v>400</v>
      </c>
      <c r="CW8" s="1463">
        <f t="shared" ca="1" si="52"/>
        <v>0</v>
      </c>
      <c r="CX8" s="1464">
        <f t="shared" ca="1" si="53"/>
        <v>0</v>
      </c>
      <c r="CY8" s="1489">
        <f ca="1">IF(ROW()-ROW($A$6)&lt;'الف-ب-ج'!$L$9,INDIRECT("BudgetDB!DA"&amp;('الف-ب-ج'!$M$9+ROW()-ROW($A$6))),"")</f>
        <v>0</v>
      </c>
      <c r="CZ8" s="679"/>
      <c r="DA8" s="1473">
        <f t="shared" si="54"/>
        <v>0</v>
      </c>
      <c r="DB8" s="1464" t="str">
        <f t="shared" ca="1" si="55"/>
        <v>-</v>
      </c>
      <c r="DC8" s="1489">
        <f ca="1">IF(ROW()-ROW($A$6)&lt;'الف-ب-ج'!$L$9,INDIRECT("BudgetDB!DB"&amp;('الف-ب-ج'!$M$9+ROW()-ROW($A$6))),"")</f>
        <v>0</v>
      </c>
      <c r="DD8" s="679"/>
      <c r="DE8" s="1473">
        <f t="shared" si="56"/>
        <v>0</v>
      </c>
      <c r="DF8" s="1464" t="str">
        <f t="shared" ca="1" si="57"/>
        <v>-</v>
      </c>
      <c r="DG8" s="1462" t="s">
        <v>400</v>
      </c>
      <c r="DH8" s="1463">
        <f t="shared" ca="1" si="58"/>
        <v>0</v>
      </c>
      <c r="DI8" s="1464">
        <f t="shared" ca="1" si="59"/>
        <v>0</v>
      </c>
      <c r="DJ8" s="1478">
        <f t="shared" ca="1" si="60"/>
        <v>0</v>
      </c>
      <c r="DK8" s="1479">
        <f t="shared" si="61"/>
        <v>0</v>
      </c>
      <c r="DL8" s="1472" t="str">
        <f t="shared" ca="1" si="62"/>
        <v>-</v>
      </c>
    </row>
    <row r="9" spans="1:117" s="37" customFormat="1" ht="30" customHeight="1">
      <c r="A9" s="1462" t="s">
        <v>401</v>
      </c>
      <c r="B9" s="1463">
        <f ca="1">'خرید مواد اولیه تولید'!B10</f>
        <v>0</v>
      </c>
      <c r="C9" s="1464">
        <f ca="1">'خرید مواد اولیه تولید'!C10</f>
        <v>0</v>
      </c>
      <c r="D9" s="1489">
        <f ca="1">IF(ROW()-ROW($A$6)&lt;'الف-ب-ج'!$L$9,INDIRECT("BudgetDB!CI"&amp;('الف-ب-ج'!$M$9+ROW()-ROW($A$6))),"")</f>
        <v>0</v>
      </c>
      <c r="E9" s="679"/>
      <c r="F9" s="1473">
        <f t="shared" si="0"/>
        <v>0</v>
      </c>
      <c r="G9" s="1464" t="str">
        <f t="shared" ca="1" si="1"/>
        <v>-</v>
      </c>
      <c r="H9" s="1489">
        <f ca="1">IF(ROW()-ROW($A$6)&lt;'الف-ب-ج'!$L$9,INDIRECT("BudgetDB!CJ"&amp;('الف-ب-ج'!$M$9+ROW()-ROW($A$6))),"")</f>
        <v>0</v>
      </c>
      <c r="I9" s="679"/>
      <c r="J9" s="1473">
        <f t="shared" si="2"/>
        <v>0</v>
      </c>
      <c r="K9" s="1464" t="str">
        <f t="shared" ca="1" si="3"/>
        <v>-</v>
      </c>
      <c r="L9" s="1462" t="s">
        <v>401</v>
      </c>
      <c r="M9" s="1463">
        <f t="shared" ca="1" si="4"/>
        <v>0</v>
      </c>
      <c r="N9" s="1464">
        <f t="shared" ca="1" si="5"/>
        <v>0</v>
      </c>
      <c r="O9" s="1489">
        <f ca="1">IF(ROW()-ROW($A$6)&lt;'الف-ب-ج'!$L$9,INDIRECT("BudgetDB!CK"&amp;('الف-ب-ج'!$M$9+ROW()-ROW($A$6))),"")</f>
        <v>0</v>
      </c>
      <c r="P9" s="679"/>
      <c r="Q9" s="1473">
        <f t="shared" si="6"/>
        <v>0</v>
      </c>
      <c r="R9" s="1464" t="str">
        <f t="shared" ca="1" si="7"/>
        <v>-</v>
      </c>
      <c r="S9" s="1489">
        <f ca="1">IF(ROW()-ROW($A$6)&lt;'الف-ب-ج'!$L$9,INDIRECT("BudgetDB!CL"&amp;('الف-ب-ج'!$M$9+ROW()-ROW($A$6))),"")</f>
        <v>0</v>
      </c>
      <c r="T9" s="679"/>
      <c r="U9" s="1473">
        <f t="shared" si="8"/>
        <v>0</v>
      </c>
      <c r="V9" s="1464" t="str">
        <f t="shared" ca="1" si="9"/>
        <v>-</v>
      </c>
      <c r="W9" s="1462" t="s">
        <v>401</v>
      </c>
      <c r="X9" s="1463">
        <f t="shared" ca="1" si="10"/>
        <v>0</v>
      </c>
      <c r="Y9" s="1464">
        <f t="shared" ca="1" si="11"/>
        <v>0</v>
      </c>
      <c r="Z9" s="1489">
        <f ca="1">IF(ROW()-ROW($A$6)&lt;'الف-ب-ج'!$L$9,INDIRECT("BudgetDB!CM"&amp;('الف-ب-ج'!$M$9+ROW()-ROW($A$6))),"")</f>
        <v>0</v>
      </c>
      <c r="AA9" s="679"/>
      <c r="AB9" s="1473">
        <f t="shared" si="12"/>
        <v>0</v>
      </c>
      <c r="AC9" s="1464" t="str">
        <f t="shared" ca="1" si="13"/>
        <v>-</v>
      </c>
      <c r="AD9" s="1489">
        <f ca="1">IF(ROW()-ROW($A$6)&lt;'الف-ب-ج'!$L$9,INDIRECT("BudgetDB!CN"&amp;('الف-ب-ج'!$M$9+ROW()-ROW($A$6))),"")</f>
        <v>0</v>
      </c>
      <c r="AE9" s="679"/>
      <c r="AF9" s="1473">
        <f t="shared" si="14"/>
        <v>0</v>
      </c>
      <c r="AG9" s="1464" t="str">
        <f t="shared" ca="1" si="15"/>
        <v>-</v>
      </c>
      <c r="AH9" s="1462" t="s">
        <v>401</v>
      </c>
      <c r="AI9" s="1463">
        <f t="shared" ca="1" si="16"/>
        <v>0</v>
      </c>
      <c r="AJ9" s="1464">
        <f t="shared" ca="1" si="17"/>
        <v>0</v>
      </c>
      <c r="AK9" s="1489">
        <f ca="1">IF(ROW()-ROW($A$6)&lt;'الف-ب-ج'!$L$9,INDIRECT("BudgetDB!CO"&amp;('الف-ب-ج'!$M$9+ROW()-ROW($A$6))),"")</f>
        <v>0</v>
      </c>
      <c r="AL9" s="679"/>
      <c r="AM9" s="1473">
        <f t="shared" si="18"/>
        <v>0</v>
      </c>
      <c r="AN9" s="1464" t="str">
        <f t="shared" ca="1" si="19"/>
        <v>-</v>
      </c>
      <c r="AO9" s="1489">
        <f ca="1">IF(ROW()-ROW($A$6)&lt;'الف-ب-ج'!$L$9,INDIRECT("BudgetDB!CP"&amp;('الف-ب-ج'!$M$9+ROW()-ROW($A$6))),"")</f>
        <v>0</v>
      </c>
      <c r="AP9" s="679"/>
      <c r="AQ9" s="1473">
        <f t="shared" si="20"/>
        <v>0</v>
      </c>
      <c r="AR9" s="1464" t="str">
        <f t="shared" ca="1" si="21"/>
        <v>-</v>
      </c>
      <c r="AS9" s="1462" t="s">
        <v>401</v>
      </c>
      <c r="AT9" s="1463">
        <f t="shared" ca="1" si="22"/>
        <v>0</v>
      </c>
      <c r="AU9" s="1464">
        <f t="shared" ca="1" si="23"/>
        <v>0</v>
      </c>
      <c r="AV9" s="1489">
        <f ca="1">IF(ROW()-ROW($A$6)&lt;'الف-ب-ج'!$L$9,INDIRECT("BudgetDB!CQ"&amp;('الف-ب-ج'!$M$9+ROW()-ROW($A$6))),"")</f>
        <v>0</v>
      </c>
      <c r="AW9" s="679"/>
      <c r="AX9" s="1473">
        <f t="shared" si="24"/>
        <v>0</v>
      </c>
      <c r="AY9" s="1464" t="str">
        <f t="shared" ca="1" si="25"/>
        <v>-</v>
      </c>
      <c r="AZ9" s="1489">
        <f ca="1">IF(ROW()-ROW($A$6)&lt;'الف-ب-ج'!$L$9,INDIRECT("BudgetDB!CR"&amp;('الف-ب-ج'!$M$9+ROW()-ROW($A$6))),"")</f>
        <v>0</v>
      </c>
      <c r="BA9" s="679"/>
      <c r="BB9" s="1473">
        <f t="shared" si="26"/>
        <v>0</v>
      </c>
      <c r="BC9" s="1464" t="str">
        <f t="shared" ca="1" si="27"/>
        <v>-</v>
      </c>
      <c r="BD9" s="1462" t="s">
        <v>401</v>
      </c>
      <c r="BE9" s="1463">
        <f t="shared" ca="1" si="28"/>
        <v>0</v>
      </c>
      <c r="BF9" s="1464">
        <f t="shared" ca="1" si="29"/>
        <v>0</v>
      </c>
      <c r="BG9" s="1489">
        <f ca="1">IF(ROW()-ROW($A$6)&lt;'الف-ب-ج'!$L$9,INDIRECT("BudgetDB!CS"&amp;('الف-ب-ج'!$M$9+ROW()-ROW($A$6))),"")</f>
        <v>0</v>
      </c>
      <c r="BH9" s="679"/>
      <c r="BI9" s="1473">
        <f t="shared" si="30"/>
        <v>0</v>
      </c>
      <c r="BJ9" s="1464" t="str">
        <f t="shared" ca="1" si="31"/>
        <v>-</v>
      </c>
      <c r="BK9" s="1489">
        <f ca="1">IF(ROW()-ROW($A$6)&lt;'الف-ب-ج'!$L$9,INDIRECT("BudgetDB!CT"&amp;('الف-ب-ج'!$M$9+ROW()-ROW($A$6))),"")</f>
        <v>0</v>
      </c>
      <c r="BL9" s="679"/>
      <c r="BM9" s="1473">
        <f t="shared" si="32"/>
        <v>0</v>
      </c>
      <c r="BN9" s="1464" t="str">
        <f t="shared" ca="1" si="33"/>
        <v>-</v>
      </c>
      <c r="BO9" s="1462" t="s">
        <v>401</v>
      </c>
      <c r="BP9" s="1463">
        <f t="shared" ca="1" si="34"/>
        <v>0</v>
      </c>
      <c r="BQ9" s="1464">
        <f t="shared" ca="1" si="35"/>
        <v>0</v>
      </c>
      <c r="BR9" s="1489">
        <f ca="1">IF(ROW()-ROW($A$6)&lt;'الف-ب-ج'!$L$9,INDIRECT("BudgetDB!CU"&amp;('الف-ب-ج'!$M$9+ROW()-ROW($A$6))),"")</f>
        <v>0</v>
      </c>
      <c r="BS9" s="679"/>
      <c r="BT9" s="1473">
        <f t="shared" si="36"/>
        <v>0</v>
      </c>
      <c r="BU9" s="1464" t="str">
        <f t="shared" ca="1" si="37"/>
        <v>-</v>
      </c>
      <c r="BV9" s="1489">
        <f ca="1">IF(ROW()-ROW($A$6)&lt;'الف-ب-ج'!$L$9,INDIRECT("BudgetDB!CV"&amp;('الف-ب-ج'!$M$9+ROW()-ROW($A$6))),"")</f>
        <v>0</v>
      </c>
      <c r="BW9" s="679"/>
      <c r="BX9" s="1473">
        <f t="shared" si="38"/>
        <v>0</v>
      </c>
      <c r="BY9" s="1464" t="str">
        <f t="shared" ca="1" si="39"/>
        <v>-</v>
      </c>
      <c r="BZ9" s="1462" t="s">
        <v>401</v>
      </c>
      <c r="CA9" s="1463">
        <f t="shared" ca="1" si="40"/>
        <v>0</v>
      </c>
      <c r="CB9" s="1464">
        <f t="shared" ca="1" si="41"/>
        <v>0</v>
      </c>
      <c r="CC9" s="1489">
        <f ca="1">IF(ROW()-ROW($A$6)&lt;'الف-ب-ج'!$L$9,INDIRECT("BudgetDB!CW"&amp;('الف-ب-ج'!$M$9+ROW()-ROW($A$6))),"")</f>
        <v>0</v>
      </c>
      <c r="CD9" s="679"/>
      <c r="CE9" s="1473">
        <f t="shared" si="42"/>
        <v>0</v>
      </c>
      <c r="CF9" s="1464" t="str">
        <f t="shared" ca="1" si="43"/>
        <v>-</v>
      </c>
      <c r="CG9" s="1489">
        <f ca="1">IF(ROW()-ROW($A$6)&lt;'الف-ب-ج'!$L$9,INDIRECT("BudgetDB!CX"&amp;('الف-ب-ج'!$M$9+ROW()-ROW($A$6))),"")</f>
        <v>0</v>
      </c>
      <c r="CH9" s="679"/>
      <c r="CI9" s="1473">
        <f t="shared" si="44"/>
        <v>0</v>
      </c>
      <c r="CJ9" s="1464" t="str">
        <f t="shared" ca="1" si="45"/>
        <v>-</v>
      </c>
      <c r="CK9" s="1462" t="s">
        <v>401</v>
      </c>
      <c r="CL9" s="1463">
        <f t="shared" ca="1" si="46"/>
        <v>0</v>
      </c>
      <c r="CM9" s="1464">
        <f t="shared" ca="1" si="47"/>
        <v>0</v>
      </c>
      <c r="CN9" s="1489">
        <f ca="1">IF(ROW()-ROW($A$6)&lt;'الف-ب-ج'!$L$9,INDIRECT("BudgetDB!CY"&amp;('الف-ب-ج'!$M$9+ROW()-ROW($A$6))),"")</f>
        <v>0</v>
      </c>
      <c r="CO9" s="679"/>
      <c r="CP9" s="1473">
        <f t="shared" si="48"/>
        <v>0</v>
      </c>
      <c r="CQ9" s="1464" t="str">
        <f t="shared" ca="1" si="49"/>
        <v>-</v>
      </c>
      <c r="CR9" s="1489">
        <f ca="1">IF(ROW()-ROW($A$6)&lt;'الف-ب-ج'!$L$9,INDIRECT("BudgetDB!CZ"&amp;('الف-ب-ج'!$M$9+ROW()-ROW($A$6))),"")</f>
        <v>0</v>
      </c>
      <c r="CS9" s="679"/>
      <c r="CT9" s="1473">
        <f t="shared" si="50"/>
        <v>0</v>
      </c>
      <c r="CU9" s="1464" t="str">
        <f t="shared" ca="1" si="51"/>
        <v>-</v>
      </c>
      <c r="CV9" s="1462" t="s">
        <v>401</v>
      </c>
      <c r="CW9" s="1463">
        <f t="shared" ca="1" si="52"/>
        <v>0</v>
      </c>
      <c r="CX9" s="1464">
        <f t="shared" ca="1" si="53"/>
        <v>0</v>
      </c>
      <c r="CY9" s="1489">
        <f ca="1">IF(ROW()-ROW($A$6)&lt;'الف-ب-ج'!$L$9,INDIRECT("BudgetDB!DA"&amp;('الف-ب-ج'!$M$9+ROW()-ROW($A$6))),"")</f>
        <v>0</v>
      </c>
      <c r="CZ9" s="679"/>
      <c r="DA9" s="1473">
        <f t="shared" si="54"/>
        <v>0</v>
      </c>
      <c r="DB9" s="1464" t="str">
        <f t="shared" ca="1" si="55"/>
        <v>-</v>
      </c>
      <c r="DC9" s="1489">
        <f ca="1">IF(ROW()-ROW($A$6)&lt;'الف-ب-ج'!$L$9,INDIRECT("BudgetDB!DB"&amp;('الف-ب-ج'!$M$9+ROW()-ROW($A$6))),"")</f>
        <v>0</v>
      </c>
      <c r="DD9" s="679"/>
      <c r="DE9" s="1473">
        <f t="shared" si="56"/>
        <v>0</v>
      </c>
      <c r="DF9" s="1464" t="str">
        <f t="shared" ca="1" si="57"/>
        <v>-</v>
      </c>
      <c r="DG9" s="1462" t="s">
        <v>401</v>
      </c>
      <c r="DH9" s="1463">
        <f t="shared" ca="1" si="58"/>
        <v>0</v>
      </c>
      <c r="DI9" s="1464">
        <f t="shared" ca="1" si="59"/>
        <v>0</v>
      </c>
      <c r="DJ9" s="1478">
        <f t="shared" ca="1" si="60"/>
        <v>0</v>
      </c>
      <c r="DK9" s="1479">
        <f t="shared" si="61"/>
        <v>0</v>
      </c>
      <c r="DL9" s="1472" t="str">
        <f t="shared" ca="1" si="62"/>
        <v>-</v>
      </c>
    </row>
    <row r="10" spans="1:117" s="37" customFormat="1" ht="30" customHeight="1">
      <c r="A10" s="1462" t="s">
        <v>402</v>
      </c>
      <c r="B10" s="1463">
        <f ca="1">'خرید مواد اولیه تولید'!B11</f>
        <v>0</v>
      </c>
      <c r="C10" s="1464">
        <f ca="1">'خرید مواد اولیه تولید'!C11</f>
        <v>0</v>
      </c>
      <c r="D10" s="1489">
        <f ca="1">IF(ROW()-ROW($A$6)&lt;'الف-ب-ج'!$L$9,INDIRECT("BudgetDB!CI"&amp;('الف-ب-ج'!$M$9+ROW()-ROW($A$6))),"")</f>
        <v>0</v>
      </c>
      <c r="E10" s="679"/>
      <c r="F10" s="1473">
        <f t="shared" si="0"/>
        <v>0</v>
      </c>
      <c r="G10" s="1464" t="str">
        <f t="shared" ca="1" si="1"/>
        <v>-</v>
      </c>
      <c r="H10" s="1489">
        <f ca="1">IF(ROW()-ROW($A$6)&lt;'الف-ب-ج'!$L$9,INDIRECT("BudgetDB!CJ"&amp;('الف-ب-ج'!$M$9+ROW()-ROW($A$6))),"")</f>
        <v>0</v>
      </c>
      <c r="I10" s="679"/>
      <c r="J10" s="1473">
        <f t="shared" si="2"/>
        <v>0</v>
      </c>
      <c r="K10" s="1464" t="str">
        <f t="shared" ca="1" si="3"/>
        <v>-</v>
      </c>
      <c r="L10" s="1462" t="s">
        <v>402</v>
      </c>
      <c r="M10" s="1463">
        <f t="shared" ca="1" si="4"/>
        <v>0</v>
      </c>
      <c r="N10" s="1464">
        <f t="shared" ca="1" si="5"/>
        <v>0</v>
      </c>
      <c r="O10" s="1489">
        <f ca="1">IF(ROW()-ROW($A$6)&lt;'الف-ب-ج'!$L$9,INDIRECT("BudgetDB!CK"&amp;('الف-ب-ج'!$M$9+ROW()-ROW($A$6))),"")</f>
        <v>0</v>
      </c>
      <c r="P10" s="679"/>
      <c r="Q10" s="1473">
        <f t="shared" si="6"/>
        <v>0</v>
      </c>
      <c r="R10" s="1464" t="str">
        <f t="shared" ca="1" si="7"/>
        <v>-</v>
      </c>
      <c r="S10" s="1489">
        <f ca="1">IF(ROW()-ROW($A$6)&lt;'الف-ب-ج'!$L$9,INDIRECT("BudgetDB!CL"&amp;('الف-ب-ج'!$M$9+ROW()-ROW($A$6))),"")</f>
        <v>0</v>
      </c>
      <c r="T10" s="679"/>
      <c r="U10" s="1473">
        <f t="shared" si="8"/>
        <v>0</v>
      </c>
      <c r="V10" s="1464" t="str">
        <f t="shared" ca="1" si="9"/>
        <v>-</v>
      </c>
      <c r="W10" s="1462" t="s">
        <v>402</v>
      </c>
      <c r="X10" s="1463">
        <f t="shared" ca="1" si="10"/>
        <v>0</v>
      </c>
      <c r="Y10" s="1464">
        <f t="shared" ca="1" si="11"/>
        <v>0</v>
      </c>
      <c r="Z10" s="1489">
        <f ca="1">IF(ROW()-ROW($A$6)&lt;'الف-ب-ج'!$L$9,INDIRECT("BudgetDB!CM"&amp;('الف-ب-ج'!$M$9+ROW()-ROW($A$6))),"")</f>
        <v>0</v>
      </c>
      <c r="AA10" s="679"/>
      <c r="AB10" s="1473">
        <f t="shared" si="12"/>
        <v>0</v>
      </c>
      <c r="AC10" s="1464" t="str">
        <f t="shared" ca="1" si="13"/>
        <v>-</v>
      </c>
      <c r="AD10" s="1489">
        <f ca="1">IF(ROW()-ROW($A$6)&lt;'الف-ب-ج'!$L$9,INDIRECT("BudgetDB!CN"&amp;('الف-ب-ج'!$M$9+ROW()-ROW($A$6))),"")</f>
        <v>0</v>
      </c>
      <c r="AE10" s="679"/>
      <c r="AF10" s="1473">
        <f t="shared" si="14"/>
        <v>0</v>
      </c>
      <c r="AG10" s="1464" t="str">
        <f t="shared" ca="1" si="15"/>
        <v>-</v>
      </c>
      <c r="AH10" s="1462" t="s">
        <v>402</v>
      </c>
      <c r="AI10" s="1463">
        <f t="shared" ca="1" si="16"/>
        <v>0</v>
      </c>
      <c r="AJ10" s="1464">
        <f t="shared" ca="1" si="17"/>
        <v>0</v>
      </c>
      <c r="AK10" s="1489">
        <f ca="1">IF(ROW()-ROW($A$6)&lt;'الف-ب-ج'!$L$9,INDIRECT("BudgetDB!CO"&amp;('الف-ب-ج'!$M$9+ROW()-ROW($A$6))),"")</f>
        <v>0</v>
      </c>
      <c r="AL10" s="679"/>
      <c r="AM10" s="1473">
        <f t="shared" si="18"/>
        <v>0</v>
      </c>
      <c r="AN10" s="1464" t="str">
        <f t="shared" ca="1" si="19"/>
        <v>-</v>
      </c>
      <c r="AO10" s="1489">
        <f ca="1">IF(ROW()-ROW($A$6)&lt;'الف-ب-ج'!$L$9,INDIRECT("BudgetDB!CP"&amp;('الف-ب-ج'!$M$9+ROW()-ROW($A$6))),"")</f>
        <v>0</v>
      </c>
      <c r="AP10" s="679"/>
      <c r="AQ10" s="1473">
        <f t="shared" si="20"/>
        <v>0</v>
      </c>
      <c r="AR10" s="1464" t="str">
        <f t="shared" ca="1" si="21"/>
        <v>-</v>
      </c>
      <c r="AS10" s="1462" t="s">
        <v>402</v>
      </c>
      <c r="AT10" s="1463">
        <f t="shared" ca="1" si="22"/>
        <v>0</v>
      </c>
      <c r="AU10" s="1464">
        <f t="shared" ca="1" si="23"/>
        <v>0</v>
      </c>
      <c r="AV10" s="1489">
        <f ca="1">IF(ROW()-ROW($A$6)&lt;'الف-ب-ج'!$L$9,INDIRECT("BudgetDB!CQ"&amp;('الف-ب-ج'!$M$9+ROW()-ROW($A$6))),"")</f>
        <v>0</v>
      </c>
      <c r="AW10" s="679"/>
      <c r="AX10" s="1473">
        <f t="shared" si="24"/>
        <v>0</v>
      </c>
      <c r="AY10" s="1464" t="str">
        <f t="shared" ca="1" si="25"/>
        <v>-</v>
      </c>
      <c r="AZ10" s="1489">
        <f ca="1">IF(ROW()-ROW($A$6)&lt;'الف-ب-ج'!$L$9,INDIRECT("BudgetDB!CR"&amp;('الف-ب-ج'!$M$9+ROW()-ROW($A$6))),"")</f>
        <v>0</v>
      </c>
      <c r="BA10" s="679"/>
      <c r="BB10" s="1473">
        <f t="shared" si="26"/>
        <v>0</v>
      </c>
      <c r="BC10" s="1464" t="str">
        <f t="shared" ca="1" si="27"/>
        <v>-</v>
      </c>
      <c r="BD10" s="1462" t="s">
        <v>402</v>
      </c>
      <c r="BE10" s="1463">
        <f t="shared" ca="1" si="28"/>
        <v>0</v>
      </c>
      <c r="BF10" s="1464">
        <f t="shared" ca="1" si="29"/>
        <v>0</v>
      </c>
      <c r="BG10" s="1489">
        <f ca="1">IF(ROW()-ROW($A$6)&lt;'الف-ب-ج'!$L$9,INDIRECT("BudgetDB!CS"&amp;('الف-ب-ج'!$M$9+ROW()-ROW($A$6))),"")</f>
        <v>0</v>
      </c>
      <c r="BH10" s="679"/>
      <c r="BI10" s="1473">
        <f t="shared" si="30"/>
        <v>0</v>
      </c>
      <c r="BJ10" s="1464" t="str">
        <f t="shared" ca="1" si="31"/>
        <v>-</v>
      </c>
      <c r="BK10" s="1489">
        <f ca="1">IF(ROW()-ROW($A$6)&lt;'الف-ب-ج'!$L$9,INDIRECT("BudgetDB!CT"&amp;('الف-ب-ج'!$M$9+ROW()-ROW($A$6))),"")</f>
        <v>0</v>
      </c>
      <c r="BL10" s="679"/>
      <c r="BM10" s="1473">
        <f t="shared" si="32"/>
        <v>0</v>
      </c>
      <c r="BN10" s="1464" t="str">
        <f t="shared" ca="1" si="33"/>
        <v>-</v>
      </c>
      <c r="BO10" s="1462" t="s">
        <v>402</v>
      </c>
      <c r="BP10" s="1463">
        <f t="shared" ca="1" si="34"/>
        <v>0</v>
      </c>
      <c r="BQ10" s="1464">
        <f t="shared" ca="1" si="35"/>
        <v>0</v>
      </c>
      <c r="BR10" s="1489">
        <f ca="1">IF(ROW()-ROW($A$6)&lt;'الف-ب-ج'!$L$9,INDIRECT("BudgetDB!CU"&amp;('الف-ب-ج'!$M$9+ROW()-ROW($A$6))),"")</f>
        <v>0</v>
      </c>
      <c r="BS10" s="679"/>
      <c r="BT10" s="1473">
        <f t="shared" si="36"/>
        <v>0</v>
      </c>
      <c r="BU10" s="1464" t="str">
        <f t="shared" ca="1" si="37"/>
        <v>-</v>
      </c>
      <c r="BV10" s="1489">
        <f ca="1">IF(ROW()-ROW($A$6)&lt;'الف-ب-ج'!$L$9,INDIRECT("BudgetDB!CV"&amp;('الف-ب-ج'!$M$9+ROW()-ROW($A$6))),"")</f>
        <v>0</v>
      </c>
      <c r="BW10" s="679"/>
      <c r="BX10" s="1473">
        <f t="shared" si="38"/>
        <v>0</v>
      </c>
      <c r="BY10" s="1464" t="str">
        <f t="shared" ca="1" si="39"/>
        <v>-</v>
      </c>
      <c r="BZ10" s="1462" t="s">
        <v>402</v>
      </c>
      <c r="CA10" s="1463">
        <f t="shared" ca="1" si="40"/>
        <v>0</v>
      </c>
      <c r="CB10" s="1464">
        <f t="shared" ca="1" si="41"/>
        <v>0</v>
      </c>
      <c r="CC10" s="1489">
        <f ca="1">IF(ROW()-ROW($A$6)&lt;'الف-ب-ج'!$L$9,INDIRECT("BudgetDB!CW"&amp;('الف-ب-ج'!$M$9+ROW()-ROW($A$6))),"")</f>
        <v>0</v>
      </c>
      <c r="CD10" s="679"/>
      <c r="CE10" s="1473">
        <f t="shared" si="42"/>
        <v>0</v>
      </c>
      <c r="CF10" s="1464" t="str">
        <f t="shared" ca="1" si="43"/>
        <v>-</v>
      </c>
      <c r="CG10" s="1489">
        <f ca="1">IF(ROW()-ROW($A$6)&lt;'الف-ب-ج'!$L$9,INDIRECT("BudgetDB!CX"&amp;('الف-ب-ج'!$M$9+ROW()-ROW($A$6))),"")</f>
        <v>0</v>
      </c>
      <c r="CH10" s="679"/>
      <c r="CI10" s="1473">
        <f t="shared" si="44"/>
        <v>0</v>
      </c>
      <c r="CJ10" s="1464" t="str">
        <f t="shared" ca="1" si="45"/>
        <v>-</v>
      </c>
      <c r="CK10" s="1462" t="s">
        <v>402</v>
      </c>
      <c r="CL10" s="1463">
        <f t="shared" ca="1" si="46"/>
        <v>0</v>
      </c>
      <c r="CM10" s="1464">
        <f t="shared" ca="1" si="47"/>
        <v>0</v>
      </c>
      <c r="CN10" s="1489">
        <f ca="1">IF(ROW()-ROW($A$6)&lt;'الف-ب-ج'!$L$9,INDIRECT("BudgetDB!CY"&amp;('الف-ب-ج'!$M$9+ROW()-ROW($A$6))),"")</f>
        <v>0</v>
      </c>
      <c r="CO10" s="679"/>
      <c r="CP10" s="1473">
        <f t="shared" si="48"/>
        <v>0</v>
      </c>
      <c r="CQ10" s="1464" t="str">
        <f t="shared" ca="1" si="49"/>
        <v>-</v>
      </c>
      <c r="CR10" s="1489">
        <f ca="1">IF(ROW()-ROW($A$6)&lt;'الف-ب-ج'!$L$9,INDIRECT("BudgetDB!CZ"&amp;('الف-ب-ج'!$M$9+ROW()-ROW($A$6))),"")</f>
        <v>0</v>
      </c>
      <c r="CS10" s="679"/>
      <c r="CT10" s="1473">
        <f t="shared" si="50"/>
        <v>0</v>
      </c>
      <c r="CU10" s="1464" t="str">
        <f t="shared" ca="1" si="51"/>
        <v>-</v>
      </c>
      <c r="CV10" s="1462" t="s">
        <v>402</v>
      </c>
      <c r="CW10" s="1463">
        <f t="shared" ca="1" si="52"/>
        <v>0</v>
      </c>
      <c r="CX10" s="1464">
        <f t="shared" ca="1" si="53"/>
        <v>0</v>
      </c>
      <c r="CY10" s="1489">
        <f ca="1">IF(ROW()-ROW($A$6)&lt;'الف-ب-ج'!$L$9,INDIRECT("BudgetDB!DA"&amp;('الف-ب-ج'!$M$9+ROW()-ROW($A$6))),"")</f>
        <v>0</v>
      </c>
      <c r="CZ10" s="679"/>
      <c r="DA10" s="1473">
        <f t="shared" si="54"/>
        <v>0</v>
      </c>
      <c r="DB10" s="1464" t="str">
        <f t="shared" ca="1" si="55"/>
        <v>-</v>
      </c>
      <c r="DC10" s="1489">
        <f ca="1">IF(ROW()-ROW($A$6)&lt;'الف-ب-ج'!$L$9,INDIRECT("BudgetDB!DB"&amp;('الف-ب-ج'!$M$9+ROW()-ROW($A$6))),"")</f>
        <v>0</v>
      </c>
      <c r="DD10" s="679"/>
      <c r="DE10" s="1473">
        <f t="shared" si="56"/>
        <v>0</v>
      </c>
      <c r="DF10" s="1464" t="str">
        <f t="shared" ca="1" si="57"/>
        <v>-</v>
      </c>
      <c r="DG10" s="1462" t="s">
        <v>402</v>
      </c>
      <c r="DH10" s="1463">
        <f t="shared" ca="1" si="58"/>
        <v>0</v>
      </c>
      <c r="DI10" s="1464">
        <f t="shared" ca="1" si="59"/>
        <v>0</v>
      </c>
      <c r="DJ10" s="1478">
        <f t="shared" ca="1" si="60"/>
        <v>0</v>
      </c>
      <c r="DK10" s="1479">
        <f t="shared" si="61"/>
        <v>0</v>
      </c>
      <c r="DL10" s="1472" t="str">
        <f t="shared" ca="1" si="62"/>
        <v>-</v>
      </c>
    </row>
    <row r="11" spans="1:117" s="37" customFormat="1" ht="30" customHeight="1">
      <c r="A11" s="1462" t="s">
        <v>403</v>
      </c>
      <c r="B11" s="1463">
        <f ca="1">'خرید مواد اولیه تولید'!B12</f>
        <v>0</v>
      </c>
      <c r="C11" s="1464">
        <f ca="1">'خرید مواد اولیه تولید'!C12</f>
        <v>0</v>
      </c>
      <c r="D11" s="1489">
        <f ca="1">IF(ROW()-ROW($A$6)&lt;'الف-ب-ج'!$L$9,INDIRECT("BudgetDB!CI"&amp;('الف-ب-ج'!$M$9+ROW()-ROW($A$6))),"")</f>
        <v>0</v>
      </c>
      <c r="E11" s="679"/>
      <c r="F11" s="1473">
        <f t="shared" si="0"/>
        <v>0</v>
      </c>
      <c r="G11" s="1464" t="str">
        <f t="shared" ca="1" si="1"/>
        <v>-</v>
      </c>
      <c r="H11" s="1489">
        <f ca="1">IF(ROW()-ROW($A$6)&lt;'الف-ب-ج'!$L$9,INDIRECT("BudgetDB!CJ"&amp;('الف-ب-ج'!$M$9+ROW()-ROW($A$6))),"")</f>
        <v>0</v>
      </c>
      <c r="I11" s="679"/>
      <c r="J11" s="1473">
        <f t="shared" si="2"/>
        <v>0</v>
      </c>
      <c r="K11" s="1464" t="str">
        <f t="shared" ca="1" si="3"/>
        <v>-</v>
      </c>
      <c r="L11" s="1462" t="s">
        <v>403</v>
      </c>
      <c r="M11" s="1463">
        <f t="shared" ca="1" si="4"/>
        <v>0</v>
      </c>
      <c r="N11" s="1464">
        <f t="shared" ca="1" si="5"/>
        <v>0</v>
      </c>
      <c r="O11" s="1489">
        <f ca="1">IF(ROW()-ROW($A$6)&lt;'الف-ب-ج'!$L$9,INDIRECT("BudgetDB!CK"&amp;('الف-ب-ج'!$M$9+ROW()-ROW($A$6))),"")</f>
        <v>0</v>
      </c>
      <c r="P11" s="679"/>
      <c r="Q11" s="1473">
        <f t="shared" si="6"/>
        <v>0</v>
      </c>
      <c r="R11" s="1464" t="str">
        <f t="shared" ca="1" si="7"/>
        <v>-</v>
      </c>
      <c r="S11" s="1489">
        <f ca="1">IF(ROW()-ROW($A$6)&lt;'الف-ب-ج'!$L$9,INDIRECT("BudgetDB!CL"&amp;('الف-ب-ج'!$M$9+ROW()-ROW($A$6))),"")</f>
        <v>0</v>
      </c>
      <c r="T11" s="679"/>
      <c r="U11" s="1473">
        <f t="shared" si="8"/>
        <v>0</v>
      </c>
      <c r="V11" s="1464" t="str">
        <f t="shared" ca="1" si="9"/>
        <v>-</v>
      </c>
      <c r="W11" s="1462" t="s">
        <v>403</v>
      </c>
      <c r="X11" s="1463">
        <f t="shared" ca="1" si="10"/>
        <v>0</v>
      </c>
      <c r="Y11" s="1464">
        <f t="shared" ca="1" si="11"/>
        <v>0</v>
      </c>
      <c r="Z11" s="1489">
        <f ca="1">IF(ROW()-ROW($A$6)&lt;'الف-ب-ج'!$L$9,INDIRECT("BudgetDB!CM"&amp;('الف-ب-ج'!$M$9+ROW()-ROW($A$6))),"")</f>
        <v>0</v>
      </c>
      <c r="AA11" s="679"/>
      <c r="AB11" s="1473">
        <f t="shared" si="12"/>
        <v>0</v>
      </c>
      <c r="AC11" s="1464" t="str">
        <f t="shared" ca="1" si="13"/>
        <v>-</v>
      </c>
      <c r="AD11" s="1489">
        <f ca="1">IF(ROW()-ROW($A$6)&lt;'الف-ب-ج'!$L$9,INDIRECT("BudgetDB!CN"&amp;('الف-ب-ج'!$M$9+ROW()-ROW($A$6))),"")</f>
        <v>0</v>
      </c>
      <c r="AE11" s="679"/>
      <c r="AF11" s="1473">
        <f t="shared" si="14"/>
        <v>0</v>
      </c>
      <c r="AG11" s="1464" t="str">
        <f t="shared" ca="1" si="15"/>
        <v>-</v>
      </c>
      <c r="AH11" s="1462" t="s">
        <v>403</v>
      </c>
      <c r="AI11" s="1463">
        <f t="shared" ca="1" si="16"/>
        <v>0</v>
      </c>
      <c r="AJ11" s="1464">
        <f t="shared" ca="1" si="17"/>
        <v>0</v>
      </c>
      <c r="AK11" s="1489">
        <f ca="1">IF(ROW()-ROW($A$6)&lt;'الف-ب-ج'!$L$9,INDIRECT("BudgetDB!CO"&amp;('الف-ب-ج'!$M$9+ROW()-ROW($A$6))),"")</f>
        <v>0</v>
      </c>
      <c r="AL11" s="679"/>
      <c r="AM11" s="1473">
        <f t="shared" si="18"/>
        <v>0</v>
      </c>
      <c r="AN11" s="1464" t="str">
        <f t="shared" ca="1" si="19"/>
        <v>-</v>
      </c>
      <c r="AO11" s="1489">
        <f ca="1">IF(ROW()-ROW($A$6)&lt;'الف-ب-ج'!$L$9,INDIRECT("BudgetDB!CP"&amp;('الف-ب-ج'!$M$9+ROW()-ROW($A$6))),"")</f>
        <v>0</v>
      </c>
      <c r="AP11" s="679"/>
      <c r="AQ11" s="1473">
        <f t="shared" si="20"/>
        <v>0</v>
      </c>
      <c r="AR11" s="1464" t="str">
        <f t="shared" ca="1" si="21"/>
        <v>-</v>
      </c>
      <c r="AS11" s="1462" t="s">
        <v>403</v>
      </c>
      <c r="AT11" s="1463">
        <f t="shared" ca="1" si="22"/>
        <v>0</v>
      </c>
      <c r="AU11" s="1464">
        <f t="shared" ca="1" si="23"/>
        <v>0</v>
      </c>
      <c r="AV11" s="1489">
        <f ca="1">IF(ROW()-ROW($A$6)&lt;'الف-ب-ج'!$L$9,INDIRECT("BudgetDB!CQ"&amp;('الف-ب-ج'!$M$9+ROW()-ROW($A$6))),"")</f>
        <v>0</v>
      </c>
      <c r="AW11" s="679"/>
      <c r="AX11" s="1473">
        <f t="shared" si="24"/>
        <v>0</v>
      </c>
      <c r="AY11" s="1464" t="str">
        <f t="shared" ca="1" si="25"/>
        <v>-</v>
      </c>
      <c r="AZ11" s="1489">
        <f ca="1">IF(ROW()-ROW($A$6)&lt;'الف-ب-ج'!$L$9,INDIRECT("BudgetDB!CR"&amp;('الف-ب-ج'!$M$9+ROW()-ROW($A$6))),"")</f>
        <v>0</v>
      </c>
      <c r="BA11" s="679"/>
      <c r="BB11" s="1473">
        <f t="shared" si="26"/>
        <v>0</v>
      </c>
      <c r="BC11" s="1464" t="str">
        <f t="shared" ca="1" si="27"/>
        <v>-</v>
      </c>
      <c r="BD11" s="1462" t="s">
        <v>403</v>
      </c>
      <c r="BE11" s="1463">
        <f t="shared" ca="1" si="28"/>
        <v>0</v>
      </c>
      <c r="BF11" s="1464">
        <f t="shared" ca="1" si="29"/>
        <v>0</v>
      </c>
      <c r="BG11" s="1489">
        <f ca="1">IF(ROW()-ROW($A$6)&lt;'الف-ب-ج'!$L$9,INDIRECT("BudgetDB!CS"&amp;('الف-ب-ج'!$M$9+ROW()-ROW($A$6))),"")</f>
        <v>0</v>
      </c>
      <c r="BH11" s="679"/>
      <c r="BI11" s="1473">
        <f t="shared" si="30"/>
        <v>0</v>
      </c>
      <c r="BJ11" s="1464" t="str">
        <f t="shared" ca="1" si="31"/>
        <v>-</v>
      </c>
      <c r="BK11" s="1489">
        <f ca="1">IF(ROW()-ROW($A$6)&lt;'الف-ب-ج'!$L$9,INDIRECT("BudgetDB!CT"&amp;('الف-ب-ج'!$M$9+ROW()-ROW($A$6))),"")</f>
        <v>0</v>
      </c>
      <c r="BL11" s="679"/>
      <c r="BM11" s="1473">
        <f t="shared" si="32"/>
        <v>0</v>
      </c>
      <c r="BN11" s="1464" t="str">
        <f t="shared" ca="1" si="33"/>
        <v>-</v>
      </c>
      <c r="BO11" s="1462" t="s">
        <v>403</v>
      </c>
      <c r="BP11" s="1463">
        <f t="shared" ca="1" si="34"/>
        <v>0</v>
      </c>
      <c r="BQ11" s="1464">
        <f t="shared" ca="1" si="35"/>
        <v>0</v>
      </c>
      <c r="BR11" s="1489">
        <f ca="1">IF(ROW()-ROW($A$6)&lt;'الف-ب-ج'!$L$9,INDIRECT("BudgetDB!CU"&amp;('الف-ب-ج'!$M$9+ROW()-ROW($A$6))),"")</f>
        <v>0</v>
      </c>
      <c r="BS11" s="679"/>
      <c r="BT11" s="1473">
        <f t="shared" si="36"/>
        <v>0</v>
      </c>
      <c r="BU11" s="1464" t="str">
        <f t="shared" ca="1" si="37"/>
        <v>-</v>
      </c>
      <c r="BV11" s="1489">
        <f ca="1">IF(ROW()-ROW($A$6)&lt;'الف-ب-ج'!$L$9,INDIRECT("BudgetDB!CV"&amp;('الف-ب-ج'!$M$9+ROW()-ROW($A$6))),"")</f>
        <v>0</v>
      </c>
      <c r="BW11" s="679"/>
      <c r="BX11" s="1473">
        <f t="shared" si="38"/>
        <v>0</v>
      </c>
      <c r="BY11" s="1464" t="str">
        <f t="shared" ca="1" si="39"/>
        <v>-</v>
      </c>
      <c r="BZ11" s="1462" t="s">
        <v>403</v>
      </c>
      <c r="CA11" s="1463">
        <f t="shared" ca="1" si="40"/>
        <v>0</v>
      </c>
      <c r="CB11" s="1464">
        <f t="shared" ca="1" si="41"/>
        <v>0</v>
      </c>
      <c r="CC11" s="1489">
        <f ca="1">IF(ROW()-ROW($A$6)&lt;'الف-ب-ج'!$L$9,INDIRECT("BudgetDB!CW"&amp;('الف-ب-ج'!$M$9+ROW()-ROW($A$6))),"")</f>
        <v>0</v>
      </c>
      <c r="CD11" s="679"/>
      <c r="CE11" s="1473">
        <f t="shared" si="42"/>
        <v>0</v>
      </c>
      <c r="CF11" s="1464" t="str">
        <f t="shared" ca="1" si="43"/>
        <v>-</v>
      </c>
      <c r="CG11" s="1489">
        <f ca="1">IF(ROW()-ROW($A$6)&lt;'الف-ب-ج'!$L$9,INDIRECT("BudgetDB!CX"&amp;('الف-ب-ج'!$M$9+ROW()-ROW($A$6))),"")</f>
        <v>0</v>
      </c>
      <c r="CH11" s="679"/>
      <c r="CI11" s="1473">
        <f t="shared" si="44"/>
        <v>0</v>
      </c>
      <c r="CJ11" s="1464" t="str">
        <f t="shared" ca="1" si="45"/>
        <v>-</v>
      </c>
      <c r="CK11" s="1462" t="s">
        <v>403</v>
      </c>
      <c r="CL11" s="1463">
        <f t="shared" ca="1" si="46"/>
        <v>0</v>
      </c>
      <c r="CM11" s="1464">
        <f t="shared" ca="1" si="47"/>
        <v>0</v>
      </c>
      <c r="CN11" s="1489">
        <f ca="1">IF(ROW()-ROW($A$6)&lt;'الف-ب-ج'!$L$9,INDIRECT("BudgetDB!CY"&amp;('الف-ب-ج'!$M$9+ROW()-ROW($A$6))),"")</f>
        <v>0</v>
      </c>
      <c r="CO11" s="679"/>
      <c r="CP11" s="1473">
        <f t="shared" si="48"/>
        <v>0</v>
      </c>
      <c r="CQ11" s="1464" t="str">
        <f t="shared" ca="1" si="49"/>
        <v>-</v>
      </c>
      <c r="CR11" s="1489">
        <f ca="1">IF(ROW()-ROW($A$6)&lt;'الف-ب-ج'!$L$9,INDIRECT("BudgetDB!CZ"&amp;('الف-ب-ج'!$M$9+ROW()-ROW($A$6))),"")</f>
        <v>0</v>
      </c>
      <c r="CS11" s="679"/>
      <c r="CT11" s="1473">
        <f t="shared" si="50"/>
        <v>0</v>
      </c>
      <c r="CU11" s="1464" t="str">
        <f t="shared" ca="1" si="51"/>
        <v>-</v>
      </c>
      <c r="CV11" s="1462" t="s">
        <v>403</v>
      </c>
      <c r="CW11" s="1463">
        <f t="shared" ca="1" si="52"/>
        <v>0</v>
      </c>
      <c r="CX11" s="1464">
        <f t="shared" ca="1" si="53"/>
        <v>0</v>
      </c>
      <c r="CY11" s="1489">
        <f ca="1">IF(ROW()-ROW($A$6)&lt;'الف-ب-ج'!$L$9,INDIRECT("BudgetDB!DA"&amp;('الف-ب-ج'!$M$9+ROW()-ROW($A$6))),"")</f>
        <v>0</v>
      </c>
      <c r="CZ11" s="679"/>
      <c r="DA11" s="1473">
        <f t="shared" si="54"/>
        <v>0</v>
      </c>
      <c r="DB11" s="1464" t="str">
        <f t="shared" ca="1" si="55"/>
        <v>-</v>
      </c>
      <c r="DC11" s="1489">
        <f ca="1">IF(ROW()-ROW($A$6)&lt;'الف-ب-ج'!$L$9,INDIRECT("BudgetDB!DB"&amp;('الف-ب-ج'!$M$9+ROW()-ROW($A$6))),"")</f>
        <v>0</v>
      </c>
      <c r="DD11" s="679"/>
      <c r="DE11" s="1473">
        <f t="shared" si="56"/>
        <v>0</v>
      </c>
      <c r="DF11" s="1464" t="str">
        <f t="shared" ca="1" si="57"/>
        <v>-</v>
      </c>
      <c r="DG11" s="1462" t="s">
        <v>403</v>
      </c>
      <c r="DH11" s="1463">
        <f t="shared" ca="1" si="58"/>
        <v>0</v>
      </c>
      <c r="DI11" s="1464">
        <f t="shared" ca="1" si="59"/>
        <v>0</v>
      </c>
      <c r="DJ11" s="1478">
        <f t="shared" ca="1" si="60"/>
        <v>0</v>
      </c>
      <c r="DK11" s="1479">
        <f t="shared" si="61"/>
        <v>0</v>
      </c>
      <c r="DL11" s="1472" t="str">
        <f t="shared" ca="1" si="62"/>
        <v>-</v>
      </c>
    </row>
    <row r="12" spans="1:117" s="37" customFormat="1" ht="30" customHeight="1">
      <c r="A12" s="1462" t="s">
        <v>404</v>
      </c>
      <c r="B12" s="1463">
        <f ca="1">'خرید مواد اولیه تولید'!B13</f>
        <v>0</v>
      </c>
      <c r="C12" s="1464">
        <f ca="1">'خرید مواد اولیه تولید'!C13</f>
        <v>0</v>
      </c>
      <c r="D12" s="1489">
        <f ca="1">IF(ROW()-ROW($A$6)&lt;'الف-ب-ج'!$L$9,INDIRECT("BudgetDB!CI"&amp;('الف-ب-ج'!$M$9+ROW()-ROW($A$6))),"")</f>
        <v>0</v>
      </c>
      <c r="E12" s="679"/>
      <c r="F12" s="1473">
        <f t="shared" si="0"/>
        <v>0</v>
      </c>
      <c r="G12" s="1464" t="str">
        <f t="shared" ca="1" si="1"/>
        <v>-</v>
      </c>
      <c r="H12" s="1489">
        <f ca="1">IF(ROW()-ROW($A$6)&lt;'الف-ب-ج'!$L$9,INDIRECT("BudgetDB!CJ"&amp;('الف-ب-ج'!$M$9+ROW()-ROW($A$6))),"")</f>
        <v>0</v>
      </c>
      <c r="I12" s="679"/>
      <c r="J12" s="1473">
        <f t="shared" si="2"/>
        <v>0</v>
      </c>
      <c r="K12" s="1464" t="str">
        <f t="shared" ca="1" si="3"/>
        <v>-</v>
      </c>
      <c r="L12" s="1462" t="s">
        <v>404</v>
      </c>
      <c r="M12" s="1463">
        <f t="shared" ca="1" si="4"/>
        <v>0</v>
      </c>
      <c r="N12" s="1464">
        <f t="shared" ca="1" si="5"/>
        <v>0</v>
      </c>
      <c r="O12" s="1489">
        <f ca="1">IF(ROW()-ROW($A$6)&lt;'الف-ب-ج'!$L$9,INDIRECT("BudgetDB!CK"&amp;('الف-ب-ج'!$M$9+ROW()-ROW($A$6))),"")</f>
        <v>0</v>
      </c>
      <c r="P12" s="679"/>
      <c r="Q12" s="1473">
        <f t="shared" si="6"/>
        <v>0</v>
      </c>
      <c r="R12" s="1464" t="str">
        <f t="shared" ca="1" si="7"/>
        <v>-</v>
      </c>
      <c r="S12" s="1489">
        <f ca="1">IF(ROW()-ROW($A$6)&lt;'الف-ب-ج'!$L$9,INDIRECT("BudgetDB!CL"&amp;('الف-ب-ج'!$M$9+ROW()-ROW($A$6))),"")</f>
        <v>0</v>
      </c>
      <c r="T12" s="679"/>
      <c r="U12" s="1473">
        <f t="shared" si="8"/>
        <v>0</v>
      </c>
      <c r="V12" s="1464" t="str">
        <f t="shared" ca="1" si="9"/>
        <v>-</v>
      </c>
      <c r="W12" s="1462" t="s">
        <v>404</v>
      </c>
      <c r="X12" s="1463">
        <f t="shared" ca="1" si="10"/>
        <v>0</v>
      </c>
      <c r="Y12" s="1464">
        <f t="shared" ca="1" si="11"/>
        <v>0</v>
      </c>
      <c r="Z12" s="1489">
        <f ca="1">IF(ROW()-ROW($A$6)&lt;'الف-ب-ج'!$L$9,INDIRECT("BudgetDB!CM"&amp;('الف-ب-ج'!$M$9+ROW()-ROW($A$6))),"")</f>
        <v>0</v>
      </c>
      <c r="AA12" s="679"/>
      <c r="AB12" s="1473">
        <f t="shared" si="12"/>
        <v>0</v>
      </c>
      <c r="AC12" s="1464" t="str">
        <f t="shared" ca="1" si="13"/>
        <v>-</v>
      </c>
      <c r="AD12" s="1489">
        <f ca="1">IF(ROW()-ROW($A$6)&lt;'الف-ب-ج'!$L$9,INDIRECT("BudgetDB!CN"&amp;('الف-ب-ج'!$M$9+ROW()-ROW($A$6))),"")</f>
        <v>0</v>
      </c>
      <c r="AE12" s="679"/>
      <c r="AF12" s="1473">
        <f t="shared" si="14"/>
        <v>0</v>
      </c>
      <c r="AG12" s="1464" t="str">
        <f t="shared" ca="1" si="15"/>
        <v>-</v>
      </c>
      <c r="AH12" s="1462" t="s">
        <v>404</v>
      </c>
      <c r="AI12" s="1463">
        <f t="shared" ca="1" si="16"/>
        <v>0</v>
      </c>
      <c r="AJ12" s="1464">
        <f t="shared" ca="1" si="17"/>
        <v>0</v>
      </c>
      <c r="AK12" s="1489">
        <f ca="1">IF(ROW()-ROW($A$6)&lt;'الف-ب-ج'!$L$9,INDIRECT("BudgetDB!CO"&amp;('الف-ب-ج'!$M$9+ROW()-ROW($A$6))),"")</f>
        <v>0</v>
      </c>
      <c r="AL12" s="679"/>
      <c r="AM12" s="1473">
        <f t="shared" si="18"/>
        <v>0</v>
      </c>
      <c r="AN12" s="1464" t="str">
        <f t="shared" ca="1" si="19"/>
        <v>-</v>
      </c>
      <c r="AO12" s="1489">
        <f ca="1">IF(ROW()-ROW($A$6)&lt;'الف-ب-ج'!$L$9,INDIRECT("BudgetDB!CP"&amp;('الف-ب-ج'!$M$9+ROW()-ROW($A$6))),"")</f>
        <v>0</v>
      </c>
      <c r="AP12" s="679"/>
      <c r="AQ12" s="1473">
        <f t="shared" si="20"/>
        <v>0</v>
      </c>
      <c r="AR12" s="1464" t="str">
        <f t="shared" ca="1" si="21"/>
        <v>-</v>
      </c>
      <c r="AS12" s="1462" t="s">
        <v>404</v>
      </c>
      <c r="AT12" s="1463">
        <f t="shared" ca="1" si="22"/>
        <v>0</v>
      </c>
      <c r="AU12" s="1464">
        <f t="shared" ca="1" si="23"/>
        <v>0</v>
      </c>
      <c r="AV12" s="1489">
        <f ca="1">IF(ROW()-ROW($A$6)&lt;'الف-ب-ج'!$L$9,INDIRECT("BudgetDB!CQ"&amp;('الف-ب-ج'!$M$9+ROW()-ROW($A$6))),"")</f>
        <v>0</v>
      </c>
      <c r="AW12" s="679"/>
      <c r="AX12" s="1473">
        <f t="shared" si="24"/>
        <v>0</v>
      </c>
      <c r="AY12" s="1464" t="str">
        <f t="shared" ca="1" si="25"/>
        <v>-</v>
      </c>
      <c r="AZ12" s="1489">
        <f ca="1">IF(ROW()-ROW($A$6)&lt;'الف-ب-ج'!$L$9,INDIRECT("BudgetDB!CR"&amp;('الف-ب-ج'!$M$9+ROW()-ROW($A$6))),"")</f>
        <v>0</v>
      </c>
      <c r="BA12" s="679"/>
      <c r="BB12" s="1473">
        <f t="shared" si="26"/>
        <v>0</v>
      </c>
      <c r="BC12" s="1464" t="str">
        <f t="shared" ca="1" si="27"/>
        <v>-</v>
      </c>
      <c r="BD12" s="1462" t="s">
        <v>404</v>
      </c>
      <c r="BE12" s="1463">
        <f t="shared" ca="1" si="28"/>
        <v>0</v>
      </c>
      <c r="BF12" s="1464">
        <f t="shared" ca="1" si="29"/>
        <v>0</v>
      </c>
      <c r="BG12" s="1489">
        <f ca="1">IF(ROW()-ROW($A$6)&lt;'الف-ب-ج'!$L$9,INDIRECT("BudgetDB!CS"&amp;('الف-ب-ج'!$M$9+ROW()-ROW($A$6))),"")</f>
        <v>0</v>
      </c>
      <c r="BH12" s="679"/>
      <c r="BI12" s="1473">
        <f t="shared" si="30"/>
        <v>0</v>
      </c>
      <c r="BJ12" s="1464" t="str">
        <f t="shared" ca="1" si="31"/>
        <v>-</v>
      </c>
      <c r="BK12" s="1489">
        <f ca="1">IF(ROW()-ROW($A$6)&lt;'الف-ب-ج'!$L$9,INDIRECT("BudgetDB!CT"&amp;('الف-ب-ج'!$M$9+ROW()-ROW($A$6))),"")</f>
        <v>0</v>
      </c>
      <c r="BL12" s="679"/>
      <c r="BM12" s="1473">
        <f t="shared" si="32"/>
        <v>0</v>
      </c>
      <c r="BN12" s="1464" t="str">
        <f t="shared" ca="1" si="33"/>
        <v>-</v>
      </c>
      <c r="BO12" s="1462" t="s">
        <v>404</v>
      </c>
      <c r="BP12" s="1463">
        <f t="shared" ca="1" si="34"/>
        <v>0</v>
      </c>
      <c r="BQ12" s="1464">
        <f t="shared" ca="1" si="35"/>
        <v>0</v>
      </c>
      <c r="BR12" s="1489">
        <f ca="1">IF(ROW()-ROW($A$6)&lt;'الف-ب-ج'!$L$9,INDIRECT("BudgetDB!CU"&amp;('الف-ب-ج'!$M$9+ROW()-ROW($A$6))),"")</f>
        <v>0</v>
      </c>
      <c r="BS12" s="679"/>
      <c r="BT12" s="1473">
        <f t="shared" si="36"/>
        <v>0</v>
      </c>
      <c r="BU12" s="1464" t="str">
        <f t="shared" ca="1" si="37"/>
        <v>-</v>
      </c>
      <c r="BV12" s="1489">
        <f ca="1">IF(ROW()-ROW($A$6)&lt;'الف-ب-ج'!$L$9,INDIRECT("BudgetDB!CV"&amp;('الف-ب-ج'!$M$9+ROW()-ROW($A$6))),"")</f>
        <v>0</v>
      </c>
      <c r="BW12" s="679"/>
      <c r="BX12" s="1473">
        <f t="shared" si="38"/>
        <v>0</v>
      </c>
      <c r="BY12" s="1464" t="str">
        <f t="shared" ca="1" si="39"/>
        <v>-</v>
      </c>
      <c r="BZ12" s="1462" t="s">
        <v>404</v>
      </c>
      <c r="CA12" s="1463">
        <f t="shared" ca="1" si="40"/>
        <v>0</v>
      </c>
      <c r="CB12" s="1464">
        <f t="shared" ca="1" si="41"/>
        <v>0</v>
      </c>
      <c r="CC12" s="1489">
        <f ca="1">IF(ROW()-ROW($A$6)&lt;'الف-ب-ج'!$L$9,INDIRECT("BudgetDB!CW"&amp;('الف-ب-ج'!$M$9+ROW()-ROW($A$6))),"")</f>
        <v>0</v>
      </c>
      <c r="CD12" s="679"/>
      <c r="CE12" s="1473">
        <f t="shared" si="42"/>
        <v>0</v>
      </c>
      <c r="CF12" s="1464" t="str">
        <f t="shared" ca="1" si="43"/>
        <v>-</v>
      </c>
      <c r="CG12" s="1489">
        <f ca="1">IF(ROW()-ROW($A$6)&lt;'الف-ب-ج'!$L$9,INDIRECT("BudgetDB!CX"&amp;('الف-ب-ج'!$M$9+ROW()-ROW($A$6))),"")</f>
        <v>0</v>
      </c>
      <c r="CH12" s="679"/>
      <c r="CI12" s="1473">
        <f t="shared" si="44"/>
        <v>0</v>
      </c>
      <c r="CJ12" s="1464" t="str">
        <f t="shared" ca="1" si="45"/>
        <v>-</v>
      </c>
      <c r="CK12" s="1462" t="s">
        <v>404</v>
      </c>
      <c r="CL12" s="1463">
        <f t="shared" ca="1" si="46"/>
        <v>0</v>
      </c>
      <c r="CM12" s="1464">
        <f t="shared" ca="1" si="47"/>
        <v>0</v>
      </c>
      <c r="CN12" s="1489">
        <f ca="1">IF(ROW()-ROW($A$6)&lt;'الف-ب-ج'!$L$9,INDIRECT("BudgetDB!CY"&amp;('الف-ب-ج'!$M$9+ROW()-ROW($A$6))),"")</f>
        <v>0</v>
      </c>
      <c r="CO12" s="679"/>
      <c r="CP12" s="1473">
        <f t="shared" si="48"/>
        <v>0</v>
      </c>
      <c r="CQ12" s="1464" t="str">
        <f t="shared" ca="1" si="49"/>
        <v>-</v>
      </c>
      <c r="CR12" s="1489">
        <f ca="1">IF(ROW()-ROW($A$6)&lt;'الف-ب-ج'!$L$9,INDIRECT("BudgetDB!CZ"&amp;('الف-ب-ج'!$M$9+ROW()-ROW($A$6))),"")</f>
        <v>0</v>
      </c>
      <c r="CS12" s="679"/>
      <c r="CT12" s="1473">
        <f t="shared" si="50"/>
        <v>0</v>
      </c>
      <c r="CU12" s="1464" t="str">
        <f t="shared" ca="1" si="51"/>
        <v>-</v>
      </c>
      <c r="CV12" s="1462" t="s">
        <v>404</v>
      </c>
      <c r="CW12" s="1463">
        <f t="shared" ca="1" si="52"/>
        <v>0</v>
      </c>
      <c r="CX12" s="1464">
        <f t="shared" ca="1" si="53"/>
        <v>0</v>
      </c>
      <c r="CY12" s="1489">
        <f ca="1">IF(ROW()-ROW($A$6)&lt;'الف-ب-ج'!$L$9,INDIRECT("BudgetDB!DA"&amp;('الف-ب-ج'!$M$9+ROW()-ROW($A$6))),"")</f>
        <v>0</v>
      </c>
      <c r="CZ12" s="679"/>
      <c r="DA12" s="1473">
        <f t="shared" si="54"/>
        <v>0</v>
      </c>
      <c r="DB12" s="1464" t="str">
        <f t="shared" ca="1" si="55"/>
        <v>-</v>
      </c>
      <c r="DC12" s="1489">
        <f ca="1">IF(ROW()-ROW($A$6)&lt;'الف-ب-ج'!$L$9,INDIRECT("BudgetDB!DB"&amp;('الف-ب-ج'!$M$9+ROW()-ROW($A$6))),"")</f>
        <v>0</v>
      </c>
      <c r="DD12" s="679"/>
      <c r="DE12" s="1473">
        <f t="shared" si="56"/>
        <v>0</v>
      </c>
      <c r="DF12" s="1464" t="str">
        <f t="shared" ca="1" si="57"/>
        <v>-</v>
      </c>
      <c r="DG12" s="1462" t="s">
        <v>404</v>
      </c>
      <c r="DH12" s="1463">
        <f t="shared" ca="1" si="58"/>
        <v>0</v>
      </c>
      <c r="DI12" s="1464">
        <f t="shared" ca="1" si="59"/>
        <v>0</v>
      </c>
      <c r="DJ12" s="1478">
        <f t="shared" ca="1" si="60"/>
        <v>0</v>
      </c>
      <c r="DK12" s="1479">
        <f t="shared" si="61"/>
        <v>0</v>
      </c>
      <c r="DL12" s="1472" t="str">
        <f t="shared" ca="1" si="62"/>
        <v>-</v>
      </c>
    </row>
    <row r="13" spans="1:117" s="37" customFormat="1" ht="30" customHeight="1">
      <c r="A13" s="1462" t="s">
        <v>405</v>
      </c>
      <c r="B13" s="1463">
        <f ca="1">'خرید مواد اولیه تولید'!B14</f>
        <v>0</v>
      </c>
      <c r="C13" s="1464">
        <f ca="1">'خرید مواد اولیه تولید'!C14</f>
        <v>0</v>
      </c>
      <c r="D13" s="1489">
        <f ca="1">IF(ROW()-ROW($A$6)&lt;'الف-ب-ج'!$L$9,INDIRECT("BudgetDB!CI"&amp;('الف-ب-ج'!$M$9+ROW()-ROW($A$6))),"")</f>
        <v>0</v>
      </c>
      <c r="E13" s="679"/>
      <c r="F13" s="1473">
        <f t="shared" si="0"/>
        <v>0</v>
      </c>
      <c r="G13" s="1464" t="str">
        <f t="shared" ca="1" si="1"/>
        <v>-</v>
      </c>
      <c r="H13" s="1489">
        <f ca="1">IF(ROW()-ROW($A$6)&lt;'الف-ب-ج'!$L$9,INDIRECT("BudgetDB!CJ"&amp;('الف-ب-ج'!$M$9+ROW()-ROW($A$6))),"")</f>
        <v>0</v>
      </c>
      <c r="I13" s="679"/>
      <c r="J13" s="1473">
        <f t="shared" si="2"/>
        <v>0</v>
      </c>
      <c r="K13" s="1464" t="str">
        <f t="shared" ca="1" si="3"/>
        <v>-</v>
      </c>
      <c r="L13" s="1462" t="s">
        <v>405</v>
      </c>
      <c r="M13" s="1463">
        <f t="shared" ca="1" si="4"/>
        <v>0</v>
      </c>
      <c r="N13" s="1464">
        <f t="shared" ca="1" si="5"/>
        <v>0</v>
      </c>
      <c r="O13" s="1489">
        <f ca="1">IF(ROW()-ROW($A$6)&lt;'الف-ب-ج'!$L$9,INDIRECT("BudgetDB!CK"&amp;('الف-ب-ج'!$M$9+ROW()-ROW($A$6))),"")</f>
        <v>0</v>
      </c>
      <c r="P13" s="679"/>
      <c r="Q13" s="1473">
        <f t="shared" si="6"/>
        <v>0</v>
      </c>
      <c r="R13" s="1464" t="str">
        <f t="shared" ca="1" si="7"/>
        <v>-</v>
      </c>
      <c r="S13" s="1489">
        <f ca="1">IF(ROW()-ROW($A$6)&lt;'الف-ب-ج'!$L$9,INDIRECT("BudgetDB!CL"&amp;('الف-ب-ج'!$M$9+ROW()-ROW($A$6))),"")</f>
        <v>0</v>
      </c>
      <c r="T13" s="679"/>
      <c r="U13" s="1473">
        <f t="shared" si="8"/>
        <v>0</v>
      </c>
      <c r="V13" s="1464" t="str">
        <f t="shared" ca="1" si="9"/>
        <v>-</v>
      </c>
      <c r="W13" s="1462" t="s">
        <v>405</v>
      </c>
      <c r="X13" s="1463">
        <f t="shared" ca="1" si="10"/>
        <v>0</v>
      </c>
      <c r="Y13" s="1464">
        <f t="shared" ca="1" si="11"/>
        <v>0</v>
      </c>
      <c r="Z13" s="1489">
        <f ca="1">IF(ROW()-ROW($A$6)&lt;'الف-ب-ج'!$L$9,INDIRECT("BudgetDB!CM"&amp;('الف-ب-ج'!$M$9+ROW()-ROW($A$6))),"")</f>
        <v>0</v>
      </c>
      <c r="AA13" s="679"/>
      <c r="AB13" s="1473">
        <f t="shared" si="12"/>
        <v>0</v>
      </c>
      <c r="AC13" s="1464" t="str">
        <f t="shared" ca="1" si="13"/>
        <v>-</v>
      </c>
      <c r="AD13" s="1489">
        <f ca="1">IF(ROW()-ROW($A$6)&lt;'الف-ب-ج'!$L$9,INDIRECT("BudgetDB!CN"&amp;('الف-ب-ج'!$M$9+ROW()-ROW($A$6))),"")</f>
        <v>0</v>
      </c>
      <c r="AE13" s="679"/>
      <c r="AF13" s="1473">
        <f t="shared" si="14"/>
        <v>0</v>
      </c>
      <c r="AG13" s="1464" t="str">
        <f t="shared" ca="1" si="15"/>
        <v>-</v>
      </c>
      <c r="AH13" s="1462" t="s">
        <v>405</v>
      </c>
      <c r="AI13" s="1463">
        <f t="shared" ca="1" si="16"/>
        <v>0</v>
      </c>
      <c r="AJ13" s="1464">
        <f t="shared" ca="1" si="17"/>
        <v>0</v>
      </c>
      <c r="AK13" s="1489">
        <f ca="1">IF(ROW()-ROW($A$6)&lt;'الف-ب-ج'!$L$9,INDIRECT("BudgetDB!CO"&amp;('الف-ب-ج'!$M$9+ROW()-ROW($A$6))),"")</f>
        <v>0</v>
      </c>
      <c r="AL13" s="679"/>
      <c r="AM13" s="1473">
        <f t="shared" si="18"/>
        <v>0</v>
      </c>
      <c r="AN13" s="1464" t="str">
        <f t="shared" ca="1" si="19"/>
        <v>-</v>
      </c>
      <c r="AO13" s="1489">
        <f ca="1">IF(ROW()-ROW($A$6)&lt;'الف-ب-ج'!$L$9,INDIRECT("BudgetDB!CP"&amp;('الف-ب-ج'!$M$9+ROW()-ROW($A$6))),"")</f>
        <v>0</v>
      </c>
      <c r="AP13" s="679"/>
      <c r="AQ13" s="1473">
        <f t="shared" si="20"/>
        <v>0</v>
      </c>
      <c r="AR13" s="1464" t="str">
        <f t="shared" ca="1" si="21"/>
        <v>-</v>
      </c>
      <c r="AS13" s="1462" t="s">
        <v>405</v>
      </c>
      <c r="AT13" s="1463">
        <f t="shared" ca="1" si="22"/>
        <v>0</v>
      </c>
      <c r="AU13" s="1464">
        <f t="shared" ca="1" si="23"/>
        <v>0</v>
      </c>
      <c r="AV13" s="1489">
        <f ca="1">IF(ROW()-ROW($A$6)&lt;'الف-ب-ج'!$L$9,INDIRECT("BudgetDB!CQ"&amp;('الف-ب-ج'!$M$9+ROW()-ROW($A$6))),"")</f>
        <v>0</v>
      </c>
      <c r="AW13" s="679"/>
      <c r="AX13" s="1473">
        <f t="shared" si="24"/>
        <v>0</v>
      </c>
      <c r="AY13" s="1464" t="str">
        <f t="shared" ca="1" si="25"/>
        <v>-</v>
      </c>
      <c r="AZ13" s="1489">
        <f ca="1">IF(ROW()-ROW($A$6)&lt;'الف-ب-ج'!$L$9,INDIRECT("BudgetDB!CR"&amp;('الف-ب-ج'!$M$9+ROW()-ROW($A$6))),"")</f>
        <v>0</v>
      </c>
      <c r="BA13" s="679"/>
      <c r="BB13" s="1473">
        <f t="shared" si="26"/>
        <v>0</v>
      </c>
      <c r="BC13" s="1464" t="str">
        <f t="shared" ca="1" si="27"/>
        <v>-</v>
      </c>
      <c r="BD13" s="1462" t="s">
        <v>405</v>
      </c>
      <c r="BE13" s="1463">
        <f t="shared" ca="1" si="28"/>
        <v>0</v>
      </c>
      <c r="BF13" s="1464">
        <f t="shared" ca="1" si="29"/>
        <v>0</v>
      </c>
      <c r="BG13" s="1489">
        <f ca="1">IF(ROW()-ROW($A$6)&lt;'الف-ب-ج'!$L$9,INDIRECT("BudgetDB!CS"&amp;('الف-ب-ج'!$M$9+ROW()-ROW($A$6))),"")</f>
        <v>0</v>
      </c>
      <c r="BH13" s="679"/>
      <c r="BI13" s="1473">
        <f t="shared" si="30"/>
        <v>0</v>
      </c>
      <c r="BJ13" s="1464" t="str">
        <f t="shared" ca="1" si="31"/>
        <v>-</v>
      </c>
      <c r="BK13" s="1489">
        <f ca="1">IF(ROW()-ROW($A$6)&lt;'الف-ب-ج'!$L$9,INDIRECT("BudgetDB!CT"&amp;('الف-ب-ج'!$M$9+ROW()-ROW($A$6))),"")</f>
        <v>0</v>
      </c>
      <c r="BL13" s="679"/>
      <c r="BM13" s="1473">
        <f t="shared" si="32"/>
        <v>0</v>
      </c>
      <c r="BN13" s="1464" t="str">
        <f t="shared" ca="1" si="33"/>
        <v>-</v>
      </c>
      <c r="BO13" s="1462" t="s">
        <v>405</v>
      </c>
      <c r="BP13" s="1463">
        <f t="shared" ca="1" si="34"/>
        <v>0</v>
      </c>
      <c r="BQ13" s="1464">
        <f t="shared" ca="1" si="35"/>
        <v>0</v>
      </c>
      <c r="BR13" s="1489">
        <f ca="1">IF(ROW()-ROW($A$6)&lt;'الف-ب-ج'!$L$9,INDIRECT("BudgetDB!CU"&amp;('الف-ب-ج'!$M$9+ROW()-ROW($A$6))),"")</f>
        <v>0</v>
      </c>
      <c r="BS13" s="679"/>
      <c r="BT13" s="1473">
        <f t="shared" si="36"/>
        <v>0</v>
      </c>
      <c r="BU13" s="1464" t="str">
        <f t="shared" ca="1" si="37"/>
        <v>-</v>
      </c>
      <c r="BV13" s="1489">
        <f ca="1">IF(ROW()-ROW($A$6)&lt;'الف-ب-ج'!$L$9,INDIRECT("BudgetDB!CV"&amp;('الف-ب-ج'!$M$9+ROW()-ROW($A$6))),"")</f>
        <v>0</v>
      </c>
      <c r="BW13" s="679"/>
      <c r="BX13" s="1473">
        <f t="shared" si="38"/>
        <v>0</v>
      </c>
      <c r="BY13" s="1464" t="str">
        <f t="shared" ca="1" si="39"/>
        <v>-</v>
      </c>
      <c r="BZ13" s="1462" t="s">
        <v>405</v>
      </c>
      <c r="CA13" s="1463">
        <f t="shared" ca="1" si="40"/>
        <v>0</v>
      </c>
      <c r="CB13" s="1464">
        <f t="shared" ca="1" si="41"/>
        <v>0</v>
      </c>
      <c r="CC13" s="1489">
        <f ca="1">IF(ROW()-ROW($A$6)&lt;'الف-ب-ج'!$L$9,INDIRECT("BudgetDB!CW"&amp;('الف-ب-ج'!$M$9+ROW()-ROW($A$6))),"")</f>
        <v>0</v>
      </c>
      <c r="CD13" s="679"/>
      <c r="CE13" s="1473">
        <f t="shared" si="42"/>
        <v>0</v>
      </c>
      <c r="CF13" s="1464" t="str">
        <f t="shared" ca="1" si="43"/>
        <v>-</v>
      </c>
      <c r="CG13" s="1489">
        <f ca="1">IF(ROW()-ROW($A$6)&lt;'الف-ب-ج'!$L$9,INDIRECT("BudgetDB!CX"&amp;('الف-ب-ج'!$M$9+ROW()-ROW($A$6))),"")</f>
        <v>0</v>
      </c>
      <c r="CH13" s="679"/>
      <c r="CI13" s="1473">
        <f t="shared" si="44"/>
        <v>0</v>
      </c>
      <c r="CJ13" s="1464" t="str">
        <f t="shared" ca="1" si="45"/>
        <v>-</v>
      </c>
      <c r="CK13" s="1462" t="s">
        <v>405</v>
      </c>
      <c r="CL13" s="1463">
        <f t="shared" ca="1" si="46"/>
        <v>0</v>
      </c>
      <c r="CM13" s="1464">
        <f t="shared" ca="1" si="47"/>
        <v>0</v>
      </c>
      <c r="CN13" s="1489">
        <f ca="1">IF(ROW()-ROW($A$6)&lt;'الف-ب-ج'!$L$9,INDIRECT("BudgetDB!CY"&amp;('الف-ب-ج'!$M$9+ROW()-ROW($A$6))),"")</f>
        <v>0</v>
      </c>
      <c r="CO13" s="679"/>
      <c r="CP13" s="1473">
        <f t="shared" si="48"/>
        <v>0</v>
      </c>
      <c r="CQ13" s="1464" t="str">
        <f t="shared" ca="1" si="49"/>
        <v>-</v>
      </c>
      <c r="CR13" s="1489">
        <f ca="1">IF(ROW()-ROW($A$6)&lt;'الف-ب-ج'!$L$9,INDIRECT("BudgetDB!CZ"&amp;('الف-ب-ج'!$M$9+ROW()-ROW($A$6))),"")</f>
        <v>0</v>
      </c>
      <c r="CS13" s="679"/>
      <c r="CT13" s="1473">
        <f t="shared" si="50"/>
        <v>0</v>
      </c>
      <c r="CU13" s="1464" t="str">
        <f t="shared" ca="1" si="51"/>
        <v>-</v>
      </c>
      <c r="CV13" s="1462" t="s">
        <v>405</v>
      </c>
      <c r="CW13" s="1463">
        <f t="shared" ca="1" si="52"/>
        <v>0</v>
      </c>
      <c r="CX13" s="1464">
        <f t="shared" ca="1" si="53"/>
        <v>0</v>
      </c>
      <c r="CY13" s="1489">
        <f ca="1">IF(ROW()-ROW($A$6)&lt;'الف-ب-ج'!$L$9,INDIRECT("BudgetDB!DA"&amp;('الف-ب-ج'!$M$9+ROW()-ROW($A$6))),"")</f>
        <v>0</v>
      </c>
      <c r="CZ13" s="679"/>
      <c r="DA13" s="1473">
        <f t="shared" si="54"/>
        <v>0</v>
      </c>
      <c r="DB13" s="1464" t="str">
        <f t="shared" ca="1" si="55"/>
        <v>-</v>
      </c>
      <c r="DC13" s="1489">
        <f ca="1">IF(ROW()-ROW($A$6)&lt;'الف-ب-ج'!$L$9,INDIRECT("BudgetDB!DB"&amp;('الف-ب-ج'!$M$9+ROW()-ROW($A$6))),"")</f>
        <v>0</v>
      </c>
      <c r="DD13" s="679"/>
      <c r="DE13" s="1473">
        <f t="shared" si="56"/>
        <v>0</v>
      </c>
      <c r="DF13" s="1464" t="str">
        <f t="shared" ca="1" si="57"/>
        <v>-</v>
      </c>
      <c r="DG13" s="1462" t="s">
        <v>405</v>
      </c>
      <c r="DH13" s="1463">
        <f t="shared" ca="1" si="58"/>
        <v>0</v>
      </c>
      <c r="DI13" s="1464">
        <f t="shared" ca="1" si="59"/>
        <v>0</v>
      </c>
      <c r="DJ13" s="1478">
        <f t="shared" ca="1" si="60"/>
        <v>0</v>
      </c>
      <c r="DK13" s="1479">
        <f t="shared" si="61"/>
        <v>0</v>
      </c>
      <c r="DL13" s="1472" t="str">
        <f t="shared" ca="1" si="62"/>
        <v>-</v>
      </c>
    </row>
    <row r="14" spans="1:117" s="37" customFormat="1" ht="30" customHeight="1">
      <c r="A14" s="1462" t="s">
        <v>406</v>
      </c>
      <c r="B14" s="1463">
        <f ca="1">'خرید مواد اولیه تولید'!B15</f>
        <v>0</v>
      </c>
      <c r="C14" s="1464">
        <f ca="1">'خرید مواد اولیه تولید'!C15</f>
        <v>0</v>
      </c>
      <c r="D14" s="1489">
        <f ca="1">IF(ROW()-ROW($A$6)&lt;'الف-ب-ج'!$L$9,INDIRECT("BudgetDB!CI"&amp;('الف-ب-ج'!$M$9+ROW()-ROW($A$6))),"")</f>
        <v>0</v>
      </c>
      <c r="E14" s="679"/>
      <c r="F14" s="1473">
        <f t="shared" si="0"/>
        <v>0</v>
      </c>
      <c r="G14" s="1464" t="str">
        <f t="shared" ca="1" si="1"/>
        <v>-</v>
      </c>
      <c r="H14" s="1489">
        <f ca="1">IF(ROW()-ROW($A$6)&lt;'الف-ب-ج'!$L$9,INDIRECT("BudgetDB!CJ"&amp;('الف-ب-ج'!$M$9+ROW()-ROW($A$6))),"")</f>
        <v>0</v>
      </c>
      <c r="I14" s="679"/>
      <c r="J14" s="1473">
        <f t="shared" si="2"/>
        <v>0</v>
      </c>
      <c r="K14" s="1464" t="str">
        <f t="shared" ca="1" si="3"/>
        <v>-</v>
      </c>
      <c r="L14" s="1462" t="s">
        <v>406</v>
      </c>
      <c r="M14" s="1463">
        <f t="shared" ca="1" si="4"/>
        <v>0</v>
      </c>
      <c r="N14" s="1464">
        <f t="shared" ca="1" si="5"/>
        <v>0</v>
      </c>
      <c r="O14" s="1489">
        <f ca="1">IF(ROW()-ROW($A$6)&lt;'الف-ب-ج'!$L$9,INDIRECT("BudgetDB!CK"&amp;('الف-ب-ج'!$M$9+ROW()-ROW($A$6))),"")</f>
        <v>0</v>
      </c>
      <c r="P14" s="679"/>
      <c r="Q14" s="1473">
        <f t="shared" si="6"/>
        <v>0</v>
      </c>
      <c r="R14" s="1464" t="str">
        <f t="shared" ca="1" si="7"/>
        <v>-</v>
      </c>
      <c r="S14" s="1489">
        <f ca="1">IF(ROW()-ROW($A$6)&lt;'الف-ب-ج'!$L$9,INDIRECT("BudgetDB!CL"&amp;('الف-ب-ج'!$M$9+ROW()-ROW($A$6))),"")</f>
        <v>0</v>
      </c>
      <c r="T14" s="679"/>
      <c r="U14" s="1473">
        <f t="shared" si="8"/>
        <v>0</v>
      </c>
      <c r="V14" s="1464" t="str">
        <f t="shared" ca="1" si="9"/>
        <v>-</v>
      </c>
      <c r="W14" s="1462" t="s">
        <v>406</v>
      </c>
      <c r="X14" s="1463">
        <f t="shared" ca="1" si="10"/>
        <v>0</v>
      </c>
      <c r="Y14" s="1464">
        <f t="shared" ca="1" si="11"/>
        <v>0</v>
      </c>
      <c r="Z14" s="1489">
        <f ca="1">IF(ROW()-ROW($A$6)&lt;'الف-ب-ج'!$L$9,INDIRECT("BudgetDB!CM"&amp;('الف-ب-ج'!$M$9+ROW()-ROW($A$6))),"")</f>
        <v>0</v>
      </c>
      <c r="AA14" s="679"/>
      <c r="AB14" s="1473">
        <f t="shared" si="12"/>
        <v>0</v>
      </c>
      <c r="AC14" s="1464" t="str">
        <f t="shared" ca="1" si="13"/>
        <v>-</v>
      </c>
      <c r="AD14" s="1489">
        <f ca="1">IF(ROW()-ROW($A$6)&lt;'الف-ب-ج'!$L$9,INDIRECT("BudgetDB!CN"&amp;('الف-ب-ج'!$M$9+ROW()-ROW($A$6))),"")</f>
        <v>0</v>
      </c>
      <c r="AE14" s="679"/>
      <c r="AF14" s="1473">
        <f t="shared" si="14"/>
        <v>0</v>
      </c>
      <c r="AG14" s="1464" t="str">
        <f t="shared" ca="1" si="15"/>
        <v>-</v>
      </c>
      <c r="AH14" s="1462" t="s">
        <v>406</v>
      </c>
      <c r="AI14" s="1463">
        <f t="shared" ca="1" si="16"/>
        <v>0</v>
      </c>
      <c r="AJ14" s="1464">
        <f t="shared" ca="1" si="17"/>
        <v>0</v>
      </c>
      <c r="AK14" s="1489">
        <f ca="1">IF(ROW()-ROW($A$6)&lt;'الف-ب-ج'!$L$9,INDIRECT("BudgetDB!CO"&amp;('الف-ب-ج'!$M$9+ROW()-ROW($A$6))),"")</f>
        <v>0</v>
      </c>
      <c r="AL14" s="679"/>
      <c r="AM14" s="1473">
        <f t="shared" si="18"/>
        <v>0</v>
      </c>
      <c r="AN14" s="1464" t="str">
        <f t="shared" ca="1" si="19"/>
        <v>-</v>
      </c>
      <c r="AO14" s="1489">
        <f ca="1">IF(ROW()-ROW($A$6)&lt;'الف-ب-ج'!$L$9,INDIRECT("BudgetDB!CP"&amp;('الف-ب-ج'!$M$9+ROW()-ROW($A$6))),"")</f>
        <v>0</v>
      </c>
      <c r="AP14" s="679"/>
      <c r="AQ14" s="1473">
        <f t="shared" si="20"/>
        <v>0</v>
      </c>
      <c r="AR14" s="1464" t="str">
        <f t="shared" ca="1" si="21"/>
        <v>-</v>
      </c>
      <c r="AS14" s="1462" t="s">
        <v>406</v>
      </c>
      <c r="AT14" s="1463">
        <f t="shared" ca="1" si="22"/>
        <v>0</v>
      </c>
      <c r="AU14" s="1464">
        <f t="shared" ca="1" si="23"/>
        <v>0</v>
      </c>
      <c r="AV14" s="1489">
        <f ca="1">IF(ROW()-ROW($A$6)&lt;'الف-ب-ج'!$L$9,INDIRECT("BudgetDB!CQ"&amp;('الف-ب-ج'!$M$9+ROW()-ROW($A$6))),"")</f>
        <v>0</v>
      </c>
      <c r="AW14" s="679"/>
      <c r="AX14" s="1473">
        <f t="shared" si="24"/>
        <v>0</v>
      </c>
      <c r="AY14" s="1464" t="str">
        <f t="shared" ca="1" si="25"/>
        <v>-</v>
      </c>
      <c r="AZ14" s="1489">
        <f ca="1">IF(ROW()-ROW($A$6)&lt;'الف-ب-ج'!$L$9,INDIRECT("BudgetDB!CR"&amp;('الف-ب-ج'!$M$9+ROW()-ROW($A$6))),"")</f>
        <v>0</v>
      </c>
      <c r="BA14" s="679"/>
      <c r="BB14" s="1473">
        <f t="shared" si="26"/>
        <v>0</v>
      </c>
      <c r="BC14" s="1464" t="str">
        <f t="shared" ca="1" si="27"/>
        <v>-</v>
      </c>
      <c r="BD14" s="1462" t="s">
        <v>406</v>
      </c>
      <c r="BE14" s="1463">
        <f t="shared" ca="1" si="28"/>
        <v>0</v>
      </c>
      <c r="BF14" s="1464">
        <f t="shared" ca="1" si="29"/>
        <v>0</v>
      </c>
      <c r="BG14" s="1489">
        <f ca="1">IF(ROW()-ROW($A$6)&lt;'الف-ب-ج'!$L$9,INDIRECT("BudgetDB!CS"&amp;('الف-ب-ج'!$M$9+ROW()-ROW($A$6))),"")</f>
        <v>0</v>
      </c>
      <c r="BH14" s="679"/>
      <c r="BI14" s="1473">
        <f t="shared" si="30"/>
        <v>0</v>
      </c>
      <c r="BJ14" s="1464" t="str">
        <f t="shared" ca="1" si="31"/>
        <v>-</v>
      </c>
      <c r="BK14" s="1489">
        <f ca="1">IF(ROW()-ROW($A$6)&lt;'الف-ب-ج'!$L$9,INDIRECT("BudgetDB!CT"&amp;('الف-ب-ج'!$M$9+ROW()-ROW($A$6))),"")</f>
        <v>0</v>
      </c>
      <c r="BL14" s="679"/>
      <c r="BM14" s="1473">
        <f t="shared" si="32"/>
        <v>0</v>
      </c>
      <c r="BN14" s="1464" t="str">
        <f t="shared" ca="1" si="33"/>
        <v>-</v>
      </c>
      <c r="BO14" s="1462" t="s">
        <v>406</v>
      </c>
      <c r="BP14" s="1463">
        <f t="shared" ca="1" si="34"/>
        <v>0</v>
      </c>
      <c r="BQ14" s="1464">
        <f t="shared" ca="1" si="35"/>
        <v>0</v>
      </c>
      <c r="BR14" s="1489">
        <f ca="1">IF(ROW()-ROW($A$6)&lt;'الف-ب-ج'!$L$9,INDIRECT("BudgetDB!CU"&amp;('الف-ب-ج'!$M$9+ROW()-ROW($A$6))),"")</f>
        <v>0</v>
      </c>
      <c r="BS14" s="679"/>
      <c r="BT14" s="1473">
        <f t="shared" si="36"/>
        <v>0</v>
      </c>
      <c r="BU14" s="1464" t="str">
        <f t="shared" ca="1" si="37"/>
        <v>-</v>
      </c>
      <c r="BV14" s="1489">
        <f ca="1">IF(ROW()-ROW($A$6)&lt;'الف-ب-ج'!$L$9,INDIRECT("BudgetDB!CV"&amp;('الف-ب-ج'!$M$9+ROW()-ROW($A$6))),"")</f>
        <v>0</v>
      </c>
      <c r="BW14" s="679"/>
      <c r="BX14" s="1473">
        <f t="shared" si="38"/>
        <v>0</v>
      </c>
      <c r="BY14" s="1464" t="str">
        <f t="shared" ca="1" si="39"/>
        <v>-</v>
      </c>
      <c r="BZ14" s="1462" t="s">
        <v>406</v>
      </c>
      <c r="CA14" s="1463">
        <f t="shared" ca="1" si="40"/>
        <v>0</v>
      </c>
      <c r="CB14" s="1464">
        <f t="shared" ca="1" si="41"/>
        <v>0</v>
      </c>
      <c r="CC14" s="1489">
        <f ca="1">IF(ROW()-ROW($A$6)&lt;'الف-ب-ج'!$L$9,INDIRECT("BudgetDB!CW"&amp;('الف-ب-ج'!$M$9+ROW()-ROW($A$6))),"")</f>
        <v>0</v>
      </c>
      <c r="CD14" s="679"/>
      <c r="CE14" s="1473">
        <f t="shared" si="42"/>
        <v>0</v>
      </c>
      <c r="CF14" s="1464" t="str">
        <f t="shared" ca="1" si="43"/>
        <v>-</v>
      </c>
      <c r="CG14" s="1489">
        <f ca="1">IF(ROW()-ROW($A$6)&lt;'الف-ب-ج'!$L$9,INDIRECT("BudgetDB!CX"&amp;('الف-ب-ج'!$M$9+ROW()-ROW($A$6))),"")</f>
        <v>0</v>
      </c>
      <c r="CH14" s="679"/>
      <c r="CI14" s="1473">
        <f t="shared" si="44"/>
        <v>0</v>
      </c>
      <c r="CJ14" s="1464" t="str">
        <f t="shared" ca="1" si="45"/>
        <v>-</v>
      </c>
      <c r="CK14" s="1462" t="s">
        <v>406</v>
      </c>
      <c r="CL14" s="1463">
        <f t="shared" ca="1" si="46"/>
        <v>0</v>
      </c>
      <c r="CM14" s="1464">
        <f t="shared" ca="1" si="47"/>
        <v>0</v>
      </c>
      <c r="CN14" s="1489">
        <f ca="1">IF(ROW()-ROW($A$6)&lt;'الف-ب-ج'!$L$9,INDIRECT("BudgetDB!CY"&amp;('الف-ب-ج'!$M$9+ROW()-ROW($A$6))),"")</f>
        <v>0</v>
      </c>
      <c r="CO14" s="679"/>
      <c r="CP14" s="1473">
        <f t="shared" si="48"/>
        <v>0</v>
      </c>
      <c r="CQ14" s="1464" t="str">
        <f t="shared" ca="1" si="49"/>
        <v>-</v>
      </c>
      <c r="CR14" s="1489">
        <f ca="1">IF(ROW()-ROW($A$6)&lt;'الف-ب-ج'!$L$9,INDIRECT("BudgetDB!CZ"&amp;('الف-ب-ج'!$M$9+ROW()-ROW($A$6))),"")</f>
        <v>0</v>
      </c>
      <c r="CS14" s="679"/>
      <c r="CT14" s="1473">
        <f t="shared" si="50"/>
        <v>0</v>
      </c>
      <c r="CU14" s="1464" t="str">
        <f t="shared" ca="1" si="51"/>
        <v>-</v>
      </c>
      <c r="CV14" s="1462" t="s">
        <v>406</v>
      </c>
      <c r="CW14" s="1463">
        <f t="shared" ca="1" si="52"/>
        <v>0</v>
      </c>
      <c r="CX14" s="1464">
        <f t="shared" ca="1" si="53"/>
        <v>0</v>
      </c>
      <c r="CY14" s="1489">
        <f ca="1">IF(ROW()-ROW($A$6)&lt;'الف-ب-ج'!$L$9,INDIRECT("BudgetDB!DA"&amp;('الف-ب-ج'!$M$9+ROW()-ROW($A$6))),"")</f>
        <v>0</v>
      </c>
      <c r="CZ14" s="679"/>
      <c r="DA14" s="1473">
        <f t="shared" si="54"/>
        <v>0</v>
      </c>
      <c r="DB14" s="1464" t="str">
        <f t="shared" ca="1" si="55"/>
        <v>-</v>
      </c>
      <c r="DC14" s="1489">
        <f ca="1">IF(ROW()-ROW($A$6)&lt;'الف-ب-ج'!$L$9,INDIRECT("BudgetDB!DB"&amp;('الف-ب-ج'!$M$9+ROW()-ROW($A$6))),"")</f>
        <v>0</v>
      </c>
      <c r="DD14" s="679"/>
      <c r="DE14" s="1473">
        <f t="shared" si="56"/>
        <v>0</v>
      </c>
      <c r="DF14" s="1464" t="str">
        <f t="shared" ca="1" si="57"/>
        <v>-</v>
      </c>
      <c r="DG14" s="1462" t="s">
        <v>406</v>
      </c>
      <c r="DH14" s="1463">
        <f t="shared" ca="1" si="58"/>
        <v>0</v>
      </c>
      <c r="DI14" s="1464">
        <f t="shared" ca="1" si="59"/>
        <v>0</v>
      </c>
      <c r="DJ14" s="1478">
        <f t="shared" ca="1" si="60"/>
        <v>0</v>
      </c>
      <c r="DK14" s="1479">
        <f t="shared" si="61"/>
        <v>0</v>
      </c>
      <c r="DL14" s="1472" t="str">
        <f t="shared" ca="1" si="62"/>
        <v>-</v>
      </c>
    </row>
    <row r="15" spans="1:117" s="37" customFormat="1" ht="30" customHeight="1">
      <c r="A15" s="1462" t="s">
        <v>407</v>
      </c>
      <c r="B15" s="1463">
        <f ca="1">'خرید مواد اولیه تولید'!B16</f>
        <v>0</v>
      </c>
      <c r="C15" s="1464">
        <f ca="1">'خرید مواد اولیه تولید'!C16</f>
        <v>0</v>
      </c>
      <c r="D15" s="1489">
        <f ca="1">IF(ROW()-ROW($A$6)&lt;'الف-ب-ج'!$L$9,INDIRECT("BudgetDB!CI"&amp;('الف-ب-ج'!$M$9+ROW()-ROW($A$6))),"")</f>
        <v>0</v>
      </c>
      <c r="E15" s="679"/>
      <c r="F15" s="1473">
        <f t="shared" si="0"/>
        <v>0</v>
      </c>
      <c r="G15" s="1464" t="str">
        <f t="shared" ca="1" si="1"/>
        <v>-</v>
      </c>
      <c r="H15" s="1489">
        <f ca="1">IF(ROW()-ROW($A$6)&lt;'الف-ب-ج'!$L$9,INDIRECT("BudgetDB!CJ"&amp;('الف-ب-ج'!$M$9+ROW()-ROW($A$6))),"")</f>
        <v>0</v>
      </c>
      <c r="I15" s="679"/>
      <c r="J15" s="1473">
        <f t="shared" si="2"/>
        <v>0</v>
      </c>
      <c r="K15" s="1464" t="str">
        <f t="shared" ca="1" si="3"/>
        <v>-</v>
      </c>
      <c r="L15" s="1462" t="s">
        <v>407</v>
      </c>
      <c r="M15" s="1463">
        <f t="shared" ca="1" si="4"/>
        <v>0</v>
      </c>
      <c r="N15" s="1464">
        <f t="shared" ca="1" si="5"/>
        <v>0</v>
      </c>
      <c r="O15" s="1489">
        <f ca="1">IF(ROW()-ROW($A$6)&lt;'الف-ب-ج'!$L$9,INDIRECT("BudgetDB!CK"&amp;('الف-ب-ج'!$M$9+ROW()-ROW($A$6))),"")</f>
        <v>0</v>
      </c>
      <c r="P15" s="679"/>
      <c r="Q15" s="1473">
        <f t="shared" si="6"/>
        <v>0</v>
      </c>
      <c r="R15" s="1464" t="str">
        <f t="shared" ca="1" si="7"/>
        <v>-</v>
      </c>
      <c r="S15" s="1489">
        <f ca="1">IF(ROW()-ROW($A$6)&lt;'الف-ب-ج'!$L$9,INDIRECT("BudgetDB!CL"&amp;('الف-ب-ج'!$M$9+ROW()-ROW($A$6))),"")</f>
        <v>0</v>
      </c>
      <c r="T15" s="679"/>
      <c r="U15" s="1473">
        <f t="shared" si="8"/>
        <v>0</v>
      </c>
      <c r="V15" s="1464" t="str">
        <f t="shared" ca="1" si="9"/>
        <v>-</v>
      </c>
      <c r="W15" s="1462" t="s">
        <v>407</v>
      </c>
      <c r="X15" s="1463">
        <f t="shared" ca="1" si="10"/>
        <v>0</v>
      </c>
      <c r="Y15" s="1464">
        <f t="shared" ca="1" si="11"/>
        <v>0</v>
      </c>
      <c r="Z15" s="1489">
        <f ca="1">IF(ROW()-ROW($A$6)&lt;'الف-ب-ج'!$L$9,INDIRECT("BudgetDB!CM"&amp;('الف-ب-ج'!$M$9+ROW()-ROW($A$6))),"")</f>
        <v>0</v>
      </c>
      <c r="AA15" s="679"/>
      <c r="AB15" s="1473">
        <f t="shared" si="12"/>
        <v>0</v>
      </c>
      <c r="AC15" s="1464" t="str">
        <f t="shared" ca="1" si="13"/>
        <v>-</v>
      </c>
      <c r="AD15" s="1489">
        <f ca="1">IF(ROW()-ROW($A$6)&lt;'الف-ب-ج'!$L$9,INDIRECT("BudgetDB!CN"&amp;('الف-ب-ج'!$M$9+ROW()-ROW($A$6))),"")</f>
        <v>0</v>
      </c>
      <c r="AE15" s="679"/>
      <c r="AF15" s="1473">
        <f t="shared" si="14"/>
        <v>0</v>
      </c>
      <c r="AG15" s="1464" t="str">
        <f t="shared" ca="1" si="15"/>
        <v>-</v>
      </c>
      <c r="AH15" s="1462" t="s">
        <v>407</v>
      </c>
      <c r="AI15" s="1463">
        <f t="shared" ca="1" si="16"/>
        <v>0</v>
      </c>
      <c r="AJ15" s="1464">
        <f t="shared" ca="1" si="17"/>
        <v>0</v>
      </c>
      <c r="AK15" s="1489">
        <f ca="1">IF(ROW()-ROW($A$6)&lt;'الف-ب-ج'!$L$9,INDIRECT("BudgetDB!CO"&amp;('الف-ب-ج'!$M$9+ROW()-ROW($A$6))),"")</f>
        <v>0</v>
      </c>
      <c r="AL15" s="679"/>
      <c r="AM15" s="1473">
        <f t="shared" si="18"/>
        <v>0</v>
      </c>
      <c r="AN15" s="1464" t="str">
        <f t="shared" ca="1" si="19"/>
        <v>-</v>
      </c>
      <c r="AO15" s="1489">
        <f ca="1">IF(ROW()-ROW($A$6)&lt;'الف-ب-ج'!$L$9,INDIRECT("BudgetDB!CP"&amp;('الف-ب-ج'!$M$9+ROW()-ROW($A$6))),"")</f>
        <v>0</v>
      </c>
      <c r="AP15" s="679"/>
      <c r="AQ15" s="1473">
        <f t="shared" si="20"/>
        <v>0</v>
      </c>
      <c r="AR15" s="1464" t="str">
        <f t="shared" ca="1" si="21"/>
        <v>-</v>
      </c>
      <c r="AS15" s="1462" t="s">
        <v>407</v>
      </c>
      <c r="AT15" s="1463">
        <f t="shared" ca="1" si="22"/>
        <v>0</v>
      </c>
      <c r="AU15" s="1464">
        <f t="shared" ca="1" si="23"/>
        <v>0</v>
      </c>
      <c r="AV15" s="1489">
        <f ca="1">IF(ROW()-ROW($A$6)&lt;'الف-ب-ج'!$L$9,INDIRECT("BudgetDB!CQ"&amp;('الف-ب-ج'!$M$9+ROW()-ROW($A$6))),"")</f>
        <v>0</v>
      </c>
      <c r="AW15" s="679"/>
      <c r="AX15" s="1473">
        <f t="shared" si="24"/>
        <v>0</v>
      </c>
      <c r="AY15" s="1464" t="str">
        <f t="shared" ca="1" si="25"/>
        <v>-</v>
      </c>
      <c r="AZ15" s="1489">
        <f ca="1">IF(ROW()-ROW($A$6)&lt;'الف-ب-ج'!$L$9,INDIRECT("BudgetDB!CR"&amp;('الف-ب-ج'!$M$9+ROW()-ROW($A$6))),"")</f>
        <v>0</v>
      </c>
      <c r="BA15" s="679"/>
      <c r="BB15" s="1473">
        <f t="shared" si="26"/>
        <v>0</v>
      </c>
      <c r="BC15" s="1464" t="str">
        <f t="shared" ca="1" si="27"/>
        <v>-</v>
      </c>
      <c r="BD15" s="1462" t="s">
        <v>407</v>
      </c>
      <c r="BE15" s="1463">
        <f t="shared" ca="1" si="28"/>
        <v>0</v>
      </c>
      <c r="BF15" s="1464">
        <f t="shared" ca="1" si="29"/>
        <v>0</v>
      </c>
      <c r="BG15" s="1489">
        <f ca="1">IF(ROW()-ROW($A$6)&lt;'الف-ب-ج'!$L$9,INDIRECT("BudgetDB!CS"&amp;('الف-ب-ج'!$M$9+ROW()-ROW($A$6))),"")</f>
        <v>0</v>
      </c>
      <c r="BH15" s="679"/>
      <c r="BI15" s="1473">
        <f t="shared" si="30"/>
        <v>0</v>
      </c>
      <c r="BJ15" s="1464" t="str">
        <f t="shared" ca="1" si="31"/>
        <v>-</v>
      </c>
      <c r="BK15" s="1489">
        <f ca="1">IF(ROW()-ROW($A$6)&lt;'الف-ب-ج'!$L$9,INDIRECT("BudgetDB!CT"&amp;('الف-ب-ج'!$M$9+ROW()-ROW($A$6))),"")</f>
        <v>0</v>
      </c>
      <c r="BL15" s="679"/>
      <c r="BM15" s="1473">
        <f t="shared" si="32"/>
        <v>0</v>
      </c>
      <c r="BN15" s="1464" t="str">
        <f t="shared" ca="1" si="33"/>
        <v>-</v>
      </c>
      <c r="BO15" s="1462" t="s">
        <v>407</v>
      </c>
      <c r="BP15" s="1463">
        <f t="shared" ca="1" si="34"/>
        <v>0</v>
      </c>
      <c r="BQ15" s="1464">
        <f t="shared" ca="1" si="35"/>
        <v>0</v>
      </c>
      <c r="BR15" s="1489">
        <f ca="1">IF(ROW()-ROW($A$6)&lt;'الف-ب-ج'!$L$9,INDIRECT("BudgetDB!CU"&amp;('الف-ب-ج'!$M$9+ROW()-ROW($A$6))),"")</f>
        <v>0</v>
      </c>
      <c r="BS15" s="679"/>
      <c r="BT15" s="1473">
        <f t="shared" si="36"/>
        <v>0</v>
      </c>
      <c r="BU15" s="1464" t="str">
        <f t="shared" ca="1" si="37"/>
        <v>-</v>
      </c>
      <c r="BV15" s="1489">
        <f ca="1">IF(ROW()-ROW($A$6)&lt;'الف-ب-ج'!$L$9,INDIRECT("BudgetDB!CV"&amp;('الف-ب-ج'!$M$9+ROW()-ROW($A$6))),"")</f>
        <v>0</v>
      </c>
      <c r="BW15" s="679"/>
      <c r="BX15" s="1473">
        <f t="shared" si="38"/>
        <v>0</v>
      </c>
      <c r="BY15" s="1464" t="str">
        <f t="shared" ca="1" si="39"/>
        <v>-</v>
      </c>
      <c r="BZ15" s="1462" t="s">
        <v>407</v>
      </c>
      <c r="CA15" s="1463">
        <f t="shared" ca="1" si="40"/>
        <v>0</v>
      </c>
      <c r="CB15" s="1464">
        <f t="shared" ca="1" si="41"/>
        <v>0</v>
      </c>
      <c r="CC15" s="1489">
        <f ca="1">IF(ROW()-ROW($A$6)&lt;'الف-ب-ج'!$L$9,INDIRECT("BudgetDB!CW"&amp;('الف-ب-ج'!$M$9+ROW()-ROW($A$6))),"")</f>
        <v>0</v>
      </c>
      <c r="CD15" s="679"/>
      <c r="CE15" s="1473">
        <f t="shared" si="42"/>
        <v>0</v>
      </c>
      <c r="CF15" s="1464" t="str">
        <f t="shared" ca="1" si="43"/>
        <v>-</v>
      </c>
      <c r="CG15" s="1489">
        <f ca="1">IF(ROW()-ROW($A$6)&lt;'الف-ب-ج'!$L$9,INDIRECT("BudgetDB!CX"&amp;('الف-ب-ج'!$M$9+ROW()-ROW($A$6))),"")</f>
        <v>0</v>
      </c>
      <c r="CH15" s="679"/>
      <c r="CI15" s="1473">
        <f t="shared" si="44"/>
        <v>0</v>
      </c>
      <c r="CJ15" s="1464" t="str">
        <f t="shared" ca="1" si="45"/>
        <v>-</v>
      </c>
      <c r="CK15" s="1462" t="s">
        <v>407</v>
      </c>
      <c r="CL15" s="1463">
        <f t="shared" ca="1" si="46"/>
        <v>0</v>
      </c>
      <c r="CM15" s="1464">
        <f t="shared" ca="1" si="47"/>
        <v>0</v>
      </c>
      <c r="CN15" s="1489">
        <f ca="1">IF(ROW()-ROW($A$6)&lt;'الف-ب-ج'!$L$9,INDIRECT("BudgetDB!CY"&amp;('الف-ب-ج'!$M$9+ROW()-ROW($A$6))),"")</f>
        <v>0</v>
      </c>
      <c r="CO15" s="679"/>
      <c r="CP15" s="1473">
        <f t="shared" si="48"/>
        <v>0</v>
      </c>
      <c r="CQ15" s="1464" t="str">
        <f t="shared" ca="1" si="49"/>
        <v>-</v>
      </c>
      <c r="CR15" s="1489">
        <f ca="1">IF(ROW()-ROW($A$6)&lt;'الف-ب-ج'!$L$9,INDIRECT("BudgetDB!CZ"&amp;('الف-ب-ج'!$M$9+ROW()-ROW($A$6))),"")</f>
        <v>0</v>
      </c>
      <c r="CS15" s="679"/>
      <c r="CT15" s="1473">
        <f t="shared" si="50"/>
        <v>0</v>
      </c>
      <c r="CU15" s="1464" t="str">
        <f t="shared" ca="1" si="51"/>
        <v>-</v>
      </c>
      <c r="CV15" s="1462" t="s">
        <v>407</v>
      </c>
      <c r="CW15" s="1463">
        <f t="shared" ca="1" si="52"/>
        <v>0</v>
      </c>
      <c r="CX15" s="1464">
        <f t="shared" ca="1" si="53"/>
        <v>0</v>
      </c>
      <c r="CY15" s="1489">
        <f ca="1">IF(ROW()-ROW($A$6)&lt;'الف-ب-ج'!$L$9,INDIRECT("BudgetDB!DA"&amp;('الف-ب-ج'!$M$9+ROW()-ROW($A$6))),"")</f>
        <v>0</v>
      </c>
      <c r="CZ15" s="679"/>
      <c r="DA15" s="1473">
        <f t="shared" si="54"/>
        <v>0</v>
      </c>
      <c r="DB15" s="1464" t="str">
        <f t="shared" ca="1" si="55"/>
        <v>-</v>
      </c>
      <c r="DC15" s="1489">
        <f ca="1">IF(ROW()-ROW($A$6)&lt;'الف-ب-ج'!$L$9,INDIRECT("BudgetDB!DB"&amp;('الف-ب-ج'!$M$9+ROW()-ROW($A$6))),"")</f>
        <v>0</v>
      </c>
      <c r="DD15" s="679"/>
      <c r="DE15" s="1473">
        <f t="shared" si="56"/>
        <v>0</v>
      </c>
      <c r="DF15" s="1464" t="str">
        <f t="shared" ca="1" si="57"/>
        <v>-</v>
      </c>
      <c r="DG15" s="1462" t="s">
        <v>407</v>
      </c>
      <c r="DH15" s="1463">
        <f t="shared" ca="1" si="58"/>
        <v>0</v>
      </c>
      <c r="DI15" s="1464">
        <f t="shared" ca="1" si="59"/>
        <v>0</v>
      </c>
      <c r="DJ15" s="1478">
        <f t="shared" ca="1" si="60"/>
        <v>0</v>
      </c>
      <c r="DK15" s="1479">
        <f t="shared" si="61"/>
        <v>0</v>
      </c>
      <c r="DL15" s="1472" t="str">
        <f t="shared" ca="1" si="62"/>
        <v>-</v>
      </c>
    </row>
    <row r="16" spans="1:117" s="37" customFormat="1" ht="30" customHeight="1">
      <c r="A16" s="1465" t="s">
        <v>408</v>
      </c>
      <c r="B16" s="1466">
        <f ca="1">'خرید مواد اولیه تولید'!B17</f>
        <v>0</v>
      </c>
      <c r="C16" s="1467">
        <f ca="1">'خرید مواد اولیه تولید'!C17</f>
        <v>0</v>
      </c>
      <c r="D16" s="1490">
        <f ca="1">IF(ROW()-ROW($A$6)&lt;'الف-ب-ج'!$L$9,INDIRECT("BudgetDB!CI"&amp;('الف-ب-ج'!$M$9+ROW()-ROW($A$6))),"")</f>
        <v>0</v>
      </c>
      <c r="E16" s="680"/>
      <c r="F16" s="1474">
        <f t="shared" si="0"/>
        <v>0</v>
      </c>
      <c r="G16" s="1467" t="str">
        <f t="shared" ca="1" si="1"/>
        <v>-</v>
      </c>
      <c r="H16" s="1490">
        <f ca="1">IF(ROW()-ROW($A$6)&lt;'الف-ب-ج'!$L$9,INDIRECT("BudgetDB!CJ"&amp;('الف-ب-ج'!$M$9+ROW()-ROW($A$6))),"")</f>
        <v>0</v>
      </c>
      <c r="I16" s="680"/>
      <c r="J16" s="1474">
        <f t="shared" si="2"/>
        <v>0</v>
      </c>
      <c r="K16" s="1467" t="str">
        <f t="shared" ca="1" si="3"/>
        <v>-</v>
      </c>
      <c r="L16" s="1465" t="s">
        <v>408</v>
      </c>
      <c r="M16" s="1466">
        <f t="shared" ca="1" si="4"/>
        <v>0</v>
      </c>
      <c r="N16" s="1467">
        <f t="shared" ca="1" si="5"/>
        <v>0</v>
      </c>
      <c r="O16" s="1490">
        <f ca="1">IF(ROW()-ROW($A$6)&lt;'الف-ب-ج'!$L$9,INDIRECT("BudgetDB!CK"&amp;('الف-ب-ج'!$M$9+ROW()-ROW($A$6))),"")</f>
        <v>0</v>
      </c>
      <c r="P16" s="680"/>
      <c r="Q16" s="1474">
        <f t="shared" si="6"/>
        <v>0</v>
      </c>
      <c r="R16" s="1467" t="str">
        <f t="shared" ca="1" si="7"/>
        <v>-</v>
      </c>
      <c r="S16" s="1490">
        <f ca="1">IF(ROW()-ROW($A$6)&lt;'الف-ب-ج'!$L$9,INDIRECT("BudgetDB!CL"&amp;('الف-ب-ج'!$M$9+ROW()-ROW($A$6))),"")</f>
        <v>0</v>
      </c>
      <c r="T16" s="680"/>
      <c r="U16" s="1474">
        <f t="shared" si="8"/>
        <v>0</v>
      </c>
      <c r="V16" s="1467" t="str">
        <f t="shared" ca="1" si="9"/>
        <v>-</v>
      </c>
      <c r="W16" s="1465" t="s">
        <v>408</v>
      </c>
      <c r="X16" s="1466">
        <f t="shared" ca="1" si="10"/>
        <v>0</v>
      </c>
      <c r="Y16" s="1467">
        <f t="shared" ca="1" si="11"/>
        <v>0</v>
      </c>
      <c r="Z16" s="1490">
        <f ca="1">IF(ROW()-ROW($A$6)&lt;'الف-ب-ج'!$L$9,INDIRECT("BudgetDB!CM"&amp;('الف-ب-ج'!$M$9+ROW()-ROW($A$6))),"")</f>
        <v>0</v>
      </c>
      <c r="AA16" s="680"/>
      <c r="AB16" s="1474">
        <f t="shared" si="12"/>
        <v>0</v>
      </c>
      <c r="AC16" s="1467" t="str">
        <f t="shared" ca="1" si="13"/>
        <v>-</v>
      </c>
      <c r="AD16" s="1490">
        <f ca="1">IF(ROW()-ROW($A$6)&lt;'الف-ب-ج'!$L$9,INDIRECT("BudgetDB!CN"&amp;('الف-ب-ج'!$M$9+ROW()-ROW($A$6))),"")</f>
        <v>0</v>
      </c>
      <c r="AE16" s="680"/>
      <c r="AF16" s="1474">
        <f t="shared" si="14"/>
        <v>0</v>
      </c>
      <c r="AG16" s="1467" t="str">
        <f t="shared" ca="1" si="15"/>
        <v>-</v>
      </c>
      <c r="AH16" s="1465" t="s">
        <v>408</v>
      </c>
      <c r="AI16" s="1466">
        <f t="shared" ca="1" si="16"/>
        <v>0</v>
      </c>
      <c r="AJ16" s="1467">
        <f t="shared" ca="1" si="17"/>
        <v>0</v>
      </c>
      <c r="AK16" s="1490">
        <f ca="1">IF(ROW()-ROW($A$6)&lt;'الف-ب-ج'!$L$9,INDIRECT("BudgetDB!CO"&amp;('الف-ب-ج'!$M$9+ROW()-ROW($A$6))),"")</f>
        <v>0</v>
      </c>
      <c r="AL16" s="680"/>
      <c r="AM16" s="1474">
        <f t="shared" si="18"/>
        <v>0</v>
      </c>
      <c r="AN16" s="1467" t="str">
        <f t="shared" ca="1" si="19"/>
        <v>-</v>
      </c>
      <c r="AO16" s="1490">
        <f ca="1">IF(ROW()-ROW($A$6)&lt;'الف-ب-ج'!$L$9,INDIRECT("BudgetDB!CP"&amp;('الف-ب-ج'!$M$9+ROW()-ROW($A$6))),"")</f>
        <v>0</v>
      </c>
      <c r="AP16" s="680"/>
      <c r="AQ16" s="1474">
        <f t="shared" si="20"/>
        <v>0</v>
      </c>
      <c r="AR16" s="1467" t="str">
        <f t="shared" ca="1" si="21"/>
        <v>-</v>
      </c>
      <c r="AS16" s="1465" t="s">
        <v>408</v>
      </c>
      <c r="AT16" s="1466">
        <f t="shared" ca="1" si="22"/>
        <v>0</v>
      </c>
      <c r="AU16" s="1467">
        <f t="shared" ca="1" si="23"/>
        <v>0</v>
      </c>
      <c r="AV16" s="1490">
        <f ca="1">IF(ROW()-ROW($A$6)&lt;'الف-ب-ج'!$L$9,INDIRECT("BudgetDB!CQ"&amp;('الف-ب-ج'!$M$9+ROW()-ROW($A$6))),"")</f>
        <v>0</v>
      </c>
      <c r="AW16" s="680"/>
      <c r="AX16" s="1474">
        <f t="shared" si="24"/>
        <v>0</v>
      </c>
      <c r="AY16" s="1467" t="str">
        <f t="shared" ca="1" si="25"/>
        <v>-</v>
      </c>
      <c r="AZ16" s="1490">
        <f ca="1">IF(ROW()-ROW($A$6)&lt;'الف-ب-ج'!$L$9,INDIRECT("BudgetDB!CR"&amp;('الف-ب-ج'!$M$9+ROW()-ROW($A$6))),"")</f>
        <v>0</v>
      </c>
      <c r="BA16" s="680"/>
      <c r="BB16" s="1474">
        <f t="shared" si="26"/>
        <v>0</v>
      </c>
      <c r="BC16" s="1467" t="str">
        <f t="shared" ca="1" si="27"/>
        <v>-</v>
      </c>
      <c r="BD16" s="1465" t="s">
        <v>408</v>
      </c>
      <c r="BE16" s="1466">
        <f t="shared" ca="1" si="28"/>
        <v>0</v>
      </c>
      <c r="BF16" s="1467">
        <f t="shared" ca="1" si="29"/>
        <v>0</v>
      </c>
      <c r="BG16" s="1490">
        <f ca="1">IF(ROW()-ROW($A$6)&lt;'الف-ب-ج'!$L$9,INDIRECT("BudgetDB!CS"&amp;('الف-ب-ج'!$M$9+ROW()-ROW($A$6))),"")</f>
        <v>0</v>
      </c>
      <c r="BH16" s="680"/>
      <c r="BI16" s="1474">
        <f t="shared" si="30"/>
        <v>0</v>
      </c>
      <c r="BJ16" s="1467" t="str">
        <f t="shared" ca="1" si="31"/>
        <v>-</v>
      </c>
      <c r="BK16" s="1490">
        <f ca="1">IF(ROW()-ROW($A$6)&lt;'الف-ب-ج'!$L$9,INDIRECT("BudgetDB!CT"&amp;('الف-ب-ج'!$M$9+ROW()-ROW($A$6))),"")</f>
        <v>0</v>
      </c>
      <c r="BL16" s="680"/>
      <c r="BM16" s="1474">
        <f t="shared" si="32"/>
        <v>0</v>
      </c>
      <c r="BN16" s="1467" t="str">
        <f t="shared" ca="1" si="33"/>
        <v>-</v>
      </c>
      <c r="BO16" s="1465" t="s">
        <v>408</v>
      </c>
      <c r="BP16" s="1466">
        <f t="shared" ca="1" si="34"/>
        <v>0</v>
      </c>
      <c r="BQ16" s="1467">
        <f t="shared" ca="1" si="35"/>
        <v>0</v>
      </c>
      <c r="BR16" s="1490">
        <f ca="1">IF(ROW()-ROW($A$6)&lt;'الف-ب-ج'!$L$9,INDIRECT("BudgetDB!CU"&amp;('الف-ب-ج'!$M$9+ROW()-ROW($A$6))),"")</f>
        <v>0</v>
      </c>
      <c r="BS16" s="680"/>
      <c r="BT16" s="1474">
        <f t="shared" si="36"/>
        <v>0</v>
      </c>
      <c r="BU16" s="1467" t="str">
        <f t="shared" ca="1" si="37"/>
        <v>-</v>
      </c>
      <c r="BV16" s="1490">
        <f ca="1">IF(ROW()-ROW($A$6)&lt;'الف-ب-ج'!$L$9,INDIRECT("BudgetDB!CV"&amp;('الف-ب-ج'!$M$9+ROW()-ROW($A$6))),"")</f>
        <v>0</v>
      </c>
      <c r="BW16" s="680"/>
      <c r="BX16" s="1474">
        <f t="shared" si="38"/>
        <v>0</v>
      </c>
      <c r="BY16" s="1467" t="str">
        <f t="shared" ca="1" si="39"/>
        <v>-</v>
      </c>
      <c r="BZ16" s="1465" t="s">
        <v>408</v>
      </c>
      <c r="CA16" s="1466">
        <f t="shared" ca="1" si="40"/>
        <v>0</v>
      </c>
      <c r="CB16" s="1467">
        <f t="shared" ca="1" si="41"/>
        <v>0</v>
      </c>
      <c r="CC16" s="1490">
        <f ca="1">IF(ROW()-ROW($A$6)&lt;'الف-ب-ج'!$L$9,INDIRECT("BudgetDB!CW"&amp;('الف-ب-ج'!$M$9+ROW()-ROW($A$6))),"")</f>
        <v>0</v>
      </c>
      <c r="CD16" s="680"/>
      <c r="CE16" s="1474">
        <f t="shared" si="42"/>
        <v>0</v>
      </c>
      <c r="CF16" s="1467" t="str">
        <f t="shared" ca="1" si="43"/>
        <v>-</v>
      </c>
      <c r="CG16" s="1490">
        <f ca="1">IF(ROW()-ROW($A$6)&lt;'الف-ب-ج'!$L$9,INDIRECT("BudgetDB!CX"&amp;('الف-ب-ج'!$M$9+ROW()-ROW($A$6))),"")</f>
        <v>0</v>
      </c>
      <c r="CH16" s="680"/>
      <c r="CI16" s="1474">
        <f t="shared" si="44"/>
        <v>0</v>
      </c>
      <c r="CJ16" s="1467" t="str">
        <f t="shared" ca="1" si="45"/>
        <v>-</v>
      </c>
      <c r="CK16" s="1465" t="s">
        <v>408</v>
      </c>
      <c r="CL16" s="1466">
        <f t="shared" ca="1" si="46"/>
        <v>0</v>
      </c>
      <c r="CM16" s="1467">
        <f t="shared" ca="1" si="47"/>
        <v>0</v>
      </c>
      <c r="CN16" s="1490">
        <f ca="1">IF(ROW()-ROW($A$6)&lt;'الف-ب-ج'!$L$9,INDIRECT("BudgetDB!CY"&amp;('الف-ب-ج'!$M$9+ROW()-ROW($A$6))),"")</f>
        <v>0</v>
      </c>
      <c r="CO16" s="680"/>
      <c r="CP16" s="1474">
        <f t="shared" si="48"/>
        <v>0</v>
      </c>
      <c r="CQ16" s="1467" t="str">
        <f t="shared" ca="1" si="49"/>
        <v>-</v>
      </c>
      <c r="CR16" s="1490">
        <f ca="1">IF(ROW()-ROW($A$6)&lt;'الف-ب-ج'!$L$9,INDIRECT("BudgetDB!CZ"&amp;('الف-ب-ج'!$M$9+ROW()-ROW($A$6))),"")</f>
        <v>0</v>
      </c>
      <c r="CS16" s="680"/>
      <c r="CT16" s="1474">
        <f t="shared" si="50"/>
        <v>0</v>
      </c>
      <c r="CU16" s="1467" t="str">
        <f t="shared" ca="1" si="51"/>
        <v>-</v>
      </c>
      <c r="CV16" s="1465" t="s">
        <v>408</v>
      </c>
      <c r="CW16" s="1466">
        <f t="shared" ca="1" si="52"/>
        <v>0</v>
      </c>
      <c r="CX16" s="1467">
        <f t="shared" ca="1" si="53"/>
        <v>0</v>
      </c>
      <c r="CY16" s="1490">
        <f ca="1">IF(ROW()-ROW($A$6)&lt;'الف-ب-ج'!$L$9,INDIRECT("BudgetDB!DA"&amp;('الف-ب-ج'!$M$9+ROW()-ROW($A$6))),"")</f>
        <v>0</v>
      </c>
      <c r="CZ16" s="680"/>
      <c r="DA16" s="1474">
        <f t="shared" si="54"/>
        <v>0</v>
      </c>
      <c r="DB16" s="1467" t="str">
        <f t="shared" ca="1" si="55"/>
        <v>-</v>
      </c>
      <c r="DC16" s="1490">
        <f ca="1">IF(ROW()-ROW($A$6)&lt;'الف-ب-ج'!$L$9,INDIRECT("BudgetDB!DB"&amp;('الف-ب-ج'!$M$9+ROW()-ROW($A$6))),"")</f>
        <v>0</v>
      </c>
      <c r="DD16" s="680"/>
      <c r="DE16" s="1474">
        <f t="shared" si="56"/>
        <v>0</v>
      </c>
      <c r="DF16" s="1467" t="str">
        <f t="shared" ca="1" si="57"/>
        <v>-</v>
      </c>
      <c r="DG16" s="1465" t="s">
        <v>408</v>
      </c>
      <c r="DH16" s="1466">
        <f t="shared" ca="1" si="58"/>
        <v>0</v>
      </c>
      <c r="DI16" s="1467">
        <f t="shared" ca="1" si="59"/>
        <v>0</v>
      </c>
      <c r="DJ16" s="1480">
        <f t="shared" ca="1" si="60"/>
        <v>0</v>
      </c>
      <c r="DK16" s="1481">
        <f t="shared" si="61"/>
        <v>0</v>
      </c>
      <c r="DL16" s="1472" t="str">
        <f t="shared" ca="1" si="62"/>
        <v>-</v>
      </c>
    </row>
    <row r="17" spans="1:116" s="37" customFormat="1" ht="30" customHeight="1">
      <c r="A17" s="1465" t="s">
        <v>409</v>
      </c>
      <c r="B17" s="1466">
        <f ca="1">'خرید مواد اولیه تولید'!B18</f>
        <v>0</v>
      </c>
      <c r="C17" s="1467">
        <f ca="1">'خرید مواد اولیه تولید'!C18</f>
        <v>0</v>
      </c>
      <c r="D17" s="1490">
        <f ca="1">IF(ROW()-ROW($A$6)&lt;'الف-ب-ج'!$L$9,INDIRECT("BudgetDB!CI"&amp;('الف-ب-ج'!$M$9+ROW()-ROW($A$6))),"")</f>
        <v>0</v>
      </c>
      <c r="E17" s="680"/>
      <c r="F17" s="1474">
        <f t="shared" si="0"/>
        <v>0</v>
      </c>
      <c r="G17" s="1467" t="str">
        <f t="shared" ca="1" si="1"/>
        <v>-</v>
      </c>
      <c r="H17" s="1490">
        <f ca="1">IF(ROW()-ROW($A$6)&lt;'الف-ب-ج'!$L$9,INDIRECT("BudgetDB!CJ"&amp;('الف-ب-ج'!$M$9+ROW()-ROW($A$6))),"")</f>
        <v>0</v>
      </c>
      <c r="I17" s="680"/>
      <c r="J17" s="1474">
        <f t="shared" si="2"/>
        <v>0</v>
      </c>
      <c r="K17" s="1467" t="str">
        <f t="shared" ca="1" si="3"/>
        <v>-</v>
      </c>
      <c r="L17" s="1465" t="s">
        <v>409</v>
      </c>
      <c r="M17" s="1466">
        <f t="shared" ca="1" si="4"/>
        <v>0</v>
      </c>
      <c r="N17" s="1467">
        <f t="shared" ca="1" si="5"/>
        <v>0</v>
      </c>
      <c r="O17" s="1490">
        <f ca="1">IF(ROW()-ROW($A$6)&lt;'الف-ب-ج'!$L$9,INDIRECT("BudgetDB!CK"&amp;('الف-ب-ج'!$M$9+ROW()-ROW($A$6))),"")</f>
        <v>0</v>
      </c>
      <c r="P17" s="680"/>
      <c r="Q17" s="1474">
        <f t="shared" si="6"/>
        <v>0</v>
      </c>
      <c r="R17" s="1467" t="str">
        <f t="shared" ca="1" si="7"/>
        <v>-</v>
      </c>
      <c r="S17" s="1490">
        <f ca="1">IF(ROW()-ROW($A$6)&lt;'الف-ب-ج'!$L$9,INDIRECT("BudgetDB!CL"&amp;('الف-ب-ج'!$M$9+ROW()-ROW($A$6))),"")</f>
        <v>0</v>
      </c>
      <c r="T17" s="680"/>
      <c r="U17" s="1474">
        <f t="shared" si="8"/>
        <v>0</v>
      </c>
      <c r="V17" s="1467" t="str">
        <f t="shared" ca="1" si="9"/>
        <v>-</v>
      </c>
      <c r="W17" s="1465" t="s">
        <v>409</v>
      </c>
      <c r="X17" s="1466">
        <f t="shared" ca="1" si="10"/>
        <v>0</v>
      </c>
      <c r="Y17" s="1467">
        <f t="shared" ca="1" si="11"/>
        <v>0</v>
      </c>
      <c r="Z17" s="1490">
        <f ca="1">IF(ROW()-ROW($A$6)&lt;'الف-ب-ج'!$L$9,INDIRECT("BudgetDB!CM"&amp;('الف-ب-ج'!$M$9+ROW()-ROW($A$6))),"")</f>
        <v>0</v>
      </c>
      <c r="AA17" s="680"/>
      <c r="AB17" s="1474">
        <f t="shared" si="12"/>
        <v>0</v>
      </c>
      <c r="AC17" s="1467" t="str">
        <f t="shared" ca="1" si="13"/>
        <v>-</v>
      </c>
      <c r="AD17" s="1490">
        <f ca="1">IF(ROW()-ROW($A$6)&lt;'الف-ب-ج'!$L$9,INDIRECT("BudgetDB!CN"&amp;('الف-ب-ج'!$M$9+ROW()-ROW($A$6))),"")</f>
        <v>0</v>
      </c>
      <c r="AE17" s="680"/>
      <c r="AF17" s="1474">
        <f t="shared" si="14"/>
        <v>0</v>
      </c>
      <c r="AG17" s="1467" t="str">
        <f t="shared" ca="1" si="15"/>
        <v>-</v>
      </c>
      <c r="AH17" s="1465" t="s">
        <v>409</v>
      </c>
      <c r="AI17" s="1466">
        <f t="shared" ca="1" si="16"/>
        <v>0</v>
      </c>
      <c r="AJ17" s="1467">
        <f t="shared" ca="1" si="17"/>
        <v>0</v>
      </c>
      <c r="AK17" s="1490">
        <f ca="1">IF(ROW()-ROW($A$6)&lt;'الف-ب-ج'!$L$9,INDIRECT("BudgetDB!CO"&amp;('الف-ب-ج'!$M$9+ROW()-ROW($A$6))),"")</f>
        <v>0</v>
      </c>
      <c r="AL17" s="680"/>
      <c r="AM17" s="1474">
        <f t="shared" si="18"/>
        <v>0</v>
      </c>
      <c r="AN17" s="1467" t="str">
        <f t="shared" ca="1" si="19"/>
        <v>-</v>
      </c>
      <c r="AO17" s="1490">
        <f ca="1">IF(ROW()-ROW($A$6)&lt;'الف-ب-ج'!$L$9,INDIRECT("BudgetDB!CP"&amp;('الف-ب-ج'!$M$9+ROW()-ROW($A$6))),"")</f>
        <v>0</v>
      </c>
      <c r="AP17" s="680"/>
      <c r="AQ17" s="1474">
        <f t="shared" si="20"/>
        <v>0</v>
      </c>
      <c r="AR17" s="1467" t="str">
        <f ca="1">IFERROR((AP17-AO17)*100/AO17,"-")</f>
        <v>-</v>
      </c>
      <c r="AS17" s="1465" t="s">
        <v>409</v>
      </c>
      <c r="AT17" s="1466">
        <f t="shared" ca="1" si="22"/>
        <v>0</v>
      </c>
      <c r="AU17" s="1467">
        <f t="shared" ca="1" si="23"/>
        <v>0</v>
      </c>
      <c r="AV17" s="1490">
        <f ca="1">IF(ROW()-ROW($A$6)&lt;'الف-ب-ج'!$L$9,INDIRECT("BudgetDB!CQ"&amp;('الف-ب-ج'!$M$9+ROW()-ROW($A$6))),"")</f>
        <v>0</v>
      </c>
      <c r="AW17" s="680"/>
      <c r="AX17" s="1474">
        <f t="shared" si="24"/>
        <v>0</v>
      </c>
      <c r="AY17" s="1467" t="str">
        <f t="shared" ca="1" si="25"/>
        <v>-</v>
      </c>
      <c r="AZ17" s="1490">
        <f ca="1">IF(ROW()-ROW($A$6)&lt;'الف-ب-ج'!$L$9,INDIRECT("BudgetDB!CR"&amp;('الف-ب-ج'!$M$9+ROW()-ROW($A$6))),"")</f>
        <v>0</v>
      </c>
      <c r="BA17" s="680"/>
      <c r="BB17" s="1474">
        <f t="shared" si="26"/>
        <v>0</v>
      </c>
      <c r="BC17" s="1467" t="str">
        <f t="shared" ca="1" si="27"/>
        <v>-</v>
      </c>
      <c r="BD17" s="1465" t="s">
        <v>409</v>
      </c>
      <c r="BE17" s="1466">
        <f t="shared" ca="1" si="28"/>
        <v>0</v>
      </c>
      <c r="BF17" s="1467">
        <f t="shared" ca="1" si="29"/>
        <v>0</v>
      </c>
      <c r="BG17" s="1490">
        <f ca="1">IF(ROW()-ROW($A$6)&lt;'الف-ب-ج'!$L$9,INDIRECT("BudgetDB!CS"&amp;('الف-ب-ج'!$M$9+ROW()-ROW($A$6))),"")</f>
        <v>0</v>
      </c>
      <c r="BH17" s="680"/>
      <c r="BI17" s="1474">
        <f t="shared" si="30"/>
        <v>0</v>
      </c>
      <c r="BJ17" s="1467" t="str">
        <f t="shared" ca="1" si="31"/>
        <v>-</v>
      </c>
      <c r="BK17" s="1490">
        <f ca="1">IF(ROW()-ROW($A$6)&lt;'الف-ب-ج'!$L$9,INDIRECT("BudgetDB!CT"&amp;('الف-ب-ج'!$M$9+ROW()-ROW($A$6))),"")</f>
        <v>0</v>
      </c>
      <c r="BL17" s="680"/>
      <c r="BM17" s="1474">
        <f t="shared" si="32"/>
        <v>0</v>
      </c>
      <c r="BN17" s="1467" t="str">
        <f t="shared" ca="1" si="33"/>
        <v>-</v>
      </c>
      <c r="BO17" s="1465" t="s">
        <v>409</v>
      </c>
      <c r="BP17" s="1466">
        <f t="shared" ca="1" si="34"/>
        <v>0</v>
      </c>
      <c r="BQ17" s="1467">
        <f t="shared" ca="1" si="35"/>
        <v>0</v>
      </c>
      <c r="BR17" s="1490">
        <f ca="1">IF(ROW()-ROW($A$6)&lt;'الف-ب-ج'!$L$9,INDIRECT("BudgetDB!CU"&amp;('الف-ب-ج'!$M$9+ROW()-ROW($A$6))),"")</f>
        <v>0</v>
      </c>
      <c r="BS17" s="680"/>
      <c r="BT17" s="1474">
        <f t="shared" si="36"/>
        <v>0</v>
      </c>
      <c r="BU17" s="1467" t="str">
        <f ca="1">IFERROR((BS17-BR17)*100/BR17,"-")</f>
        <v>-</v>
      </c>
      <c r="BV17" s="1490">
        <f ca="1">IF(ROW()-ROW($A$6)&lt;'الف-ب-ج'!$L$9,INDIRECT("BudgetDB!CV"&amp;('الف-ب-ج'!$M$9+ROW()-ROW($A$6))),"")</f>
        <v>0</v>
      </c>
      <c r="BW17" s="680"/>
      <c r="BX17" s="1474">
        <f t="shared" si="38"/>
        <v>0</v>
      </c>
      <c r="BY17" s="1467" t="str">
        <f t="shared" ca="1" si="39"/>
        <v>-</v>
      </c>
      <c r="BZ17" s="1465" t="s">
        <v>409</v>
      </c>
      <c r="CA17" s="1466">
        <f t="shared" ca="1" si="40"/>
        <v>0</v>
      </c>
      <c r="CB17" s="1467">
        <f t="shared" ca="1" si="41"/>
        <v>0</v>
      </c>
      <c r="CC17" s="1490">
        <f ca="1">IF(ROW()-ROW($A$6)&lt;'الف-ب-ج'!$L$9,INDIRECT("BudgetDB!CW"&amp;('الف-ب-ج'!$M$9+ROW()-ROW($A$6))),"")</f>
        <v>0</v>
      </c>
      <c r="CD17" s="680"/>
      <c r="CE17" s="1474">
        <f t="shared" si="42"/>
        <v>0</v>
      </c>
      <c r="CF17" s="1467" t="str">
        <f t="shared" ca="1" si="43"/>
        <v>-</v>
      </c>
      <c r="CG17" s="1490">
        <f ca="1">IF(ROW()-ROW($A$6)&lt;'الف-ب-ج'!$L$9,INDIRECT("BudgetDB!CX"&amp;('الف-ب-ج'!$M$9+ROW()-ROW($A$6))),"")</f>
        <v>0</v>
      </c>
      <c r="CH17" s="680"/>
      <c r="CI17" s="1474">
        <f t="shared" si="44"/>
        <v>0</v>
      </c>
      <c r="CJ17" s="1467" t="str">
        <f t="shared" ca="1" si="45"/>
        <v>-</v>
      </c>
      <c r="CK17" s="1465" t="s">
        <v>409</v>
      </c>
      <c r="CL17" s="1466">
        <f t="shared" ca="1" si="46"/>
        <v>0</v>
      </c>
      <c r="CM17" s="1467">
        <f t="shared" ca="1" si="47"/>
        <v>0</v>
      </c>
      <c r="CN17" s="1490">
        <f ca="1">IF(ROW()-ROW($A$6)&lt;'الف-ب-ج'!$L$9,INDIRECT("BudgetDB!CY"&amp;('الف-ب-ج'!$M$9+ROW()-ROW($A$6))),"")</f>
        <v>0</v>
      </c>
      <c r="CO17" s="680"/>
      <c r="CP17" s="1474">
        <f t="shared" si="48"/>
        <v>0</v>
      </c>
      <c r="CQ17" s="1467" t="str">
        <f t="shared" ca="1" si="49"/>
        <v>-</v>
      </c>
      <c r="CR17" s="1490">
        <f ca="1">IF(ROW()-ROW($A$6)&lt;'الف-ب-ج'!$L$9,INDIRECT("BudgetDB!CZ"&amp;('الف-ب-ج'!$M$9+ROW()-ROW($A$6))),"")</f>
        <v>0</v>
      </c>
      <c r="CS17" s="680"/>
      <c r="CT17" s="1474">
        <f t="shared" si="50"/>
        <v>0</v>
      </c>
      <c r="CU17" s="1467" t="str">
        <f t="shared" ca="1" si="51"/>
        <v>-</v>
      </c>
      <c r="CV17" s="1465" t="s">
        <v>409</v>
      </c>
      <c r="CW17" s="1466">
        <f t="shared" ca="1" si="52"/>
        <v>0</v>
      </c>
      <c r="CX17" s="1467">
        <f t="shared" ca="1" si="53"/>
        <v>0</v>
      </c>
      <c r="CY17" s="1490">
        <f ca="1">IF(ROW()-ROW($A$6)&lt;'الف-ب-ج'!$L$9,INDIRECT("BudgetDB!DA"&amp;('الف-ب-ج'!$M$9+ROW()-ROW($A$6))),"")</f>
        <v>0</v>
      </c>
      <c r="CZ17" s="680"/>
      <c r="DA17" s="1474">
        <f t="shared" si="54"/>
        <v>0</v>
      </c>
      <c r="DB17" s="1467" t="str">
        <f t="shared" ca="1" si="55"/>
        <v>-</v>
      </c>
      <c r="DC17" s="1490">
        <f ca="1">IF(ROW()-ROW($A$6)&lt;'الف-ب-ج'!$L$9,INDIRECT("BudgetDB!DB"&amp;('الف-ب-ج'!$M$9+ROW()-ROW($A$6))),"")</f>
        <v>0</v>
      </c>
      <c r="DD17" s="680"/>
      <c r="DE17" s="1474">
        <f t="shared" si="56"/>
        <v>0</v>
      </c>
      <c r="DF17" s="1467" t="str">
        <f t="shared" ca="1" si="57"/>
        <v>-</v>
      </c>
      <c r="DG17" s="1465" t="s">
        <v>409</v>
      </c>
      <c r="DH17" s="1466">
        <f t="shared" ca="1" si="58"/>
        <v>0</v>
      </c>
      <c r="DI17" s="1467">
        <f t="shared" ca="1" si="59"/>
        <v>0</v>
      </c>
      <c r="DJ17" s="1480">
        <f t="shared" ca="1" si="60"/>
        <v>0</v>
      </c>
      <c r="DK17" s="1481">
        <f t="shared" si="61"/>
        <v>0</v>
      </c>
      <c r="DL17" s="1472" t="str">
        <f t="shared" ca="1" si="62"/>
        <v>-</v>
      </c>
    </row>
    <row r="18" spans="1:116" s="37" customFormat="1" ht="30" customHeight="1">
      <c r="A18" s="1465" t="s">
        <v>410</v>
      </c>
      <c r="B18" s="1466">
        <f ca="1">'خرید مواد اولیه تولید'!B19</f>
        <v>0</v>
      </c>
      <c r="C18" s="1467">
        <f ca="1">'خرید مواد اولیه تولید'!C19</f>
        <v>0</v>
      </c>
      <c r="D18" s="1490">
        <f ca="1">IF(ROW()-ROW($A$6)&lt;'الف-ب-ج'!$L$9,INDIRECT("BudgetDB!CI"&amp;('الف-ب-ج'!$M$9+ROW()-ROW($A$6))),"")</f>
        <v>0</v>
      </c>
      <c r="E18" s="680"/>
      <c r="F18" s="1474">
        <f t="shared" si="0"/>
        <v>0</v>
      </c>
      <c r="G18" s="1467" t="str">
        <f t="shared" ca="1" si="1"/>
        <v>-</v>
      </c>
      <c r="H18" s="1490">
        <f ca="1">IF(ROW()-ROW($A$6)&lt;'الف-ب-ج'!$L$9,INDIRECT("BudgetDB!CJ"&amp;('الف-ب-ج'!$M$9+ROW()-ROW($A$6))),"")</f>
        <v>0</v>
      </c>
      <c r="I18" s="680"/>
      <c r="J18" s="1474">
        <f t="shared" si="2"/>
        <v>0</v>
      </c>
      <c r="K18" s="1467" t="str">
        <f t="shared" ca="1" si="3"/>
        <v>-</v>
      </c>
      <c r="L18" s="1465" t="s">
        <v>410</v>
      </c>
      <c r="M18" s="1466">
        <f t="shared" ca="1" si="4"/>
        <v>0</v>
      </c>
      <c r="N18" s="1467">
        <f t="shared" ca="1" si="5"/>
        <v>0</v>
      </c>
      <c r="O18" s="1490">
        <f ca="1">IF(ROW()-ROW($A$6)&lt;'الف-ب-ج'!$L$9,INDIRECT("BudgetDB!CK"&amp;('الف-ب-ج'!$M$9+ROW()-ROW($A$6))),"")</f>
        <v>0</v>
      </c>
      <c r="P18" s="680"/>
      <c r="Q18" s="1474">
        <f t="shared" si="6"/>
        <v>0</v>
      </c>
      <c r="R18" s="1467" t="str">
        <f t="shared" ca="1" si="7"/>
        <v>-</v>
      </c>
      <c r="S18" s="1490">
        <f ca="1">IF(ROW()-ROW($A$6)&lt;'الف-ب-ج'!$L$9,INDIRECT("BudgetDB!CL"&amp;('الف-ب-ج'!$M$9+ROW()-ROW($A$6))),"")</f>
        <v>0</v>
      </c>
      <c r="T18" s="680"/>
      <c r="U18" s="1474">
        <f t="shared" si="8"/>
        <v>0</v>
      </c>
      <c r="V18" s="1467" t="str">
        <f t="shared" ca="1" si="9"/>
        <v>-</v>
      </c>
      <c r="W18" s="1465" t="s">
        <v>410</v>
      </c>
      <c r="X18" s="1466">
        <f t="shared" ca="1" si="10"/>
        <v>0</v>
      </c>
      <c r="Y18" s="1467">
        <f t="shared" ca="1" si="11"/>
        <v>0</v>
      </c>
      <c r="Z18" s="1490">
        <f ca="1">IF(ROW()-ROW($A$6)&lt;'الف-ب-ج'!$L$9,INDIRECT("BudgetDB!CM"&amp;('الف-ب-ج'!$M$9+ROW()-ROW($A$6))),"")</f>
        <v>0</v>
      </c>
      <c r="AA18" s="680"/>
      <c r="AB18" s="1474">
        <f t="shared" si="12"/>
        <v>0</v>
      </c>
      <c r="AC18" s="1467" t="str">
        <f t="shared" ca="1" si="13"/>
        <v>-</v>
      </c>
      <c r="AD18" s="1490">
        <f ca="1">IF(ROW()-ROW($A$6)&lt;'الف-ب-ج'!$L$9,INDIRECT("BudgetDB!CN"&amp;('الف-ب-ج'!$M$9+ROW()-ROW($A$6))),"")</f>
        <v>0</v>
      </c>
      <c r="AE18" s="680"/>
      <c r="AF18" s="1474">
        <f t="shared" si="14"/>
        <v>0</v>
      </c>
      <c r="AG18" s="1467" t="str">
        <f t="shared" ca="1" si="15"/>
        <v>-</v>
      </c>
      <c r="AH18" s="1465" t="s">
        <v>410</v>
      </c>
      <c r="AI18" s="1466">
        <f t="shared" ca="1" si="16"/>
        <v>0</v>
      </c>
      <c r="AJ18" s="1467">
        <f t="shared" ca="1" si="17"/>
        <v>0</v>
      </c>
      <c r="AK18" s="1490">
        <f ca="1">IF(ROW()-ROW($A$6)&lt;'الف-ب-ج'!$L$9,INDIRECT("BudgetDB!CO"&amp;('الف-ب-ج'!$M$9+ROW()-ROW($A$6))),"")</f>
        <v>0</v>
      </c>
      <c r="AL18" s="680"/>
      <c r="AM18" s="1474">
        <f t="shared" si="18"/>
        <v>0</v>
      </c>
      <c r="AN18" s="1467" t="str">
        <f t="shared" ca="1" si="19"/>
        <v>-</v>
      </c>
      <c r="AO18" s="1490">
        <f ca="1">IF(ROW()-ROW($A$6)&lt;'الف-ب-ج'!$L$9,INDIRECT("BudgetDB!CP"&amp;('الف-ب-ج'!$M$9+ROW()-ROW($A$6))),"")</f>
        <v>0</v>
      </c>
      <c r="AP18" s="680"/>
      <c r="AQ18" s="1474">
        <f t="shared" si="20"/>
        <v>0</v>
      </c>
      <c r="AR18" s="1467" t="str">
        <f t="shared" ca="1" si="21"/>
        <v>-</v>
      </c>
      <c r="AS18" s="1465" t="s">
        <v>410</v>
      </c>
      <c r="AT18" s="1466">
        <f t="shared" ca="1" si="22"/>
        <v>0</v>
      </c>
      <c r="AU18" s="1467">
        <f t="shared" ca="1" si="23"/>
        <v>0</v>
      </c>
      <c r="AV18" s="1490">
        <f ca="1">IF(ROW()-ROW($A$6)&lt;'الف-ب-ج'!$L$9,INDIRECT("BudgetDB!CQ"&amp;('الف-ب-ج'!$M$9+ROW()-ROW($A$6))),"")</f>
        <v>0</v>
      </c>
      <c r="AW18" s="680"/>
      <c r="AX18" s="1474">
        <f t="shared" si="24"/>
        <v>0</v>
      </c>
      <c r="AY18" s="1467" t="str">
        <f t="shared" ca="1" si="25"/>
        <v>-</v>
      </c>
      <c r="AZ18" s="1490">
        <f ca="1">IF(ROW()-ROW($A$6)&lt;'الف-ب-ج'!$L$9,INDIRECT("BudgetDB!CR"&amp;('الف-ب-ج'!$M$9+ROW()-ROW($A$6))),"")</f>
        <v>0</v>
      </c>
      <c r="BA18" s="680"/>
      <c r="BB18" s="1474">
        <f t="shared" si="26"/>
        <v>0</v>
      </c>
      <c r="BC18" s="1467" t="str">
        <f t="shared" ca="1" si="27"/>
        <v>-</v>
      </c>
      <c r="BD18" s="1465" t="s">
        <v>410</v>
      </c>
      <c r="BE18" s="1466">
        <f t="shared" ca="1" si="28"/>
        <v>0</v>
      </c>
      <c r="BF18" s="1467">
        <f t="shared" ca="1" si="29"/>
        <v>0</v>
      </c>
      <c r="BG18" s="1490">
        <f ca="1">IF(ROW()-ROW($A$6)&lt;'الف-ب-ج'!$L$9,INDIRECT("BudgetDB!CS"&amp;('الف-ب-ج'!$M$9+ROW()-ROW($A$6))),"")</f>
        <v>0</v>
      </c>
      <c r="BH18" s="680"/>
      <c r="BI18" s="1474">
        <f t="shared" si="30"/>
        <v>0</v>
      </c>
      <c r="BJ18" s="1467" t="str">
        <f t="shared" ca="1" si="31"/>
        <v>-</v>
      </c>
      <c r="BK18" s="1490">
        <f ca="1">IF(ROW()-ROW($A$6)&lt;'الف-ب-ج'!$L$9,INDIRECT("BudgetDB!CT"&amp;('الف-ب-ج'!$M$9+ROW()-ROW($A$6))),"")</f>
        <v>0</v>
      </c>
      <c r="BL18" s="680"/>
      <c r="BM18" s="1474">
        <f t="shared" si="32"/>
        <v>0</v>
      </c>
      <c r="BN18" s="1467" t="str">
        <f t="shared" ca="1" si="33"/>
        <v>-</v>
      </c>
      <c r="BO18" s="1465" t="s">
        <v>410</v>
      </c>
      <c r="BP18" s="1466">
        <f t="shared" ca="1" si="34"/>
        <v>0</v>
      </c>
      <c r="BQ18" s="1467">
        <f t="shared" ca="1" si="35"/>
        <v>0</v>
      </c>
      <c r="BR18" s="1490">
        <f ca="1">IF(ROW()-ROW($A$6)&lt;'الف-ب-ج'!$L$9,INDIRECT("BudgetDB!CU"&amp;('الف-ب-ج'!$M$9+ROW()-ROW($A$6))),"")</f>
        <v>0</v>
      </c>
      <c r="BS18" s="680"/>
      <c r="BT18" s="1474">
        <f t="shared" si="36"/>
        <v>0</v>
      </c>
      <c r="BU18" s="1467" t="str">
        <f t="shared" ca="1" si="37"/>
        <v>-</v>
      </c>
      <c r="BV18" s="1490">
        <f ca="1">IF(ROW()-ROW($A$6)&lt;'الف-ب-ج'!$L$9,INDIRECT("BudgetDB!CV"&amp;('الف-ب-ج'!$M$9+ROW()-ROW($A$6))),"")</f>
        <v>0</v>
      </c>
      <c r="BW18" s="680"/>
      <c r="BX18" s="1474">
        <f t="shared" si="38"/>
        <v>0</v>
      </c>
      <c r="BY18" s="1467" t="str">
        <f t="shared" ca="1" si="39"/>
        <v>-</v>
      </c>
      <c r="BZ18" s="1465" t="s">
        <v>410</v>
      </c>
      <c r="CA18" s="1466">
        <f t="shared" ca="1" si="40"/>
        <v>0</v>
      </c>
      <c r="CB18" s="1467">
        <f t="shared" ca="1" si="41"/>
        <v>0</v>
      </c>
      <c r="CC18" s="1490">
        <f ca="1">IF(ROW()-ROW($A$6)&lt;'الف-ب-ج'!$L$9,INDIRECT("BudgetDB!CW"&amp;('الف-ب-ج'!$M$9+ROW()-ROW($A$6))),"")</f>
        <v>0</v>
      </c>
      <c r="CD18" s="680"/>
      <c r="CE18" s="1474">
        <f t="shared" si="42"/>
        <v>0</v>
      </c>
      <c r="CF18" s="1467" t="str">
        <f t="shared" ca="1" si="43"/>
        <v>-</v>
      </c>
      <c r="CG18" s="1490">
        <f ca="1">IF(ROW()-ROW($A$6)&lt;'الف-ب-ج'!$L$9,INDIRECT("BudgetDB!CX"&amp;('الف-ب-ج'!$M$9+ROW()-ROW($A$6))),"")</f>
        <v>0</v>
      </c>
      <c r="CH18" s="680"/>
      <c r="CI18" s="1474">
        <f t="shared" si="44"/>
        <v>0</v>
      </c>
      <c r="CJ18" s="1467" t="str">
        <f t="shared" ca="1" si="45"/>
        <v>-</v>
      </c>
      <c r="CK18" s="1465" t="s">
        <v>410</v>
      </c>
      <c r="CL18" s="1466">
        <f t="shared" ca="1" si="46"/>
        <v>0</v>
      </c>
      <c r="CM18" s="1467">
        <f t="shared" ca="1" si="47"/>
        <v>0</v>
      </c>
      <c r="CN18" s="1490">
        <f ca="1">IF(ROW()-ROW($A$6)&lt;'الف-ب-ج'!$L$9,INDIRECT("BudgetDB!CY"&amp;('الف-ب-ج'!$M$9+ROW()-ROW($A$6))),"")</f>
        <v>0</v>
      </c>
      <c r="CO18" s="680"/>
      <c r="CP18" s="1474">
        <f t="shared" si="48"/>
        <v>0</v>
      </c>
      <c r="CQ18" s="1467" t="str">
        <f t="shared" ca="1" si="49"/>
        <v>-</v>
      </c>
      <c r="CR18" s="1490">
        <f ca="1">IF(ROW()-ROW($A$6)&lt;'الف-ب-ج'!$L$9,INDIRECT("BudgetDB!CZ"&amp;('الف-ب-ج'!$M$9+ROW()-ROW($A$6))),"")</f>
        <v>0</v>
      </c>
      <c r="CS18" s="680"/>
      <c r="CT18" s="1474">
        <f t="shared" si="50"/>
        <v>0</v>
      </c>
      <c r="CU18" s="1467" t="str">
        <f t="shared" ca="1" si="51"/>
        <v>-</v>
      </c>
      <c r="CV18" s="1465" t="s">
        <v>410</v>
      </c>
      <c r="CW18" s="1466">
        <f t="shared" ca="1" si="52"/>
        <v>0</v>
      </c>
      <c r="CX18" s="1467">
        <f t="shared" ca="1" si="53"/>
        <v>0</v>
      </c>
      <c r="CY18" s="1490">
        <f ca="1">IF(ROW()-ROW($A$6)&lt;'الف-ب-ج'!$L$9,INDIRECT("BudgetDB!DA"&amp;('الف-ب-ج'!$M$9+ROW()-ROW($A$6))),"")</f>
        <v>0</v>
      </c>
      <c r="CZ18" s="680"/>
      <c r="DA18" s="1474">
        <f t="shared" si="54"/>
        <v>0</v>
      </c>
      <c r="DB18" s="1467" t="str">
        <f t="shared" ca="1" si="55"/>
        <v>-</v>
      </c>
      <c r="DC18" s="1490">
        <f ca="1">IF(ROW()-ROW($A$6)&lt;'الف-ب-ج'!$L$9,INDIRECT("BudgetDB!DB"&amp;('الف-ب-ج'!$M$9+ROW()-ROW($A$6))),"")</f>
        <v>0</v>
      </c>
      <c r="DD18" s="680"/>
      <c r="DE18" s="1474">
        <f t="shared" si="56"/>
        <v>0</v>
      </c>
      <c r="DF18" s="1467" t="str">
        <f t="shared" ca="1" si="57"/>
        <v>-</v>
      </c>
      <c r="DG18" s="1465" t="s">
        <v>410</v>
      </c>
      <c r="DH18" s="1466">
        <f t="shared" ca="1" si="58"/>
        <v>0</v>
      </c>
      <c r="DI18" s="1467">
        <f t="shared" ca="1" si="59"/>
        <v>0</v>
      </c>
      <c r="DJ18" s="1480">
        <f t="shared" ca="1" si="60"/>
        <v>0</v>
      </c>
      <c r="DK18" s="1481">
        <f t="shared" si="61"/>
        <v>0</v>
      </c>
      <c r="DL18" s="1472" t="str">
        <f t="shared" ca="1" si="62"/>
        <v>-</v>
      </c>
    </row>
    <row r="19" spans="1:116" s="37" customFormat="1" ht="30" customHeight="1">
      <c r="A19" s="1465" t="s">
        <v>411</v>
      </c>
      <c r="B19" s="1466">
        <f ca="1">'خرید مواد اولیه تولید'!B20</f>
        <v>0</v>
      </c>
      <c r="C19" s="1467">
        <f ca="1">'خرید مواد اولیه تولید'!C20</f>
        <v>0</v>
      </c>
      <c r="D19" s="1490">
        <f ca="1">IF(ROW()-ROW($A$6)&lt;'الف-ب-ج'!$L$9,INDIRECT("BudgetDB!CI"&amp;('الف-ب-ج'!$M$9+ROW()-ROW($A$6))),"")</f>
        <v>0</v>
      </c>
      <c r="E19" s="680"/>
      <c r="F19" s="1474">
        <f t="shared" si="0"/>
        <v>0</v>
      </c>
      <c r="G19" s="1467" t="str">
        <f t="shared" ca="1" si="1"/>
        <v>-</v>
      </c>
      <c r="H19" s="1490">
        <f ca="1">IF(ROW()-ROW($A$6)&lt;'الف-ب-ج'!$L$9,INDIRECT("BudgetDB!CJ"&amp;('الف-ب-ج'!$M$9+ROW()-ROW($A$6))),"")</f>
        <v>0</v>
      </c>
      <c r="I19" s="680"/>
      <c r="J19" s="1474">
        <f t="shared" si="2"/>
        <v>0</v>
      </c>
      <c r="K19" s="1467" t="str">
        <f t="shared" ca="1" si="3"/>
        <v>-</v>
      </c>
      <c r="L19" s="1465" t="s">
        <v>411</v>
      </c>
      <c r="M19" s="1466">
        <f t="shared" ca="1" si="4"/>
        <v>0</v>
      </c>
      <c r="N19" s="1467">
        <f t="shared" ca="1" si="5"/>
        <v>0</v>
      </c>
      <c r="O19" s="1490">
        <f ca="1">IF(ROW()-ROW($A$6)&lt;'الف-ب-ج'!$L$9,INDIRECT("BudgetDB!CK"&amp;('الف-ب-ج'!$M$9+ROW()-ROW($A$6))),"")</f>
        <v>0</v>
      </c>
      <c r="P19" s="680"/>
      <c r="Q19" s="1474">
        <f t="shared" si="6"/>
        <v>0</v>
      </c>
      <c r="R19" s="1467" t="str">
        <f t="shared" ca="1" si="7"/>
        <v>-</v>
      </c>
      <c r="S19" s="1490">
        <f ca="1">IF(ROW()-ROW($A$6)&lt;'الف-ب-ج'!$L$9,INDIRECT("BudgetDB!CL"&amp;('الف-ب-ج'!$M$9+ROW()-ROW($A$6))),"")</f>
        <v>0</v>
      </c>
      <c r="T19" s="680"/>
      <c r="U19" s="1474">
        <f t="shared" si="8"/>
        <v>0</v>
      </c>
      <c r="V19" s="1467" t="str">
        <f t="shared" ca="1" si="9"/>
        <v>-</v>
      </c>
      <c r="W19" s="1465" t="s">
        <v>411</v>
      </c>
      <c r="X19" s="1466">
        <f t="shared" ca="1" si="10"/>
        <v>0</v>
      </c>
      <c r="Y19" s="1467">
        <f t="shared" ca="1" si="11"/>
        <v>0</v>
      </c>
      <c r="Z19" s="1490">
        <f ca="1">IF(ROW()-ROW($A$6)&lt;'الف-ب-ج'!$L$9,INDIRECT("BudgetDB!CM"&amp;('الف-ب-ج'!$M$9+ROW()-ROW($A$6))),"")</f>
        <v>0</v>
      </c>
      <c r="AA19" s="680"/>
      <c r="AB19" s="1474">
        <f t="shared" si="12"/>
        <v>0</v>
      </c>
      <c r="AC19" s="1467" t="str">
        <f t="shared" ca="1" si="13"/>
        <v>-</v>
      </c>
      <c r="AD19" s="1490">
        <f ca="1">IF(ROW()-ROW($A$6)&lt;'الف-ب-ج'!$L$9,INDIRECT("BudgetDB!CN"&amp;('الف-ب-ج'!$M$9+ROW()-ROW($A$6))),"")</f>
        <v>0</v>
      </c>
      <c r="AE19" s="680"/>
      <c r="AF19" s="1474">
        <f t="shared" si="14"/>
        <v>0</v>
      </c>
      <c r="AG19" s="1467" t="str">
        <f t="shared" ca="1" si="15"/>
        <v>-</v>
      </c>
      <c r="AH19" s="1465" t="s">
        <v>411</v>
      </c>
      <c r="AI19" s="1466">
        <f t="shared" ca="1" si="16"/>
        <v>0</v>
      </c>
      <c r="AJ19" s="1467">
        <f t="shared" ca="1" si="17"/>
        <v>0</v>
      </c>
      <c r="AK19" s="1490">
        <f ca="1">IF(ROW()-ROW($A$6)&lt;'الف-ب-ج'!$L$9,INDIRECT("BudgetDB!CO"&amp;('الف-ب-ج'!$M$9+ROW()-ROW($A$6))),"")</f>
        <v>0</v>
      </c>
      <c r="AL19" s="680"/>
      <c r="AM19" s="1474">
        <f t="shared" si="18"/>
        <v>0</v>
      </c>
      <c r="AN19" s="1467" t="str">
        <f t="shared" ca="1" si="19"/>
        <v>-</v>
      </c>
      <c r="AO19" s="1490">
        <f ca="1">IF(ROW()-ROW($A$6)&lt;'الف-ب-ج'!$L$9,INDIRECT("BudgetDB!CP"&amp;('الف-ب-ج'!$M$9+ROW()-ROW($A$6))),"")</f>
        <v>0</v>
      </c>
      <c r="AP19" s="680"/>
      <c r="AQ19" s="1474">
        <f t="shared" si="20"/>
        <v>0</v>
      </c>
      <c r="AR19" s="1467" t="str">
        <f t="shared" ca="1" si="21"/>
        <v>-</v>
      </c>
      <c r="AS19" s="1465" t="s">
        <v>411</v>
      </c>
      <c r="AT19" s="1466">
        <f t="shared" ca="1" si="22"/>
        <v>0</v>
      </c>
      <c r="AU19" s="1467">
        <f t="shared" ca="1" si="23"/>
        <v>0</v>
      </c>
      <c r="AV19" s="1490">
        <f ca="1">IF(ROW()-ROW($A$6)&lt;'الف-ب-ج'!$L$9,INDIRECT("BudgetDB!CQ"&amp;('الف-ب-ج'!$M$9+ROW()-ROW($A$6))),"")</f>
        <v>0</v>
      </c>
      <c r="AW19" s="680"/>
      <c r="AX19" s="1474">
        <f t="shared" si="24"/>
        <v>0</v>
      </c>
      <c r="AY19" s="1467" t="str">
        <f t="shared" ca="1" si="25"/>
        <v>-</v>
      </c>
      <c r="AZ19" s="1490">
        <f ca="1">IF(ROW()-ROW($A$6)&lt;'الف-ب-ج'!$L$9,INDIRECT("BudgetDB!CR"&amp;('الف-ب-ج'!$M$9+ROW()-ROW($A$6))),"")</f>
        <v>0</v>
      </c>
      <c r="BA19" s="680"/>
      <c r="BB19" s="1474">
        <f t="shared" si="26"/>
        <v>0</v>
      </c>
      <c r="BC19" s="1467" t="str">
        <f t="shared" ca="1" si="27"/>
        <v>-</v>
      </c>
      <c r="BD19" s="1465" t="s">
        <v>411</v>
      </c>
      <c r="BE19" s="1466">
        <f t="shared" ca="1" si="28"/>
        <v>0</v>
      </c>
      <c r="BF19" s="1467">
        <f t="shared" ca="1" si="29"/>
        <v>0</v>
      </c>
      <c r="BG19" s="1490">
        <f ca="1">IF(ROW()-ROW($A$6)&lt;'الف-ب-ج'!$L$9,INDIRECT("BudgetDB!CS"&amp;('الف-ب-ج'!$M$9+ROW()-ROW($A$6))),"")</f>
        <v>0</v>
      </c>
      <c r="BH19" s="680"/>
      <c r="BI19" s="1474">
        <f t="shared" si="30"/>
        <v>0</v>
      </c>
      <c r="BJ19" s="1467" t="str">
        <f t="shared" ca="1" si="31"/>
        <v>-</v>
      </c>
      <c r="BK19" s="1490">
        <f ca="1">IF(ROW()-ROW($A$6)&lt;'الف-ب-ج'!$L$9,INDIRECT("BudgetDB!CT"&amp;('الف-ب-ج'!$M$9+ROW()-ROW($A$6))),"")</f>
        <v>0</v>
      </c>
      <c r="BL19" s="680"/>
      <c r="BM19" s="1474">
        <f t="shared" si="32"/>
        <v>0</v>
      </c>
      <c r="BN19" s="1467" t="str">
        <f t="shared" ca="1" si="33"/>
        <v>-</v>
      </c>
      <c r="BO19" s="1465" t="s">
        <v>411</v>
      </c>
      <c r="BP19" s="1466">
        <f t="shared" ca="1" si="34"/>
        <v>0</v>
      </c>
      <c r="BQ19" s="1467">
        <f t="shared" ca="1" si="35"/>
        <v>0</v>
      </c>
      <c r="BR19" s="1490">
        <f ca="1">IF(ROW()-ROW($A$6)&lt;'الف-ب-ج'!$L$9,INDIRECT("BudgetDB!CU"&amp;('الف-ب-ج'!$M$9+ROW()-ROW($A$6))),"")</f>
        <v>0</v>
      </c>
      <c r="BS19" s="680"/>
      <c r="BT19" s="1474">
        <f t="shared" si="36"/>
        <v>0</v>
      </c>
      <c r="BU19" s="1467" t="str">
        <f t="shared" ca="1" si="37"/>
        <v>-</v>
      </c>
      <c r="BV19" s="1490">
        <f ca="1">IF(ROW()-ROW($A$6)&lt;'الف-ب-ج'!$L$9,INDIRECT("BudgetDB!CV"&amp;('الف-ب-ج'!$M$9+ROW()-ROW($A$6))),"")</f>
        <v>0</v>
      </c>
      <c r="BW19" s="680"/>
      <c r="BX19" s="1474">
        <f t="shared" si="38"/>
        <v>0</v>
      </c>
      <c r="BY19" s="1467" t="str">
        <f t="shared" ca="1" si="39"/>
        <v>-</v>
      </c>
      <c r="BZ19" s="1465" t="s">
        <v>411</v>
      </c>
      <c r="CA19" s="1466">
        <f t="shared" ca="1" si="40"/>
        <v>0</v>
      </c>
      <c r="CB19" s="1467">
        <f t="shared" ca="1" si="41"/>
        <v>0</v>
      </c>
      <c r="CC19" s="1490">
        <f ca="1">IF(ROW()-ROW($A$6)&lt;'الف-ب-ج'!$L$9,INDIRECT("BudgetDB!CW"&amp;('الف-ب-ج'!$M$9+ROW()-ROW($A$6))),"")</f>
        <v>0</v>
      </c>
      <c r="CD19" s="680"/>
      <c r="CE19" s="1474">
        <f t="shared" si="42"/>
        <v>0</v>
      </c>
      <c r="CF19" s="1467" t="str">
        <f t="shared" ca="1" si="43"/>
        <v>-</v>
      </c>
      <c r="CG19" s="1490">
        <f ca="1">IF(ROW()-ROW($A$6)&lt;'الف-ب-ج'!$L$9,INDIRECT("BudgetDB!CX"&amp;('الف-ب-ج'!$M$9+ROW()-ROW($A$6))),"")</f>
        <v>0</v>
      </c>
      <c r="CH19" s="680"/>
      <c r="CI19" s="1474">
        <f t="shared" si="44"/>
        <v>0</v>
      </c>
      <c r="CJ19" s="1467" t="str">
        <f t="shared" ca="1" si="45"/>
        <v>-</v>
      </c>
      <c r="CK19" s="1465" t="s">
        <v>411</v>
      </c>
      <c r="CL19" s="1466">
        <f t="shared" ca="1" si="46"/>
        <v>0</v>
      </c>
      <c r="CM19" s="1467">
        <f t="shared" ca="1" si="47"/>
        <v>0</v>
      </c>
      <c r="CN19" s="1490">
        <f ca="1">IF(ROW()-ROW($A$6)&lt;'الف-ب-ج'!$L$9,INDIRECT("BudgetDB!CY"&amp;('الف-ب-ج'!$M$9+ROW()-ROW($A$6))),"")</f>
        <v>0</v>
      </c>
      <c r="CO19" s="680"/>
      <c r="CP19" s="1474">
        <f t="shared" si="48"/>
        <v>0</v>
      </c>
      <c r="CQ19" s="1467" t="str">
        <f t="shared" ca="1" si="49"/>
        <v>-</v>
      </c>
      <c r="CR19" s="1490">
        <f ca="1">IF(ROW()-ROW($A$6)&lt;'الف-ب-ج'!$L$9,INDIRECT("BudgetDB!CZ"&amp;('الف-ب-ج'!$M$9+ROW()-ROW($A$6))),"")</f>
        <v>0</v>
      </c>
      <c r="CS19" s="680"/>
      <c r="CT19" s="1474">
        <f t="shared" si="50"/>
        <v>0</v>
      </c>
      <c r="CU19" s="1467" t="str">
        <f t="shared" ca="1" si="51"/>
        <v>-</v>
      </c>
      <c r="CV19" s="1465" t="s">
        <v>411</v>
      </c>
      <c r="CW19" s="1466">
        <f t="shared" ca="1" si="52"/>
        <v>0</v>
      </c>
      <c r="CX19" s="1467">
        <f t="shared" ca="1" si="53"/>
        <v>0</v>
      </c>
      <c r="CY19" s="1490">
        <f ca="1">IF(ROW()-ROW($A$6)&lt;'الف-ب-ج'!$L$9,INDIRECT("BudgetDB!DA"&amp;('الف-ب-ج'!$M$9+ROW()-ROW($A$6))),"")</f>
        <v>0</v>
      </c>
      <c r="CZ19" s="680"/>
      <c r="DA19" s="1474">
        <f t="shared" si="54"/>
        <v>0</v>
      </c>
      <c r="DB19" s="1467" t="str">
        <f t="shared" ca="1" si="55"/>
        <v>-</v>
      </c>
      <c r="DC19" s="1490">
        <f ca="1">IF(ROW()-ROW($A$6)&lt;'الف-ب-ج'!$L$9,INDIRECT("BudgetDB!DB"&amp;('الف-ب-ج'!$M$9+ROW()-ROW($A$6))),"")</f>
        <v>0</v>
      </c>
      <c r="DD19" s="680"/>
      <c r="DE19" s="1474">
        <f t="shared" si="56"/>
        <v>0</v>
      </c>
      <c r="DF19" s="1467" t="str">
        <f t="shared" ca="1" si="57"/>
        <v>-</v>
      </c>
      <c r="DG19" s="1465" t="s">
        <v>411</v>
      </c>
      <c r="DH19" s="1466">
        <f t="shared" ca="1" si="58"/>
        <v>0</v>
      </c>
      <c r="DI19" s="1467">
        <f t="shared" ca="1" si="59"/>
        <v>0</v>
      </c>
      <c r="DJ19" s="1480">
        <f t="shared" ca="1" si="60"/>
        <v>0</v>
      </c>
      <c r="DK19" s="1481">
        <f t="shared" si="61"/>
        <v>0</v>
      </c>
      <c r="DL19" s="1472" t="str">
        <f t="shared" ca="1" si="62"/>
        <v>-</v>
      </c>
    </row>
    <row r="20" spans="1:116" s="37" customFormat="1" ht="30" customHeight="1">
      <c r="A20" s="1465" t="s">
        <v>412</v>
      </c>
      <c r="B20" s="1466">
        <f ca="1">'خرید مواد اولیه تولید'!B21</f>
        <v>0</v>
      </c>
      <c r="C20" s="1467">
        <f ca="1">'خرید مواد اولیه تولید'!C21</f>
        <v>0</v>
      </c>
      <c r="D20" s="1490">
        <f ca="1">IF(ROW()-ROW($A$6)&lt;'الف-ب-ج'!$L$9,INDIRECT("BudgetDB!CI"&amp;('الف-ب-ج'!$M$9+ROW()-ROW($A$6))),"")</f>
        <v>0</v>
      </c>
      <c r="E20" s="680"/>
      <c r="F20" s="1474">
        <f t="shared" si="0"/>
        <v>0</v>
      </c>
      <c r="G20" s="1467" t="str">
        <f t="shared" ca="1" si="1"/>
        <v>-</v>
      </c>
      <c r="H20" s="1490">
        <f ca="1">IF(ROW()-ROW($A$6)&lt;'الف-ب-ج'!$L$9,INDIRECT("BudgetDB!CJ"&amp;('الف-ب-ج'!$M$9+ROW()-ROW($A$6))),"")</f>
        <v>0</v>
      </c>
      <c r="I20" s="680"/>
      <c r="J20" s="1474">
        <f t="shared" si="2"/>
        <v>0</v>
      </c>
      <c r="K20" s="1467" t="str">
        <f t="shared" ca="1" si="3"/>
        <v>-</v>
      </c>
      <c r="L20" s="1465" t="s">
        <v>412</v>
      </c>
      <c r="M20" s="1466">
        <f t="shared" ca="1" si="4"/>
        <v>0</v>
      </c>
      <c r="N20" s="1467">
        <f t="shared" ca="1" si="5"/>
        <v>0</v>
      </c>
      <c r="O20" s="1490">
        <f ca="1">IF(ROW()-ROW($A$6)&lt;'الف-ب-ج'!$L$9,INDIRECT("BudgetDB!CK"&amp;('الف-ب-ج'!$M$9+ROW()-ROW($A$6))),"")</f>
        <v>0</v>
      </c>
      <c r="P20" s="680"/>
      <c r="Q20" s="1474">
        <f t="shared" si="6"/>
        <v>0</v>
      </c>
      <c r="R20" s="1467" t="str">
        <f t="shared" ca="1" si="7"/>
        <v>-</v>
      </c>
      <c r="S20" s="1490">
        <f ca="1">IF(ROW()-ROW($A$6)&lt;'الف-ب-ج'!$L$9,INDIRECT("BudgetDB!CL"&amp;('الف-ب-ج'!$M$9+ROW()-ROW($A$6))),"")</f>
        <v>0</v>
      </c>
      <c r="T20" s="680"/>
      <c r="U20" s="1474">
        <f t="shared" si="8"/>
        <v>0</v>
      </c>
      <c r="V20" s="1467" t="str">
        <f t="shared" ca="1" si="9"/>
        <v>-</v>
      </c>
      <c r="W20" s="1465" t="s">
        <v>412</v>
      </c>
      <c r="X20" s="1466">
        <f t="shared" ca="1" si="10"/>
        <v>0</v>
      </c>
      <c r="Y20" s="1467">
        <f t="shared" ca="1" si="11"/>
        <v>0</v>
      </c>
      <c r="Z20" s="1490">
        <f ca="1">IF(ROW()-ROW($A$6)&lt;'الف-ب-ج'!$L$9,INDIRECT("BudgetDB!CM"&amp;('الف-ب-ج'!$M$9+ROW()-ROW($A$6))),"")</f>
        <v>0</v>
      </c>
      <c r="AA20" s="680"/>
      <c r="AB20" s="1474">
        <f t="shared" si="12"/>
        <v>0</v>
      </c>
      <c r="AC20" s="1467" t="str">
        <f t="shared" ca="1" si="13"/>
        <v>-</v>
      </c>
      <c r="AD20" s="1490">
        <f ca="1">IF(ROW()-ROW($A$6)&lt;'الف-ب-ج'!$L$9,INDIRECT("BudgetDB!CN"&amp;('الف-ب-ج'!$M$9+ROW()-ROW($A$6))),"")</f>
        <v>0</v>
      </c>
      <c r="AE20" s="680"/>
      <c r="AF20" s="1474">
        <f t="shared" si="14"/>
        <v>0</v>
      </c>
      <c r="AG20" s="1467" t="str">
        <f t="shared" ca="1" si="15"/>
        <v>-</v>
      </c>
      <c r="AH20" s="1465" t="s">
        <v>412</v>
      </c>
      <c r="AI20" s="1466">
        <f t="shared" ca="1" si="16"/>
        <v>0</v>
      </c>
      <c r="AJ20" s="1467">
        <f t="shared" ca="1" si="17"/>
        <v>0</v>
      </c>
      <c r="AK20" s="1490">
        <f ca="1">IF(ROW()-ROW($A$6)&lt;'الف-ب-ج'!$L$9,INDIRECT("BudgetDB!CO"&amp;('الف-ب-ج'!$M$9+ROW()-ROW($A$6))),"")</f>
        <v>0</v>
      </c>
      <c r="AL20" s="680"/>
      <c r="AM20" s="1474">
        <f t="shared" si="18"/>
        <v>0</v>
      </c>
      <c r="AN20" s="1467" t="str">
        <f t="shared" ca="1" si="19"/>
        <v>-</v>
      </c>
      <c r="AO20" s="1490">
        <f ca="1">IF(ROW()-ROW($A$6)&lt;'الف-ب-ج'!$L$9,INDIRECT("BudgetDB!CP"&amp;('الف-ب-ج'!$M$9+ROW()-ROW($A$6))),"")</f>
        <v>0</v>
      </c>
      <c r="AP20" s="680"/>
      <c r="AQ20" s="1474">
        <f t="shared" si="20"/>
        <v>0</v>
      </c>
      <c r="AR20" s="1467" t="str">
        <f t="shared" ca="1" si="21"/>
        <v>-</v>
      </c>
      <c r="AS20" s="1465" t="s">
        <v>412</v>
      </c>
      <c r="AT20" s="1466">
        <f t="shared" ca="1" si="22"/>
        <v>0</v>
      </c>
      <c r="AU20" s="1467">
        <f t="shared" ca="1" si="23"/>
        <v>0</v>
      </c>
      <c r="AV20" s="1490">
        <f ca="1">IF(ROW()-ROW($A$6)&lt;'الف-ب-ج'!$L$9,INDIRECT("BudgetDB!CQ"&amp;('الف-ب-ج'!$M$9+ROW()-ROW($A$6))),"")</f>
        <v>0</v>
      </c>
      <c r="AW20" s="680"/>
      <c r="AX20" s="1474">
        <f t="shared" si="24"/>
        <v>0</v>
      </c>
      <c r="AY20" s="1467" t="str">
        <f t="shared" ca="1" si="25"/>
        <v>-</v>
      </c>
      <c r="AZ20" s="1490">
        <f ca="1">IF(ROW()-ROW($A$6)&lt;'الف-ب-ج'!$L$9,INDIRECT("BudgetDB!CR"&amp;('الف-ب-ج'!$M$9+ROW()-ROW($A$6))),"")</f>
        <v>0</v>
      </c>
      <c r="BA20" s="680"/>
      <c r="BB20" s="1474">
        <f t="shared" si="26"/>
        <v>0</v>
      </c>
      <c r="BC20" s="1467" t="str">
        <f t="shared" ca="1" si="27"/>
        <v>-</v>
      </c>
      <c r="BD20" s="1465" t="s">
        <v>412</v>
      </c>
      <c r="BE20" s="1466">
        <f t="shared" ca="1" si="28"/>
        <v>0</v>
      </c>
      <c r="BF20" s="1467">
        <f t="shared" ca="1" si="29"/>
        <v>0</v>
      </c>
      <c r="BG20" s="1490">
        <f ca="1">IF(ROW()-ROW($A$6)&lt;'الف-ب-ج'!$L$9,INDIRECT("BudgetDB!CS"&amp;('الف-ب-ج'!$M$9+ROW()-ROW($A$6))),"")</f>
        <v>0</v>
      </c>
      <c r="BH20" s="680"/>
      <c r="BI20" s="1474">
        <f t="shared" si="30"/>
        <v>0</v>
      </c>
      <c r="BJ20" s="1467" t="str">
        <f t="shared" ca="1" si="31"/>
        <v>-</v>
      </c>
      <c r="BK20" s="1490">
        <f ca="1">IF(ROW()-ROW($A$6)&lt;'الف-ب-ج'!$L$9,INDIRECT("BudgetDB!CT"&amp;('الف-ب-ج'!$M$9+ROW()-ROW($A$6))),"")</f>
        <v>0</v>
      </c>
      <c r="BL20" s="680"/>
      <c r="BM20" s="1474">
        <f t="shared" si="32"/>
        <v>0</v>
      </c>
      <c r="BN20" s="1467" t="str">
        <f t="shared" ca="1" si="33"/>
        <v>-</v>
      </c>
      <c r="BO20" s="1465" t="s">
        <v>412</v>
      </c>
      <c r="BP20" s="1466">
        <f t="shared" ca="1" si="34"/>
        <v>0</v>
      </c>
      <c r="BQ20" s="1467">
        <f t="shared" ca="1" si="35"/>
        <v>0</v>
      </c>
      <c r="BR20" s="1490">
        <f ca="1">IF(ROW()-ROW($A$6)&lt;'الف-ب-ج'!$L$9,INDIRECT("BudgetDB!CU"&amp;('الف-ب-ج'!$M$9+ROW()-ROW($A$6))),"")</f>
        <v>0</v>
      </c>
      <c r="BS20" s="680"/>
      <c r="BT20" s="1474">
        <f t="shared" si="36"/>
        <v>0</v>
      </c>
      <c r="BU20" s="1467" t="str">
        <f t="shared" ca="1" si="37"/>
        <v>-</v>
      </c>
      <c r="BV20" s="1490">
        <f ca="1">IF(ROW()-ROW($A$6)&lt;'الف-ب-ج'!$L$9,INDIRECT("BudgetDB!CV"&amp;('الف-ب-ج'!$M$9+ROW()-ROW($A$6))),"")</f>
        <v>0</v>
      </c>
      <c r="BW20" s="680"/>
      <c r="BX20" s="1474">
        <f t="shared" si="38"/>
        <v>0</v>
      </c>
      <c r="BY20" s="1467" t="str">
        <f t="shared" ca="1" si="39"/>
        <v>-</v>
      </c>
      <c r="BZ20" s="1465" t="s">
        <v>412</v>
      </c>
      <c r="CA20" s="1466">
        <f t="shared" ca="1" si="40"/>
        <v>0</v>
      </c>
      <c r="CB20" s="1467">
        <f t="shared" ca="1" si="41"/>
        <v>0</v>
      </c>
      <c r="CC20" s="1490">
        <f ca="1">IF(ROW()-ROW($A$6)&lt;'الف-ب-ج'!$L$9,INDIRECT("BudgetDB!CW"&amp;('الف-ب-ج'!$M$9+ROW()-ROW($A$6))),"")</f>
        <v>0</v>
      </c>
      <c r="CD20" s="680"/>
      <c r="CE20" s="1474">
        <f t="shared" si="42"/>
        <v>0</v>
      </c>
      <c r="CF20" s="1467" t="str">
        <f t="shared" ca="1" si="43"/>
        <v>-</v>
      </c>
      <c r="CG20" s="1490">
        <f ca="1">IF(ROW()-ROW($A$6)&lt;'الف-ب-ج'!$L$9,INDIRECT("BudgetDB!CX"&amp;('الف-ب-ج'!$M$9+ROW()-ROW($A$6))),"")</f>
        <v>0</v>
      </c>
      <c r="CH20" s="680"/>
      <c r="CI20" s="1474">
        <f t="shared" si="44"/>
        <v>0</v>
      </c>
      <c r="CJ20" s="1467" t="str">
        <f t="shared" ca="1" si="45"/>
        <v>-</v>
      </c>
      <c r="CK20" s="1465" t="s">
        <v>412</v>
      </c>
      <c r="CL20" s="1466">
        <f t="shared" ca="1" si="46"/>
        <v>0</v>
      </c>
      <c r="CM20" s="1467">
        <f t="shared" ca="1" si="47"/>
        <v>0</v>
      </c>
      <c r="CN20" s="1490">
        <f ca="1">IF(ROW()-ROW($A$6)&lt;'الف-ب-ج'!$L$9,INDIRECT("BudgetDB!CY"&amp;('الف-ب-ج'!$M$9+ROW()-ROW($A$6))),"")</f>
        <v>0</v>
      </c>
      <c r="CO20" s="680"/>
      <c r="CP20" s="1474">
        <f t="shared" si="48"/>
        <v>0</v>
      </c>
      <c r="CQ20" s="1467" t="str">
        <f t="shared" ca="1" si="49"/>
        <v>-</v>
      </c>
      <c r="CR20" s="1490">
        <f ca="1">IF(ROW()-ROW($A$6)&lt;'الف-ب-ج'!$L$9,INDIRECT("BudgetDB!CZ"&amp;('الف-ب-ج'!$M$9+ROW()-ROW($A$6))),"")</f>
        <v>0</v>
      </c>
      <c r="CS20" s="680"/>
      <c r="CT20" s="1474">
        <f t="shared" si="50"/>
        <v>0</v>
      </c>
      <c r="CU20" s="1467" t="str">
        <f t="shared" ca="1" si="51"/>
        <v>-</v>
      </c>
      <c r="CV20" s="1465" t="s">
        <v>412</v>
      </c>
      <c r="CW20" s="1466">
        <f t="shared" ca="1" si="52"/>
        <v>0</v>
      </c>
      <c r="CX20" s="1467">
        <f t="shared" ca="1" si="53"/>
        <v>0</v>
      </c>
      <c r="CY20" s="1490">
        <f ca="1">IF(ROW()-ROW($A$6)&lt;'الف-ب-ج'!$L$9,INDIRECT("BudgetDB!DA"&amp;('الف-ب-ج'!$M$9+ROW()-ROW($A$6))),"")</f>
        <v>0</v>
      </c>
      <c r="CZ20" s="680"/>
      <c r="DA20" s="1474">
        <f t="shared" si="54"/>
        <v>0</v>
      </c>
      <c r="DB20" s="1467" t="str">
        <f t="shared" ca="1" si="55"/>
        <v>-</v>
      </c>
      <c r="DC20" s="1490">
        <f ca="1">IF(ROW()-ROW($A$6)&lt;'الف-ب-ج'!$L$9,INDIRECT("BudgetDB!DB"&amp;('الف-ب-ج'!$M$9+ROW()-ROW($A$6))),"")</f>
        <v>0</v>
      </c>
      <c r="DD20" s="680"/>
      <c r="DE20" s="1474">
        <f t="shared" si="56"/>
        <v>0</v>
      </c>
      <c r="DF20" s="1467" t="str">
        <f t="shared" ca="1" si="57"/>
        <v>-</v>
      </c>
      <c r="DG20" s="1465" t="s">
        <v>412</v>
      </c>
      <c r="DH20" s="1466">
        <f t="shared" ca="1" si="58"/>
        <v>0</v>
      </c>
      <c r="DI20" s="1467">
        <f t="shared" ca="1" si="59"/>
        <v>0</v>
      </c>
      <c r="DJ20" s="1480">
        <f t="shared" ca="1" si="60"/>
        <v>0</v>
      </c>
      <c r="DK20" s="1481">
        <f t="shared" si="61"/>
        <v>0</v>
      </c>
      <c r="DL20" s="1472" t="str">
        <f t="shared" ca="1" si="62"/>
        <v>-</v>
      </c>
    </row>
    <row r="21" spans="1:116" s="37" customFormat="1" ht="30" customHeight="1">
      <c r="A21" s="1465" t="s">
        <v>413</v>
      </c>
      <c r="B21" s="1466">
        <f ca="1">'خرید مواد اولیه تولید'!B22</f>
        <v>0</v>
      </c>
      <c r="C21" s="1467">
        <f ca="1">'خرید مواد اولیه تولید'!C22</f>
        <v>0</v>
      </c>
      <c r="D21" s="1490">
        <f ca="1">IF(ROW()-ROW($A$6)&lt;'الف-ب-ج'!$L$9,INDIRECT("BudgetDB!CI"&amp;('الف-ب-ج'!$M$9+ROW()-ROW($A$6))),"")</f>
        <v>0</v>
      </c>
      <c r="E21" s="680"/>
      <c r="F21" s="1474">
        <f t="shared" si="0"/>
        <v>0</v>
      </c>
      <c r="G21" s="1467" t="str">
        <f t="shared" ca="1" si="1"/>
        <v>-</v>
      </c>
      <c r="H21" s="1490">
        <f ca="1">IF(ROW()-ROW($A$6)&lt;'الف-ب-ج'!$L$9,INDIRECT("BudgetDB!CJ"&amp;('الف-ب-ج'!$M$9+ROW()-ROW($A$6))),"")</f>
        <v>0</v>
      </c>
      <c r="I21" s="680"/>
      <c r="J21" s="1474">
        <f t="shared" si="2"/>
        <v>0</v>
      </c>
      <c r="K21" s="1467" t="str">
        <f t="shared" ca="1" si="3"/>
        <v>-</v>
      </c>
      <c r="L21" s="1465" t="s">
        <v>413</v>
      </c>
      <c r="M21" s="1466">
        <f t="shared" ca="1" si="4"/>
        <v>0</v>
      </c>
      <c r="N21" s="1467">
        <f t="shared" ca="1" si="5"/>
        <v>0</v>
      </c>
      <c r="O21" s="1490">
        <f ca="1">IF(ROW()-ROW($A$6)&lt;'الف-ب-ج'!$L$9,INDIRECT("BudgetDB!CK"&amp;('الف-ب-ج'!$M$9+ROW()-ROW($A$6))),"")</f>
        <v>0</v>
      </c>
      <c r="P21" s="680"/>
      <c r="Q21" s="1474">
        <f t="shared" si="6"/>
        <v>0</v>
      </c>
      <c r="R21" s="1467" t="str">
        <f t="shared" ca="1" si="7"/>
        <v>-</v>
      </c>
      <c r="S21" s="1490">
        <f ca="1">IF(ROW()-ROW($A$6)&lt;'الف-ب-ج'!$L$9,INDIRECT("BudgetDB!CL"&amp;('الف-ب-ج'!$M$9+ROW()-ROW($A$6))),"")</f>
        <v>0</v>
      </c>
      <c r="T21" s="680"/>
      <c r="U21" s="1474">
        <f t="shared" si="8"/>
        <v>0</v>
      </c>
      <c r="V21" s="1467" t="str">
        <f t="shared" ca="1" si="9"/>
        <v>-</v>
      </c>
      <c r="W21" s="1465" t="s">
        <v>413</v>
      </c>
      <c r="X21" s="1466">
        <f t="shared" ca="1" si="10"/>
        <v>0</v>
      </c>
      <c r="Y21" s="1467">
        <f t="shared" ca="1" si="11"/>
        <v>0</v>
      </c>
      <c r="Z21" s="1490">
        <f ca="1">IF(ROW()-ROW($A$6)&lt;'الف-ب-ج'!$L$9,INDIRECT("BudgetDB!CM"&amp;('الف-ب-ج'!$M$9+ROW()-ROW($A$6))),"")</f>
        <v>0</v>
      </c>
      <c r="AA21" s="680"/>
      <c r="AB21" s="1474">
        <f t="shared" si="12"/>
        <v>0</v>
      </c>
      <c r="AC21" s="1467" t="str">
        <f t="shared" ca="1" si="13"/>
        <v>-</v>
      </c>
      <c r="AD21" s="1490">
        <f ca="1">IF(ROW()-ROW($A$6)&lt;'الف-ب-ج'!$L$9,INDIRECT("BudgetDB!CN"&amp;('الف-ب-ج'!$M$9+ROW()-ROW($A$6))),"")</f>
        <v>0</v>
      </c>
      <c r="AE21" s="680"/>
      <c r="AF21" s="1474">
        <f t="shared" si="14"/>
        <v>0</v>
      </c>
      <c r="AG21" s="1467" t="str">
        <f t="shared" ca="1" si="15"/>
        <v>-</v>
      </c>
      <c r="AH21" s="1465" t="s">
        <v>413</v>
      </c>
      <c r="AI21" s="1466">
        <f t="shared" ca="1" si="16"/>
        <v>0</v>
      </c>
      <c r="AJ21" s="1467">
        <f t="shared" ca="1" si="17"/>
        <v>0</v>
      </c>
      <c r="AK21" s="1490">
        <f ca="1">IF(ROW()-ROW($A$6)&lt;'الف-ب-ج'!$L$9,INDIRECT("BudgetDB!CO"&amp;('الف-ب-ج'!$M$9+ROW()-ROW($A$6))),"")</f>
        <v>0</v>
      </c>
      <c r="AL21" s="680"/>
      <c r="AM21" s="1474">
        <f t="shared" si="18"/>
        <v>0</v>
      </c>
      <c r="AN21" s="1467" t="str">
        <f t="shared" ca="1" si="19"/>
        <v>-</v>
      </c>
      <c r="AO21" s="1490">
        <f ca="1">IF(ROW()-ROW($A$6)&lt;'الف-ب-ج'!$L$9,INDIRECT("BudgetDB!CP"&amp;('الف-ب-ج'!$M$9+ROW()-ROW($A$6))),"")</f>
        <v>0</v>
      </c>
      <c r="AP21" s="680"/>
      <c r="AQ21" s="1474">
        <f t="shared" si="20"/>
        <v>0</v>
      </c>
      <c r="AR21" s="1467" t="str">
        <f t="shared" ca="1" si="21"/>
        <v>-</v>
      </c>
      <c r="AS21" s="1465" t="s">
        <v>413</v>
      </c>
      <c r="AT21" s="1466">
        <f t="shared" ca="1" si="22"/>
        <v>0</v>
      </c>
      <c r="AU21" s="1467">
        <f t="shared" ca="1" si="23"/>
        <v>0</v>
      </c>
      <c r="AV21" s="1490">
        <f ca="1">IF(ROW()-ROW($A$6)&lt;'الف-ب-ج'!$L$9,INDIRECT("BudgetDB!CQ"&amp;('الف-ب-ج'!$M$9+ROW()-ROW($A$6))),"")</f>
        <v>0</v>
      </c>
      <c r="AW21" s="680"/>
      <c r="AX21" s="1474">
        <f t="shared" si="24"/>
        <v>0</v>
      </c>
      <c r="AY21" s="1467" t="str">
        <f t="shared" ca="1" si="25"/>
        <v>-</v>
      </c>
      <c r="AZ21" s="1490">
        <f ca="1">IF(ROW()-ROW($A$6)&lt;'الف-ب-ج'!$L$9,INDIRECT("BudgetDB!CR"&amp;('الف-ب-ج'!$M$9+ROW()-ROW($A$6))),"")</f>
        <v>0</v>
      </c>
      <c r="BA21" s="680"/>
      <c r="BB21" s="1474">
        <f t="shared" si="26"/>
        <v>0</v>
      </c>
      <c r="BC21" s="1467" t="str">
        <f t="shared" ca="1" si="27"/>
        <v>-</v>
      </c>
      <c r="BD21" s="1465" t="s">
        <v>413</v>
      </c>
      <c r="BE21" s="1466">
        <f t="shared" ca="1" si="28"/>
        <v>0</v>
      </c>
      <c r="BF21" s="1467">
        <f t="shared" ca="1" si="29"/>
        <v>0</v>
      </c>
      <c r="BG21" s="1490">
        <f ca="1">IF(ROW()-ROW($A$6)&lt;'الف-ب-ج'!$L$9,INDIRECT("BudgetDB!CS"&amp;('الف-ب-ج'!$M$9+ROW()-ROW($A$6))),"")</f>
        <v>0</v>
      </c>
      <c r="BH21" s="680"/>
      <c r="BI21" s="1474">
        <f t="shared" si="30"/>
        <v>0</v>
      </c>
      <c r="BJ21" s="1467" t="str">
        <f t="shared" ca="1" si="31"/>
        <v>-</v>
      </c>
      <c r="BK21" s="1490">
        <f ca="1">IF(ROW()-ROW($A$6)&lt;'الف-ب-ج'!$L$9,INDIRECT("BudgetDB!CT"&amp;('الف-ب-ج'!$M$9+ROW()-ROW($A$6))),"")</f>
        <v>0</v>
      </c>
      <c r="BL21" s="680"/>
      <c r="BM21" s="1474">
        <f t="shared" si="32"/>
        <v>0</v>
      </c>
      <c r="BN21" s="1467" t="str">
        <f t="shared" ca="1" si="33"/>
        <v>-</v>
      </c>
      <c r="BO21" s="1465" t="s">
        <v>413</v>
      </c>
      <c r="BP21" s="1466">
        <f t="shared" ca="1" si="34"/>
        <v>0</v>
      </c>
      <c r="BQ21" s="1467">
        <f t="shared" ca="1" si="35"/>
        <v>0</v>
      </c>
      <c r="BR21" s="1490">
        <f ca="1">IF(ROW()-ROW($A$6)&lt;'الف-ب-ج'!$L$9,INDIRECT("BudgetDB!CU"&amp;('الف-ب-ج'!$M$9+ROW()-ROW($A$6))),"")</f>
        <v>0</v>
      </c>
      <c r="BS21" s="680"/>
      <c r="BT21" s="1474">
        <f t="shared" si="36"/>
        <v>0</v>
      </c>
      <c r="BU21" s="1467" t="str">
        <f t="shared" ca="1" si="37"/>
        <v>-</v>
      </c>
      <c r="BV21" s="1490">
        <f ca="1">IF(ROW()-ROW($A$6)&lt;'الف-ب-ج'!$L$9,INDIRECT("BudgetDB!CV"&amp;('الف-ب-ج'!$M$9+ROW()-ROW($A$6))),"")</f>
        <v>0</v>
      </c>
      <c r="BW21" s="680"/>
      <c r="BX21" s="1474">
        <f t="shared" si="38"/>
        <v>0</v>
      </c>
      <c r="BY21" s="1467" t="str">
        <f t="shared" ca="1" si="39"/>
        <v>-</v>
      </c>
      <c r="BZ21" s="1465" t="s">
        <v>413</v>
      </c>
      <c r="CA21" s="1466">
        <f t="shared" ca="1" si="40"/>
        <v>0</v>
      </c>
      <c r="CB21" s="1467">
        <f t="shared" ca="1" si="41"/>
        <v>0</v>
      </c>
      <c r="CC21" s="1490">
        <f ca="1">IF(ROW()-ROW($A$6)&lt;'الف-ب-ج'!$L$9,INDIRECT("BudgetDB!CW"&amp;('الف-ب-ج'!$M$9+ROW()-ROW($A$6))),"")</f>
        <v>0</v>
      </c>
      <c r="CD21" s="680"/>
      <c r="CE21" s="1474">
        <f t="shared" si="42"/>
        <v>0</v>
      </c>
      <c r="CF21" s="1467" t="str">
        <f t="shared" ca="1" si="43"/>
        <v>-</v>
      </c>
      <c r="CG21" s="1490">
        <f ca="1">IF(ROW()-ROW($A$6)&lt;'الف-ب-ج'!$L$9,INDIRECT("BudgetDB!CX"&amp;('الف-ب-ج'!$M$9+ROW()-ROW($A$6))),"")</f>
        <v>0</v>
      </c>
      <c r="CH21" s="680"/>
      <c r="CI21" s="1474">
        <f t="shared" si="44"/>
        <v>0</v>
      </c>
      <c r="CJ21" s="1467" t="str">
        <f t="shared" ca="1" si="45"/>
        <v>-</v>
      </c>
      <c r="CK21" s="1465" t="s">
        <v>413</v>
      </c>
      <c r="CL21" s="1466">
        <f t="shared" ca="1" si="46"/>
        <v>0</v>
      </c>
      <c r="CM21" s="1467">
        <f t="shared" ca="1" si="47"/>
        <v>0</v>
      </c>
      <c r="CN21" s="1490">
        <f ca="1">IF(ROW()-ROW($A$6)&lt;'الف-ب-ج'!$L$9,INDIRECT("BudgetDB!CY"&amp;('الف-ب-ج'!$M$9+ROW()-ROW($A$6))),"")</f>
        <v>0</v>
      </c>
      <c r="CO21" s="680"/>
      <c r="CP21" s="1474">
        <f t="shared" si="48"/>
        <v>0</v>
      </c>
      <c r="CQ21" s="1467" t="str">
        <f t="shared" ca="1" si="49"/>
        <v>-</v>
      </c>
      <c r="CR21" s="1490">
        <f ca="1">IF(ROW()-ROW($A$6)&lt;'الف-ب-ج'!$L$9,INDIRECT("BudgetDB!CZ"&amp;('الف-ب-ج'!$M$9+ROW()-ROW($A$6))),"")</f>
        <v>0</v>
      </c>
      <c r="CS21" s="680"/>
      <c r="CT21" s="1474">
        <f t="shared" si="50"/>
        <v>0</v>
      </c>
      <c r="CU21" s="1467" t="str">
        <f t="shared" ca="1" si="51"/>
        <v>-</v>
      </c>
      <c r="CV21" s="1465" t="s">
        <v>413</v>
      </c>
      <c r="CW21" s="1466">
        <f t="shared" ca="1" si="52"/>
        <v>0</v>
      </c>
      <c r="CX21" s="1467">
        <f t="shared" ca="1" si="53"/>
        <v>0</v>
      </c>
      <c r="CY21" s="1490">
        <f ca="1">IF(ROW()-ROW($A$6)&lt;'الف-ب-ج'!$L$9,INDIRECT("BudgetDB!DA"&amp;('الف-ب-ج'!$M$9+ROW()-ROW($A$6))),"")</f>
        <v>0</v>
      </c>
      <c r="CZ21" s="680"/>
      <c r="DA21" s="1474">
        <f t="shared" si="54"/>
        <v>0</v>
      </c>
      <c r="DB21" s="1467" t="str">
        <f t="shared" ca="1" si="55"/>
        <v>-</v>
      </c>
      <c r="DC21" s="1490">
        <f ca="1">IF(ROW()-ROW($A$6)&lt;'الف-ب-ج'!$L$9,INDIRECT("BudgetDB!DB"&amp;('الف-ب-ج'!$M$9+ROW()-ROW($A$6))),"")</f>
        <v>0</v>
      </c>
      <c r="DD21" s="680"/>
      <c r="DE21" s="1474">
        <f t="shared" si="56"/>
        <v>0</v>
      </c>
      <c r="DF21" s="1467" t="str">
        <f t="shared" ca="1" si="57"/>
        <v>-</v>
      </c>
      <c r="DG21" s="1465" t="s">
        <v>413</v>
      </c>
      <c r="DH21" s="1466">
        <f t="shared" ca="1" si="58"/>
        <v>0</v>
      </c>
      <c r="DI21" s="1467">
        <f t="shared" ca="1" si="59"/>
        <v>0</v>
      </c>
      <c r="DJ21" s="1480">
        <f t="shared" ca="1" si="60"/>
        <v>0</v>
      </c>
      <c r="DK21" s="1481">
        <f t="shared" si="61"/>
        <v>0</v>
      </c>
      <c r="DL21" s="1472" t="str">
        <f t="shared" ca="1" si="62"/>
        <v>-</v>
      </c>
    </row>
    <row r="22" spans="1:116" s="37" customFormat="1" ht="30" customHeight="1" thickBot="1">
      <c r="A22" s="1468" t="s">
        <v>686</v>
      </c>
      <c r="B22" s="1469">
        <f ca="1">'خرید مواد اولیه تولید'!B23</f>
        <v>0</v>
      </c>
      <c r="C22" s="1470">
        <f ca="1">'خرید مواد اولیه تولید'!C23</f>
        <v>0</v>
      </c>
      <c r="D22" s="1491">
        <f ca="1">IF(ROW()-ROW($A$6)&lt;'الف-ب-ج'!$L$9,INDIRECT("BudgetDB!CI"&amp;('الف-ب-ج'!$M$9+ROW()-ROW($A$6))),"")</f>
        <v>0</v>
      </c>
      <c r="E22" s="681"/>
      <c r="F22" s="1475">
        <f t="shared" si="0"/>
        <v>0</v>
      </c>
      <c r="G22" s="1470" t="str">
        <f t="shared" ca="1" si="1"/>
        <v>-</v>
      </c>
      <c r="H22" s="1491">
        <f ca="1">IF(ROW()-ROW($A$6)&lt;'الف-ب-ج'!$L$9,INDIRECT("BudgetDB!CJ"&amp;('الف-ب-ج'!$M$9+ROW()-ROW($A$6))),"")</f>
        <v>0</v>
      </c>
      <c r="I22" s="681"/>
      <c r="J22" s="1475">
        <f t="shared" si="2"/>
        <v>0</v>
      </c>
      <c r="K22" s="1470" t="str">
        <f t="shared" ca="1" si="3"/>
        <v>-</v>
      </c>
      <c r="L22" s="1468" t="s">
        <v>686</v>
      </c>
      <c r="M22" s="1469">
        <f t="shared" ca="1" si="4"/>
        <v>0</v>
      </c>
      <c r="N22" s="1470">
        <f t="shared" ca="1" si="5"/>
        <v>0</v>
      </c>
      <c r="O22" s="1491">
        <f ca="1">IF(ROW()-ROW($A$6)&lt;'الف-ب-ج'!$L$9,INDIRECT("BudgetDB!CK"&amp;('الف-ب-ج'!$M$9+ROW()-ROW($A$6))),"")</f>
        <v>0</v>
      </c>
      <c r="P22" s="681"/>
      <c r="Q22" s="1475">
        <f t="shared" si="6"/>
        <v>0</v>
      </c>
      <c r="R22" s="1470" t="str">
        <f t="shared" ca="1" si="7"/>
        <v>-</v>
      </c>
      <c r="S22" s="1491">
        <f ca="1">IF(ROW()-ROW($A$6)&lt;'الف-ب-ج'!$L$9,INDIRECT("BudgetDB!CL"&amp;('الف-ب-ج'!$M$9+ROW()-ROW($A$6))),"")</f>
        <v>0</v>
      </c>
      <c r="T22" s="681"/>
      <c r="U22" s="1475">
        <f t="shared" si="8"/>
        <v>0</v>
      </c>
      <c r="V22" s="1470" t="str">
        <f t="shared" ca="1" si="9"/>
        <v>-</v>
      </c>
      <c r="W22" s="1468" t="s">
        <v>686</v>
      </c>
      <c r="X22" s="1469">
        <f t="shared" ca="1" si="10"/>
        <v>0</v>
      </c>
      <c r="Y22" s="1470">
        <f t="shared" ca="1" si="11"/>
        <v>0</v>
      </c>
      <c r="Z22" s="1491">
        <f ca="1">IF(ROW()-ROW($A$6)&lt;'الف-ب-ج'!$L$9,INDIRECT("BudgetDB!CM"&amp;('الف-ب-ج'!$M$9+ROW()-ROW($A$6))),"")</f>
        <v>0</v>
      </c>
      <c r="AA22" s="681"/>
      <c r="AB22" s="1475">
        <f t="shared" si="12"/>
        <v>0</v>
      </c>
      <c r="AC22" s="1470" t="str">
        <f t="shared" ca="1" si="13"/>
        <v>-</v>
      </c>
      <c r="AD22" s="1491">
        <f ca="1">IF(ROW()-ROW($A$6)&lt;'الف-ب-ج'!$L$9,INDIRECT("BudgetDB!CN"&amp;('الف-ب-ج'!$M$9+ROW()-ROW($A$6))),"")</f>
        <v>0</v>
      </c>
      <c r="AE22" s="681"/>
      <c r="AF22" s="1475">
        <f t="shared" si="14"/>
        <v>0</v>
      </c>
      <c r="AG22" s="1470" t="str">
        <f t="shared" ca="1" si="15"/>
        <v>-</v>
      </c>
      <c r="AH22" s="1468" t="s">
        <v>686</v>
      </c>
      <c r="AI22" s="1469">
        <f t="shared" ca="1" si="16"/>
        <v>0</v>
      </c>
      <c r="AJ22" s="1470">
        <f t="shared" ca="1" si="17"/>
        <v>0</v>
      </c>
      <c r="AK22" s="1491">
        <f ca="1">IF(ROW()-ROW($A$6)&lt;'الف-ب-ج'!$L$9,INDIRECT("BudgetDB!CO"&amp;('الف-ب-ج'!$M$9+ROW()-ROW($A$6))),"")</f>
        <v>0</v>
      </c>
      <c r="AL22" s="681"/>
      <c r="AM22" s="1475">
        <f t="shared" si="18"/>
        <v>0</v>
      </c>
      <c r="AN22" s="1470" t="str">
        <f t="shared" ca="1" si="19"/>
        <v>-</v>
      </c>
      <c r="AO22" s="1491">
        <f ca="1">IF(ROW()-ROW($A$6)&lt;'الف-ب-ج'!$L$9,INDIRECT("BudgetDB!CP"&amp;('الف-ب-ج'!$M$9+ROW()-ROW($A$6))),"")</f>
        <v>0</v>
      </c>
      <c r="AP22" s="681"/>
      <c r="AQ22" s="1475">
        <f t="shared" si="20"/>
        <v>0</v>
      </c>
      <c r="AR22" s="1470" t="str">
        <f t="shared" ca="1" si="21"/>
        <v>-</v>
      </c>
      <c r="AS22" s="1468" t="s">
        <v>686</v>
      </c>
      <c r="AT22" s="1469">
        <f t="shared" ca="1" si="22"/>
        <v>0</v>
      </c>
      <c r="AU22" s="1470">
        <f t="shared" ca="1" si="23"/>
        <v>0</v>
      </c>
      <c r="AV22" s="1491">
        <f ca="1">IF(ROW()-ROW($A$6)&lt;'الف-ب-ج'!$L$9,INDIRECT("BudgetDB!CQ"&amp;('الف-ب-ج'!$M$9+ROW()-ROW($A$6))),"")</f>
        <v>0</v>
      </c>
      <c r="AW22" s="681"/>
      <c r="AX22" s="1475">
        <f t="shared" si="24"/>
        <v>0</v>
      </c>
      <c r="AY22" s="1470" t="str">
        <f t="shared" ca="1" si="25"/>
        <v>-</v>
      </c>
      <c r="AZ22" s="1491">
        <f ca="1">IF(ROW()-ROW($A$6)&lt;'الف-ب-ج'!$L$9,INDIRECT("BudgetDB!CR"&amp;('الف-ب-ج'!$M$9+ROW()-ROW($A$6))),"")</f>
        <v>0</v>
      </c>
      <c r="BA22" s="681"/>
      <c r="BB22" s="1475">
        <f t="shared" si="26"/>
        <v>0</v>
      </c>
      <c r="BC22" s="1470" t="str">
        <f t="shared" ca="1" si="27"/>
        <v>-</v>
      </c>
      <c r="BD22" s="1468" t="s">
        <v>686</v>
      </c>
      <c r="BE22" s="1469">
        <f t="shared" ca="1" si="28"/>
        <v>0</v>
      </c>
      <c r="BF22" s="1470">
        <f t="shared" ca="1" si="29"/>
        <v>0</v>
      </c>
      <c r="BG22" s="1491">
        <f ca="1">IF(ROW()-ROW($A$6)&lt;'الف-ب-ج'!$L$9,INDIRECT("BudgetDB!CS"&amp;('الف-ب-ج'!$M$9+ROW()-ROW($A$6))),"")</f>
        <v>0</v>
      </c>
      <c r="BH22" s="681"/>
      <c r="BI22" s="1475">
        <f t="shared" si="30"/>
        <v>0</v>
      </c>
      <c r="BJ22" s="1470" t="str">
        <f t="shared" ca="1" si="31"/>
        <v>-</v>
      </c>
      <c r="BK22" s="1491">
        <f ca="1">IF(ROW()-ROW($A$6)&lt;'الف-ب-ج'!$L$9,INDIRECT("BudgetDB!CT"&amp;('الف-ب-ج'!$M$9+ROW()-ROW($A$6))),"")</f>
        <v>0</v>
      </c>
      <c r="BL22" s="681"/>
      <c r="BM22" s="1475">
        <f t="shared" si="32"/>
        <v>0</v>
      </c>
      <c r="BN22" s="1470" t="str">
        <f t="shared" ca="1" si="33"/>
        <v>-</v>
      </c>
      <c r="BO22" s="1468" t="s">
        <v>686</v>
      </c>
      <c r="BP22" s="1469">
        <f t="shared" ca="1" si="34"/>
        <v>0</v>
      </c>
      <c r="BQ22" s="1470">
        <f t="shared" ca="1" si="35"/>
        <v>0</v>
      </c>
      <c r="BR22" s="1491">
        <f ca="1">IF(ROW()-ROW($A$6)&lt;'الف-ب-ج'!$L$9,INDIRECT("BudgetDB!CU"&amp;('الف-ب-ج'!$M$9+ROW()-ROW($A$6))),"")</f>
        <v>0</v>
      </c>
      <c r="BS22" s="681"/>
      <c r="BT22" s="1475">
        <f t="shared" si="36"/>
        <v>0</v>
      </c>
      <c r="BU22" s="1470" t="str">
        <f t="shared" ca="1" si="37"/>
        <v>-</v>
      </c>
      <c r="BV22" s="1491">
        <f ca="1">IF(ROW()-ROW($A$6)&lt;'الف-ب-ج'!$L$9,INDIRECT("BudgetDB!CV"&amp;('الف-ب-ج'!$M$9+ROW()-ROW($A$6))),"")</f>
        <v>0</v>
      </c>
      <c r="BW22" s="681"/>
      <c r="BX22" s="1475">
        <f t="shared" si="38"/>
        <v>0</v>
      </c>
      <c r="BY22" s="1470" t="str">
        <f t="shared" ca="1" si="39"/>
        <v>-</v>
      </c>
      <c r="BZ22" s="1468" t="s">
        <v>686</v>
      </c>
      <c r="CA22" s="1469">
        <f t="shared" ca="1" si="40"/>
        <v>0</v>
      </c>
      <c r="CB22" s="1470">
        <f t="shared" ca="1" si="41"/>
        <v>0</v>
      </c>
      <c r="CC22" s="1491">
        <f ca="1">IF(ROW()-ROW($A$6)&lt;'الف-ب-ج'!$L$9,INDIRECT("BudgetDB!CW"&amp;('الف-ب-ج'!$M$9+ROW()-ROW($A$6))),"")</f>
        <v>0</v>
      </c>
      <c r="CD22" s="681"/>
      <c r="CE22" s="1475">
        <f t="shared" si="42"/>
        <v>0</v>
      </c>
      <c r="CF22" s="1470" t="str">
        <f t="shared" ca="1" si="43"/>
        <v>-</v>
      </c>
      <c r="CG22" s="1491">
        <f ca="1">IF(ROW()-ROW($A$6)&lt;'الف-ب-ج'!$L$9,INDIRECT("BudgetDB!CX"&amp;('الف-ب-ج'!$M$9+ROW()-ROW($A$6))),"")</f>
        <v>0</v>
      </c>
      <c r="CH22" s="681"/>
      <c r="CI22" s="1475">
        <f t="shared" si="44"/>
        <v>0</v>
      </c>
      <c r="CJ22" s="1470" t="str">
        <f t="shared" ca="1" si="45"/>
        <v>-</v>
      </c>
      <c r="CK22" s="1468" t="s">
        <v>686</v>
      </c>
      <c r="CL22" s="1469">
        <f t="shared" ca="1" si="46"/>
        <v>0</v>
      </c>
      <c r="CM22" s="1470">
        <f t="shared" ca="1" si="47"/>
        <v>0</v>
      </c>
      <c r="CN22" s="1491">
        <f ca="1">IF(ROW()-ROW($A$6)&lt;'الف-ب-ج'!$L$9,INDIRECT("BudgetDB!CY"&amp;('الف-ب-ج'!$M$9+ROW()-ROW($A$6))),"")</f>
        <v>0</v>
      </c>
      <c r="CO22" s="681"/>
      <c r="CP22" s="1475">
        <f t="shared" si="48"/>
        <v>0</v>
      </c>
      <c r="CQ22" s="1470" t="str">
        <f t="shared" ca="1" si="49"/>
        <v>-</v>
      </c>
      <c r="CR22" s="1491">
        <f ca="1">IF(ROW()-ROW($A$6)&lt;'الف-ب-ج'!$L$9,INDIRECT("BudgetDB!CZ"&amp;('الف-ب-ج'!$M$9+ROW()-ROW($A$6))),"")</f>
        <v>0</v>
      </c>
      <c r="CS22" s="681"/>
      <c r="CT22" s="1475">
        <f t="shared" si="50"/>
        <v>0</v>
      </c>
      <c r="CU22" s="1470" t="str">
        <f t="shared" ca="1" si="51"/>
        <v>-</v>
      </c>
      <c r="CV22" s="1468" t="s">
        <v>686</v>
      </c>
      <c r="CW22" s="1469">
        <f t="shared" ca="1" si="52"/>
        <v>0</v>
      </c>
      <c r="CX22" s="1470">
        <f t="shared" ca="1" si="53"/>
        <v>0</v>
      </c>
      <c r="CY22" s="1491">
        <f ca="1">IF(ROW()-ROW($A$6)&lt;'الف-ب-ج'!$L$9,INDIRECT("BudgetDB!DA"&amp;('الف-ب-ج'!$M$9+ROW()-ROW($A$6))),"")</f>
        <v>0</v>
      </c>
      <c r="CZ22" s="681"/>
      <c r="DA22" s="1475">
        <f t="shared" si="54"/>
        <v>0</v>
      </c>
      <c r="DB22" s="1470" t="str">
        <f t="shared" ca="1" si="55"/>
        <v>-</v>
      </c>
      <c r="DC22" s="1491">
        <f ca="1">IF(ROW()-ROW($A$6)&lt;'الف-ب-ج'!$L$9,INDIRECT("BudgetDB!DB"&amp;('الف-ب-ج'!$M$9+ROW()-ROW($A$6))),"")</f>
        <v>0</v>
      </c>
      <c r="DD22" s="681"/>
      <c r="DE22" s="1475">
        <f t="shared" si="56"/>
        <v>0</v>
      </c>
      <c r="DF22" s="1470" t="str">
        <f t="shared" ca="1" si="57"/>
        <v>-</v>
      </c>
      <c r="DG22" s="1468" t="s">
        <v>686</v>
      </c>
      <c r="DH22" s="1469">
        <f t="shared" ca="1" si="58"/>
        <v>0</v>
      </c>
      <c r="DI22" s="1470">
        <f t="shared" ca="1" si="59"/>
        <v>0</v>
      </c>
      <c r="DJ22" s="1482">
        <f t="shared" ca="1" si="60"/>
        <v>0</v>
      </c>
      <c r="DK22" s="1483">
        <f t="shared" si="61"/>
        <v>0</v>
      </c>
      <c r="DL22" s="1472" t="str">
        <f t="shared" ca="1" si="62"/>
        <v>-</v>
      </c>
    </row>
    <row r="23" spans="1:116" s="5" customFormat="1" ht="34.5" customHeight="1">
      <c r="A23" s="84"/>
      <c r="B23" s="8"/>
      <c r="D23" s="9"/>
      <c r="E23" s="2752"/>
      <c r="F23" s="2752"/>
      <c r="G23" s="2752"/>
      <c r="J23" s="2752"/>
      <c r="K23" s="2752"/>
      <c r="L23" s="1083"/>
      <c r="M23" s="1083"/>
      <c r="N23" s="1083"/>
      <c r="O23" s="9"/>
      <c r="P23" s="2935"/>
      <c r="Q23" s="2935"/>
      <c r="R23" s="2935"/>
      <c r="U23" s="2752"/>
      <c r="V23" s="2752"/>
      <c r="W23" s="1083"/>
      <c r="X23" s="1083"/>
      <c r="Y23" s="1083"/>
      <c r="Z23" s="9"/>
      <c r="AA23" s="2935"/>
      <c r="AB23" s="2935"/>
      <c r="AC23" s="2935"/>
      <c r="AF23" s="2752"/>
      <c r="AG23" s="2752"/>
      <c r="AH23" s="1083"/>
      <c r="AI23" s="1083"/>
      <c r="AJ23" s="1083"/>
      <c r="AK23" s="9"/>
      <c r="AL23" s="2935"/>
      <c r="AM23" s="2935"/>
      <c r="AN23" s="2935"/>
      <c r="AQ23" s="2752"/>
      <c r="AR23" s="2752"/>
      <c r="AS23" s="1083"/>
      <c r="AT23" s="1083"/>
      <c r="AU23" s="1083"/>
      <c r="AV23" s="9"/>
      <c r="AW23" s="2935"/>
      <c r="AX23" s="2935"/>
      <c r="AY23" s="2935"/>
      <c r="BB23" s="2752"/>
      <c r="BC23" s="2752"/>
      <c r="BD23" s="1083"/>
      <c r="BE23" s="1083"/>
      <c r="BF23" s="1083"/>
      <c r="BG23" s="9"/>
      <c r="BH23" s="2935"/>
      <c r="BI23" s="2935"/>
      <c r="BJ23" s="2935"/>
      <c r="BM23" s="2752"/>
      <c r="BN23" s="2752"/>
      <c r="BO23" s="1083"/>
      <c r="BP23" s="1083"/>
      <c r="BQ23" s="1083"/>
      <c r="BR23" s="9"/>
      <c r="BS23" s="2935"/>
      <c r="BT23" s="2935"/>
      <c r="BU23" s="2935"/>
      <c r="BX23" s="2752"/>
      <c r="BY23" s="2752"/>
      <c r="BZ23" s="1083"/>
      <c r="CA23" s="1083"/>
      <c r="CB23" s="1083"/>
      <c r="CC23" s="9"/>
      <c r="CD23" s="2935"/>
      <c r="CE23" s="2935"/>
      <c r="CF23" s="2935"/>
      <c r="CI23" s="2752"/>
      <c r="CJ23" s="2752"/>
      <c r="CK23" s="1083"/>
      <c r="CL23" s="1083"/>
      <c r="CM23" s="1083"/>
      <c r="CN23" s="9"/>
      <c r="CO23" s="2935"/>
      <c r="CP23" s="2935"/>
      <c r="CQ23" s="2935"/>
      <c r="CT23" s="2752"/>
      <c r="CU23" s="2752"/>
      <c r="CV23" s="1083"/>
      <c r="CW23" s="1083"/>
      <c r="CX23" s="1083"/>
      <c r="CY23" s="9"/>
      <c r="CZ23" s="2935"/>
      <c r="DA23" s="2935"/>
      <c r="DB23" s="2935"/>
      <c r="DE23" s="2752"/>
      <c r="DF23" s="2752"/>
      <c r="DG23" s="1083"/>
      <c r="DH23" s="1083"/>
      <c r="DI23" s="1083"/>
      <c r="DJ23" s="1083"/>
      <c r="DK23" s="1083"/>
    </row>
    <row r="24" spans="1:116" s="5" customFormat="1" ht="60" hidden="1" customHeight="1">
      <c r="A24" s="84"/>
      <c r="B24" s="9"/>
      <c r="D24" s="9"/>
      <c r="E24" s="1083"/>
      <c r="F24" s="1083"/>
      <c r="G24" s="1083"/>
      <c r="H24" s="1083">
        <f>COLUMN()</f>
        <v>8</v>
      </c>
      <c r="J24" s="85"/>
      <c r="K24" s="85"/>
      <c r="L24" s="1083">
        <f>COLUMN()</f>
        <v>12</v>
      </c>
      <c r="M24" s="1083"/>
      <c r="N24" s="1083"/>
      <c r="O24" s="1083"/>
      <c r="P24" s="1083"/>
      <c r="Q24" s="1083"/>
      <c r="R24" s="1083"/>
      <c r="S24" s="1083">
        <f>COLUMN()</f>
        <v>19</v>
      </c>
      <c r="U24" s="85"/>
      <c r="V24" s="85"/>
      <c r="W24" s="1083">
        <f>COLUMN()</f>
        <v>23</v>
      </c>
      <c r="X24" s="1083"/>
      <c r="Y24" s="1083"/>
      <c r="Z24" s="9"/>
      <c r="AA24" s="1083"/>
      <c r="AB24" s="1083"/>
      <c r="AC24" s="1083"/>
      <c r="AD24" s="1083">
        <f>COLUMN()</f>
        <v>30</v>
      </c>
      <c r="AF24" s="85"/>
      <c r="AG24" s="85"/>
      <c r="AH24" s="1083">
        <f>COLUMN()</f>
        <v>34</v>
      </c>
      <c r="AI24" s="1083"/>
      <c r="AJ24" s="1083"/>
      <c r="AK24" s="9"/>
      <c r="AL24" s="1083"/>
      <c r="AM24" s="1083"/>
      <c r="AN24" s="1083"/>
      <c r="AO24" s="1083">
        <f>COLUMN()</f>
        <v>41</v>
      </c>
      <c r="AQ24" s="85"/>
      <c r="AR24" s="85"/>
      <c r="AS24" s="1083">
        <f>COLUMN()</f>
        <v>45</v>
      </c>
      <c r="AT24" s="1083"/>
      <c r="AU24" s="1083"/>
      <c r="AV24" s="9"/>
      <c r="AW24" s="1083"/>
      <c r="AX24" s="1083"/>
      <c r="AY24" s="1083"/>
      <c r="AZ24" s="1083">
        <f>COLUMN()</f>
        <v>52</v>
      </c>
      <c r="BB24" s="85"/>
      <c r="BC24" s="85"/>
      <c r="BD24" s="1083">
        <f>COLUMN()</f>
        <v>56</v>
      </c>
      <c r="BE24" s="1083"/>
      <c r="BF24" s="1083"/>
      <c r="BG24" s="9"/>
      <c r="BH24" s="1083"/>
      <c r="BI24" s="1083"/>
      <c r="BJ24" s="1083"/>
      <c r="BK24" s="1083">
        <f>COLUMN()</f>
        <v>63</v>
      </c>
      <c r="BM24" s="85"/>
      <c r="BN24" s="85"/>
      <c r="BO24" s="1083">
        <f>COLUMN()</f>
        <v>67</v>
      </c>
      <c r="BP24" s="1083"/>
      <c r="BQ24" s="1083"/>
      <c r="BR24" s="9"/>
      <c r="BS24" s="1083"/>
      <c r="BT24" s="1083"/>
      <c r="BU24" s="1083"/>
      <c r="BV24" s="1083">
        <f>COLUMN()</f>
        <v>74</v>
      </c>
      <c r="BX24" s="85"/>
      <c r="BY24" s="85"/>
      <c r="BZ24" s="1083">
        <f>COLUMN()</f>
        <v>78</v>
      </c>
      <c r="CA24" s="1083"/>
      <c r="CB24" s="1083"/>
      <c r="CC24" s="9"/>
      <c r="CD24" s="1083"/>
      <c r="CE24" s="1083"/>
      <c r="CF24" s="1083"/>
      <c r="CG24" s="1083">
        <f>COLUMN()</f>
        <v>85</v>
      </c>
      <c r="CI24" s="85"/>
      <c r="CJ24" s="85"/>
      <c r="CK24" s="1083">
        <f>COLUMN()</f>
        <v>89</v>
      </c>
      <c r="CL24" s="1083"/>
      <c r="CM24" s="1083"/>
      <c r="CN24" s="9"/>
      <c r="CO24" s="1083"/>
      <c r="CP24" s="1083"/>
      <c r="CQ24" s="1083"/>
      <c r="CR24" s="1083">
        <f>COLUMN()</f>
        <v>96</v>
      </c>
      <c r="CT24" s="85"/>
      <c r="CU24" s="85"/>
      <c r="CV24" s="1083">
        <f>COLUMN()</f>
        <v>100</v>
      </c>
      <c r="CW24" s="1083"/>
      <c r="CX24" s="1083"/>
      <c r="CY24" s="9"/>
      <c r="CZ24" s="1083"/>
      <c r="DA24" s="1083"/>
      <c r="DB24" s="1083"/>
      <c r="DC24" s="1083">
        <f>COLUMN()</f>
        <v>107</v>
      </c>
      <c r="DE24" s="85"/>
      <c r="DF24" s="1083">
        <f>COLUMN()</f>
        <v>110</v>
      </c>
      <c r="DG24" s="1083">
        <f>COLUMN()</f>
        <v>111</v>
      </c>
      <c r="DH24" s="1083"/>
      <c r="DI24" s="1083"/>
      <c r="DJ24" s="1083"/>
      <c r="DK24" s="1083"/>
    </row>
    <row r="25" spans="1:116" ht="26.25" customHeight="1">
      <c r="A25" s="5"/>
      <c r="B25" s="28"/>
      <c r="C25" s="28"/>
      <c r="D25" s="28"/>
      <c r="E25" s="28"/>
      <c r="F25" s="28"/>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row>
    <row r="26" spans="1:116" ht="12.75" customHeight="1">
      <c r="A26" s="38"/>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row>
    <row r="27" spans="1:116" ht="18" customHeight="1"/>
    <row r="28" spans="1:116" ht="18" customHeight="1"/>
  </sheetData>
  <mergeCells count="146">
    <mergeCell ref="DL2:DL5"/>
    <mergeCell ref="DC3:DC4"/>
    <mergeCell ref="DD3:DF3"/>
    <mergeCell ref="DE4:DF4"/>
    <mergeCell ref="DI2:DI5"/>
    <mergeCell ref="DG2:DG5"/>
    <mergeCell ref="DH2:DH5"/>
    <mergeCell ref="CK2:CK5"/>
    <mergeCell ref="CL2:CL5"/>
    <mergeCell ref="CM2:CM5"/>
    <mergeCell ref="CO2:CQ2"/>
    <mergeCell ref="CO3:CQ3"/>
    <mergeCell ref="CP4:CQ4"/>
    <mergeCell ref="CN3:CN4"/>
    <mergeCell ref="CX2:CX5"/>
    <mergeCell ref="DD2:DF2"/>
    <mergeCell ref="DK2:DK5"/>
    <mergeCell ref="DJ2:DJ5"/>
    <mergeCell ref="BM4:BN4"/>
    <mergeCell ref="DE23:DF23"/>
    <mergeCell ref="CS2:CU2"/>
    <mergeCell ref="BS23:BU23"/>
    <mergeCell ref="BX23:BY23"/>
    <mergeCell ref="CO23:CQ23"/>
    <mergeCell ref="CT23:CU23"/>
    <mergeCell ref="CZ23:DB23"/>
    <mergeCell ref="CR3:CR4"/>
    <mergeCell ref="CD23:CF23"/>
    <mergeCell ref="BT4:BU4"/>
    <mergeCell ref="BX4:BY4"/>
    <mergeCell ref="CE4:CF4"/>
    <mergeCell ref="CI4:CJ4"/>
    <mergeCell ref="CI23:CJ23"/>
    <mergeCell ref="CS3:CU3"/>
    <mergeCell ref="CY3:CY4"/>
    <mergeCell ref="CZ3:DB3"/>
    <mergeCell ref="CT4:CU4"/>
    <mergeCell ref="DA4:DB4"/>
    <mergeCell ref="CV2:CV5"/>
    <mergeCell ref="CW2:CW5"/>
    <mergeCell ref="BS3:BU3"/>
    <mergeCell ref="AK3:AK4"/>
    <mergeCell ref="DA1:DB1"/>
    <mergeCell ref="U4:V4"/>
    <mergeCell ref="AQ4:AR4"/>
    <mergeCell ref="CE1:CF1"/>
    <mergeCell ref="CZ2:DB2"/>
    <mergeCell ref="BB4:BC4"/>
    <mergeCell ref="AP3:AR3"/>
    <mergeCell ref="AH2:AH5"/>
    <mergeCell ref="AI2:AI5"/>
    <mergeCell ref="AJ2:AJ5"/>
    <mergeCell ref="CH2:CJ2"/>
    <mergeCell ref="BP2:BP5"/>
    <mergeCell ref="BQ2:BQ5"/>
    <mergeCell ref="AV3:AV4"/>
    <mergeCell ref="AW3:AY3"/>
    <mergeCell ref="AZ3:AZ4"/>
    <mergeCell ref="BA3:BC3"/>
    <mergeCell ref="AX4:AY4"/>
    <mergeCell ref="CD3:CF3"/>
    <mergeCell ref="BW2:BY2"/>
    <mergeCell ref="CD2:CF2"/>
    <mergeCell ref="BR3:BR4"/>
    <mergeCell ref="BI4:BJ4"/>
    <mergeCell ref="P23:R23"/>
    <mergeCell ref="U23:V23"/>
    <mergeCell ref="CP1:CQ1"/>
    <mergeCell ref="BT1:BU1"/>
    <mergeCell ref="BS2:BU2"/>
    <mergeCell ref="AL3:AN3"/>
    <mergeCell ref="AO3:AO4"/>
    <mergeCell ref="BD2:BD5"/>
    <mergeCell ref="AS2:AS5"/>
    <mergeCell ref="AT2:AT5"/>
    <mergeCell ref="AU2:AU5"/>
    <mergeCell ref="BV3:BV4"/>
    <mergeCell ref="BW3:BY3"/>
    <mergeCell ref="CC3:CC4"/>
    <mergeCell ref="BE2:BE5"/>
    <mergeCell ref="BF2:BF5"/>
    <mergeCell ref="BO2:BO5"/>
    <mergeCell ref="BZ2:BZ5"/>
    <mergeCell ref="CA2:CA5"/>
    <mergeCell ref="CB2:CB5"/>
    <mergeCell ref="CG3:CG4"/>
    <mergeCell ref="CH3:CJ3"/>
    <mergeCell ref="AX1:AY1"/>
    <mergeCell ref="Q1:R1"/>
    <mergeCell ref="AA23:AC23"/>
    <mergeCell ref="BI1:BJ1"/>
    <mergeCell ref="BH2:BJ2"/>
    <mergeCell ref="BL2:BN2"/>
    <mergeCell ref="BG3:BG4"/>
    <mergeCell ref="BH3:BJ3"/>
    <mergeCell ref="BK3:BK4"/>
    <mergeCell ref="BL3:BN3"/>
    <mergeCell ref="BH23:BJ23"/>
    <mergeCell ref="BM23:BN23"/>
    <mergeCell ref="AW23:AY23"/>
    <mergeCell ref="BB23:BC23"/>
    <mergeCell ref="AM4:AN4"/>
    <mergeCell ref="AA3:AC3"/>
    <mergeCell ref="AL23:AN23"/>
    <mergeCell ref="AQ23:AR23"/>
    <mergeCell ref="AL2:AN2"/>
    <mergeCell ref="AP2:AR2"/>
    <mergeCell ref="AW2:AY2"/>
    <mergeCell ref="BA2:BC2"/>
    <mergeCell ref="AM1:AN1"/>
    <mergeCell ref="AF23:AG23"/>
    <mergeCell ref="AB1:AC1"/>
    <mergeCell ref="AA2:AC2"/>
    <mergeCell ref="F1:G1"/>
    <mergeCell ref="E3:G3"/>
    <mergeCell ref="I2:K2"/>
    <mergeCell ref="H3:H4"/>
    <mergeCell ref="I3:K3"/>
    <mergeCell ref="E2:G2"/>
    <mergeCell ref="F4:G4"/>
    <mergeCell ref="E23:G23"/>
    <mergeCell ref="J23:K23"/>
    <mergeCell ref="J4:K4"/>
    <mergeCell ref="D3:D4"/>
    <mergeCell ref="A2:A5"/>
    <mergeCell ref="B2:B5"/>
    <mergeCell ref="C2:C5"/>
    <mergeCell ref="L2:L5"/>
    <mergeCell ref="M2:M5"/>
    <mergeCell ref="T3:V3"/>
    <mergeCell ref="Q4:R4"/>
    <mergeCell ref="AF4:AG4"/>
    <mergeCell ref="Z3:Z4"/>
    <mergeCell ref="O3:O4"/>
    <mergeCell ref="N2:N5"/>
    <mergeCell ref="X2:X5"/>
    <mergeCell ref="Y2:Y5"/>
    <mergeCell ref="P2:R2"/>
    <mergeCell ref="T2:V2"/>
    <mergeCell ref="P3:R3"/>
    <mergeCell ref="S3:S4"/>
    <mergeCell ref="W2:W5"/>
    <mergeCell ref="AE2:AG2"/>
    <mergeCell ref="AD3:AD4"/>
    <mergeCell ref="AE3:AG3"/>
    <mergeCell ref="AB4:AC4"/>
  </mergeCells>
  <printOptions horizontalCentered="1"/>
  <pageMargins left="0.19685039370078741" right="0.19685039370078741" top="0.59055118110236227" bottom="0.78740157480314965" header="0.19685039370078741" footer="0.19685039370078741"/>
  <pageSetup paperSize="9" scale="79" fitToWidth="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colBreaks count="10" manualBreakCount="10">
    <brk id="11" max="21" man="1"/>
    <brk id="22" max="21" man="1"/>
    <brk id="33" max="21" man="1"/>
    <brk id="44" max="21" man="1"/>
    <brk id="55" max="21" man="1"/>
    <brk id="66" max="21" man="1"/>
    <brk id="77" max="21" man="1"/>
    <brk id="88" max="21" man="1"/>
    <brk id="99" max="21" man="1"/>
    <brk id="110" max="21" man="1"/>
  </col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4">
    <pageSetUpPr fitToPage="1"/>
  </sheetPr>
  <dimension ref="A1:N16"/>
  <sheetViews>
    <sheetView rightToLeft="1" workbookViewId="0"/>
  </sheetViews>
  <sheetFormatPr defaultColWidth="9" defaultRowHeight="21"/>
  <cols>
    <col min="1" max="1" width="6.28515625" style="37" customWidth="1"/>
    <col min="2" max="2" width="40.5703125" style="37" customWidth="1"/>
    <col min="3" max="3" width="15.5703125" style="37" customWidth="1"/>
    <col min="4" max="8" width="16.5703125" style="37" customWidth="1"/>
    <col min="9" max="10" width="13.5703125" style="37" customWidth="1"/>
    <col min="11" max="11" width="15.5703125" style="37" customWidth="1"/>
    <col min="12" max="14" width="12" style="37" hidden="1" customWidth="1"/>
    <col min="15" max="16384" width="9" style="37"/>
  </cols>
  <sheetData>
    <row r="1" spans="1:14" ht="15.75" customHeight="1">
      <c r="A1" s="455"/>
      <c r="B1" s="455"/>
      <c r="C1" s="455"/>
      <c r="D1" s="455"/>
      <c r="E1" s="455"/>
      <c r="F1" s="455"/>
      <c r="G1" s="455"/>
      <c r="H1" s="455"/>
      <c r="I1" s="455"/>
      <c r="J1" s="455"/>
    </row>
    <row r="2" spans="1:14" s="5" customFormat="1" ht="26.25" customHeight="1">
      <c r="A2" s="2685" t="str">
        <f>'فروش داخلی تجاری'!A1:T1</f>
        <v>انبارهای عمومی و خدمات گمرکی ایران</v>
      </c>
      <c r="B2" s="2685"/>
      <c r="C2" s="2685"/>
      <c r="D2" s="2685"/>
      <c r="E2" s="2685"/>
      <c r="F2" s="2685"/>
      <c r="G2" s="2685"/>
      <c r="H2" s="2685"/>
      <c r="I2" s="2685"/>
      <c r="J2" s="2685"/>
      <c r="K2" s="54"/>
      <c r="L2" s="3"/>
      <c r="M2" s="211"/>
      <c r="N2" s="3"/>
    </row>
    <row r="3" spans="1:14" s="5" customFormat="1" ht="24" customHeight="1">
      <c r="A3" s="1110" t="s">
        <v>1273</v>
      </c>
      <c r="B3" s="1110"/>
      <c r="C3" s="1110"/>
      <c r="D3" s="1110"/>
      <c r="E3" s="1110"/>
      <c r="F3" s="1110"/>
      <c r="G3" s="1088" t="s">
        <v>1246</v>
      </c>
      <c r="H3" s="1089" t="str">
        <f>روکش!$F$9</f>
        <v>شش ماهه</v>
      </c>
      <c r="I3" s="1089" t="s">
        <v>379</v>
      </c>
      <c r="J3" s="1088">
        <f>روکش!$D$9</f>
        <v>1405</v>
      </c>
      <c r="K3" s="62"/>
      <c r="L3" s="865"/>
      <c r="M3" s="866"/>
      <c r="N3" s="865"/>
    </row>
    <row r="4" spans="1:14" ht="25.5" customHeight="1">
      <c r="A4" s="2859"/>
      <c r="B4" s="2859"/>
      <c r="C4" s="2859"/>
      <c r="D4" s="2859"/>
      <c r="E4" s="2859"/>
      <c r="F4" s="456"/>
      <c r="G4" s="456"/>
      <c r="H4" s="456"/>
      <c r="I4" s="2940" t="s">
        <v>28</v>
      </c>
      <c r="J4" s="2940"/>
      <c r="K4" s="84"/>
    </row>
    <row r="5" spans="1:14" ht="5.25" customHeight="1" thickBot="1">
      <c r="A5" s="716"/>
      <c r="B5" s="716"/>
      <c r="C5" s="716"/>
      <c r="D5" s="716"/>
      <c r="E5" s="716"/>
      <c r="F5" s="456"/>
      <c r="G5" s="456"/>
      <c r="H5" s="456"/>
      <c r="I5" s="717"/>
      <c r="J5" s="717"/>
      <c r="K5" s="84"/>
    </row>
    <row r="6" spans="1:14" ht="19.5" customHeight="1">
      <c r="A6" s="2860" t="s">
        <v>5</v>
      </c>
      <c r="B6" s="2862" t="s">
        <v>270</v>
      </c>
      <c r="C6" s="2864" t="s">
        <v>16</v>
      </c>
      <c r="D6" s="2864" t="s">
        <v>222</v>
      </c>
      <c r="E6" s="2866" t="s">
        <v>271</v>
      </c>
      <c r="F6" s="2914" t="s">
        <v>679</v>
      </c>
      <c r="G6" s="2880" t="s">
        <v>642</v>
      </c>
      <c r="H6" s="2881"/>
      <c r="I6" s="2881"/>
      <c r="J6" s="2882"/>
      <c r="K6" s="867"/>
      <c r="L6" s="867"/>
      <c r="M6" s="867"/>
      <c r="N6" s="867"/>
    </row>
    <row r="7" spans="1:14" ht="10.5" customHeight="1" thickBot="1">
      <c r="A7" s="2941"/>
      <c r="B7" s="2942"/>
      <c r="C7" s="2943"/>
      <c r="D7" s="2943"/>
      <c r="E7" s="2944"/>
      <c r="F7" s="2945"/>
      <c r="G7" s="2946"/>
      <c r="H7" s="2947"/>
      <c r="I7" s="2947"/>
      <c r="J7" s="2948"/>
      <c r="K7" s="867"/>
      <c r="L7" s="867"/>
      <c r="M7" s="867"/>
      <c r="N7" s="867"/>
    </row>
    <row r="8" spans="1:14" ht="20.25" customHeight="1">
      <c r="A8" s="2941"/>
      <c r="B8" s="2942"/>
      <c r="C8" s="2943"/>
      <c r="D8" s="2943"/>
      <c r="E8" s="2944"/>
      <c r="F8" s="2945"/>
      <c r="G8" s="2949" t="s">
        <v>53</v>
      </c>
      <c r="H8" s="2951" t="s">
        <v>216</v>
      </c>
      <c r="I8" s="2951" t="s">
        <v>793</v>
      </c>
      <c r="J8" s="2953" t="s">
        <v>230</v>
      </c>
      <c r="K8" s="868"/>
      <c r="L8" s="867"/>
      <c r="M8" s="37" t="s">
        <v>783</v>
      </c>
      <c r="N8" s="867"/>
    </row>
    <row r="9" spans="1:14" ht="61.5" customHeight="1" thickBot="1">
      <c r="A9" s="2861"/>
      <c r="B9" s="2863"/>
      <c r="C9" s="2865"/>
      <c r="D9" s="2865"/>
      <c r="E9" s="2867"/>
      <c r="F9" s="2915"/>
      <c r="G9" s="2950"/>
      <c r="H9" s="2952"/>
      <c r="I9" s="2952"/>
      <c r="J9" s="2954" t="s">
        <v>18</v>
      </c>
      <c r="K9" s="868"/>
      <c r="L9" s="867"/>
      <c r="N9" s="867"/>
    </row>
    <row r="10" spans="1:14" ht="45" customHeight="1">
      <c r="A10" s="460">
        <v>1</v>
      </c>
      <c r="B10" s="874"/>
      <c r="C10" s="872"/>
      <c r="D10" s="848"/>
      <c r="E10" s="873"/>
      <c r="F10" s="464"/>
      <c r="G10" s="464"/>
      <c r="H10" s="232"/>
      <c r="I10" s="458" t="str">
        <f>IFERROR((H10-F10)*100/F10,"-")</f>
        <v>-</v>
      </c>
      <c r="J10" s="459" t="str">
        <f>IFERROR((H10*100/G10),"-")</f>
        <v>-</v>
      </c>
      <c r="K10" s="869"/>
      <c r="L10" s="869"/>
      <c r="M10" s="37" t="str">
        <f>IF(AND(G10=0,H10&gt;0),100,IFERROR(ABS(J10-100),"-"))</f>
        <v>-</v>
      </c>
      <c r="N10" s="869"/>
    </row>
    <row r="11" spans="1:14" ht="45" customHeight="1">
      <c r="A11" s="97">
        <v>2</v>
      </c>
      <c r="B11" s="874"/>
      <c r="C11" s="875"/>
      <c r="D11" s="849"/>
      <c r="E11" s="876"/>
      <c r="F11" s="175"/>
      <c r="G11" s="175"/>
      <c r="H11" s="176"/>
      <c r="I11" s="417" t="str">
        <f>IFERROR((H11-F11)*100/F11,"-")</f>
        <v>-</v>
      </c>
      <c r="J11" s="431" t="str">
        <f>IFERROR((H11*100/G11),"-")</f>
        <v>-</v>
      </c>
      <c r="K11" s="869"/>
      <c r="L11" s="869"/>
      <c r="M11" s="37" t="str">
        <f>IF(AND(G11=0,H11&gt;0),100,IFERROR(ABS(J11-100),"-"))</f>
        <v>-</v>
      </c>
      <c r="N11" s="869"/>
    </row>
    <row r="12" spans="1:14" ht="45" customHeight="1">
      <c r="A12" s="97">
        <v>3</v>
      </c>
      <c r="B12" s="874"/>
      <c r="C12" s="875"/>
      <c r="D12" s="849"/>
      <c r="E12" s="876"/>
      <c r="F12" s="175"/>
      <c r="G12" s="175"/>
      <c r="H12" s="176"/>
      <c r="I12" s="417" t="str">
        <f>IFERROR((H12-F12)*100/F12,"-")</f>
        <v>-</v>
      </c>
      <c r="J12" s="431" t="str">
        <f>IFERROR((H12*100/G12),"-")</f>
        <v>-</v>
      </c>
      <c r="K12" s="869"/>
      <c r="L12" s="869"/>
      <c r="M12" s="37" t="str">
        <f>IF(AND(G12=0,H12&gt;0),100,IFERROR(ABS(J12-100),"-"))</f>
        <v>-</v>
      </c>
      <c r="N12" s="869"/>
    </row>
    <row r="13" spans="1:14" ht="45" customHeight="1">
      <c r="A13" s="97">
        <v>4</v>
      </c>
      <c r="B13" s="874"/>
      <c r="C13" s="875"/>
      <c r="D13" s="849"/>
      <c r="E13" s="876"/>
      <c r="F13" s="175"/>
      <c r="G13" s="175"/>
      <c r="H13" s="176"/>
      <c r="I13" s="417" t="str">
        <f>IFERROR((H13-F13)*100/F13,"-")</f>
        <v>-</v>
      </c>
      <c r="J13" s="431" t="str">
        <f>IFERROR((H13*100/G13),"-")</f>
        <v>-</v>
      </c>
      <c r="K13" s="869"/>
      <c r="L13" s="869"/>
      <c r="M13" s="37" t="str">
        <f>IF(AND(G13=0,H13&gt;0),100,IFERROR(ABS(J13-100),"-"))</f>
        <v>-</v>
      </c>
      <c r="N13" s="869"/>
    </row>
    <row r="14" spans="1:14" ht="45" customHeight="1" thickBot="1">
      <c r="A14" s="517">
        <v>5</v>
      </c>
      <c r="B14" s="877"/>
      <c r="C14" s="878"/>
      <c r="D14" s="879"/>
      <c r="E14" s="880"/>
      <c r="F14" s="178"/>
      <c r="G14" s="178"/>
      <c r="H14" s="179"/>
      <c r="I14" s="429" t="str">
        <f>IFERROR((H14-F14)*100/F14,"-")</f>
        <v>-</v>
      </c>
      <c r="J14" s="432" t="str">
        <f>IFERROR((H14*100/G14),"-")</f>
        <v>-</v>
      </c>
      <c r="K14" s="869"/>
      <c r="L14" s="869"/>
      <c r="M14" s="37" t="str">
        <f>IF(AND(G14=0,H14&gt;0),100,IFERROR(ABS(J14-100),"-"))</f>
        <v>-</v>
      </c>
      <c r="N14" s="869"/>
    </row>
    <row r="15" spans="1:14" ht="21.95" customHeight="1">
      <c r="A15" s="870"/>
      <c r="B15" s="871"/>
      <c r="C15" s="870"/>
      <c r="D15" s="870"/>
      <c r="E15" s="870"/>
      <c r="F15" s="870"/>
      <c r="G15" s="870"/>
      <c r="H15" s="870"/>
      <c r="I15" s="870"/>
      <c r="J15" s="870"/>
      <c r="K15" s="870"/>
      <c r="L15" s="870"/>
      <c r="M15" s="870"/>
      <c r="N15" s="870"/>
    </row>
    <row r="16" spans="1:14" s="5" customFormat="1">
      <c r="A16" s="8"/>
      <c r="B16" s="8"/>
      <c r="C16" s="9"/>
      <c r="E16" s="720"/>
      <c r="G16" s="720"/>
      <c r="H16" s="718"/>
      <c r="I16" s="720"/>
      <c r="K16" s="37"/>
      <c r="L16" s="37"/>
      <c r="M16" s="212"/>
    </row>
  </sheetData>
  <mergeCells count="14">
    <mergeCell ref="A2:J2"/>
    <mergeCell ref="A4:E4"/>
    <mergeCell ref="I4:J4"/>
    <mergeCell ref="A6:A9"/>
    <mergeCell ref="B6:B9"/>
    <mergeCell ref="C6:C9"/>
    <mergeCell ref="D6:D9"/>
    <mergeCell ref="E6:E9"/>
    <mergeCell ref="F6:F9"/>
    <mergeCell ref="G6:J7"/>
    <mergeCell ref="G8:G9"/>
    <mergeCell ref="H8:H9"/>
    <mergeCell ref="I8:I9"/>
    <mergeCell ref="J8:J9"/>
  </mergeCells>
  <printOptions horizontalCentered="1"/>
  <pageMargins left="0.19685039370078741" right="0.19685039370078741" top="0.59055118110236227" bottom="0.78740157480314965" header="0.19685039370078741" footer="0.19685039370078741"/>
  <pageSetup paperSize="9" scale="7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2">
    <pageSetUpPr fitToPage="1"/>
  </sheetPr>
  <dimension ref="A1:R29"/>
  <sheetViews>
    <sheetView rightToLeft="1" workbookViewId="0">
      <selection sqref="A1:R1"/>
    </sheetView>
  </sheetViews>
  <sheetFormatPr defaultColWidth="9" defaultRowHeight="15"/>
  <cols>
    <col min="1" max="1" width="4.28515625" style="5" customWidth="1"/>
    <col min="2" max="2" width="23.5703125" style="5" customWidth="1"/>
    <col min="3" max="3" width="8.140625" style="5" customWidth="1"/>
    <col min="4" max="15" width="11.5703125" style="5" customWidth="1"/>
    <col min="16" max="18" width="9.5703125" style="5" customWidth="1"/>
    <col min="19" max="16384" width="9" style="5"/>
  </cols>
  <sheetData>
    <row r="1" spans="1:18" ht="26.25" customHeight="1">
      <c r="A1" s="2685" t="str">
        <f>'مقادیر تولید'!A1:O1</f>
        <v>انبارهای عمومی و خدمات گمرکی ایران</v>
      </c>
      <c r="B1" s="2685"/>
      <c r="C1" s="2685"/>
      <c r="D1" s="2685"/>
      <c r="E1" s="2685"/>
      <c r="F1" s="2685"/>
      <c r="G1" s="2685"/>
      <c r="H1" s="2685"/>
      <c r="I1" s="2685"/>
      <c r="J1" s="2685"/>
      <c r="K1" s="2685"/>
      <c r="L1" s="2685"/>
      <c r="M1" s="2685"/>
      <c r="N1" s="2685"/>
      <c r="O1" s="2685"/>
      <c r="P1" s="2685"/>
      <c r="Q1" s="2685"/>
      <c r="R1" s="2685"/>
    </row>
    <row r="2" spans="1:18" ht="20.25" customHeight="1">
      <c r="A2" s="396"/>
      <c r="B2" s="396"/>
      <c r="C2" s="396"/>
      <c r="D2" s="396"/>
      <c r="E2" s="396"/>
      <c r="F2" s="396"/>
      <c r="G2" s="396"/>
      <c r="H2"/>
      <c r="I2"/>
      <c r="J2"/>
      <c r="K2"/>
      <c r="L2"/>
      <c r="M2"/>
      <c r="N2"/>
      <c r="O2"/>
      <c r="P2"/>
      <c r="Q2"/>
      <c r="R2"/>
    </row>
    <row r="3" spans="1:18" ht="24" customHeight="1">
      <c r="A3" s="1110" t="s">
        <v>1274</v>
      </c>
      <c r="B3" s="1110"/>
      <c r="C3" s="1110"/>
      <c r="D3" s="1110"/>
      <c r="E3" s="1110"/>
      <c r="F3" s="1110"/>
      <c r="G3" s="1110"/>
      <c r="H3" s="1110"/>
      <c r="I3" s="1110"/>
      <c r="J3" s="1110"/>
      <c r="K3" s="1110"/>
      <c r="L3" s="1110"/>
      <c r="M3" s="1110"/>
      <c r="N3" s="1110"/>
      <c r="O3" s="1088" t="s">
        <v>1246</v>
      </c>
      <c r="P3" s="1089" t="str">
        <f>روکش!$F$9</f>
        <v>شش ماهه</v>
      </c>
      <c r="Q3" s="1089" t="s">
        <v>379</v>
      </c>
      <c r="R3" s="1088">
        <f>روکش!$D$9</f>
        <v>1405</v>
      </c>
    </row>
    <row r="4" spans="1:18" ht="24" customHeight="1">
      <c r="A4" s="67"/>
      <c r="B4" s="67"/>
      <c r="C4" s="461"/>
      <c r="D4" s="461"/>
      <c r="E4" s="461"/>
      <c r="F4" s="461"/>
      <c r="G4" s="456"/>
      <c r="H4" s="455"/>
      <c r="I4"/>
      <c r="J4"/>
      <c r="K4"/>
      <c r="L4"/>
      <c r="M4" s="2760" t="s">
        <v>3</v>
      </c>
      <c r="N4" s="2760"/>
      <c r="O4"/>
      <c r="P4" s="2964" t="s">
        <v>30</v>
      </c>
      <c r="Q4" s="2964"/>
      <c r="R4" s="2964"/>
    </row>
    <row r="5" spans="1:18" ht="6.75" customHeight="1" thickBot="1">
      <c r="A5" s="67"/>
      <c r="B5" s="67"/>
      <c r="C5" s="461"/>
      <c r="D5" s="461"/>
      <c r="E5" s="461"/>
      <c r="F5" s="461"/>
      <c r="G5" s="456"/>
      <c r="H5" s="455"/>
      <c r="I5"/>
      <c r="J5"/>
      <c r="K5"/>
      <c r="L5"/>
      <c r="M5"/>
      <c r="N5"/>
      <c r="O5"/>
      <c r="P5" s="719"/>
      <c r="Q5" s="719"/>
      <c r="R5"/>
    </row>
    <row r="6" spans="1:18" ht="24">
      <c r="A6" s="2885" t="s">
        <v>5</v>
      </c>
      <c r="B6" s="2888" t="s">
        <v>21</v>
      </c>
      <c r="C6" s="2891" t="s">
        <v>22</v>
      </c>
      <c r="D6" s="2956" t="s">
        <v>172</v>
      </c>
      <c r="E6" s="2957"/>
      <c r="F6" s="2958"/>
      <c r="G6" s="2958"/>
      <c r="H6" s="2959"/>
      <c r="I6" s="2960"/>
      <c r="J6" s="2965" t="s">
        <v>688</v>
      </c>
      <c r="K6" s="2966"/>
      <c r="L6" s="2966"/>
      <c r="M6" s="2966"/>
      <c r="N6" s="2966"/>
      <c r="O6" s="2966"/>
      <c r="P6" s="2966"/>
      <c r="Q6" s="2966"/>
      <c r="R6" s="2967"/>
    </row>
    <row r="7" spans="1:18" ht="21" customHeight="1">
      <c r="A7" s="2886"/>
      <c r="B7" s="2889"/>
      <c r="C7" s="2892"/>
      <c r="D7" s="2961" t="s">
        <v>229</v>
      </c>
      <c r="E7" s="2962"/>
      <c r="F7" s="2963"/>
      <c r="G7" s="2971" t="s">
        <v>228</v>
      </c>
      <c r="H7" s="2962"/>
      <c r="I7" s="2972"/>
      <c r="J7" s="2973" t="s">
        <v>53</v>
      </c>
      <c r="K7" s="2968"/>
      <c r="L7" s="2968"/>
      <c r="M7" s="2968" t="s">
        <v>216</v>
      </c>
      <c r="N7" s="2968"/>
      <c r="O7" s="2968"/>
      <c r="P7" s="2968" t="s">
        <v>687</v>
      </c>
      <c r="Q7" s="2968"/>
      <c r="R7" s="2968"/>
    </row>
    <row r="8" spans="1:18" ht="38.25" customHeight="1" thickBot="1">
      <c r="A8" s="2886"/>
      <c r="B8" s="2890"/>
      <c r="C8" s="2892"/>
      <c r="D8" s="465" t="s">
        <v>8</v>
      </c>
      <c r="E8" s="466" t="s">
        <v>9</v>
      </c>
      <c r="F8" s="466" t="s">
        <v>10</v>
      </c>
      <c r="G8" s="467" t="s">
        <v>8</v>
      </c>
      <c r="H8" s="466" t="s">
        <v>9</v>
      </c>
      <c r="I8" s="468" t="s">
        <v>10</v>
      </c>
      <c r="J8" s="465" t="s">
        <v>8</v>
      </c>
      <c r="K8" s="466" t="s">
        <v>9</v>
      </c>
      <c r="L8" s="466" t="s">
        <v>10</v>
      </c>
      <c r="M8" s="466" t="s">
        <v>8</v>
      </c>
      <c r="N8" s="466" t="s">
        <v>9</v>
      </c>
      <c r="O8" s="466" t="s">
        <v>10</v>
      </c>
      <c r="P8" s="466" t="s">
        <v>8</v>
      </c>
      <c r="Q8" s="466" t="s">
        <v>9</v>
      </c>
      <c r="R8" s="466" t="s">
        <v>10</v>
      </c>
    </row>
    <row r="9" spans="1:18" ht="27" customHeight="1">
      <c r="A9" s="424">
        <v>1</v>
      </c>
      <c r="B9" s="481"/>
      <c r="C9" s="482"/>
      <c r="D9" s="464"/>
      <c r="E9" s="232"/>
      <c r="F9" s="235">
        <f>E9*D9/1000000</f>
        <v>0</v>
      </c>
      <c r="G9" s="462"/>
      <c r="H9" s="232"/>
      <c r="I9" s="478">
        <f>H9*G9/1000000</f>
        <v>0</v>
      </c>
      <c r="J9" s="888">
        <f ca="1">IF(ROW()-9&lt;'الف-ب-ج'!$L$9,INDIRECT("BudgetDB!JX"&amp;('الف-ب-ج'!$M$9+ROW()-9)),"")</f>
        <v>0</v>
      </c>
      <c r="K9" s="889">
        <f ca="1">IF(ROW()-9&lt;'الف-ب-ج'!$L$9,INDIRECT("BudgetDB!JY"&amp;('الف-ب-ج'!$M$9+ROW()-9)),"")</f>
        <v>0</v>
      </c>
      <c r="L9" s="838">
        <f ca="1">K9*J9/1000000</f>
        <v>0</v>
      </c>
      <c r="M9" s="239"/>
      <c r="N9" s="238"/>
      <c r="O9" s="235">
        <f>N9*M9/1000000</f>
        <v>0</v>
      </c>
      <c r="P9" s="525" t="str">
        <f ca="1">IFERROR(M9*100/J9,"-")</f>
        <v>-</v>
      </c>
      <c r="Q9" s="521" t="str">
        <f t="shared" ref="Q9:R13" ca="1" si="0">IFERROR(N9*100/K9,"-")</f>
        <v>-</v>
      </c>
      <c r="R9" s="521" t="str">
        <f ca="1">IFERROR(O9*100/L9,"-")</f>
        <v>-</v>
      </c>
    </row>
    <row r="10" spans="1:18" ht="27" customHeight="1">
      <c r="A10" s="425">
        <v>2</v>
      </c>
      <c r="B10" s="483"/>
      <c r="C10" s="484"/>
      <c r="D10" s="175"/>
      <c r="E10" s="176"/>
      <c r="F10" s="236">
        <f>E10*D10/1000000</f>
        <v>0</v>
      </c>
      <c r="G10" s="463"/>
      <c r="H10" s="176"/>
      <c r="I10" s="457">
        <f>H10*G10/1000000</f>
        <v>0</v>
      </c>
      <c r="J10" s="890">
        <f ca="1">IF(ROW()-9&lt;'الف-ب-ج'!$L$9,INDIRECT("BudgetDB!JX"&amp;('الف-ب-ج'!$M$9+ROW()-9)),"")</f>
        <v>0</v>
      </c>
      <c r="K10" s="891">
        <f ca="1">IF(ROW()-9&lt;'الف-ب-ج'!$L$9,INDIRECT("BudgetDB!JY"&amp;('الف-ب-ج'!$M$9+ROW()-9)),"")</f>
        <v>0</v>
      </c>
      <c r="L10" s="839">
        <f ca="1">K10*J10/1000000</f>
        <v>0</v>
      </c>
      <c r="M10" s="241"/>
      <c r="N10" s="240"/>
      <c r="O10" s="236">
        <f>N10*M10/1000000</f>
        <v>0</v>
      </c>
      <c r="P10" s="526" t="str">
        <f ca="1">IFERROR(M10*100/J10,"-")</f>
        <v>-</v>
      </c>
      <c r="Q10" s="522" t="str">
        <f t="shared" ca="1" si="0"/>
        <v>-</v>
      </c>
      <c r="R10" s="522" t="str">
        <f t="shared" ca="1" si="0"/>
        <v>-</v>
      </c>
    </row>
    <row r="11" spans="1:18" ht="27" customHeight="1">
      <c r="A11" s="425">
        <v>3</v>
      </c>
      <c r="B11" s="483"/>
      <c r="C11" s="484"/>
      <c r="D11" s="175"/>
      <c r="E11" s="176"/>
      <c r="F11" s="236">
        <f>E11*D11/1000000</f>
        <v>0</v>
      </c>
      <c r="G11" s="463"/>
      <c r="H11" s="176"/>
      <c r="I11" s="457">
        <f>H11*G11/1000000</f>
        <v>0</v>
      </c>
      <c r="J11" s="890">
        <f ca="1">IF(ROW()-9&lt;'الف-ب-ج'!$L$9,INDIRECT("BudgetDB!JX"&amp;('الف-ب-ج'!$M$9+ROW()-9)),"")</f>
        <v>0</v>
      </c>
      <c r="K11" s="891">
        <f ca="1">IF(ROW()-9&lt;'الف-ب-ج'!$L$9,INDIRECT("BudgetDB!JY"&amp;('الف-ب-ج'!$M$9+ROW()-9)),"")</f>
        <v>0</v>
      </c>
      <c r="L11" s="839">
        <f ca="1">K11*J11/1000000</f>
        <v>0</v>
      </c>
      <c r="M11" s="241"/>
      <c r="N11" s="240"/>
      <c r="O11" s="236">
        <f>N11*M11/1000000</f>
        <v>0</v>
      </c>
      <c r="P11" s="526" t="str">
        <f ca="1">IFERROR(M11*100/J11,"-")</f>
        <v>-</v>
      </c>
      <c r="Q11" s="522" t="str">
        <f t="shared" ca="1" si="0"/>
        <v>-</v>
      </c>
      <c r="R11" s="522" t="str">
        <f t="shared" ca="1" si="0"/>
        <v>-</v>
      </c>
    </row>
    <row r="12" spans="1:18" ht="27" customHeight="1">
      <c r="A12" s="425">
        <v>4</v>
      </c>
      <c r="B12" s="483"/>
      <c r="C12" s="484"/>
      <c r="D12" s="175"/>
      <c r="E12" s="176"/>
      <c r="F12" s="236">
        <f>E12*D12/1000000</f>
        <v>0</v>
      </c>
      <c r="G12" s="463"/>
      <c r="H12" s="176"/>
      <c r="I12" s="457">
        <f>H12*G12/1000000</f>
        <v>0</v>
      </c>
      <c r="J12" s="890">
        <f ca="1">IF(ROW()-9&lt;'الف-ب-ج'!$L$9,INDIRECT("BudgetDB!JX"&amp;('الف-ب-ج'!$M$9+ROW()-9)),"")</f>
        <v>0</v>
      </c>
      <c r="K12" s="891">
        <f ca="1">IF(ROW()-9&lt;'الف-ب-ج'!$L$9,INDIRECT("BudgetDB!JY"&amp;('الف-ب-ج'!$M$9+ROW()-9)),"")</f>
        <v>0</v>
      </c>
      <c r="L12" s="839">
        <f ca="1">K12*J12/1000000</f>
        <v>0</v>
      </c>
      <c r="M12" s="241"/>
      <c r="N12" s="240"/>
      <c r="O12" s="236">
        <f>N12*M12/1000000</f>
        <v>0</v>
      </c>
      <c r="P12" s="526" t="str">
        <f ca="1">IFERROR(M12*100/J12,"-")</f>
        <v>-</v>
      </c>
      <c r="Q12" s="522" t="str">
        <f t="shared" ca="1" si="0"/>
        <v>-</v>
      </c>
      <c r="R12" s="522" t="str">
        <f t="shared" ca="1" si="0"/>
        <v>-</v>
      </c>
    </row>
    <row r="13" spans="1:18" ht="27" customHeight="1">
      <c r="A13" s="425">
        <v>5</v>
      </c>
      <c r="B13" s="483"/>
      <c r="C13" s="484"/>
      <c r="D13" s="175"/>
      <c r="E13" s="176"/>
      <c r="F13" s="236">
        <f>E13*D13/1000000</f>
        <v>0</v>
      </c>
      <c r="G13" s="463"/>
      <c r="H13" s="176"/>
      <c r="I13" s="457">
        <f>H13*G13/1000000</f>
        <v>0</v>
      </c>
      <c r="J13" s="890">
        <f ca="1">IF(ROW()-9&lt;'الف-ب-ج'!$L$9,INDIRECT("BudgetDB!JX"&amp;('الف-ب-ج'!$M$9+ROW()-9)),"")</f>
        <v>0</v>
      </c>
      <c r="K13" s="891">
        <f ca="1">IF(ROW()-9&lt;'الف-ب-ج'!$L$9,INDIRECT("BudgetDB!JY"&amp;('الف-ب-ج'!$M$9+ROW()-9)),"")</f>
        <v>0</v>
      </c>
      <c r="L13" s="839">
        <f ca="1">K13*J13/1000000</f>
        <v>0</v>
      </c>
      <c r="M13" s="241"/>
      <c r="N13" s="240"/>
      <c r="O13" s="236">
        <f>N13*M13/1000000</f>
        <v>0</v>
      </c>
      <c r="P13" s="526" t="str">
        <f ca="1">IFERROR(M13*100/J13,"-")</f>
        <v>-</v>
      </c>
      <c r="Q13" s="522" t="str">
        <f t="shared" ca="1" si="0"/>
        <v>-</v>
      </c>
      <c r="R13" s="522" t="str">
        <f t="shared" ca="1" si="0"/>
        <v>-</v>
      </c>
    </row>
    <row r="14" spans="1:18" ht="27" customHeight="1" thickBot="1">
      <c r="A14" s="2974" t="s">
        <v>31</v>
      </c>
      <c r="B14" s="2975"/>
      <c r="C14" s="881"/>
      <c r="D14" s="842"/>
      <c r="E14" s="842"/>
      <c r="F14" s="472">
        <f>SUM(F9:F13)</f>
        <v>0</v>
      </c>
      <c r="G14" s="842"/>
      <c r="H14" s="842"/>
      <c r="I14" s="473">
        <f>SUM(I9:I13)</f>
        <v>0</v>
      </c>
      <c r="J14" s="470"/>
      <c r="K14" s="471"/>
      <c r="L14" s="523">
        <f ca="1">SUM(L9:L13)</f>
        <v>0</v>
      </c>
      <c r="M14" s="842"/>
      <c r="N14" s="842"/>
      <c r="O14" s="523">
        <f>SUM(O9:O13)</f>
        <v>0</v>
      </c>
      <c r="P14" s="474"/>
      <c r="Q14" s="474"/>
      <c r="R14" s="524">
        <f ca="1">SUM(R9:R13)</f>
        <v>0</v>
      </c>
    </row>
    <row r="15" spans="1:18" ht="11.25" customHeight="1" thickTop="1" thickBot="1">
      <c r="A15" s="843"/>
      <c r="B15" s="844"/>
      <c r="C15" s="845"/>
      <c r="D15" s="845"/>
      <c r="E15" s="845"/>
      <c r="F15" s="846"/>
      <c r="G15" s="846"/>
      <c r="H15" s="846"/>
      <c r="I15" s="846"/>
      <c r="J15" s="846"/>
      <c r="K15" s="846"/>
      <c r="L15" s="846"/>
      <c r="M15" s="846"/>
      <c r="N15" s="846"/>
      <c r="O15" s="846"/>
      <c r="P15" s="846"/>
      <c r="Q15" s="846"/>
      <c r="R15" s="846"/>
    </row>
    <row r="16" spans="1:18" ht="24" customHeight="1">
      <c r="A16" s="2885" t="s">
        <v>5</v>
      </c>
      <c r="B16" s="2888" t="s">
        <v>21</v>
      </c>
      <c r="C16" s="2891" t="s">
        <v>22</v>
      </c>
      <c r="D16" s="2956" t="s">
        <v>691</v>
      </c>
      <c r="E16" s="2957"/>
      <c r="F16" s="2958"/>
      <c r="G16" s="2958"/>
      <c r="H16" s="2959"/>
      <c r="I16" s="2960"/>
      <c r="J16" s="2894" t="s">
        <v>692</v>
      </c>
      <c r="K16" s="2895"/>
      <c r="L16" s="2895"/>
      <c r="M16" s="868"/>
      <c r="N16" s="867"/>
      <c r="O16" s="867"/>
      <c r="P16" s="867"/>
      <c r="Q16" s="867"/>
      <c r="R16" s="867"/>
    </row>
    <row r="17" spans="1:18" ht="21" customHeight="1">
      <c r="A17" s="2886"/>
      <c r="B17" s="2889"/>
      <c r="C17" s="2892"/>
      <c r="D17" s="2961" t="s">
        <v>689</v>
      </c>
      <c r="E17" s="2962"/>
      <c r="F17" s="2963"/>
      <c r="G17" s="2971" t="s">
        <v>690</v>
      </c>
      <c r="H17" s="2962"/>
      <c r="I17" s="2972"/>
      <c r="J17" s="2897"/>
      <c r="K17" s="2898"/>
      <c r="L17" s="2898"/>
      <c r="M17" s="2976"/>
      <c r="N17" s="2955"/>
      <c r="O17" s="2955"/>
      <c r="P17" s="2955"/>
      <c r="Q17" s="2955"/>
      <c r="R17" s="2955"/>
    </row>
    <row r="18" spans="1:18" ht="38.25" customHeight="1" thickBot="1">
      <c r="A18" s="2886"/>
      <c r="B18" s="2890"/>
      <c r="C18" s="2892"/>
      <c r="D18" s="465" t="s">
        <v>8</v>
      </c>
      <c r="E18" s="466" t="s">
        <v>9</v>
      </c>
      <c r="F18" s="466" t="s">
        <v>10</v>
      </c>
      <c r="G18" s="467" t="s">
        <v>8</v>
      </c>
      <c r="H18" s="466" t="s">
        <v>9</v>
      </c>
      <c r="I18" s="468" t="s">
        <v>10</v>
      </c>
      <c r="J18" s="465" t="s">
        <v>8</v>
      </c>
      <c r="K18" s="466" t="s">
        <v>9</v>
      </c>
      <c r="L18" s="475" t="s">
        <v>10</v>
      </c>
      <c r="M18" s="882"/>
      <c r="N18" s="237"/>
      <c r="O18" s="237"/>
      <c r="P18" s="237"/>
      <c r="Q18" s="237"/>
      <c r="R18" s="237"/>
    </row>
    <row r="19" spans="1:18" ht="27" customHeight="1">
      <c r="A19" s="424">
        <v>1</v>
      </c>
      <c r="B19" s="850">
        <f t="shared" ref="B19:C23" si="1">B9</f>
        <v>0</v>
      </c>
      <c r="C19" s="851">
        <f t="shared" si="1"/>
        <v>0</v>
      </c>
      <c r="D19" s="464"/>
      <c r="E19" s="232"/>
      <c r="F19" s="235">
        <f>E19*D19/1000000</f>
        <v>0</v>
      </c>
      <c r="G19" s="462"/>
      <c r="H19" s="232"/>
      <c r="I19" s="235">
        <f>H19*G19/1000000</f>
        <v>0</v>
      </c>
      <c r="J19" s="477">
        <f>G9+M9-D19-G19</f>
        <v>0</v>
      </c>
      <c r="K19" s="235" t="str">
        <f>IFERROR(L19*1000000/J19,"-")</f>
        <v>-</v>
      </c>
      <c r="L19" s="478">
        <f>I9+O9-F19-I19</f>
        <v>0</v>
      </c>
      <c r="M19" s="883"/>
      <c r="N19" s="884"/>
      <c r="O19" s="884"/>
      <c r="P19" s="885"/>
      <c r="Q19" s="885"/>
      <c r="R19" s="885"/>
    </row>
    <row r="20" spans="1:18" ht="27" customHeight="1">
      <c r="A20" s="425">
        <v>2</v>
      </c>
      <c r="B20" s="852">
        <f t="shared" si="1"/>
        <v>0</v>
      </c>
      <c r="C20" s="853">
        <f t="shared" si="1"/>
        <v>0</v>
      </c>
      <c r="D20" s="175"/>
      <c r="E20" s="176"/>
      <c r="F20" s="236">
        <f>E20*D20/1000000</f>
        <v>0</v>
      </c>
      <c r="G20" s="463"/>
      <c r="H20" s="176"/>
      <c r="I20" s="457">
        <f>H20*G20/1000000</f>
        <v>0</v>
      </c>
      <c r="J20" s="479">
        <f>G10+M10-D20-G20</f>
        <v>0</v>
      </c>
      <c r="K20" s="236" t="str">
        <f>IFERROR(L20*1000000/J20,"-")</f>
        <v>-</v>
      </c>
      <c r="L20" s="480">
        <f>I10+O10-F20-I20</f>
        <v>0</v>
      </c>
      <c r="M20" s="883"/>
      <c r="N20" s="884"/>
      <c r="O20" s="884"/>
      <c r="P20" s="885"/>
      <c r="Q20" s="885"/>
      <c r="R20" s="885"/>
    </row>
    <row r="21" spans="1:18" ht="27" customHeight="1">
      <c r="A21" s="425">
        <v>3</v>
      </c>
      <c r="B21" s="852">
        <f t="shared" si="1"/>
        <v>0</v>
      </c>
      <c r="C21" s="853">
        <f t="shared" si="1"/>
        <v>0</v>
      </c>
      <c r="D21" s="175"/>
      <c r="E21" s="176"/>
      <c r="F21" s="236">
        <f>E21*D21/1000000</f>
        <v>0</v>
      </c>
      <c r="G21" s="463"/>
      <c r="H21" s="176"/>
      <c r="I21" s="457">
        <f>H21*G21/1000000</f>
        <v>0</v>
      </c>
      <c r="J21" s="479">
        <f>G11+M11-D21-G21</f>
        <v>0</v>
      </c>
      <c r="K21" s="236" t="str">
        <f>IFERROR(L21*1000000/J21,"-")</f>
        <v>-</v>
      </c>
      <c r="L21" s="480">
        <f>I11+O11-F21-I21</f>
        <v>0</v>
      </c>
      <c r="M21" s="883"/>
      <c r="N21" s="884"/>
      <c r="O21" s="884"/>
      <c r="P21" s="885"/>
      <c r="Q21" s="885"/>
      <c r="R21" s="885"/>
    </row>
    <row r="22" spans="1:18" ht="27" customHeight="1">
      <c r="A22" s="425">
        <v>4</v>
      </c>
      <c r="B22" s="852">
        <f t="shared" si="1"/>
        <v>0</v>
      </c>
      <c r="C22" s="853">
        <f t="shared" si="1"/>
        <v>0</v>
      </c>
      <c r="D22" s="175"/>
      <c r="E22" s="176"/>
      <c r="F22" s="236">
        <f>E22*D22/1000000</f>
        <v>0</v>
      </c>
      <c r="G22" s="463"/>
      <c r="H22" s="176"/>
      <c r="I22" s="457">
        <f>H22*G22/1000000</f>
        <v>0</v>
      </c>
      <c r="J22" s="479">
        <f>G12+M12-D22-G22</f>
        <v>0</v>
      </c>
      <c r="K22" s="236" t="str">
        <f>IFERROR(L22*1000000/J22,"-")</f>
        <v>-</v>
      </c>
      <c r="L22" s="480">
        <f>I12+O12-F22-I22</f>
        <v>0</v>
      </c>
      <c r="M22" s="883"/>
      <c r="N22" s="884"/>
      <c r="O22" s="884"/>
      <c r="P22" s="885"/>
      <c r="Q22" s="885"/>
      <c r="R22" s="885"/>
    </row>
    <row r="23" spans="1:18" ht="27" customHeight="1">
      <c r="A23" s="425">
        <v>5</v>
      </c>
      <c r="B23" s="852">
        <f t="shared" si="1"/>
        <v>0</v>
      </c>
      <c r="C23" s="853">
        <f t="shared" si="1"/>
        <v>0</v>
      </c>
      <c r="D23" s="175"/>
      <c r="E23" s="176"/>
      <c r="F23" s="236">
        <f>E23*D23/1000000</f>
        <v>0</v>
      </c>
      <c r="G23" s="463"/>
      <c r="H23" s="176"/>
      <c r="I23" s="457">
        <f>H23*G23/1000000</f>
        <v>0</v>
      </c>
      <c r="J23" s="479">
        <f>G13+M13-D23-G23</f>
        <v>0</v>
      </c>
      <c r="K23" s="236" t="str">
        <f>IFERROR(L23*1000000/J23,"-")</f>
        <v>-</v>
      </c>
      <c r="L23" s="480">
        <f>I13+O13-F23-I23</f>
        <v>0</v>
      </c>
      <c r="M23" s="883"/>
      <c r="N23" s="884"/>
      <c r="O23" s="884"/>
      <c r="P23" s="885"/>
      <c r="Q23" s="885"/>
      <c r="R23" s="885"/>
    </row>
    <row r="24" spans="1:18" ht="27" customHeight="1" thickBot="1">
      <c r="A24" s="2969" t="s">
        <v>31</v>
      </c>
      <c r="B24" s="2970"/>
      <c r="C24" s="469"/>
      <c r="D24" s="841"/>
      <c r="E24" s="842"/>
      <c r="F24" s="523">
        <f>SUM(F19:F23)</f>
        <v>0</v>
      </c>
      <c r="G24" s="842"/>
      <c r="H24" s="842"/>
      <c r="I24" s="473">
        <f>SUM(I19:I23)</f>
        <v>0</v>
      </c>
      <c r="J24" s="470"/>
      <c r="K24" s="471"/>
      <c r="L24" s="476">
        <f>SUM(L19:L23)</f>
        <v>0</v>
      </c>
      <c r="M24" s="883"/>
      <c r="N24" s="884"/>
      <c r="O24" s="884"/>
      <c r="P24" s="886"/>
      <c r="Q24" s="886"/>
      <c r="R24" s="887"/>
    </row>
    <row r="25" spans="1:18" ht="13.5" customHeight="1" thickTop="1">
      <c r="A25" s="40"/>
      <c r="B25" s="40"/>
      <c r="C25" s="40"/>
      <c r="D25" s="40"/>
      <c r="E25" s="40"/>
      <c r="F25" s="40"/>
      <c r="G25" s="40"/>
      <c r="H25" s="40"/>
      <c r="I25" s="40"/>
      <c r="J25" s="40"/>
      <c r="K25" s="40"/>
      <c r="L25" s="40"/>
      <c r="M25" s="40"/>
      <c r="N25" s="40"/>
      <c r="O25" s="40"/>
      <c r="P25" s="40"/>
      <c r="Q25" s="40"/>
      <c r="R25" s="40"/>
    </row>
    <row r="26" spans="1:18" ht="21">
      <c r="A26" s="8"/>
      <c r="B26" s="8"/>
      <c r="D26" s="9"/>
      <c r="E26" s="9"/>
      <c r="J26" s="2752"/>
      <c r="K26" s="2752"/>
      <c r="O26" s="9"/>
      <c r="P26" s="847"/>
    </row>
    <row r="29" spans="1:18" ht="21">
      <c r="A29" s="37"/>
    </row>
  </sheetData>
  <mergeCells count="25">
    <mergeCell ref="A24:B24"/>
    <mergeCell ref="J26:K26"/>
    <mergeCell ref="G7:I7"/>
    <mergeCell ref="J7:L7"/>
    <mergeCell ref="M7:O7"/>
    <mergeCell ref="A14:B14"/>
    <mergeCell ref="A16:A18"/>
    <mergeCell ref="B16:B18"/>
    <mergeCell ref="C16:C18"/>
    <mergeCell ref="J16:L17"/>
    <mergeCell ref="G17:I17"/>
    <mergeCell ref="M17:O17"/>
    <mergeCell ref="P17:R17"/>
    <mergeCell ref="D16:I16"/>
    <mergeCell ref="D17:F17"/>
    <mergeCell ref="A1:R1"/>
    <mergeCell ref="M4:N4"/>
    <mergeCell ref="P4:R4"/>
    <mergeCell ref="A6:A8"/>
    <mergeCell ref="B6:B8"/>
    <mergeCell ref="C6:C8"/>
    <mergeCell ref="D6:I6"/>
    <mergeCell ref="J6:R6"/>
    <mergeCell ref="D7:F7"/>
    <mergeCell ref="P7:R7"/>
  </mergeCells>
  <printOptions horizontalCentered="1"/>
  <pageMargins left="0.19685039370078741" right="0.19685039370078741" top="0.59055118110236227" bottom="0.78740157480314965" header="0.19685039370078741" footer="0.19685039370078741"/>
  <pageSetup paperSize="9" scale="65"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9">
    <pageSetUpPr fitToPage="1"/>
  </sheetPr>
  <dimension ref="A1:M67"/>
  <sheetViews>
    <sheetView rightToLeft="1" workbookViewId="0">
      <selection sqref="A1:E1"/>
    </sheetView>
  </sheetViews>
  <sheetFormatPr defaultColWidth="9" defaultRowHeight="15"/>
  <cols>
    <col min="1" max="1" width="43.5703125" style="5" customWidth="1"/>
    <col min="2" max="4" width="18.5703125" style="5" customWidth="1"/>
    <col min="5" max="6" width="13.5703125" style="5" customWidth="1"/>
    <col min="7" max="7" width="9" style="79"/>
    <col min="8" max="8" width="9" style="79" hidden="1" customWidth="1"/>
    <col min="9" max="9" width="9" style="212" hidden="1" customWidth="1"/>
    <col min="10" max="11" width="9" style="79" hidden="1" customWidth="1"/>
    <col min="12" max="12" width="9" style="212" hidden="1" customWidth="1"/>
    <col min="13" max="13" width="9" style="79" customWidth="1"/>
    <col min="14" max="16384" width="9" style="5"/>
  </cols>
  <sheetData>
    <row r="1" spans="1:12" ht="15.75" customHeight="1">
      <c r="A1" s="2759"/>
      <c r="B1" s="2759"/>
      <c r="C1" s="2759"/>
      <c r="D1" s="2759"/>
      <c r="E1" s="2759"/>
      <c r="F1" s="702"/>
      <c r="G1" s="80"/>
      <c r="H1" s="80"/>
    </row>
    <row r="2" spans="1:12" ht="26.25">
      <c r="A2" s="2685" t="str">
        <f>'خرید مواد اولیه تولید'!A1:V1</f>
        <v>انبارهای عمومی و خدمات گمرکی ایران</v>
      </c>
      <c r="B2" s="2685"/>
      <c r="C2" s="2685"/>
      <c r="D2" s="2685"/>
      <c r="E2" s="2685"/>
      <c r="F2" s="2685"/>
      <c r="G2" s="95"/>
    </row>
    <row r="3" spans="1:12" ht="20.25" customHeight="1">
      <c r="A3" s="396"/>
      <c r="B3" s="396"/>
      <c r="C3" s="396"/>
      <c r="D3" s="396"/>
      <c r="E3" s="396"/>
      <c r="F3" s="396"/>
      <c r="G3" s="855"/>
    </row>
    <row r="4" spans="1:12" ht="24" customHeight="1">
      <c r="A4" s="1110" t="s">
        <v>1275</v>
      </c>
      <c r="B4" s="1110"/>
      <c r="C4" s="1088" t="s">
        <v>1246</v>
      </c>
      <c r="D4" s="1089" t="str">
        <f>روکش!$F$9</f>
        <v>شش ماهه</v>
      </c>
      <c r="E4" s="1089" t="s">
        <v>379</v>
      </c>
      <c r="F4" s="1088">
        <f>روکش!$D$9</f>
        <v>1405</v>
      </c>
      <c r="G4" s="184"/>
      <c r="H4" s="832"/>
    </row>
    <row r="5" spans="1:12" ht="8.25" customHeight="1">
      <c r="A5" s="2980"/>
      <c r="B5" s="2980"/>
      <c r="C5" s="2980"/>
      <c r="D5" s="2980"/>
      <c r="E5" s="2980"/>
      <c r="F5" s="2980"/>
    </row>
    <row r="6" spans="1:12" ht="26.25" customHeight="1" thickBot="1">
      <c r="A6" s="2723"/>
      <c r="B6" s="2723"/>
      <c r="C6" s="2723"/>
      <c r="D6" s="2910" t="s">
        <v>30</v>
      </c>
      <c r="E6" s="2910"/>
      <c r="F6" s="485"/>
    </row>
    <row r="7" spans="1:12" ht="35.1" customHeight="1">
      <c r="A7" s="2907" t="s">
        <v>21</v>
      </c>
      <c r="B7" s="2907" t="s">
        <v>693</v>
      </c>
      <c r="C7" s="2977" t="s">
        <v>642</v>
      </c>
      <c r="D7" s="2978"/>
      <c r="E7" s="2978"/>
      <c r="F7" s="2979"/>
    </row>
    <row r="8" spans="1:12" ht="63.75" customHeight="1" thickBot="1">
      <c r="A8" s="2908"/>
      <c r="B8" s="2909"/>
      <c r="C8" s="713" t="s">
        <v>53</v>
      </c>
      <c r="D8" s="714" t="s">
        <v>216</v>
      </c>
      <c r="E8" s="714" t="s">
        <v>793</v>
      </c>
      <c r="F8" s="715" t="s">
        <v>230</v>
      </c>
      <c r="I8" s="212" t="s">
        <v>784</v>
      </c>
      <c r="L8" s="212" t="s">
        <v>792</v>
      </c>
    </row>
    <row r="9" spans="1:12" ht="21.75" customHeight="1">
      <c r="A9" s="497"/>
      <c r="B9" s="1118"/>
      <c r="C9" s="1118"/>
      <c r="D9" s="242"/>
      <c r="E9" s="486" t="str">
        <f t="shared" ref="E9:E19" si="0">IFERROR((D9-B9)*100/B9,"-")</f>
        <v>-</v>
      </c>
      <c r="F9" s="487" t="str">
        <f t="shared" ref="F9:F19" si="1">IFERROR(D9*100/C9,"-")</f>
        <v>-</v>
      </c>
      <c r="I9" s="37" t="str">
        <f>IF(AND(C9=0,D9&gt;0),100,IFERROR(ABS(F9-100),"-"))</f>
        <v>-</v>
      </c>
      <c r="L9" s="856">
        <f>B9+C9+D9</f>
        <v>0</v>
      </c>
    </row>
    <row r="10" spans="1:12" ht="21">
      <c r="A10" s="496"/>
      <c r="B10" s="1119"/>
      <c r="C10" s="1119"/>
      <c r="D10" s="243"/>
      <c r="E10" s="488" t="str">
        <f t="shared" si="0"/>
        <v>-</v>
      </c>
      <c r="F10" s="489" t="str">
        <f t="shared" si="1"/>
        <v>-</v>
      </c>
      <c r="I10" s="37" t="str">
        <f t="shared" ref="I10:I52" si="2">IF(AND(C10=0,D10&gt;0),100,IFERROR(ABS(F10-100),"-"))</f>
        <v>-</v>
      </c>
      <c r="L10" s="856">
        <f t="shared" ref="L10:L52" si="3">B10+C10+D10</f>
        <v>0</v>
      </c>
    </row>
    <row r="11" spans="1:12" ht="21">
      <c r="A11" s="496"/>
      <c r="B11" s="1119"/>
      <c r="C11" s="1119"/>
      <c r="D11" s="243"/>
      <c r="E11" s="488" t="str">
        <f t="shared" si="0"/>
        <v>-</v>
      </c>
      <c r="F11" s="489" t="str">
        <f t="shared" si="1"/>
        <v>-</v>
      </c>
      <c r="I11" s="37" t="str">
        <f t="shared" si="2"/>
        <v>-</v>
      </c>
      <c r="L11" s="856">
        <f t="shared" si="3"/>
        <v>0</v>
      </c>
    </row>
    <row r="12" spans="1:12" ht="21">
      <c r="A12" s="496"/>
      <c r="B12" s="1119"/>
      <c r="C12" s="1119"/>
      <c r="D12" s="243"/>
      <c r="E12" s="488" t="str">
        <f t="shared" si="0"/>
        <v>-</v>
      </c>
      <c r="F12" s="489" t="str">
        <f t="shared" si="1"/>
        <v>-</v>
      </c>
      <c r="I12" s="37" t="str">
        <f t="shared" si="2"/>
        <v>-</v>
      </c>
      <c r="L12" s="856">
        <f t="shared" si="3"/>
        <v>0</v>
      </c>
    </row>
    <row r="13" spans="1:12" ht="21">
      <c r="A13" s="496"/>
      <c r="B13" s="1119"/>
      <c r="C13" s="1119"/>
      <c r="D13" s="243"/>
      <c r="E13" s="488" t="str">
        <f t="shared" si="0"/>
        <v>-</v>
      </c>
      <c r="F13" s="489" t="str">
        <f t="shared" si="1"/>
        <v>-</v>
      </c>
      <c r="I13" s="37" t="str">
        <f t="shared" si="2"/>
        <v>-</v>
      </c>
      <c r="L13" s="856">
        <f t="shared" si="3"/>
        <v>0</v>
      </c>
    </row>
    <row r="14" spans="1:12" ht="21">
      <c r="A14" s="496"/>
      <c r="B14" s="1119"/>
      <c r="C14" s="1119"/>
      <c r="D14" s="243"/>
      <c r="E14" s="488" t="str">
        <f t="shared" si="0"/>
        <v>-</v>
      </c>
      <c r="F14" s="489" t="str">
        <f t="shared" si="1"/>
        <v>-</v>
      </c>
      <c r="I14" s="37" t="str">
        <f t="shared" si="2"/>
        <v>-</v>
      </c>
      <c r="L14" s="856">
        <f t="shared" si="3"/>
        <v>0</v>
      </c>
    </row>
    <row r="15" spans="1:12" ht="21">
      <c r="A15" s="496"/>
      <c r="B15" s="1119"/>
      <c r="C15" s="1119"/>
      <c r="D15" s="243"/>
      <c r="E15" s="488" t="str">
        <f t="shared" si="0"/>
        <v>-</v>
      </c>
      <c r="F15" s="489" t="str">
        <f t="shared" si="1"/>
        <v>-</v>
      </c>
      <c r="I15" s="37" t="str">
        <f t="shared" si="2"/>
        <v>-</v>
      </c>
      <c r="L15" s="856">
        <f t="shared" si="3"/>
        <v>0</v>
      </c>
    </row>
    <row r="16" spans="1:12" ht="21">
      <c r="A16" s="496"/>
      <c r="B16" s="1119"/>
      <c r="C16" s="1119"/>
      <c r="D16" s="243"/>
      <c r="E16" s="488" t="str">
        <f t="shared" si="0"/>
        <v>-</v>
      </c>
      <c r="F16" s="489" t="str">
        <f t="shared" si="1"/>
        <v>-</v>
      </c>
      <c r="I16" s="37" t="str">
        <f t="shared" si="2"/>
        <v>-</v>
      </c>
      <c r="L16" s="856">
        <f t="shared" si="3"/>
        <v>0</v>
      </c>
    </row>
    <row r="17" spans="1:12" ht="21">
      <c r="A17" s="496"/>
      <c r="B17" s="1119"/>
      <c r="C17" s="1119"/>
      <c r="D17" s="243"/>
      <c r="E17" s="488" t="str">
        <f t="shared" si="0"/>
        <v>-</v>
      </c>
      <c r="F17" s="489" t="str">
        <f t="shared" si="1"/>
        <v>-</v>
      </c>
      <c r="I17" s="37" t="str">
        <f t="shared" si="2"/>
        <v>-</v>
      </c>
      <c r="L17" s="856">
        <f t="shared" si="3"/>
        <v>0</v>
      </c>
    </row>
    <row r="18" spans="1:12" ht="21">
      <c r="A18" s="496"/>
      <c r="B18" s="1119"/>
      <c r="C18" s="1119"/>
      <c r="D18" s="243"/>
      <c r="E18" s="488" t="str">
        <f t="shared" si="0"/>
        <v>-</v>
      </c>
      <c r="F18" s="489" t="str">
        <f t="shared" si="1"/>
        <v>-</v>
      </c>
      <c r="I18" s="37" t="str">
        <f t="shared" si="2"/>
        <v>-</v>
      </c>
      <c r="L18" s="856">
        <f t="shared" si="3"/>
        <v>0</v>
      </c>
    </row>
    <row r="19" spans="1:12" ht="21">
      <c r="A19" s="496"/>
      <c r="B19" s="1119"/>
      <c r="C19" s="1119"/>
      <c r="D19" s="243"/>
      <c r="E19" s="488" t="str">
        <f t="shared" si="0"/>
        <v>-</v>
      </c>
      <c r="F19" s="489" t="str">
        <f t="shared" si="1"/>
        <v>-</v>
      </c>
      <c r="I19" s="37" t="str">
        <f t="shared" si="2"/>
        <v>-</v>
      </c>
      <c r="L19" s="856">
        <f t="shared" si="3"/>
        <v>0</v>
      </c>
    </row>
    <row r="20" spans="1:12" ht="21">
      <c r="A20" s="496"/>
      <c r="B20" s="1119"/>
      <c r="C20" s="1119"/>
      <c r="D20" s="243"/>
      <c r="E20" s="488" t="str">
        <f t="shared" ref="E20:E52" si="4">IFERROR((D20-B20)*100/B20,"-")</f>
        <v>-</v>
      </c>
      <c r="F20" s="489" t="str">
        <f t="shared" ref="F20:F52" si="5">IFERROR(D20*100/C20,"-")</f>
        <v>-</v>
      </c>
      <c r="I20" s="37" t="str">
        <f t="shared" si="2"/>
        <v>-</v>
      </c>
      <c r="L20" s="856">
        <f t="shared" si="3"/>
        <v>0</v>
      </c>
    </row>
    <row r="21" spans="1:12" ht="21">
      <c r="A21" s="496"/>
      <c r="B21" s="1119"/>
      <c r="C21" s="1119"/>
      <c r="D21" s="243"/>
      <c r="E21" s="488" t="str">
        <f t="shared" si="4"/>
        <v>-</v>
      </c>
      <c r="F21" s="489" t="str">
        <f t="shared" si="5"/>
        <v>-</v>
      </c>
      <c r="I21" s="37" t="str">
        <f t="shared" si="2"/>
        <v>-</v>
      </c>
      <c r="L21" s="856">
        <f t="shared" si="3"/>
        <v>0</v>
      </c>
    </row>
    <row r="22" spans="1:12" ht="21">
      <c r="A22" s="496"/>
      <c r="B22" s="1119"/>
      <c r="C22" s="1119"/>
      <c r="D22" s="243"/>
      <c r="E22" s="488" t="str">
        <f t="shared" si="4"/>
        <v>-</v>
      </c>
      <c r="F22" s="489" t="str">
        <f t="shared" si="5"/>
        <v>-</v>
      </c>
      <c r="I22" s="37" t="str">
        <f t="shared" si="2"/>
        <v>-</v>
      </c>
      <c r="L22" s="856">
        <f t="shared" si="3"/>
        <v>0</v>
      </c>
    </row>
    <row r="23" spans="1:12" ht="21">
      <c r="A23" s="496"/>
      <c r="B23" s="1119"/>
      <c r="C23" s="1119"/>
      <c r="D23" s="243"/>
      <c r="E23" s="488" t="str">
        <f t="shared" si="4"/>
        <v>-</v>
      </c>
      <c r="F23" s="489" t="str">
        <f t="shared" si="5"/>
        <v>-</v>
      </c>
      <c r="I23" s="37" t="str">
        <f t="shared" si="2"/>
        <v>-</v>
      </c>
      <c r="L23" s="856">
        <f t="shared" si="3"/>
        <v>0</v>
      </c>
    </row>
    <row r="24" spans="1:12" ht="21">
      <c r="A24" s="496"/>
      <c r="B24" s="1119"/>
      <c r="C24" s="1119"/>
      <c r="D24" s="243"/>
      <c r="E24" s="488" t="str">
        <f t="shared" si="4"/>
        <v>-</v>
      </c>
      <c r="F24" s="489" t="str">
        <f t="shared" si="5"/>
        <v>-</v>
      </c>
      <c r="I24" s="37" t="str">
        <f t="shared" si="2"/>
        <v>-</v>
      </c>
      <c r="L24" s="856">
        <f t="shared" si="3"/>
        <v>0</v>
      </c>
    </row>
    <row r="25" spans="1:12" ht="21">
      <c r="A25" s="496"/>
      <c r="B25" s="1119"/>
      <c r="C25" s="1119"/>
      <c r="D25" s="243"/>
      <c r="E25" s="488" t="str">
        <f t="shared" si="4"/>
        <v>-</v>
      </c>
      <c r="F25" s="489" t="str">
        <f t="shared" si="5"/>
        <v>-</v>
      </c>
      <c r="I25" s="37" t="str">
        <f t="shared" si="2"/>
        <v>-</v>
      </c>
      <c r="L25" s="856">
        <f t="shared" si="3"/>
        <v>0</v>
      </c>
    </row>
    <row r="26" spans="1:12" ht="21">
      <c r="A26" s="496"/>
      <c r="B26" s="1119"/>
      <c r="C26" s="1119"/>
      <c r="D26" s="243"/>
      <c r="E26" s="488" t="str">
        <f t="shared" si="4"/>
        <v>-</v>
      </c>
      <c r="F26" s="489" t="str">
        <f t="shared" si="5"/>
        <v>-</v>
      </c>
      <c r="I26" s="37" t="str">
        <f t="shared" si="2"/>
        <v>-</v>
      </c>
      <c r="L26" s="856">
        <f t="shared" si="3"/>
        <v>0</v>
      </c>
    </row>
    <row r="27" spans="1:12" ht="21">
      <c r="A27" s="496"/>
      <c r="B27" s="1119"/>
      <c r="C27" s="1119"/>
      <c r="D27" s="243"/>
      <c r="E27" s="488" t="str">
        <f t="shared" si="4"/>
        <v>-</v>
      </c>
      <c r="F27" s="489" t="str">
        <f t="shared" si="5"/>
        <v>-</v>
      </c>
      <c r="I27" s="37" t="str">
        <f t="shared" si="2"/>
        <v>-</v>
      </c>
      <c r="L27" s="856">
        <f t="shared" si="3"/>
        <v>0</v>
      </c>
    </row>
    <row r="28" spans="1:12" ht="21">
      <c r="A28" s="496"/>
      <c r="B28" s="1119"/>
      <c r="C28" s="1119"/>
      <c r="D28" s="243"/>
      <c r="E28" s="488" t="str">
        <f t="shared" si="4"/>
        <v>-</v>
      </c>
      <c r="F28" s="489" t="str">
        <f t="shared" si="5"/>
        <v>-</v>
      </c>
      <c r="I28" s="37" t="str">
        <f t="shared" si="2"/>
        <v>-</v>
      </c>
      <c r="L28" s="856">
        <f t="shared" si="3"/>
        <v>0</v>
      </c>
    </row>
    <row r="29" spans="1:12" ht="21">
      <c r="A29" s="496"/>
      <c r="B29" s="1119"/>
      <c r="C29" s="1119"/>
      <c r="D29" s="243"/>
      <c r="E29" s="488" t="str">
        <f t="shared" si="4"/>
        <v>-</v>
      </c>
      <c r="F29" s="489" t="str">
        <f t="shared" si="5"/>
        <v>-</v>
      </c>
      <c r="I29" s="37" t="str">
        <f t="shared" si="2"/>
        <v>-</v>
      </c>
      <c r="L29" s="856">
        <f t="shared" si="3"/>
        <v>0</v>
      </c>
    </row>
    <row r="30" spans="1:12" ht="21">
      <c r="A30" s="496"/>
      <c r="B30" s="1119"/>
      <c r="C30" s="1119"/>
      <c r="D30" s="243"/>
      <c r="E30" s="488" t="str">
        <f t="shared" si="4"/>
        <v>-</v>
      </c>
      <c r="F30" s="489" t="str">
        <f t="shared" si="5"/>
        <v>-</v>
      </c>
      <c r="I30" s="37" t="str">
        <f t="shared" si="2"/>
        <v>-</v>
      </c>
      <c r="L30" s="856">
        <f t="shared" si="3"/>
        <v>0</v>
      </c>
    </row>
    <row r="31" spans="1:12" ht="21">
      <c r="A31" s="496"/>
      <c r="B31" s="1119"/>
      <c r="C31" s="1119"/>
      <c r="D31" s="243"/>
      <c r="E31" s="488" t="str">
        <f t="shared" si="4"/>
        <v>-</v>
      </c>
      <c r="F31" s="489" t="str">
        <f t="shared" si="5"/>
        <v>-</v>
      </c>
      <c r="I31" s="37" t="str">
        <f t="shared" si="2"/>
        <v>-</v>
      </c>
      <c r="L31" s="856">
        <f t="shared" si="3"/>
        <v>0</v>
      </c>
    </row>
    <row r="32" spans="1:12" ht="21">
      <c r="A32" s="496"/>
      <c r="B32" s="1119"/>
      <c r="C32" s="1119"/>
      <c r="D32" s="243"/>
      <c r="E32" s="488" t="str">
        <f t="shared" si="4"/>
        <v>-</v>
      </c>
      <c r="F32" s="489" t="str">
        <f t="shared" si="5"/>
        <v>-</v>
      </c>
      <c r="I32" s="37" t="str">
        <f t="shared" si="2"/>
        <v>-</v>
      </c>
      <c r="L32" s="856">
        <f t="shared" si="3"/>
        <v>0</v>
      </c>
    </row>
    <row r="33" spans="1:12" ht="21">
      <c r="A33" s="496"/>
      <c r="B33" s="1119"/>
      <c r="C33" s="1119"/>
      <c r="D33" s="243"/>
      <c r="E33" s="488" t="str">
        <f t="shared" si="4"/>
        <v>-</v>
      </c>
      <c r="F33" s="489" t="str">
        <f t="shared" si="5"/>
        <v>-</v>
      </c>
      <c r="I33" s="37" t="str">
        <f t="shared" si="2"/>
        <v>-</v>
      </c>
      <c r="L33" s="856">
        <f t="shared" si="3"/>
        <v>0</v>
      </c>
    </row>
    <row r="34" spans="1:12" ht="21">
      <c r="A34" s="496"/>
      <c r="B34" s="1119"/>
      <c r="C34" s="1119"/>
      <c r="D34" s="243"/>
      <c r="E34" s="488" t="str">
        <f t="shared" si="4"/>
        <v>-</v>
      </c>
      <c r="F34" s="489" t="str">
        <f t="shared" si="5"/>
        <v>-</v>
      </c>
      <c r="I34" s="37" t="str">
        <f t="shared" si="2"/>
        <v>-</v>
      </c>
      <c r="L34" s="856">
        <f t="shared" si="3"/>
        <v>0</v>
      </c>
    </row>
    <row r="35" spans="1:12" ht="21">
      <c r="A35" s="496"/>
      <c r="B35" s="1119"/>
      <c r="C35" s="1119"/>
      <c r="D35" s="243"/>
      <c r="E35" s="488" t="str">
        <f t="shared" si="4"/>
        <v>-</v>
      </c>
      <c r="F35" s="489" t="str">
        <f t="shared" si="5"/>
        <v>-</v>
      </c>
      <c r="I35" s="37" t="str">
        <f t="shared" si="2"/>
        <v>-</v>
      </c>
      <c r="L35" s="856">
        <f t="shared" si="3"/>
        <v>0</v>
      </c>
    </row>
    <row r="36" spans="1:12" ht="21">
      <c r="A36" s="496"/>
      <c r="B36" s="1119"/>
      <c r="C36" s="1119"/>
      <c r="D36" s="243"/>
      <c r="E36" s="488" t="str">
        <f t="shared" si="4"/>
        <v>-</v>
      </c>
      <c r="F36" s="489" t="str">
        <f t="shared" si="5"/>
        <v>-</v>
      </c>
      <c r="I36" s="37" t="str">
        <f t="shared" si="2"/>
        <v>-</v>
      </c>
      <c r="L36" s="856">
        <f t="shared" si="3"/>
        <v>0</v>
      </c>
    </row>
    <row r="37" spans="1:12" ht="21">
      <c r="A37" s="496"/>
      <c r="B37" s="1119"/>
      <c r="C37" s="1119"/>
      <c r="D37" s="243"/>
      <c r="E37" s="488" t="str">
        <f t="shared" si="4"/>
        <v>-</v>
      </c>
      <c r="F37" s="489" t="str">
        <f t="shared" si="5"/>
        <v>-</v>
      </c>
      <c r="I37" s="37" t="str">
        <f t="shared" si="2"/>
        <v>-</v>
      </c>
      <c r="L37" s="856">
        <f t="shared" si="3"/>
        <v>0</v>
      </c>
    </row>
    <row r="38" spans="1:12" ht="21">
      <c r="A38" s="496"/>
      <c r="B38" s="1119"/>
      <c r="C38" s="1119"/>
      <c r="D38" s="243"/>
      <c r="E38" s="488" t="str">
        <f t="shared" si="4"/>
        <v>-</v>
      </c>
      <c r="F38" s="489" t="str">
        <f t="shared" si="5"/>
        <v>-</v>
      </c>
      <c r="I38" s="37" t="str">
        <f t="shared" si="2"/>
        <v>-</v>
      </c>
      <c r="L38" s="856">
        <f t="shared" si="3"/>
        <v>0</v>
      </c>
    </row>
    <row r="39" spans="1:12" ht="21">
      <c r="A39" s="496"/>
      <c r="B39" s="1119"/>
      <c r="C39" s="1119"/>
      <c r="D39" s="243"/>
      <c r="E39" s="488" t="str">
        <f t="shared" si="4"/>
        <v>-</v>
      </c>
      <c r="F39" s="489" t="str">
        <f t="shared" si="5"/>
        <v>-</v>
      </c>
      <c r="I39" s="37" t="str">
        <f t="shared" si="2"/>
        <v>-</v>
      </c>
      <c r="L39" s="856">
        <f t="shared" si="3"/>
        <v>0</v>
      </c>
    </row>
    <row r="40" spans="1:12" ht="21">
      <c r="A40" s="496"/>
      <c r="B40" s="1119"/>
      <c r="C40" s="1119"/>
      <c r="D40" s="243"/>
      <c r="E40" s="488" t="str">
        <f t="shared" si="4"/>
        <v>-</v>
      </c>
      <c r="F40" s="489" t="str">
        <f t="shared" si="5"/>
        <v>-</v>
      </c>
      <c r="I40" s="37" t="str">
        <f t="shared" si="2"/>
        <v>-</v>
      </c>
      <c r="L40" s="856">
        <f t="shared" si="3"/>
        <v>0</v>
      </c>
    </row>
    <row r="41" spans="1:12" ht="21">
      <c r="A41" s="496"/>
      <c r="B41" s="1119"/>
      <c r="C41" s="1119"/>
      <c r="D41" s="243"/>
      <c r="E41" s="488" t="str">
        <f t="shared" si="4"/>
        <v>-</v>
      </c>
      <c r="F41" s="489" t="str">
        <f t="shared" si="5"/>
        <v>-</v>
      </c>
      <c r="I41" s="37" t="str">
        <f t="shared" si="2"/>
        <v>-</v>
      </c>
      <c r="L41" s="856">
        <f t="shared" si="3"/>
        <v>0</v>
      </c>
    </row>
    <row r="42" spans="1:12" ht="21">
      <c r="A42" s="496"/>
      <c r="B42" s="1119"/>
      <c r="C42" s="1119"/>
      <c r="D42" s="243"/>
      <c r="E42" s="488" t="str">
        <f t="shared" si="4"/>
        <v>-</v>
      </c>
      <c r="F42" s="489" t="str">
        <f t="shared" si="5"/>
        <v>-</v>
      </c>
      <c r="I42" s="37" t="str">
        <f t="shared" si="2"/>
        <v>-</v>
      </c>
      <c r="L42" s="856">
        <f t="shared" si="3"/>
        <v>0</v>
      </c>
    </row>
    <row r="43" spans="1:12" ht="21">
      <c r="A43" s="496"/>
      <c r="B43" s="1119"/>
      <c r="C43" s="1119"/>
      <c r="D43" s="243"/>
      <c r="E43" s="488" t="str">
        <f t="shared" si="4"/>
        <v>-</v>
      </c>
      <c r="F43" s="489" t="str">
        <f t="shared" si="5"/>
        <v>-</v>
      </c>
      <c r="I43" s="37" t="str">
        <f t="shared" si="2"/>
        <v>-</v>
      </c>
      <c r="L43" s="856">
        <f t="shared" si="3"/>
        <v>0</v>
      </c>
    </row>
    <row r="44" spans="1:12" ht="21">
      <c r="A44" s="496"/>
      <c r="B44" s="1119"/>
      <c r="C44" s="1119"/>
      <c r="D44" s="243"/>
      <c r="E44" s="488" t="str">
        <f t="shared" si="4"/>
        <v>-</v>
      </c>
      <c r="F44" s="489" t="str">
        <f t="shared" si="5"/>
        <v>-</v>
      </c>
      <c r="I44" s="37" t="str">
        <f t="shared" si="2"/>
        <v>-</v>
      </c>
      <c r="L44" s="856">
        <f t="shared" si="3"/>
        <v>0</v>
      </c>
    </row>
    <row r="45" spans="1:12" ht="21">
      <c r="A45" s="496"/>
      <c r="B45" s="1119"/>
      <c r="C45" s="1119"/>
      <c r="D45" s="243"/>
      <c r="E45" s="488" t="str">
        <f t="shared" si="4"/>
        <v>-</v>
      </c>
      <c r="F45" s="489" t="str">
        <f t="shared" si="5"/>
        <v>-</v>
      </c>
      <c r="I45" s="37" t="str">
        <f t="shared" si="2"/>
        <v>-</v>
      </c>
      <c r="L45" s="856">
        <f t="shared" si="3"/>
        <v>0</v>
      </c>
    </row>
    <row r="46" spans="1:12" ht="21">
      <c r="A46" s="496"/>
      <c r="B46" s="1119"/>
      <c r="C46" s="1119"/>
      <c r="D46" s="243"/>
      <c r="E46" s="488" t="str">
        <f t="shared" si="4"/>
        <v>-</v>
      </c>
      <c r="F46" s="489" t="str">
        <f t="shared" si="5"/>
        <v>-</v>
      </c>
      <c r="I46" s="37" t="str">
        <f t="shared" si="2"/>
        <v>-</v>
      </c>
      <c r="L46" s="856">
        <f t="shared" si="3"/>
        <v>0</v>
      </c>
    </row>
    <row r="47" spans="1:12" ht="21">
      <c r="A47" s="496"/>
      <c r="B47" s="1119"/>
      <c r="C47" s="1119"/>
      <c r="D47" s="243"/>
      <c r="E47" s="488" t="str">
        <f t="shared" si="4"/>
        <v>-</v>
      </c>
      <c r="F47" s="489" t="str">
        <f t="shared" si="5"/>
        <v>-</v>
      </c>
      <c r="I47" s="37" t="str">
        <f t="shared" si="2"/>
        <v>-</v>
      </c>
      <c r="L47" s="856">
        <f t="shared" si="3"/>
        <v>0</v>
      </c>
    </row>
    <row r="48" spans="1:12" ht="21">
      <c r="A48" s="496"/>
      <c r="B48" s="1119"/>
      <c r="C48" s="1119"/>
      <c r="D48" s="243"/>
      <c r="E48" s="488" t="str">
        <f t="shared" si="4"/>
        <v>-</v>
      </c>
      <c r="F48" s="489" t="str">
        <f t="shared" si="5"/>
        <v>-</v>
      </c>
      <c r="I48" s="37" t="str">
        <f t="shared" si="2"/>
        <v>-</v>
      </c>
      <c r="L48" s="856">
        <f t="shared" si="3"/>
        <v>0</v>
      </c>
    </row>
    <row r="49" spans="1:12" ht="21">
      <c r="A49" s="496"/>
      <c r="B49" s="1119"/>
      <c r="C49" s="1119"/>
      <c r="D49" s="243"/>
      <c r="E49" s="488" t="str">
        <f t="shared" si="4"/>
        <v>-</v>
      </c>
      <c r="F49" s="489" t="str">
        <f t="shared" si="5"/>
        <v>-</v>
      </c>
      <c r="I49" s="37" t="str">
        <f t="shared" si="2"/>
        <v>-</v>
      </c>
      <c r="L49" s="856">
        <f t="shared" si="3"/>
        <v>0</v>
      </c>
    </row>
    <row r="50" spans="1:12" ht="21">
      <c r="A50" s="496"/>
      <c r="B50" s="1119"/>
      <c r="C50" s="1119"/>
      <c r="D50" s="243"/>
      <c r="E50" s="488" t="str">
        <f t="shared" si="4"/>
        <v>-</v>
      </c>
      <c r="F50" s="489" t="str">
        <f t="shared" si="5"/>
        <v>-</v>
      </c>
      <c r="I50" s="37" t="str">
        <f t="shared" si="2"/>
        <v>-</v>
      </c>
      <c r="L50" s="856">
        <f t="shared" si="3"/>
        <v>0</v>
      </c>
    </row>
    <row r="51" spans="1:12" ht="21">
      <c r="A51" s="496"/>
      <c r="B51" s="1119"/>
      <c r="C51" s="1119"/>
      <c r="D51" s="243"/>
      <c r="E51" s="488" t="str">
        <f t="shared" si="4"/>
        <v>-</v>
      </c>
      <c r="F51" s="489" t="str">
        <f t="shared" si="5"/>
        <v>-</v>
      </c>
      <c r="I51" s="37" t="str">
        <f t="shared" si="2"/>
        <v>-</v>
      </c>
      <c r="L51" s="856">
        <f t="shared" si="3"/>
        <v>0</v>
      </c>
    </row>
    <row r="52" spans="1:12" ht="21.75" thickBot="1">
      <c r="A52" s="496"/>
      <c r="B52" s="1119"/>
      <c r="C52" s="1119"/>
      <c r="D52" s="243"/>
      <c r="E52" s="488" t="str">
        <f t="shared" si="4"/>
        <v>-</v>
      </c>
      <c r="F52" s="489" t="str">
        <f t="shared" si="5"/>
        <v>-</v>
      </c>
      <c r="I52" s="37" t="str">
        <f t="shared" si="2"/>
        <v>-</v>
      </c>
      <c r="L52" s="856">
        <f t="shared" si="3"/>
        <v>0</v>
      </c>
    </row>
    <row r="53" spans="1:12" ht="21.75" thickBot="1">
      <c r="A53" s="492" t="s">
        <v>384</v>
      </c>
      <c r="B53" s="493">
        <f>SUM(B9:B52)</f>
        <v>0</v>
      </c>
      <c r="C53" s="493">
        <f>SUM(C9:C52)</f>
        <v>0</v>
      </c>
      <c r="D53" s="494">
        <f>SUM(D9:D52)</f>
        <v>0</v>
      </c>
      <c r="E53" s="490" t="str">
        <f>IFERROR((D53-B53)*100/B53,"-")</f>
        <v>-</v>
      </c>
      <c r="F53" s="491" t="str">
        <f>IFERROR(D53*100/C53,"-")</f>
        <v>-</v>
      </c>
      <c r="I53" s="37" t="s">
        <v>206</v>
      </c>
      <c r="L53" s="856" t="s">
        <v>206</v>
      </c>
    </row>
    <row r="54" spans="1:12" ht="21.75" thickBot="1">
      <c r="A54" s="495" t="s">
        <v>52</v>
      </c>
      <c r="B54" s="1120"/>
      <c r="C54" s="1120"/>
      <c r="D54" s="244"/>
      <c r="E54" s="490" t="str">
        <f>IFERROR((D54-B54)*100/B54,"-")</f>
        <v>-</v>
      </c>
      <c r="F54" s="491" t="str">
        <f>IFERROR(D54*100/C54,"-")</f>
        <v>-</v>
      </c>
      <c r="I54" s="37" t="str">
        <f>IF(AND(C54=0,D54&gt;0),100,IFERROR(ABS(F54-100),"-"))</f>
        <v>-</v>
      </c>
      <c r="L54" s="856" t="s">
        <v>206</v>
      </c>
    </row>
    <row r="55" spans="1:12" ht="21.75" thickBot="1">
      <c r="A55" s="492" t="s">
        <v>853</v>
      </c>
      <c r="B55" s="493">
        <f>B53+B54</f>
        <v>0</v>
      </c>
      <c r="C55" s="493">
        <f>C53+C54</f>
        <v>0</v>
      </c>
      <c r="D55" s="494">
        <f>D53+D54</f>
        <v>0</v>
      </c>
      <c r="E55" s="490" t="str">
        <f>IFERROR((D55-B55)*100/B55,"-")</f>
        <v>-</v>
      </c>
      <c r="F55" s="491" t="str">
        <f>IFERROR(D55*100/C55,"-")</f>
        <v>-</v>
      </c>
      <c r="I55" s="37" t="s">
        <v>206</v>
      </c>
      <c r="L55" s="856" t="s">
        <v>206</v>
      </c>
    </row>
    <row r="56" spans="1:12" ht="21">
      <c r="A56" s="2906"/>
      <c r="B56" s="2906"/>
      <c r="C56" s="2906"/>
      <c r="D56" s="2906"/>
      <c r="E56" s="2906"/>
      <c r="F56" s="857"/>
      <c r="I56" s="37" t="s">
        <v>206</v>
      </c>
      <c r="L56" s="856" t="s">
        <v>206</v>
      </c>
    </row>
    <row r="57" spans="1:12" ht="21">
      <c r="A57" s="8"/>
      <c r="B57" s="8"/>
      <c r="C57" s="720"/>
      <c r="E57" s="8"/>
      <c r="L57" s="212" t="s">
        <v>206</v>
      </c>
    </row>
    <row r="58" spans="1:12">
      <c r="L58" s="212" t="s">
        <v>206</v>
      </c>
    </row>
    <row r="59" spans="1:12">
      <c r="L59" s="212" t="s">
        <v>206</v>
      </c>
    </row>
    <row r="60" spans="1:12">
      <c r="L60" s="212" t="s">
        <v>206</v>
      </c>
    </row>
    <row r="61" spans="1:12">
      <c r="L61" s="212" t="s">
        <v>206</v>
      </c>
    </row>
    <row r="62" spans="1:12">
      <c r="L62" s="212" t="s">
        <v>206</v>
      </c>
    </row>
    <row r="63" spans="1:12">
      <c r="L63" s="212" t="s">
        <v>206</v>
      </c>
    </row>
    <row r="64" spans="1:12">
      <c r="L64" s="212" t="s">
        <v>206</v>
      </c>
    </row>
    <row r="65" spans="12:12">
      <c r="L65" s="212" t="s">
        <v>206</v>
      </c>
    </row>
    <row r="66" spans="12:12">
      <c r="L66" s="212" t="s">
        <v>206</v>
      </c>
    </row>
    <row r="67" spans="12:12">
      <c r="L67" s="212" t="s">
        <v>206</v>
      </c>
    </row>
  </sheetData>
  <mergeCells count="9">
    <mergeCell ref="A7:A8"/>
    <mergeCell ref="B7:B8"/>
    <mergeCell ref="C7:F7"/>
    <mergeCell ref="A56:E56"/>
    <mergeCell ref="A1:E1"/>
    <mergeCell ref="A2:F2"/>
    <mergeCell ref="A5:F5"/>
    <mergeCell ref="A6:C6"/>
    <mergeCell ref="D6:E6"/>
  </mergeCells>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0">
    <pageSetUpPr fitToPage="1"/>
  </sheetPr>
  <dimension ref="A1:M69"/>
  <sheetViews>
    <sheetView rightToLeft="1" workbookViewId="0">
      <selection sqref="A1:E1"/>
    </sheetView>
  </sheetViews>
  <sheetFormatPr defaultColWidth="9" defaultRowHeight="15"/>
  <cols>
    <col min="1" max="1" width="43.5703125" style="5" customWidth="1"/>
    <col min="2" max="4" width="18.5703125" style="5" customWidth="1"/>
    <col min="5" max="6" width="13.5703125" style="5" customWidth="1"/>
    <col min="7" max="7" width="9" style="5"/>
    <col min="8" max="8" width="9" style="79"/>
    <col min="9" max="9" width="9" style="212" hidden="1" customWidth="1"/>
    <col min="10" max="11" width="9" style="79" hidden="1" customWidth="1"/>
    <col min="12" max="12" width="9" style="212" hidden="1" customWidth="1"/>
    <col min="13" max="13" width="9" style="79"/>
    <col min="14" max="16384" width="9" style="5"/>
  </cols>
  <sheetData>
    <row r="1" spans="1:12" ht="15.75" customHeight="1">
      <c r="A1" s="2759"/>
      <c r="B1" s="2759"/>
      <c r="C1" s="2759"/>
      <c r="D1" s="2759"/>
      <c r="E1" s="2759"/>
      <c r="F1" s="702"/>
      <c r="G1" s="9"/>
      <c r="H1" s="80"/>
    </row>
    <row r="2" spans="1:12" ht="26.25">
      <c r="A2" s="2685" t="str">
        <f>'خرید مواد اولیه تولید'!A1:V1</f>
        <v>انبارهای عمومی و خدمات گمرکی ایران</v>
      </c>
      <c r="B2" s="2685"/>
      <c r="C2" s="2685"/>
      <c r="D2" s="2685"/>
      <c r="E2" s="2685"/>
      <c r="F2" s="2685"/>
      <c r="G2" s="3"/>
    </row>
    <row r="3" spans="1:12" ht="20.25" customHeight="1">
      <c r="A3" s="396"/>
      <c r="B3" s="396"/>
      <c r="C3" s="396"/>
      <c r="D3" s="396"/>
      <c r="E3" s="396"/>
      <c r="F3" s="396"/>
      <c r="G3" s="53"/>
    </row>
    <row r="4" spans="1:12" ht="24" customHeight="1">
      <c r="A4" s="1110" t="s">
        <v>1276</v>
      </c>
      <c r="B4" s="1110"/>
      <c r="C4" s="1088" t="s">
        <v>1246</v>
      </c>
      <c r="D4" s="1089" t="str">
        <f>روکش!$F$9</f>
        <v>شش ماهه</v>
      </c>
      <c r="E4" s="1089" t="s">
        <v>379</v>
      </c>
      <c r="F4" s="1088">
        <f>روکش!$D$9</f>
        <v>1405</v>
      </c>
      <c r="G4" s="865"/>
      <c r="H4" s="832"/>
    </row>
    <row r="5" spans="1:12" ht="23.25">
      <c r="A5" s="2980"/>
      <c r="B5" s="2980"/>
      <c r="C5" s="2980"/>
      <c r="D5" s="2980"/>
      <c r="E5" s="2980"/>
      <c r="F5" s="2980"/>
    </row>
    <row r="6" spans="1:12" ht="26.25" customHeight="1" thickBot="1">
      <c r="A6" s="2723"/>
      <c r="B6" s="2723"/>
      <c r="C6" s="2723"/>
      <c r="D6" s="2910" t="s">
        <v>30</v>
      </c>
      <c r="E6" s="2910"/>
      <c r="F6" s="485"/>
    </row>
    <row r="7" spans="1:12" ht="35.1" customHeight="1">
      <c r="A7" s="2907" t="s">
        <v>21</v>
      </c>
      <c r="B7" s="2907" t="s">
        <v>693</v>
      </c>
      <c r="C7" s="2977" t="s">
        <v>642</v>
      </c>
      <c r="D7" s="2978"/>
      <c r="E7" s="2978"/>
      <c r="F7" s="2979"/>
    </row>
    <row r="8" spans="1:12" ht="67.5" customHeight="1" thickBot="1">
      <c r="A8" s="2908"/>
      <c r="B8" s="2909"/>
      <c r="C8" s="713" t="s">
        <v>53</v>
      </c>
      <c r="D8" s="714" t="s">
        <v>216</v>
      </c>
      <c r="E8" s="714" t="s">
        <v>793</v>
      </c>
      <c r="F8" s="715" t="s">
        <v>230</v>
      </c>
      <c r="I8" s="212" t="s">
        <v>784</v>
      </c>
      <c r="L8" s="212" t="s">
        <v>792</v>
      </c>
    </row>
    <row r="9" spans="1:12" ht="21.75" customHeight="1">
      <c r="A9" s="496"/>
      <c r="B9" s="1118"/>
      <c r="C9" s="1118"/>
      <c r="D9" s="908"/>
      <c r="E9" s="486" t="str">
        <f t="shared" ref="E9:E17" si="0">IFERROR((D9-B9)*100/B9,"-")</f>
        <v>-</v>
      </c>
      <c r="F9" s="487" t="str">
        <f t="shared" ref="F9:F17" si="1">IFERROR(D9*100/C9,"-")</f>
        <v>-</v>
      </c>
      <c r="I9" s="37" t="str">
        <f>IF(AND(C9=0,D9&gt;0),100,IFERROR(ABS(F9-100),"-"))</f>
        <v>-</v>
      </c>
      <c r="L9" s="856">
        <f>B9+C9+D9</f>
        <v>0</v>
      </c>
    </row>
    <row r="10" spans="1:12" ht="21">
      <c r="A10" s="496"/>
      <c r="B10" s="1119"/>
      <c r="C10" s="1119"/>
      <c r="D10" s="909"/>
      <c r="E10" s="488" t="str">
        <f t="shared" si="0"/>
        <v>-</v>
      </c>
      <c r="F10" s="489" t="str">
        <f t="shared" si="1"/>
        <v>-</v>
      </c>
      <c r="I10" s="37" t="str">
        <f t="shared" ref="I10:I52" si="2">IF(AND(C10=0,D10&gt;0),100,IFERROR(ABS(F10-100),"-"))</f>
        <v>-</v>
      </c>
      <c r="L10" s="856">
        <f t="shared" ref="L10:L52" si="3">B10+C10+D10</f>
        <v>0</v>
      </c>
    </row>
    <row r="11" spans="1:12" ht="21">
      <c r="A11" s="496"/>
      <c r="B11" s="1119"/>
      <c r="C11" s="1119"/>
      <c r="D11" s="909"/>
      <c r="E11" s="488" t="str">
        <f t="shared" si="0"/>
        <v>-</v>
      </c>
      <c r="F11" s="489" t="str">
        <f t="shared" si="1"/>
        <v>-</v>
      </c>
      <c r="I11" s="37" t="str">
        <f t="shared" si="2"/>
        <v>-</v>
      </c>
      <c r="L11" s="856">
        <f t="shared" si="3"/>
        <v>0</v>
      </c>
    </row>
    <row r="12" spans="1:12" ht="21">
      <c r="A12" s="496"/>
      <c r="B12" s="1119"/>
      <c r="C12" s="1119"/>
      <c r="D12" s="909"/>
      <c r="E12" s="488" t="str">
        <f t="shared" si="0"/>
        <v>-</v>
      </c>
      <c r="F12" s="489" t="str">
        <f t="shared" si="1"/>
        <v>-</v>
      </c>
      <c r="I12" s="37" t="str">
        <f t="shared" si="2"/>
        <v>-</v>
      </c>
      <c r="L12" s="856">
        <f t="shared" si="3"/>
        <v>0</v>
      </c>
    </row>
    <row r="13" spans="1:12" ht="21">
      <c r="A13" s="496"/>
      <c r="B13" s="1119"/>
      <c r="C13" s="1119"/>
      <c r="D13" s="909"/>
      <c r="E13" s="488" t="str">
        <f t="shared" si="0"/>
        <v>-</v>
      </c>
      <c r="F13" s="489" t="str">
        <f t="shared" si="1"/>
        <v>-</v>
      </c>
      <c r="I13" s="37" t="str">
        <f t="shared" si="2"/>
        <v>-</v>
      </c>
      <c r="L13" s="856">
        <f t="shared" si="3"/>
        <v>0</v>
      </c>
    </row>
    <row r="14" spans="1:12" ht="21">
      <c r="A14" s="496"/>
      <c r="B14" s="1119"/>
      <c r="C14" s="1119"/>
      <c r="D14" s="909"/>
      <c r="E14" s="488" t="str">
        <f t="shared" si="0"/>
        <v>-</v>
      </c>
      <c r="F14" s="489" t="str">
        <f t="shared" si="1"/>
        <v>-</v>
      </c>
      <c r="I14" s="37" t="str">
        <f t="shared" si="2"/>
        <v>-</v>
      </c>
      <c r="L14" s="856">
        <f t="shared" si="3"/>
        <v>0</v>
      </c>
    </row>
    <row r="15" spans="1:12" ht="21">
      <c r="A15" s="496"/>
      <c r="B15" s="1119"/>
      <c r="C15" s="1119"/>
      <c r="D15" s="909"/>
      <c r="E15" s="488" t="str">
        <f t="shared" si="0"/>
        <v>-</v>
      </c>
      <c r="F15" s="489" t="str">
        <f t="shared" si="1"/>
        <v>-</v>
      </c>
      <c r="I15" s="37" t="str">
        <f t="shared" si="2"/>
        <v>-</v>
      </c>
      <c r="L15" s="856">
        <f t="shared" si="3"/>
        <v>0</v>
      </c>
    </row>
    <row r="16" spans="1:12" ht="21">
      <c r="A16" s="496"/>
      <c r="B16" s="1119"/>
      <c r="C16" s="1119"/>
      <c r="D16" s="909"/>
      <c r="E16" s="488" t="str">
        <f t="shared" si="0"/>
        <v>-</v>
      </c>
      <c r="F16" s="489" t="str">
        <f t="shared" si="1"/>
        <v>-</v>
      </c>
      <c r="I16" s="37" t="str">
        <f t="shared" si="2"/>
        <v>-</v>
      </c>
      <c r="L16" s="856">
        <f t="shared" si="3"/>
        <v>0</v>
      </c>
    </row>
    <row r="17" spans="1:12" ht="21">
      <c r="A17" s="496"/>
      <c r="B17" s="1119"/>
      <c r="C17" s="1119"/>
      <c r="D17" s="909"/>
      <c r="E17" s="488" t="str">
        <f t="shared" si="0"/>
        <v>-</v>
      </c>
      <c r="F17" s="489" t="str">
        <f t="shared" si="1"/>
        <v>-</v>
      </c>
      <c r="I17" s="37" t="str">
        <f t="shared" si="2"/>
        <v>-</v>
      </c>
      <c r="L17" s="856">
        <f t="shared" si="3"/>
        <v>0</v>
      </c>
    </row>
    <row r="18" spans="1:12" ht="21">
      <c r="A18" s="496"/>
      <c r="B18" s="1119"/>
      <c r="C18" s="1119"/>
      <c r="D18" s="909"/>
      <c r="E18" s="488" t="str">
        <f t="shared" ref="E18:E52" si="4">IFERROR((D18-B18)*100/B18,"-")</f>
        <v>-</v>
      </c>
      <c r="F18" s="489" t="str">
        <f t="shared" ref="F18:F52" si="5">IFERROR(D18*100/C18,"-")</f>
        <v>-</v>
      </c>
      <c r="I18" s="37" t="str">
        <f t="shared" si="2"/>
        <v>-</v>
      </c>
      <c r="L18" s="856">
        <f t="shared" si="3"/>
        <v>0</v>
      </c>
    </row>
    <row r="19" spans="1:12" ht="21">
      <c r="A19" s="496"/>
      <c r="B19" s="1119"/>
      <c r="C19" s="1119"/>
      <c r="D19" s="909"/>
      <c r="E19" s="488" t="str">
        <f t="shared" si="4"/>
        <v>-</v>
      </c>
      <c r="F19" s="489" t="str">
        <f t="shared" si="5"/>
        <v>-</v>
      </c>
      <c r="I19" s="37" t="str">
        <f t="shared" si="2"/>
        <v>-</v>
      </c>
      <c r="L19" s="856">
        <f t="shared" si="3"/>
        <v>0</v>
      </c>
    </row>
    <row r="20" spans="1:12" ht="21">
      <c r="A20" s="496"/>
      <c r="B20" s="1119"/>
      <c r="C20" s="1119"/>
      <c r="D20" s="909"/>
      <c r="E20" s="488" t="str">
        <f t="shared" si="4"/>
        <v>-</v>
      </c>
      <c r="F20" s="489" t="str">
        <f t="shared" si="5"/>
        <v>-</v>
      </c>
      <c r="I20" s="37" t="str">
        <f t="shared" si="2"/>
        <v>-</v>
      </c>
      <c r="L20" s="856">
        <f t="shared" si="3"/>
        <v>0</v>
      </c>
    </row>
    <row r="21" spans="1:12" ht="21">
      <c r="A21" s="496"/>
      <c r="B21" s="1119"/>
      <c r="C21" s="1119"/>
      <c r="D21" s="909"/>
      <c r="E21" s="488" t="str">
        <f t="shared" si="4"/>
        <v>-</v>
      </c>
      <c r="F21" s="489" t="str">
        <f t="shared" si="5"/>
        <v>-</v>
      </c>
      <c r="I21" s="37" t="str">
        <f t="shared" si="2"/>
        <v>-</v>
      </c>
      <c r="L21" s="856">
        <f t="shared" si="3"/>
        <v>0</v>
      </c>
    </row>
    <row r="22" spans="1:12" ht="21">
      <c r="A22" s="496"/>
      <c r="B22" s="1119"/>
      <c r="C22" s="1119"/>
      <c r="D22" s="909"/>
      <c r="E22" s="488" t="str">
        <f t="shared" si="4"/>
        <v>-</v>
      </c>
      <c r="F22" s="489" t="str">
        <f t="shared" si="5"/>
        <v>-</v>
      </c>
      <c r="I22" s="37" t="str">
        <f t="shared" si="2"/>
        <v>-</v>
      </c>
      <c r="L22" s="856">
        <f t="shared" si="3"/>
        <v>0</v>
      </c>
    </row>
    <row r="23" spans="1:12" ht="21">
      <c r="A23" s="496"/>
      <c r="B23" s="1119"/>
      <c r="C23" s="1119"/>
      <c r="D23" s="909"/>
      <c r="E23" s="488" t="str">
        <f t="shared" si="4"/>
        <v>-</v>
      </c>
      <c r="F23" s="489" t="str">
        <f t="shared" si="5"/>
        <v>-</v>
      </c>
      <c r="I23" s="37" t="str">
        <f t="shared" si="2"/>
        <v>-</v>
      </c>
      <c r="L23" s="856">
        <f t="shared" si="3"/>
        <v>0</v>
      </c>
    </row>
    <row r="24" spans="1:12" ht="21">
      <c r="A24" s="496"/>
      <c r="B24" s="1119"/>
      <c r="C24" s="1119"/>
      <c r="D24" s="909"/>
      <c r="E24" s="488" t="str">
        <f t="shared" si="4"/>
        <v>-</v>
      </c>
      <c r="F24" s="489" t="str">
        <f t="shared" si="5"/>
        <v>-</v>
      </c>
      <c r="I24" s="37" t="str">
        <f t="shared" si="2"/>
        <v>-</v>
      </c>
      <c r="L24" s="856">
        <f t="shared" si="3"/>
        <v>0</v>
      </c>
    </row>
    <row r="25" spans="1:12" ht="21">
      <c r="A25" s="496"/>
      <c r="B25" s="1119"/>
      <c r="C25" s="1119"/>
      <c r="D25" s="909"/>
      <c r="E25" s="488" t="str">
        <f t="shared" si="4"/>
        <v>-</v>
      </c>
      <c r="F25" s="489" t="str">
        <f t="shared" si="5"/>
        <v>-</v>
      </c>
      <c r="I25" s="37" t="str">
        <f t="shared" si="2"/>
        <v>-</v>
      </c>
      <c r="L25" s="856">
        <f t="shared" si="3"/>
        <v>0</v>
      </c>
    </row>
    <row r="26" spans="1:12" ht="21">
      <c r="A26" s="496"/>
      <c r="B26" s="1119"/>
      <c r="C26" s="1119"/>
      <c r="D26" s="909"/>
      <c r="E26" s="488" t="str">
        <f t="shared" si="4"/>
        <v>-</v>
      </c>
      <c r="F26" s="489" t="str">
        <f t="shared" si="5"/>
        <v>-</v>
      </c>
      <c r="I26" s="37" t="str">
        <f t="shared" si="2"/>
        <v>-</v>
      </c>
      <c r="L26" s="856">
        <f t="shared" si="3"/>
        <v>0</v>
      </c>
    </row>
    <row r="27" spans="1:12" ht="21">
      <c r="A27" s="496"/>
      <c r="B27" s="1119"/>
      <c r="C27" s="1119"/>
      <c r="D27" s="909"/>
      <c r="E27" s="488" t="str">
        <f t="shared" si="4"/>
        <v>-</v>
      </c>
      <c r="F27" s="489" t="str">
        <f t="shared" si="5"/>
        <v>-</v>
      </c>
      <c r="I27" s="37" t="str">
        <f t="shared" si="2"/>
        <v>-</v>
      </c>
      <c r="L27" s="856">
        <f t="shared" si="3"/>
        <v>0</v>
      </c>
    </row>
    <row r="28" spans="1:12" ht="21">
      <c r="A28" s="496"/>
      <c r="B28" s="1119"/>
      <c r="C28" s="1119"/>
      <c r="D28" s="909"/>
      <c r="E28" s="488" t="str">
        <f t="shared" si="4"/>
        <v>-</v>
      </c>
      <c r="F28" s="489" t="str">
        <f t="shared" si="5"/>
        <v>-</v>
      </c>
      <c r="I28" s="37" t="str">
        <f t="shared" si="2"/>
        <v>-</v>
      </c>
      <c r="L28" s="856">
        <f t="shared" si="3"/>
        <v>0</v>
      </c>
    </row>
    <row r="29" spans="1:12" ht="21">
      <c r="A29" s="496"/>
      <c r="B29" s="1119"/>
      <c r="C29" s="1119"/>
      <c r="D29" s="909"/>
      <c r="E29" s="488" t="str">
        <f t="shared" si="4"/>
        <v>-</v>
      </c>
      <c r="F29" s="489" t="str">
        <f t="shared" si="5"/>
        <v>-</v>
      </c>
      <c r="I29" s="37" t="str">
        <f t="shared" si="2"/>
        <v>-</v>
      </c>
      <c r="L29" s="856">
        <f t="shared" si="3"/>
        <v>0</v>
      </c>
    </row>
    <row r="30" spans="1:12" ht="21">
      <c r="A30" s="496"/>
      <c r="B30" s="1119"/>
      <c r="C30" s="1119"/>
      <c r="D30" s="909"/>
      <c r="E30" s="488" t="str">
        <f t="shared" si="4"/>
        <v>-</v>
      </c>
      <c r="F30" s="489" t="str">
        <f t="shared" si="5"/>
        <v>-</v>
      </c>
      <c r="I30" s="37" t="str">
        <f t="shared" si="2"/>
        <v>-</v>
      </c>
      <c r="L30" s="856">
        <f t="shared" si="3"/>
        <v>0</v>
      </c>
    </row>
    <row r="31" spans="1:12" ht="21">
      <c r="A31" s="496"/>
      <c r="B31" s="1119"/>
      <c r="C31" s="1119"/>
      <c r="D31" s="909"/>
      <c r="E31" s="488" t="str">
        <f t="shared" si="4"/>
        <v>-</v>
      </c>
      <c r="F31" s="489" t="str">
        <f t="shared" si="5"/>
        <v>-</v>
      </c>
      <c r="I31" s="37" t="str">
        <f t="shared" si="2"/>
        <v>-</v>
      </c>
      <c r="L31" s="856">
        <f t="shared" si="3"/>
        <v>0</v>
      </c>
    </row>
    <row r="32" spans="1:12" ht="21">
      <c r="A32" s="496"/>
      <c r="B32" s="1119"/>
      <c r="C32" s="1119"/>
      <c r="D32" s="909"/>
      <c r="E32" s="488" t="str">
        <f t="shared" si="4"/>
        <v>-</v>
      </c>
      <c r="F32" s="489" t="str">
        <f t="shared" si="5"/>
        <v>-</v>
      </c>
      <c r="I32" s="37" t="str">
        <f t="shared" si="2"/>
        <v>-</v>
      </c>
      <c r="L32" s="856">
        <f t="shared" si="3"/>
        <v>0</v>
      </c>
    </row>
    <row r="33" spans="1:12" ht="21">
      <c r="A33" s="496"/>
      <c r="B33" s="1119"/>
      <c r="C33" s="1119"/>
      <c r="D33" s="909"/>
      <c r="E33" s="488" t="str">
        <f t="shared" si="4"/>
        <v>-</v>
      </c>
      <c r="F33" s="489" t="str">
        <f t="shared" si="5"/>
        <v>-</v>
      </c>
      <c r="I33" s="37" t="str">
        <f t="shared" si="2"/>
        <v>-</v>
      </c>
      <c r="L33" s="856">
        <f t="shared" si="3"/>
        <v>0</v>
      </c>
    </row>
    <row r="34" spans="1:12" ht="21">
      <c r="A34" s="496"/>
      <c r="B34" s="1119"/>
      <c r="C34" s="1119"/>
      <c r="D34" s="909"/>
      <c r="E34" s="488" t="str">
        <f t="shared" si="4"/>
        <v>-</v>
      </c>
      <c r="F34" s="489" t="str">
        <f t="shared" si="5"/>
        <v>-</v>
      </c>
      <c r="I34" s="37" t="str">
        <f t="shared" si="2"/>
        <v>-</v>
      </c>
      <c r="L34" s="856">
        <f t="shared" si="3"/>
        <v>0</v>
      </c>
    </row>
    <row r="35" spans="1:12" ht="21">
      <c r="A35" s="496"/>
      <c r="B35" s="1119"/>
      <c r="C35" s="1119"/>
      <c r="D35" s="909"/>
      <c r="E35" s="488" t="str">
        <f t="shared" si="4"/>
        <v>-</v>
      </c>
      <c r="F35" s="489" t="str">
        <f t="shared" si="5"/>
        <v>-</v>
      </c>
      <c r="I35" s="37" t="str">
        <f t="shared" si="2"/>
        <v>-</v>
      </c>
      <c r="L35" s="856">
        <f t="shared" si="3"/>
        <v>0</v>
      </c>
    </row>
    <row r="36" spans="1:12" ht="21">
      <c r="A36" s="496"/>
      <c r="B36" s="1119"/>
      <c r="C36" s="1119"/>
      <c r="D36" s="909"/>
      <c r="E36" s="488" t="str">
        <f t="shared" si="4"/>
        <v>-</v>
      </c>
      <c r="F36" s="489" t="str">
        <f t="shared" si="5"/>
        <v>-</v>
      </c>
      <c r="I36" s="37" t="str">
        <f t="shared" si="2"/>
        <v>-</v>
      </c>
      <c r="L36" s="856">
        <f t="shared" si="3"/>
        <v>0</v>
      </c>
    </row>
    <row r="37" spans="1:12" ht="21">
      <c r="A37" s="496"/>
      <c r="B37" s="1119"/>
      <c r="C37" s="1119"/>
      <c r="D37" s="909"/>
      <c r="E37" s="488" t="str">
        <f t="shared" si="4"/>
        <v>-</v>
      </c>
      <c r="F37" s="489" t="str">
        <f t="shared" si="5"/>
        <v>-</v>
      </c>
      <c r="I37" s="37" t="str">
        <f t="shared" si="2"/>
        <v>-</v>
      </c>
      <c r="L37" s="856">
        <f t="shared" si="3"/>
        <v>0</v>
      </c>
    </row>
    <row r="38" spans="1:12" ht="21">
      <c r="A38" s="496"/>
      <c r="B38" s="1119"/>
      <c r="C38" s="1119"/>
      <c r="D38" s="909"/>
      <c r="E38" s="488" t="str">
        <f t="shared" si="4"/>
        <v>-</v>
      </c>
      <c r="F38" s="489" t="str">
        <f t="shared" si="5"/>
        <v>-</v>
      </c>
      <c r="I38" s="37" t="str">
        <f t="shared" si="2"/>
        <v>-</v>
      </c>
      <c r="L38" s="856">
        <f t="shared" si="3"/>
        <v>0</v>
      </c>
    </row>
    <row r="39" spans="1:12" ht="21">
      <c r="A39" s="496"/>
      <c r="B39" s="1119"/>
      <c r="C39" s="1119"/>
      <c r="D39" s="909"/>
      <c r="E39" s="488" t="str">
        <f t="shared" si="4"/>
        <v>-</v>
      </c>
      <c r="F39" s="489" t="str">
        <f t="shared" si="5"/>
        <v>-</v>
      </c>
      <c r="I39" s="37" t="str">
        <f t="shared" si="2"/>
        <v>-</v>
      </c>
      <c r="L39" s="856">
        <f t="shared" si="3"/>
        <v>0</v>
      </c>
    </row>
    <row r="40" spans="1:12" ht="21">
      <c r="A40" s="496"/>
      <c r="B40" s="1119"/>
      <c r="C40" s="1119"/>
      <c r="D40" s="909"/>
      <c r="E40" s="488" t="str">
        <f t="shared" si="4"/>
        <v>-</v>
      </c>
      <c r="F40" s="489" t="str">
        <f t="shared" si="5"/>
        <v>-</v>
      </c>
      <c r="I40" s="37" t="str">
        <f t="shared" si="2"/>
        <v>-</v>
      </c>
      <c r="L40" s="856">
        <f t="shared" si="3"/>
        <v>0</v>
      </c>
    </row>
    <row r="41" spans="1:12" ht="21">
      <c r="A41" s="496"/>
      <c r="B41" s="1119"/>
      <c r="C41" s="1119"/>
      <c r="D41" s="909"/>
      <c r="E41" s="488" t="str">
        <f t="shared" si="4"/>
        <v>-</v>
      </c>
      <c r="F41" s="489" t="str">
        <f t="shared" si="5"/>
        <v>-</v>
      </c>
      <c r="I41" s="37" t="str">
        <f t="shared" si="2"/>
        <v>-</v>
      </c>
      <c r="L41" s="856">
        <f t="shared" si="3"/>
        <v>0</v>
      </c>
    </row>
    <row r="42" spans="1:12" ht="21">
      <c r="A42" s="496"/>
      <c r="B42" s="1119"/>
      <c r="C42" s="1119"/>
      <c r="D42" s="909"/>
      <c r="E42" s="488" t="str">
        <f t="shared" si="4"/>
        <v>-</v>
      </c>
      <c r="F42" s="489" t="str">
        <f t="shared" si="5"/>
        <v>-</v>
      </c>
      <c r="I42" s="37" t="str">
        <f t="shared" si="2"/>
        <v>-</v>
      </c>
      <c r="L42" s="856">
        <f t="shared" si="3"/>
        <v>0</v>
      </c>
    </row>
    <row r="43" spans="1:12" ht="21">
      <c r="A43" s="496"/>
      <c r="B43" s="1119"/>
      <c r="C43" s="1119"/>
      <c r="D43" s="909"/>
      <c r="E43" s="488" t="str">
        <f t="shared" si="4"/>
        <v>-</v>
      </c>
      <c r="F43" s="489" t="str">
        <f t="shared" si="5"/>
        <v>-</v>
      </c>
      <c r="I43" s="37" t="str">
        <f t="shared" si="2"/>
        <v>-</v>
      </c>
      <c r="L43" s="856">
        <f t="shared" si="3"/>
        <v>0</v>
      </c>
    </row>
    <row r="44" spans="1:12" ht="21">
      <c r="A44" s="496"/>
      <c r="B44" s="1119"/>
      <c r="C44" s="1119"/>
      <c r="D44" s="909"/>
      <c r="E44" s="488" t="str">
        <f t="shared" si="4"/>
        <v>-</v>
      </c>
      <c r="F44" s="489" t="str">
        <f t="shared" si="5"/>
        <v>-</v>
      </c>
      <c r="I44" s="37" t="str">
        <f t="shared" si="2"/>
        <v>-</v>
      </c>
      <c r="L44" s="856">
        <f t="shared" si="3"/>
        <v>0</v>
      </c>
    </row>
    <row r="45" spans="1:12" ht="21">
      <c r="A45" s="496"/>
      <c r="B45" s="1119"/>
      <c r="C45" s="1119"/>
      <c r="D45" s="909"/>
      <c r="E45" s="488" t="str">
        <f t="shared" si="4"/>
        <v>-</v>
      </c>
      <c r="F45" s="489" t="str">
        <f t="shared" si="5"/>
        <v>-</v>
      </c>
      <c r="I45" s="37" t="str">
        <f t="shared" si="2"/>
        <v>-</v>
      </c>
      <c r="L45" s="856">
        <f t="shared" si="3"/>
        <v>0</v>
      </c>
    </row>
    <row r="46" spans="1:12" ht="21">
      <c r="A46" s="496"/>
      <c r="B46" s="1119"/>
      <c r="C46" s="1119"/>
      <c r="D46" s="909"/>
      <c r="E46" s="488" t="str">
        <f t="shared" si="4"/>
        <v>-</v>
      </c>
      <c r="F46" s="489" t="str">
        <f t="shared" si="5"/>
        <v>-</v>
      </c>
      <c r="I46" s="37" t="str">
        <f t="shared" si="2"/>
        <v>-</v>
      </c>
      <c r="L46" s="856">
        <f t="shared" si="3"/>
        <v>0</v>
      </c>
    </row>
    <row r="47" spans="1:12" ht="21">
      <c r="A47" s="496"/>
      <c r="B47" s="1119"/>
      <c r="C47" s="1119"/>
      <c r="D47" s="909"/>
      <c r="E47" s="488" t="str">
        <f t="shared" si="4"/>
        <v>-</v>
      </c>
      <c r="F47" s="489" t="str">
        <f t="shared" si="5"/>
        <v>-</v>
      </c>
      <c r="I47" s="37" t="str">
        <f t="shared" si="2"/>
        <v>-</v>
      </c>
      <c r="L47" s="856">
        <f t="shared" si="3"/>
        <v>0</v>
      </c>
    </row>
    <row r="48" spans="1:12" ht="21">
      <c r="A48" s="496"/>
      <c r="B48" s="1119"/>
      <c r="C48" s="1119"/>
      <c r="D48" s="909"/>
      <c r="E48" s="488" t="str">
        <f t="shared" si="4"/>
        <v>-</v>
      </c>
      <c r="F48" s="489" t="str">
        <f t="shared" si="5"/>
        <v>-</v>
      </c>
      <c r="I48" s="37" t="str">
        <f t="shared" si="2"/>
        <v>-</v>
      </c>
      <c r="L48" s="856">
        <f t="shared" si="3"/>
        <v>0</v>
      </c>
    </row>
    <row r="49" spans="1:12" ht="21">
      <c r="A49" s="496"/>
      <c r="B49" s="1119"/>
      <c r="C49" s="1119"/>
      <c r="D49" s="909"/>
      <c r="E49" s="488" t="str">
        <f t="shared" si="4"/>
        <v>-</v>
      </c>
      <c r="F49" s="489" t="str">
        <f t="shared" si="5"/>
        <v>-</v>
      </c>
      <c r="I49" s="37" t="str">
        <f t="shared" si="2"/>
        <v>-</v>
      </c>
      <c r="L49" s="856">
        <f t="shared" si="3"/>
        <v>0</v>
      </c>
    </row>
    <row r="50" spans="1:12" ht="21">
      <c r="A50" s="496"/>
      <c r="B50" s="1119"/>
      <c r="C50" s="1119"/>
      <c r="D50" s="909"/>
      <c r="E50" s="488" t="str">
        <f t="shared" si="4"/>
        <v>-</v>
      </c>
      <c r="F50" s="489" t="str">
        <f t="shared" si="5"/>
        <v>-</v>
      </c>
      <c r="I50" s="37" t="str">
        <f t="shared" si="2"/>
        <v>-</v>
      </c>
      <c r="L50" s="856">
        <f t="shared" si="3"/>
        <v>0</v>
      </c>
    </row>
    <row r="51" spans="1:12" ht="21">
      <c r="A51" s="496"/>
      <c r="B51" s="1119"/>
      <c r="C51" s="1119"/>
      <c r="D51" s="909"/>
      <c r="E51" s="488" t="str">
        <f t="shared" si="4"/>
        <v>-</v>
      </c>
      <c r="F51" s="489" t="str">
        <f t="shared" si="5"/>
        <v>-</v>
      </c>
      <c r="I51" s="37" t="str">
        <f t="shared" si="2"/>
        <v>-</v>
      </c>
      <c r="L51" s="856">
        <f t="shared" si="3"/>
        <v>0</v>
      </c>
    </row>
    <row r="52" spans="1:12" ht="21.75" thickBot="1">
      <c r="A52" s="496"/>
      <c r="B52" s="1119"/>
      <c r="C52" s="1119"/>
      <c r="D52" s="909"/>
      <c r="E52" s="488" t="str">
        <f t="shared" si="4"/>
        <v>-</v>
      </c>
      <c r="F52" s="489" t="str">
        <f t="shared" si="5"/>
        <v>-</v>
      </c>
      <c r="I52" s="37" t="str">
        <f t="shared" si="2"/>
        <v>-</v>
      </c>
      <c r="L52" s="856">
        <f t="shared" si="3"/>
        <v>0</v>
      </c>
    </row>
    <row r="53" spans="1:12" ht="21.75" thickBot="1">
      <c r="A53" s="492" t="s">
        <v>384</v>
      </c>
      <c r="B53" s="493">
        <f>SUM(B9:B52)</f>
        <v>0</v>
      </c>
      <c r="C53" s="493">
        <f>SUM(C9:C52)</f>
        <v>0</v>
      </c>
      <c r="D53" s="494">
        <f>SUM(D9:D52)</f>
        <v>0</v>
      </c>
      <c r="E53" s="490" t="str">
        <f>IFERROR((D53-B53)*100/B53,"-")</f>
        <v>-</v>
      </c>
      <c r="F53" s="491" t="str">
        <f>IFERROR(D53*100/C53,"-")</f>
        <v>-</v>
      </c>
      <c r="I53" s="37" t="s">
        <v>206</v>
      </c>
      <c r="L53" s="856" t="s">
        <v>206</v>
      </c>
    </row>
    <row r="54" spans="1:12" ht="21.75" thickBot="1">
      <c r="A54" s="495" t="s">
        <v>52</v>
      </c>
      <c r="B54" s="1120"/>
      <c r="C54" s="1120"/>
      <c r="D54" s="244"/>
      <c r="E54" s="490" t="str">
        <f>IFERROR((D54-B54)*100/B54,"-")</f>
        <v>-</v>
      </c>
      <c r="F54" s="491" t="str">
        <f>IFERROR(D54*100/C54,"-")</f>
        <v>-</v>
      </c>
      <c r="I54" s="37" t="str">
        <f>IF(AND(C54=0,D54&gt;0),100,IFERROR(ABS(F54-100),"-"))</f>
        <v>-</v>
      </c>
      <c r="L54" s="856" t="s">
        <v>206</v>
      </c>
    </row>
    <row r="55" spans="1:12" ht="21.75" thickBot="1">
      <c r="A55" s="492" t="s">
        <v>853</v>
      </c>
      <c r="B55" s="493">
        <f>B53+B54</f>
        <v>0</v>
      </c>
      <c r="C55" s="493">
        <f>C53+C54</f>
        <v>0</v>
      </c>
      <c r="D55" s="494">
        <f>D53+D54</f>
        <v>0</v>
      </c>
      <c r="E55" s="490" t="str">
        <f>IFERROR((D55-B55)*100/B55,"-")</f>
        <v>-</v>
      </c>
      <c r="F55" s="491" t="str">
        <f>IFERROR(D55*100/C55,"-")</f>
        <v>-</v>
      </c>
      <c r="I55" s="37" t="s">
        <v>206</v>
      </c>
      <c r="L55" s="856" t="s">
        <v>206</v>
      </c>
    </row>
    <row r="56" spans="1:12" ht="21">
      <c r="A56" s="2906"/>
      <c r="B56" s="2906"/>
      <c r="C56" s="2906"/>
      <c r="D56" s="2906"/>
      <c r="E56" s="2906"/>
      <c r="F56" s="857"/>
      <c r="I56" s="37" t="s">
        <v>206</v>
      </c>
      <c r="L56" s="856" t="s">
        <v>206</v>
      </c>
    </row>
    <row r="57" spans="1:12">
      <c r="L57" s="212" t="s">
        <v>206</v>
      </c>
    </row>
    <row r="58" spans="1:12" ht="21">
      <c r="A58" s="8"/>
      <c r="B58" s="8"/>
      <c r="C58" s="720"/>
      <c r="E58" s="8"/>
      <c r="L58" s="212" t="s">
        <v>206</v>
      </c>
    </row>
    <row r="59" spans="1:12">
      <c r="L59" s="212" t="s">
        <v>206</v>
      </c>
    </row>
    <row r="60" spans="1:12">
      <c r="L60" s="212" t="s">
        <v>206</v>
      </c>
    </row>
    <row r="61" spans="1:12">
      <c r="L61" s="212" t="s">
        <v>206</v>
      </c>
    </row>
    <row r="62" spans="1:12">
      <c r="L62" s="212" t="s">
        <v>206</v>
      </c>
    </row>
    <row r="63" spans="1:12">
      <c r="L63" s="212" t="s">
        <v>206</v>
      </c>
    </row>
    <row r="64" spans="1:12">
      <c r="L64" s="212" t="s">
        <v>206</v>
      </c>
    </row>
    <row r="65" spans="12:12">
      <c r="L65" s="212" t="s">
        <v>206</v>
      </c>
    </row>
    <row r="66" spans="12:12">
      <c r="L66" s="212" t="s">
        <v>206</v>
      </c>
    </row>
    <row r="67" spans="12:12">
      <c r="L67" s="212" t="s">
        <v>206</v>
      </c>
    </row>
    <row r="68" spans="12:12">
      <c r="L68" s="212" t="s">
        <v>206</v>
      </c>
    </row>
    <row r="69" spans="12:12">
      <c r="L69" s="212" t="s">
        <v>206</v>
      </c>
    </row>
  </sheetData>
  <mergeCells count="9">
    <mergeCell ref="A7:A8"/>
    <mergeCell ref="B7:B8"/>
    <mergeCell ref="C7:F7"/>
    <mergeCell ref="A56:E56"/>
    <mergeCell ref="A1:E1"/>
    <mergeCell ref="A2:F2"/>
    <mergeCell ref="A5:F5"/>
    <mergeCell ref="A6:C6"/>
    <mergeCell ref="D6:E6"/>
  </mergeCells>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5">
    <pageSetUpPr fitToPage="1"/>
  </sheetPr>
  <dimension ref="A1:U58"/>
  <sheetViews>
    <sheetView rightToLeft="1" workbookViewId="0">
      <selection sqref="A1:E1"/>
    </sheetView>
  </sheetViews>
  <sheetFormatPr defaultColWidth="9" defaultRowHeight="15"/>
  <cols>
    <col min="1" max="1" width="43.5703125" style="5" customWidth="1"/>
    <col min="2" max="4" width="18.5703125" style="5" customWidth="1"/>
    <col min="5" max="6" width="13.5703125" style="5" customWidth="1"/>
    <col min="7" max="7" width="9" style="5"/>
    <col min="8" max="8" width="9" style="79"/>
    <col min="9" max="9" width="9" style="79" hidden="1" customWidth="1"/>
    <col min="10" max="12" width="9" style="212" hidden="1" customWidth="1"/>
    <col min="13" max="13" width="0" style="212" hidden="1" customWidth="1"/>
    <col min="14" max="14" width="9" style="212"/>
    <col min="15" max="21" width="9" style="79"/>
    <col min="22" max="16384" width="9" style="5"/>
  </cols>
  <sheetData>
    <row r="1" spans="1:21" ht="15.75" customHeight="1">
      <c r="A1" s="2987"/>
      <c r="B1" s="2987"/>
      <c r="C1" s="2987"/>
      <c r="D1" s="2987"/>
      <c r="E1" s="2987"/>
      <c r="F1" s="910"/>
      <c r="G1" s="9"/>
      <c r="H1" s="80"/>
    </row>
    <row r="2" spans="1:21" ht="26.25">
      <c r="A2" s="2988" t="str">
        <f>'هزینه پرسنلی غیرمستقیم تولید'!A1:F1</f>
        <v>انبارهای عمومی و خدمات گمرکی ایران</v>
      </c>
      <c r="B2" s="2988"/>
      <c r="C2" s="2988"/>
      <c r="D2" s="2988"/>
      <c r="E2" s="2988"/>
      <c r="F2" s="2988"/>
      <c r="G2" s="3"/>
    </row>
    <row r="3" spans="1:21" ht="20.25" customHeight="1">
      <c r="A3" s="911"/>
      <c r="B3" s="911"/>
      <c r="C3" s="911"/>
      <c r="D3" s="911"/>
      <c r="E3" s="911"/>
      <c r="F3" s="911"/>
      <c r="G3" s="53"/>
    </row>
    <row r="4" spans="1:21" ht="24" customHeight="1">
      <c r="A4" s="1125" t="s">
        <v>184</v>
      </c>
      <c r="B4" s="1125"/>
      <c r="C4" s="1088" t="s">
        <v>1246</v>
      </c>
      <c r="D4" s="1089" t="str">
        <f>روکش!$F$9</f>
        <v>شش ماهه</v>
      </c>
      <c r="E4" s="1089" t="s">
        <v>379</v>
      </c>
      <c r="F4" s="1088">
        <f>روکش!$D$9</f>
        <v>1405</v>
      </c>
      <c r="G4" s="865"/>
      <c r="H4" s="832"/>
    </row>
    <row r="5" spans="1:21" ht="13.5" customHeight="1">
      <c r="A5" s="2989"/>
      <c r="B5" s="2989"/>
      <c r="C5" s="2989"/>
      <c r="D5" s="2989"/>
      <c r="E5" s="2989"/>
      <c r="F5" s="2989"/>
    </row>
    <row r="6" spans="1:21" s="860" customFormat="1" ht="26.25" customHeight="1" thickBot="1">
      <c r="A6" s="2990"/>
      <c r="B6" s="2990"/>
      <c r="C6" s="2990"/>
      <c r="D6" s="2991" t="s">
        <v>30</v>
      </c>
      <c r="E6" s="2991"/>
      <c r="F6" s="912"/>
      <c r="H6" s="858"/>
      <c r="I6" s="858"/>
      <c r="J6" s="859"/>
      <c r="K6" s="859"/>
      <c r="L6" s="859"/>
      <c r="M6" s="859"/>
      <c r="N6" s="859"/>
      <c r="O6" s="858"/>
      <c r="P6" s="858"/>
      <c r="Q6" s="858"/>
      <c r="R6" s="858"/>
      <c r="S6" s="858"/>
      <c r="T6" s="858"/>
      <c r="U6" s="858"/>
    </row>
    <row r="7" spans="1:21" ht="42" customHeight="1">
      <c r="A7" s="2981" t="s">
        <v>21</v>
      </c>
      <c r="B7" s="2981" t="s">
        <v>693</v>
      </c>
      <c r="C7" s="2984" t="s">
        <v>642</v>
      </c>
      <c r="D7" s="2985"/>
      <c r="E7" s="2985"/>
      <c r="F7" s="2986"/>
      <c r="L7" s="212" t="s">
        <v>792</v>
      </c>
    </row>
    <row r="8" spans="1:21" ht="80.25" customHeight="1" thickBot="1">
      <c r="A8" s="2982"/>
      <c r="B8" s="2983"/>
      <c r="C8" s="913" t="s">
        <v>53</v>
      </c>
      <c r="D8" s="914" t="s">
        <v>216</v>
      </c>
      <c r="E8" s="914" t="s">
        <v>793</v>
      </c>
      <c r="F8" s="915" t="s">
        <v>230</v>
      </c>
      <c r="I8" s="212" t="s">
        <v>784</v>
      </c>
      <c r="L8" s="212" t="s">
        <v>206</v>
      </c>
    </row>
    <row r="9" spans="1:21" ht="30" customHeight="1">
      <c r="A9" s="497"/>
      <c r="B9" s="1121"/>
      <c r="C9" s="1126"/>
      <c r="D9" s="926"/>
      <c r="E9" s="920" t="str">
        <f t="shared" ref="E9:E16" si="0">IFERROR((D9-B9)*100/B9,"-")</f>
        <v>-</v>
      </c>
      <c r="F9" s="921" t="str">
        <f t="shared" ref="F9:F16" si="1">IFERROR(D9*100/C9,"-")</f>
        <v>-</v>
      </c>
      <c r="I9" s="37" t="str">
        <f>IF(AND(C9=0,D9&gt;0),100,IFERROR(ABS(F9-100),"-"))</f>
        <v>-</v>
      </c>
      <c r="L9" s="856">
        <f>B9+C9+D9</f>
        <v>0</v>
      </c>
    </row>
    <row r="10" spans="1:21" ht="30" customHeight="1">
      <c r="A10" s="496"/>
      <c r="B10" s="1121"/>
      <c r="C10" s="1126"/>
      <c r="D10" s="927"/>
      <c r="E10" s="922" t="str">
        <f t="shared" si="0"/>
        <v>-</v>
      </c>
      <c r="F10" s="923" t="str">
        <f t="shared" si="1"/>
        <v>-</v>
      </c>
      <c r="I10" s="37" t="str">
        <f t="shared" ref="I10:I17" si="2">IF(AND(C10=0,D10&gt;0),100,IFERROR(ABS(F10-100),"-"))</f>
        <v>-</v>
      </c>
      <c r="L10" s="856">
        <f t="shared" ref="L10:L17" si="3">B10+C10+D10</f>
        <v>0</v>
      </c>
    </row>
    <row r="11" spans="1:21" ht="30" customHeight="1">
      <c r="A11" s="496"/>
      <c r="B11" s="1121"/>
      <c r="C11" s="1126"/>
      <c r="D11" s="927"/>
      <c r="E11" s="922" t="str">
        <f t="shared" si="0"/>
        <v>-</v>
      </c>
      <c r="F11" s="923" t="str">
        <f t="shared" si="1"/>
        <v>-</v>
      </c>
      <c r="I11" s="37" t="str">
        <f t="shared" si="2"/>
        <v>-</v>
      </c>
      <c r="L11" s="856">
        <f t="shared" si="3"/>
        <v>0</v>
      </c>
    </row>
    <row r="12" spans="1:21" ht="30" customHeight="1">
      <c r="A12" s="496"/>
      <c r="B12" s="1121"/>
      <c r="C12" s="1126"/>
      <c r="D12" s="927"/>
      <c r="E12" s="922" t="str">
        <f t="shared" si="0"/>
        <v>-</v>
      </c>
      <c r="F12" s="923" t="str">
        <f t="shared" si="1"/>
        <v>-</v>
      </c>
      <c r="I12" s="37" t="str">
        <f t="shared" si="2"/>
        <v>-</v>
      </c>
      <c r="L12" s="856">
        <f t="shared" si="3"/>
        <v>0</v>
      </c>
    </row>
    <row r="13" spans="1:21" ht="30" customHeight="1">
      <c r="A13" s="496"/>
      <c r="B13" s="1121"/>
      <c r="C13" s="1126"/>
      <c r="D13" s="927"/>
      <c r="E13" s="922" t="str">
        <f t="shared" si="0"/>
        <v>-</v>
      </c>
      <c r="F13" s="923" t="str">
        <f t="shared" si="1"/>
        <v>-</v>
      </c>
      <c r="I13" s="37" t="str">
        <f t="shared" si="2"/>
        <v>-</v>
      </c>
      <c r="L13" s="856">
        <f t="shared" si="3"/>
        <v>0</v>
      </c>
    </row>
    <row r="14" spans="1:21" ht="30" customHeight="1">
      <c r="A14" s="496"/>
      <c r="B14" s="1121"/>
      <c r="C14" s="1126"/>
      <c r="D14" s="927"/>
      <c r="E14" s="922" t="str">
        <f t="shared" si="0"/>
        <v>-</v>
      </c>
      <c r="F14" s="923" t="str">
        <f t="shared" si="1"/>
        <v>-</v>
      </c>
      <c r="I14" s="37" t="str">
        <f t="shared" si="2"/>
        <v>-</v>
      </c>
      <c r="L14" s="856">
        <f t="shared" si="3"/>
        <v>0</v>
      </c>
    </row>
    <row r="15" spans="1:21" ht="30" customHeight="1">
      <c r="A15" s="496"/>
      <c r="B15" s="1121"/>
      <c r="C15" s="1126"/>
      <c r="D15" s="927"/>
      <c r="E15" s="922" t="str">
        <f t="shared" si="0"/>
        <v>-</v>
      </c>
      <c r="F15" s="923" t="str">
        <f t="shared" si="1"/>
        <v>-</v>
      </c>
      <c r="I15" s="37" t="str">
        <f t="shared" si="2"/>
        <v>-</v>
      </c>
      <c r="L15" s="856">
        <f t="shared" si="3"/>
        <v>0</v>
      </c>
    </row>
    <row r="16" spans="1:21" ht="30" customHeight="1">
      <c r="A16" s="496"/>
      <c r="B16" s="1121"/>
      <c r="C16" s="1126"/>
      <c r="D16" s="927"/>
      <c r="E16" s="922" t="str">
        <f t="shared" si="0"/>
        <v>-</v>
      </c>
      <c r="F16" s="923" t="str">
        <f t="shared" si="1"/>
        <v>-</v>
      </c>
      <c r="I16" s="37" t="str">
        <f t="shared" si="2"/>
        <v>-</v>
      </c>
      <c r="L16" s="856">
        <f t="shared" si="3"/>
        <v>0</v>
      </c>
    </row>
    <row r="17" spans="1:12" ht="30" customHeight="1">
      <c r="A17" s="496"/>
      <c r="B17" s="1121"/>
      <c r="C17" s="1126"/>
      <c r="D17" s="927"/>
      <c r="E17" s="922" t="str">
        <f t="shared" ref="E17:E35" si="4">IFERROR((D17-B17)*100/B17,"-")</f>
        <v>-</v>
      </c>
      <c r="F17" s="923" t="str">
        <f t="shared" ref="F17:F35" si="5">IFERROR(D17*100/C17,"-")</f>
        <v>-</v>
      </c>
      <c r="I17" s="37" t="str">
        <f t="shared" si="2"/>
        <v>-</v>
      </c>
      <c r="L17" s="856">
        <f t="shared" si="3"/>
        <v>0</v>
      </c>
    </row>
    <row r="18" spans="1:12" ht="30" customHeight="1">
      <c r="A18" s="496"/>
      <c r="B18" s="1121"/>
      <c r="C18" s="1126"/>
      <c r="D18" s="927"/>
      <c r="E18" s="922" t="str">
        <f t="shared" si="4"/>
        <v>-</v>
      </c>
      <c r="F18" s="923" t="str">
        <f t="shared" si="5"/>
        <v>-</v>
      </c>
      <c r="I18" s="37" t="str">
        <f t="shared" ref="I18:I35" si="6">IF(AND(C18=0,D18&gt;0),100,IFERROR(ABS(F18-100),"-"))</f>
        <v>-</v>
      </c>
      <c r="L18" s="856">
        <f t="shared" ref="L18:L35" si="7">B18+C18+D18</f>
        <v>0</v>
      </c>
    </row>
    <row r="19" spans="1:12" ht="30" customHeight="1">
      <c r="A19" s="496"/>
      <c r="B19" s="1121"/>
      <c r="C19" s="1126"/>
      <c r="D19" s="927"/>
      <c r="E19" s="922" t="str">
        <f t="shared" si="4"/>
        <v>-</v>
      </c>
      <c r="F19" s="923" t="str">
        <f t="shared" si="5"/>
        <v>-</v>
      </c>
      <c r="I19" s="37" t="str">
        <f t="shared" si="6"/>
        <v>-</v>
      </c>
      <c r="L19" s="856">
        <f t="shared" si="7"/>
        <v>0</v>
      </c>
    </row>
    <row r="20" spans="1:12" ht="30" customHeight="1">
      <c r="A20" s="496"/>
      <c r="B20" s="1121"/>
      <c r="C20" s="1126"/>
      <c r="D20" s="927"/>
      <c r="E20" s="922" t="str">
        <f t="shared" si="4"/>
        <v>-</v>
      </c>
      <c r="F20" s="923" t="str">
        <f t="shared" si="5"/>
        <v>-</v>
      </c>
      <c r="I20" s="37" t="str">
        <f t="shared" si="6"/>
        <v>-</v>
      </c>
      <c r="L20" s="856">
        <f t="shared" si="7"/>
        <v>0</v>
      </c>
    </row>
    <row r="21" spans="1:12" ht="30" customHeight="1">
      <c r="A21" s="496"/>
      <c r="B21" s="1121"/>
      <c r="C21" s="1126"/>
      <c r="D21" s="927"/>
      <c r="E21" s="922" t="str">
        <f t="shared" si="4"/>
        <v>-</v>
      </c>
      <c r="F21" s="923" t="str">
        <f t="shared" si="5"/>
        <v>-</v>
      </c>
      <c r="I21" s="37" t="str">
        <f t="shared" si="6"/>
        <v>-</v>
      </c>
      <c r="L21" s="856">
        <f t="shared" si="7"/>
        <v>0</v>
      </c>
    </row>
    <row r="22" spans="1:12" ht="30" customHeight="1">
      <c r="A22" s="496"/>
      <c r="B22" s="1121"/>
      <c r="C22" s="1126"/>
      <c r="D22" s="927"/>
      <c r="E22" s="922" t="str">
        <f t="shared" si="4"/>
        <v>-</v>
      </c>
      <c r="F22" s="923" t="str">
        <f t="shared" si="5"/>
        <v>-</v>
      </c>
      <c r="I22" s="37" t="str">
        <f t="shared" si="6"/>
        <v>-</v>
      </c>
      <c r="L22" s="856">
        <f t="shared" si="7"/>
        <v>0</v>
      </c>
    </row>
    <row r="23" spans="1:12" ht="30" customHeight="1">
      <c r="A23" s="496"/>
      <c r="B23" s="1121"/>
      <c r="C23" s="1126"/>
      <c r="D23" s="927"/>
      <c r="E23" s="922" t="str">
        <f t="shared" si="4"/>
        <v>-</v>
      </c>
      <c r="F23" s="923" t="str">
        <f t="shared" si="5"/>
        <v>-</v>
      </c>
      <c r="I23" s="37" t="str">
        <f t="shared" si="6"/>
        <v>-</v>
      </c>
      <c r="L23" s="856">
        <f t="shared" si="7"/>
        <v>0</v>
      </c>
    </row>
    <row r="24" spans="1:12" ht="30" customHeight="1">
      <c r="A24" s="496"/>
      <c r="B24" s="1121"/>
      <c r="C24" s="1126"/>
      <c r="D24" s="927"/>
      <c r="E24" s="922" t="str">
        <f t="shared" si="4"/>
        <v>-</v>
      </c>
      <c r="F24" s="923" t="str">
        <f t="shared" si="5"/>
        <v>-</v>
      </c>
      <c r="I24" s="37" t="str">
        <f t="shared" si="6"/>
        <v>-</v>
      </c>
      <c r="L24" s="856">
        <f t="shared" si="7"/>
        <v>0</v>
      </c>
    </row>
    <row r="25" spans="1:12" ht="30" customHeight="1">
      <c r="A25" s="496"/>
      <c r="B25" s="1121"/>
      <c r="C25" s="1126"/>
      <c r="D25" s="927"/>
      <c r="E25" s="922" t="str">
        <f t="shared" si="4"/>
        <v>-</v>
      </c>
      <c r="F25" s="923" t="str">
        <f t="shared" si="5"/>
        <v>-</v>
      </c>
      <c r="I25" s="37" t="str">
        <f t="shared" si="6"/>
        <v>-</v>
      </c>
      <c r="L25" s="856">
        <f t="shared" si="7"/>
        <v>0</v>
      </c>
    </row>
    <row r="26" spans="1:12" ht="30" customHeight="1">
      <c r="A26" s="496"/>
      <c r="B26" s="1121"/>
      <c r="C26" s="1126"/>
      <c r="D26" s="927"/>
      <c r="E26" s="922" t="str">
        <f t="shared" si="4"/>
        <v>-</v>
      </c>
      <c r="F26" s="923" t="str">
        <f t="shared" si="5"/>
        <v>-</v>
      </c>
      <c r="I26" s="37" t="str">
        <f t="shared" si="6"/>
        <v>-</v>
      </c>
      <c r="L26" s="856">
        <f t="shared" si="7"/>
        <v>0</v>
      </c>
    </row>
    <row r="27" spans="1:12" ht="30" customHeight="1">
      <c r="A27" s="496"/>
      <c r="B27" s="1121"/>
      <c r="C27" s="1126"/>
      <c r="D27" s="927"/>
      <c r="E27" s="922" t="str">
        <f t="shared" si="4"/>
        <v>-</v>
      </c>
      <c r="F27" s="923" t="str">
        <f t="shared" si="5"/>
        <v>-</v>
      </c>
      <c r="I27" s="37" t="str">
        <f t="shared" si="6"/>
        <v>-</v>
      </c>
      <c r="L27" s="856">
        <f t="shared" si="7"/>
        <v>0</v>
      </c>
    </row>
    <row r="28" spans="1:12" ht="30" customHeight="1">
      <c r="A28" s="496"/>
      <c r="B28" s="1121"/>
      <c r="C28" s="1126"/>
      <c r="D28" s="927"/>
      <c r="E28" s="922" t="str">
        <f t="shared" si="4"/>
        <v>-</v>
      </c>
      <c r="F28" s="923" t="str">
        <f t="shared" si="5"/>
        <v>-</v>
      </c>
      <c r="I28" s="37" t="str">
        <f t="shared" si="6"/>
        <v>-</v>
      </c>
      <c r="L28" s="856">
        <f t="shared" si="7"/>
        <v>0</v>
      </c>
    </row>
    <row r="29" spans="1:12" ht="30" customHeight="1">
      <c r="A29" s="496"/>
      <c r="B29" s="1121"/>
      <c r="C29" s="1126"/>
      <c r="D29" s="927"/>
      <c r="E29" s="922" t="str">
        <f t="shared" si="4"/>
        <v>-</v>
      </c>
      <c r="F29" s="923" t="str">
        <f t="shared" si="5"/>
        <v>-</v>
      </c>
      <c r="I29" s="37" t="str">
        <f t="shared" si="6"/>
        <v>-</v>
      </c>
      <c r="L29" s="856">
        <f t="shared" si="7"/>
        <v>0</v>
      </c>
    </row>
    <row r="30" spans="1:12" ht="30" customHeight="1">
      <c r="A30" s="496"/>
      <c r="B30" s="1121"/>
      <c r="C30" s="1126"/>
      <c r="D30" s="927"/>
      <c r="E30" s="922" t="str">
        <f t="shared" si="4"/>
        <v>-</v>
      </c>
      <c r="F30" s="923" t="str">
        <f t="shared" si="5"/>
        <v>-</v>
      </c>
      <c r="I30" s="37" t="str">
        <f t="shared" si="6"/>
        <v>-</v>
      </c>
      <c r="L30" s="856">
        <f t="shared" si="7"/>
        <v>0</v>
      </c>
    </row>
    <row r="31" spans="1:12" ht="30" customHeight="1">
      <c r="A31" s="496"/>
      <c r="B31" s="1121"/>
      <c r="C31" s="1126"/>
      <c r="D31" s="927"/>
      <c r="E31" s="922" t="str">
        <f t="shared" si="4"/>
        <v>-</v>
      </c>
      <c r="F31" s="923" t="str">
        <f t="shared" si="5"/>
        <v>-</v>
      </c>
      <c r="I31" s="37" t="str">
        <f t="shared" si="6"/>
        <v>-</v>
      </c>
      <c r="L31" s="856">
        <f t="shared" si="7"/>
        <v>0</v>
      </c>
    </row>
    <row r="32" spans="1:12" ht="30" customHeight="1">
      <c r="A32" s="496"/>
      <c r="B32" s="1121"/>
      <c r="C32" s="1126"/>
      <c r="D32" s="927"/>
      <c r="E32" s="922" t="str">
        <f t="shared" si="4"/>
        <v>-</v>
      </c>
      <c r="F32" s="923" t="str">
        <f t="shared" si="5"/>
        <v>-</v>
      </c>
      <c r="I32" s="37" t="str">
        <f t="shared" si="6"/>
        <v>-</v>
      </c>
      <c r="L32" s="856">
        <f t="shared" si="7"/>
        <v>0</v>
      </c>
    </row>
    <row r="33" spans="1:12" ht="30" customHeight="1">
      <c r="A33" s="496"/>
      <c r="B33" s="1121"/>
      <c r="C33" s="1126"/>
      <c r="D33" s="927"/>
      <c r="E33" s="922" t="str">
        <f t="shared" si="4"/>
        <v>-</v>
      </c>
      <c r="F33" s="923" t="str">
        <f t="shared" si="5"/>
        <v>-</v>
      </c>
      <c r="I33" s="37" t="str">
        <f t="shared" si="6"/>
        <v>-</v>
      </c>
      <c r="L33" s="856">
        <f t="shared" si="7"/>
        <v>0</v>
      </c>
    </row>
    <row r="34" spans="1:12" ht="30" customHeight="1">
      <c r="A34" s="496"/>
      <c r="B34" s="1121"/>
      <c r="C34" s="1126"/>
      <c r="D34" s="927"/>
      <c r="E34" s="922" t="str">
        <f t="shared" si="4"/>
        <v>-</v>
      </c>
      <c r="F34" s="923" t="str">
        <f t="shared" si="5"/>
        <v>-</v>
      </c>
      <c r="I34" s="37" t="str">
        <f t="shared" si="6"/>
        <v>-</v>
      </c>
      <c r="L34" s="856">
        <f t="shared" si="7"/>
        <v>0</v>
      </c>
    </row>
    <row r="35" spans="1:12" ht="30" customHeight="1" thickBot="1">
      <c r="A35" s="496"/>
      <c r="B35" s="1121"/>
      <c r="C35" s="1126"/>
      <c r="D35" s="927"/>
      <c r="E35" s="922" t="str">
        <f t="shared" si="4"/>
        <v>-</v>
      </c>
      <c r="F35" s="923" t="str">
        <f t="shared" si="5"/>
        <v>-</v>
      </c>
      <c r="I35" s="37" t="str">
        <f t="shared" si="6"/>
        <v>-</v>
      </c>
      <c r="L35" s="856">
        <f t="shared" si="7"/>
        <v>0</v>
      </c>
    </row>
    <row r="36" spans="1:12" ht="30" customHeight="1" thickBot="1">
      <c r="A36" s="917" t="s">
        <v>1</v>
      </c>
      <c r="B36" s="916">
        <f>SUM(B9:B35)</f>
        <v>0</v>
      </c>
      <c r="C36" s="916">
        <f>SUM(C9:C35)</f>
        <v>0</v>
      </c>
      <c r="D36" s="919">
        <f>SUM(D9:D35)</f>
        <v>0</v>
      </c>
      <c r="E36" s="924" t="str">
        <f>IFERROR((D36-B36)*100/B36,"-")</f>
        <v>-</v>
      </c>
      <c r="F36" s="925" t="str">
        <f>IFERROR(D36*100/C36,"-")</f>
        <v>-</v>
      </c>
      <c r="L36" s="856" t="s">
        <v>206</v>
      </c>
    </row>
    <row r="37" spans="1:12" ht="30" customHeight="1" thickBot="1">
      <c r="A37" s="918" t="s">
        <v>52</v>
      </c>
      <c r="B37" s="170"/>
      <c r="C37" s="170"/>
      <c r="D37" s="247"/>
      <c r="E37" s="924" t="str">
        <f>IFERROR((D37-B37)*100/B37,"-")</f>
        <v>-</v>
      </c>
      <c r="F37" s="925" t="str">
        <f>IFERROR(D37*100/C37,"-")</f>
        <v>-</v>
      </c>
      <c r="L37" s="856">
        <f>B37+C37+D37</f>
        <v>0</v>
      </c>
    </row>
    <row r="38" spans="1:12" ht="30" customHeight="1" thickBot="1">
      <c r="A38" s="917" t="s">
        <v>436</v>
      </c>
      <c r="B38" s="916">
        <f>B36+B37</f>
        <v>0</v>
      </c>
      <c r="C38" s="916">
        <f>C36+C37</f>
        <v>0</v>
      </c>
      <c r="D38" s="919">
        <f>D36+D37</f>
        <v>0</v>
      </c>
      <c r="E38" s="924" t="str">
        <f>IFERROR((D38-B38)*100/B38,"-")</f>
        <v>-</v>
      </c>
      <c r="F38" s="925" t="str">
        <f>IFERROR(D38*100/C38,"-")</f>
        <v>-</v>
      </c>
      <c r="L38" s="856" t="s">
        <v>206</v>
      </c>
    </row>
    <row r="39" spans="1:12">
      <c r="L39" s="212" t="s">
        <v>206</v>
      </c>
    </row>
    <row r="40" spans="1:12" ht="21">
      <c r="A40" s="8"/>
      <c r="B40" s="8"/>
      <c r="C40" s="720"/>
      <c r="D40" s="8"/>
      <c r="E40" s="8"/>
      <c r="L40" s="212" t="s">
        <v>206</v>
      </c>
    </row>
    <row r="41" spans="1:12">
      <c r="L41" s="212" t="s">
        <v>206</v>
      </c>
    </row>
    <row r="42" spans="1:12">
      <c r="L42" s="212" t="s">
        <v>206</v>
      </c>
    </row>
    <row r="43" spans="1:12">
      <c r="L43" s="212" t="s">
        <v>206</v>
      </c>
    </row>
    <row r="44" spans="1:12">
      <c r="L44" s="212" t="s">
        <v>206</v>
      </c>
    </row>
    <row r="45" spans="1:12">
      <c r="L45" s="212" t="s">
        <v>206</v>
      </c>
    </row>
    <row r="46" spans="1:12">
      <c r="L46" s="212" t="s">
        <v>206</v>
      </c>
    </row>
    <row r="47" spans="1:12">
      <c r="L47" s="212" t="s">
        <v>206</v>
      </c>
    </row>
    <row r="48" spans="1:12">
      <c r="L48" s="212" t="s">
        <v>206</v>
      </c>
    </row>
    <row r="49" spans="12:12">
      <c r="L49" s="212" t="s">
        <v>206</v>
      </c>
    </row>
    <row r="50" spans="12:12">
      <c r="L50" s="212" t="s">
        <v>206</v>
      </c>
    </row>
    <row r="51" spans="12:12">
      <c r="L51" s="212" t="s">
        <v>206</v>
      </c>
    </row>
    <row r="52" spans="12:12">
      <c r="L52" s="212" t="s">
        <v>206</v>
      </c>
    </row>
    <row r="53" spans="12:12">
      <c r="L53" s="212" t="s">
        <v>206</v>
      </c>
    </row>
    <row r="54" spans="12:12">
      <c r="L54" s="212" t="s">
        <v>206</v>
      </c>
    </row>
    <row r="55" spans="12:12">
      <c r="L55" s="212" t="s">
        <v>206</v>
      </c>
    </row>
    <row r="56" spans="12:12">
      <c r="L56" s="212" t="s">
        <v>206</v>
      </c>
    </row>
    <row r="57" spans="12:12">
      <c r="L57" s="212" t="s">
        <v>206</v>
      </c>
    </row>
    <row r="58" spans="12:12">
      <c r="L58" s="212" t="s">
        <v>206</v>
      </c>
    </row>
  </sheetData>
  <mergeCells count="8">
    <mergeCell ref="A7:A8"/>
    <mergeCell ref="B7:B8"/>
    <mergeCell ref="C7:F7"/>
    <mergeCell ref="A1:E1"/>
    <mergeCell ref="A2:F2"/>
    <mergeCell ref="A5:F5"/>
    <mergeCell ref="A6:C6"/>
    <mergeCell ref="D6:E6"/>
  </mergeCells>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62">
    <pageSetUpPr fitToPage="1"/>
  </sheetPr>
  <dimension ref="A1:I23"/>
  <sheetViews>
    <sheetView rightToLeft="1" topLeftCell="B1" workbookViewId="0">
      <selection sqref="A1:F1"/>
    </sheetView>
  </sheetViews>
  <sheetFormatPr defaultRowHeight="17.25"/>
  <cols>
    <col min="1" max="1" width="2.85546875" style="42" hidden="1" customWidth="1"/>
    <col min="2" max="2" width="25.5703125" style="42" customWidth="1"/>
    <col min="3" max="3" width="9" style="42"/>
    <col min="4" max="4" width="21.42578125" style="42" customWidth="1"/>
    <col min="5" max="7" width="20.5703125" style="42" customWidth="1"/>
    <col min="8" max="9" width="17.5703125" style="42" customWidth="1"/>
    <col min="10" max="245" width="9" style="42"/>
    <col min="246" max="246" width="2.85546875" style="42" customWidth="1"/>
    <col min="247" max="247" width="17.7109375" style="42" customWidth="1"/>
    <col min="248" max="248" width="9" style="42"/>
    <col min="249" max="249" width="11.7109375" style="42" customWidth="1"/>
    <col min="250" max="250" width="12.7109375" style="42" customWidth="1"/>
    <col min="251" max="254" width="11.28515625" style="42" customWidth="1"/>
    <col min="255" max="259" width="10.85546875" style="42" customWidth="1"/>
    <col min="260" max="260" width="6.42578125" style="42" customWidth="1"/>
    <col min="261" max="261" width="3.42578125" style="42" customWidth="1"/>
    <col min="262" max="501" width="9" style="42"/>
    <col min="502" max="502" width="2.85546875" style="42" customWidth="1"/>
    <col min="503" max="503" width="17.7109375" style="42" customWidth="1"/>
    <col min="504" max="504" width="9" style="42"/>
    <col min="505" max="505" width="11.7109375" style="42" customWidth="1"/>
    <col min="506" max="506" width="12.7109375" style="42" customWidth="1"/>
    <col min="507" max="510" width="11.28515625" style="42" customWidth="1"/>
    <col min="511" max="515" width="10.85546875" style="42" customWidth="1"/>
    <col min="516" max="516" width="6.42578125" style="42" customWidth="1"/>
    <col min="517" max="517" width="3.42578125" style="42" customWidth="1"/>
    <col min="518" max="757" width="9" style="42"/>
    <col min="758" max="758" width="2.85546875" style="42" customWidth="1"/>
    <col min="759" max="759" width="17.7109375" style="42" customWidth="1"/>
    <col min="760" max="760" width="9" style="42"/>
    <col min="761" max="761" width="11.7109375" style="42" customWidth="1"/>
    <col min="762" max="762" width="12.7109375" style="42" customWidth="1"/>
    <col min="763" max="766" width="11.28515625" style="42" customWidth="1"/>
    <col min="767" max="771" width="10.85546875" style="42" customWidth="1"/>
    <col min="772" max="772" width="6.42578125" style="42" customWidth="1"/>
    <col min="773" max="773" width="3.42578125" style="42" customWidth="1"/>
    <col min="774" max="1013" width="9" style="42"/>
    <col min="1014" max="1014" width="2.85546875" style="42" customWidth="1"/>
    <col min="1015" max="1015" width="17.7109375" style="42" customWidth="1"/>
    <col min="1016" max="1016" width="9" style="42"/>
    <col min="1017" max="1017" width="11.7109375" style="42" customWidth="1"/>
    <col min="1018" max="1018" width="12.7109375" style="42" customWidth="1"/>
    <col min="1019" max="1022" width="11.28515625" style="42" customWidth="1"/>
    <col min="1023" max="1027" width="10.85546875" style="42" customWidth="1"/>
    <col min="1028" max="1028" width="6.42578125" style="42" customWidth="1"/>
    <col min="1029" max="1029" width="3.42578125" style="42" customWidth="1"/>
    <col min="1030" max="1269" width="9" style="42"/>
    <col min="1270" max="1270" width="2.85546875" style="42" customWidth="1"/>
    <col min="1271" max="1271" width="17.7109375" style="42" customWidth="1"/>
    <col min="1272" max="1272" width="9" style="42"/>
    <col min="1273" max="1273" width="11.7109375" style="42" customWidth="1"/>
    <col min="1274" max="1274" width="12.7109375" style="42" customWidth="1"/>
    <col min="1275" max="1278" width="11.28515625" style="42" customWidth="1"/>
    <col min="1279" max="1283" width="10.85546875" style="42" customWidth="1"/>
    <col min="1284" max="1284" width="6.42578125" style="42" customWidth="1"/>
    <col min="1285" max="1285" width="3.42578125" style="42" customWidth="1"/>
    <col min="1286" max="1525" width="9" style="42"/>
    <col min="1526" max="1526" width="2.85546875" style="42" customWidth="1"/>
    <col min="1527" max="1527" width="17.7109375" style="42" customWidth="1"/>
    <col min="1528" max="1528" width="9" style="42"/>
    <col min="1529" max="1529" width="11.7109375" style="42" customWidth="1"/>
    <col min="1530" max="1530" width="12.7109375" style="42" customWidth="1"/>
    <col min="1531" max="1534" width="11.28515625" style="42" customWidth="1"/>
    <col min="1535" max="1539" width="10.85546875" style="42" customWidth="1"/>
    <col min="1540" max="1540" width="6.42578125" style="42" customWidth="1"/>
    <col min="1541" max="1541" width="3.42578125" style="42" customWidth="1"/>
    <col min="1542" max="1781" width="9" style="42"/>
    <col min="1782" max="1782" width="2.85546875" style="42" customWidth="1"/>
    <col min="1783" max="1783" width="17.7109375" style="42" customWidth="1"/>
    <col min="1784" max="1784" width="9" style="42"/>
    <col min="1785" max="1785" width="11.7109375" style="42" customWidth="1"/>
    <col min="1786" max="1786" width="12.7109375" style="42" customWidth="1"/>
    <col min="1787" max="1790" width="11.28515625" style="42" customWidth="1"/>
    <col min="1791" max="1795" width="10.85546875" style="42" customWidth="1"/>
    <col min="1796" max="1796" width="6.42578125" style="42" customWidth="1"/>
    <col min="1797" max="1797" width="3.42578125" style="42" customWidth="1"/>
    <col min="1798" max="2037" width="9" style="42"/>
    <col min="2038" max="2038" width="2.85546875" style="42" customWidth="1"/>
    <col min="2039" max="2039" width="17.7109375" style="42" customWidth="1"/>
    <col min="2040" max="2040" width="9" style="42"/>
    <col min="2041" max="2041" width="11.7109375" style="42" customWidth="1"/>
    <col min="2042" max="2042" width="12.7109375" style="42" customWidth="1"/>
    <col min="2043" max="2046" width="11.28515625" style="42" customWidth="1"/>
    <col min="2047" max="2051" width="10.85546875" style="42" customWidth="1"/>
    <col min="2052" max="2052" width="6.42578125" style="42" customWidth="1"/>
    <col min="2053" max="2053" width="3.42578125" style="42" customWidth="1"/>
    <col min="2054" max="2293" width="9" style="42"/>
    <col min="2294" max="2294" width="2.85546875" style="42" customWidth="1"/>
    <col min="2295" max="2295" width="17.7109375" style="42" customWidth="1"/>
    <col min="2296" max="2296" width="9" style="42"/>
    <col min="2297" max="2297" width="11.7109375" style="42" customWidth="1"/>
    <col min="2298" max="2298" width="12.7109375" style="42" customWidth="1"/>
    <col min="2299" max="2302" width="11.28515625" style="42" customWidth="1"/>
    <col min="2303" max="2307" width="10.85546875" style="42" customWidth="1"/>
    <col min="2308" max="2308" width="6.42578125" style="42" customWidth="1"/>
    <col min="2309" max="2309" width="3.42578125" style="42" customWidth="1"/>
    <col min="2310" max="2549" width="9" style="42"/>
    <col min="2550" max="2550" width="2.85546875" style="42" customWidth="1"/>
    <col min="2551" max="2551" width="17.7109375" style="42" customWidth="1"/>
    <col min="2552" max="2552" width="9" style="42"/>
    <col min="2553" max="2553" width="11.7109375" style="42" customWidth="1"/>
    <col min="2554" max="2554" width="12.7109375" style="42" customWidth="1"/>
    <col min="2555" max="2558" width="11.28515625" style="42" customWidth="1"/>
    <col min="2559" max="2563" width="10.85546875" style="42" customWidth="1"/>
    <col min="2564" max="2564" width="6.42578125" style="42" customWidth="1"/>
    <col min="2565" max="2565" width="3.42578125" style="42" customWidth="1"/>
    <col min="2566" max="2805" width="9" style="42"/>
    <col min="2806" max="2806" width="2.85546875" style="42" customWidth="1"/>
    <col min="2807" max="2807" width="17.7109375" style="42" customWidth="1"/>
    <col min="2808" max="2808" width="9" style="42"/>
    <col min="2809" max="2809" width="11.7109375" style="42" customWidth="1"/>
    <col min="2810" max="2810" width="12.7109375" style="42" customWidth="1"/>
    <col min="2811" max="2814" width="11.28515625" style="42" customWidth="1"/>
    <col min="2815" max="2819" width="10.85546875" style="42" customWidth="1"/>
    <col min="2820" max="2820" width="6.42578125" style="42" customWidth="1"/>
    <col min="2821" max="2821" width="3.42578125" style="42" customWidth="1"/>
    <col min="2822" max="3061" width="9" style="42"/>
    <col min="3062" max="3062" width="2.85546875" style="42" customWidth="1"/>
    <col min="3063" max="3063" width="17.7109375" style="42" customWidth="1"/>
    <col min="3064" max="3064" width="9" style="42"/>
    <col min="3065" max="3065" width="11.7109375" style="42" customWidth="1"/>
    <col min="3066" max="3066" width="12.7109375" style="42" customWidth="1"/>
    <col min="3067" max="3070" width="11.28515625" style="42" customWidth="1"/>
    <col min="3071" max="3075" width="10.85546875" style="42" customWidth="1"/>
    <col min="3076" max="3076" width="6.42578125" style="42" customWidth="1"/>
    <col min="3077" max="3077" width="3.42578125" style="42" customWidth="1"/>
    <col min="3078" max="3317" width="9" style="42"/>
    <col min="3318" max="3318" width="2.85546875" style="42" customWidth="1"/>
    <col min="3319" max="3319" width="17.7109375" style="42" customWidth="1"/>
    <col min="3320" max="3320" width="9" style="42"/>
    <col min="3321" max="3321" width="11.7109375" style="42" customWidth="1"/>
    <col min="3322" max="3322" width="12.7109375" style="42" customWidth="1"/>
    <col min="3323" max="3326" width="11.28515625" style="42" customWidth="1"/>
    <col min="3327" max="3331" width="10.85546875" style="42" customWidth="1"/>
    <col min="3332" max="3332" width="6.42578125" style="42" customWidth="1"/>
    <col min="3333" max="3333" width="3.42578125" style="42" customWidth="1"/>
    <col min="3334" max="3573" width="9" style="42"/>
    <col min="3574" max="3574" width="2.85546875" style="42" customWidth="1"/>
    <col min="3575" max="3575" width="17.7109375" style="42" customWidth="1"/>
    <col min="3576" max="3576" width="9" style="42"/>
    <col min="3577" max="3577" width="11.7109375" style="42" customWidth="1"/>
    <col min="3578" max="3578" width="12.7109375" style="42" customWidth="1"/>
    <col min="3579" max="3582" width="11.28515625" style="42" customWidth="1"/>
    <col min="3583" max="3587" width="10.85546875" style="42" customWidth="1"/>
    <col min="3588" max="3588" width="6.42578125" style="42" customWidth="1"/>
    <col min="3589" max="3589" width="3.42578125" style="42" customWidth="1"/>
    <col min="3590" max="3829" width="9" style="42"/>
    <col min="3830" max="3830" width="2.85546875" style="42" customWidth="1"/>
    <col min="3831" max="3831" width="17.7109375" style="42" customWidth="1"/>
    <col min="3832" max="3832" width="9" style="42"/>
    <col min="3833" max="3833" width="11.7109375" style="42" customWidth="1"/>
    <col min="3834" max="3834" width="12.7109375" style="42" customWidth="1"/>
    <col min="3835" max="3838" width="11.28515625" style="42" customWidth="1"/>
    <col min="3839" max="3843" width="10.85546875" style="42" customWidth="1"/>
    <col min="3844" max="3844" width="6.42578125" style="42" customWidth="1"/>
    <col min="3845" max="3845" width="3.42578125" style="42" customWidth="1"/>
    <col min="3846" max="4085" width="9" style="42"/>
    <col min="4086" max="4086" width="2.85546875" style="42" customWidth="1"/>
    <col min="4087" max="4087" width="17.7109375" style="42" customWidth="1"/>
    <col min="4088" max="4088" width="9" style="42"/>
    <col min="4089" max="4089" width="11.7109375" style="42" customWidth="1"/>
    <col min="4090" max="4090" width="12.7109375" style="42" customWidth="1"/>
    <col min="4091" max="4094" width="11.28515625" style="42" customWidth="1"/>
    <col min="4095" max="4099" width="10.85546875" style="42" customWidth="1"/>
    <col min="4100" max="4100" width="6.42578125" style="42" customWidth="1"/>
    <col min="4101" max="4101" width="3.42578125" style="42" customWidth="1"/>
    <col min="4102" max="4341" width="9" style="42"/>
    <col min="4342" max="4342" width="2.85546875" style="42" customWidth="1"/>
    <col min="4343" max="4343" width="17.7109375" style="42" customWidth="1"/>
    <col min="4344" max="4344" width="9" style="42"/>
    <col min="4345" max="4345" width="11.7109375" style="42" customWidth="1"/>
    <col min="4346" max="4346" width="12.7109375" style="42" customWidth="1"/>
    <col min="4347" max="4350" width="11.28515625" style="42" customWidth="1"/>
    <col min="4351" max="4355" width="10.85546875" style="42" customWidth="1"/>
    <col min="4356" max="4356" width="6.42578125" style="42" customWidth="1"/>
    <col min="4357" max="4357" width="3.42578125" style="42" customWidth="1"/>
    <col min="4358" max="4597" width="9" style="42"/>
    <col min="4598" max="4598" width="2.85546875" style="42" customWidth="1"/>
    <col min="4599" max="4599" width="17.7109375" style="42" customWidth="1"/>
    <col min="4600" max="4600" width="9" style="42"/>
    <col min="4601" max="4601" width="11.7109375" style="42" customWidth="1"/>
    <col min="4602" max="4602" width="12.7109375" style="42" customWidth="1"/>
    <col min="4603" max="4606" width="11.28515625" style="42" customWidth="1"/>
    <col min="4607" max="4611" width="10.85546875" style="42" customWidth="1"/>
    <col min="4612" max="4612" width="6.42578125" style="42" customWidth="1"/>
    <col min="4613" max="4613" width="3.42578125" style="42" customWidth="1"/>
    <col min="4614" max="4853" width="9" style="42"/>
    <col min="4854" max="4854" width="2.85546875" style="42" customWidth="1"/>
    <col min="4855" max="4855" width="17.7109375" style="42" customWidth="1"/>
    <col min="4856" max="4856" width="9" style="42"/>
    <col min="4857" max="4857" width="11.7109375" style="42" customWidth="1"/>
    <col min="4858" max="4858" width="12.7109375" style="42" customWidth="1"/>
    <col min="4859" max="4862" width="11.28515625" style="42" customWidth="1"/>
    <col min="4863" max="4867" width="10.85546875" style="42" customWidth="1"/>
    <col min="4868" max="4868" width="6.42578125" style="42" customWidth="1"/>
    <col min="4869" max="4869" width="3.42578125" style="42" customWidth="1"/>
    <col min="4870" max="5109" width="9" style="42"/>
    <col min="5110" max="5110" width="2.85546875" style="42" customWidth="1"/>
    <col min="5111" max="5111" width="17.7109375" style="42" customWidth="1"/>
    <col min="5112" max="5112" width="9" style="42"/>
    <col min="5113" max="5113" width="11.7109375" style="42" customWidth="1"/>
    <col min="5114" max="5114" width="12.7109375" style="42" customWidth="1"/>
    <col min="5115" max="5118" width="11.28515625" style="42" customWidth="1"/>
    <col min="5119" max="5123" width="10.85546875" style="42" customWidth="1"/>
    <col min="5124" max="5124" width="6.42578125" style="42" customWidth="1"/>
    <col min="5125" max="5125" width="3.42578125" style="42" customWidth="1"/>
    <col min="5126" max="5365" width="9" style="42"/>
    <col min="5366" max="5366" width="2.85546875" style="42" customWidth="1"/>
    <col min="5367" max="5367" width="17.7109375" style="42" customWidth="1"/>
    <col min="5368" max="5368" width="9" style="42"/>
    <col min="5369" max="5369" width="11.7109375" style="42" customWidth="1"/>
    <col min="5370" max="5370" width="12.7109375" style="42" customWidth="1"/>
    <col min="5371" max="5374" width="11.28515625" style="42" customWidth="1"/>
    <col min="5375" max="5379" width="10.85546875" style="42" customWidth="1"/>
    <col min="5380" max="5380" width="6.42578125" style="42" customWidth="1"/>
    <col min="5381" max="5381" width="3.42578125" style="42" customWidth="1"/>
    <col min="5382" max="5621" width="9" style="42"/>
    <col min="5622" max="5622" width="2.85546875" style="42" customWidth="1"/>
    <col min="5623" max="5623" width="17.7109375" style="42" customWidth="1"/>
    <col min="5624" max="5624" width="9" style="42"/>
    <col min="5625" max="5625" width="11.7109375" style="42" customWidth="1"/>
    <col min="5626" max="5626" width="12.7109375" style="42" customWidth="1"/>
    <col min="5627" max="5630" width="11.28515625" style="42" customWidth="1"/>
    <col min="5631" max="5635" width="10.85546875" style="42" customWidth="1"/>
    <col min="5636" max="5636" width="6.42578125" style="42" customWidth="1"/>
    <col min="5637" max="5637" width="3.42578125" style="42" customWidth="1"/>
    <col min="5638" max="5877" width="9" style="42"/>
    <col min="5878" max="5878" width="2.85546875" style="42" customWidth="1"/>
    <col min="5879" max="5879" width="17.7109375" style="42" customWidth="1"/>
    <col min="5880" max="5880" width="9" style="42"/>
    <col min="5881" max="5881" width="11.7109375" style="42" customWidth="1"/>
    <col min="5882" max="5882" width="12.7109375" style="42" customWidth="1"/>
    <col min="5883" max="5886" width="11.28515625" style="42" customWidth="1"/>
    <col min="5887" max="5891" width="10.85546875" style="42" customWidth="1"/>
    <col min="5892" max="5892" width="6.42578125" style="42" customWidth="1"/>
    <col min="5893" max="5893" width="3.42578125" style="42" customWidth="1"/>
    <col min="5894" max="6133" width="9" style="42"/>
    <col min="6134" max="6134" width="2.85546875" style="42" customWidth="1"/>
    <col min="6135" max="6135" width="17.7109375" style="42" customWidth="1"/>
    <col min="6136" max="6136" width="9" style="42"/>
    <col min="6137" max="6137" width="11.7109375" style="42" customWidth="1"/>
    <col min="6138" max="6138" width="12.7109375" style="42" customWidth="1"/>
    <col min="6139" max="6142" width="11.28515625" style="42" customWidth="1"/>
    <col min="6143" max="6147" width="10.85546875" style="42" customWidth="1"/>
    <col min="6148" max="6148" width="6.42578125" style="42" customWidth="1"/>
    <col min="6149" max="6149" width="3.42578125" style="42" customWidth="1"/>
    <col min="6150" max="6389" width="9" style="42"/>
    <col min="6390" max="6390" width="2.85546875" style="42" customWidth="1"/>
    <col min="6391" max="6391" width="17.7109375" style="42" customWidth="1"/>
    <col min="6392" max="6392" width="9" style="42"/>
    <col min="6393" max="6393" width="11.7109375" style="42" customWidth="1"/>
    <col min="6394" max="6394" width="12.7109375" style="42" customWidth="1"/>
    <col min="6395" max="6398" width="11.28515625" style="42" customWidth="1"/>
    <col min="6399" max="6403" width="10.85546875" style="42" customWidth="1"/>
    <col min="6404" max="6404" width="6.42578125" style="42" customWidth="1"/>
    <col min="6405" max="6405" width="3.42578125" style="42" customWidth="1"/>
    <col min="6406" max="6645" width="9" style="42"/>
    <col min="6646" max="6646" width="2.85546875" style="42" customWidth="1"/>
    <col min="6647" max="6647" width="17.7109375" style="42" customWidth="1"/>
    <col min="6648" max="6648" width="9" style="42"/>
    <col min="6649" max="6649" width="11.7109375" style="42" customWidth="1"/>
    <col min="6650" max="6650" width="12.7109375" style="42" customWidth="1"/>
    <col min="6651" max="6654" width="11.28515625" style="42" customWidth="1"/>
    <col min="6655" max="6659" width="10.85546875" style="42" customWidth="1"/>
    <col min="6660" max="6660" width="6.42578125" style="42" customWidth="1"/>
    <col min="6661" max="6661" width="3.42578125" style="42" customWidth="1"/>
    <col min="6662" max="6901" width="9" style="42"/>
    <col min="6902" max="6902" width="2.85546875" style="42" customWidth="1"/>
    <col min="6903" max="6903" width="17.7109375" style="42" customWidth="1"/>
    <col min="6904" max="6904" width="9" style="42"/>
    <col min="6905" max="6905" width="11.7109375" style="42" customWidth="1"/>
    <col min="6906" max="6906" width="12.7109375" style="42" customWidth="1"/>
    <col min="6907" max="6910" width="11.28515625" style="42" customWidth="1"/>
    <col min="6911" max="6915" width="10.85546875" style="42" customWidth="1"/>
    <col min="6916" max="6916" width="6.42578125" style="42" customWidth="1"/>
    <col min="6917" max="6917" width="3.42578125" style="42" customWidth="1"/>
    <col min="6918" max="7157" width="9" style="42"/>
    <col min="7158" max="7158" width="2.85546875" style="42" customWidth="1"/>
    <col min="7159" max="7159" width="17.7109375" style="42" customWidth="1"/>
    <col min="7160" max="7160" width="9" style="42"/>
    <col min="7161" max="7161" width="11.7109375" style="42" customWidth="1"/>
    <col min="7162" max="7162" width="12.7109375" style="42" customWidth="1"/>
    <col min="7163" max="7166" width="11.28515625" style="42" customWidth="1"/>
    <col min="7167" max="7171" width="10.85546875" style="42" customWidth="1"/>
    <col min="7172" max="7172" width="6.42578125" style="42" customWidth="1"/>
    <col min="7173" max="7173" width="3.42578125" style="42" customWidth="1"/>
    <col min="7174" max="7413" width="9" style="42"/>
    <col min="7414" max="7414" width="2.85546875" style="42" customWidth="1"/>
    <col min="7415" max="7415" width="17.7109375" style="42" customWidth="1"/>
    <col min="7416" max="7416" width="9" style="42"/>
    <col min="7417" max="7417" width="11.7109375" style="42" customWidth="1"/>
    <col min="7418" max="7418" width="12.7109375" style="42" customWidth="1"/>
    <col min="7419" max="7422" width="11.28515625" style="42" customWidth="1"/>
    <col min="7423" max="7427" width="10.85546875" style="42" customWidth="1"/>
    <col min="7428" max="7428" width="6.42578125" style="42" customWidth="1"/>
    <col min="7429" max="7429" width="3.42578125" style="42" customWidth="1"/>
    <col min="7430" max="7669" width="9" style="42"/>
    <col min="7670" max="7670" width="2.85546875" style="42" customWidth="1"/>
    <col min="7671" max="7671" width="17.7109375" style="42" customWidth="1"/>
    <col min="7672" max="7672" width="9" style="42"/>
    <col min="7673" max="7673" width="11.7109375" style="42" customWidth="1"/>
    <col min="7674" max="7674" width="12.7109375" style="42" customWidth="1"/>
    <col min="7675" max="7678" width="11.28515625" style="42" customWidth="1"/>
    <col min="7679" max="7683" width="10.85546875" style="42" customWidth="1"/>
    <col min="7684" max="7684" width="6.42578125" style="42" customWidth="1"/>
    <col min="7685" max="7685" width="3.42578125" style="42" customWidth="1"/>
    <col min="7686" max="7925" width="9" style="42"/>
    <col min="7926" max="7926" width="2.85546875" style="42" customWidth="1"/>
    <col min="7927" max="7927" width="17.7109375" style="42" customWidth="1"/>
    <col min="7928" max="7928" width="9" style="42"/>
    <col min="7929" max="7929" width="11.7109375" style="42" customWidth="1"/>
    <col min="7930" max="7930" width="12.7109375" style="42" customWidth="1"/>
    <col min="7931" max="7934" width="11.28515625" style="42" customWidth="1"/>
    <col min="7935" max="7939" width="10.85546875" style="42" customWidth="1"/>
    <col min="7940" max="7940" width="6.42578125" style="42" customWidth="1"/>
    <col min="7941" max="7941" width="3.42578125" style="42" customWidth="1"/>
    <col min="7942" max="8181" width="9" style="42"/>
    <col min="8182" max="8182" width="2.85546875" style="42" customWidth="1"/>
    <col min="8183" max="8183" width="17.7109375" style="42" customWidth="1"/>
    <col min="8184" max="8184" width="9" style="42"/>
    <col min="8185" max="8185" width="11.7109375" style="42" customWidth="1"/>
    <col min="8186" max="8186" width="12.7109375" style="42" customWidth="1"/>
    <col min="8187" max="8190" width="11.28515625" style="42" customWidth="1"/>
    <col min="8191" max="8195" width="10.85546875" style="42" customWidth="1"/>
    <col min="8196" max="8196" width="6.42578125" style="42" customWidth="1"/>
    <col min="8197" max="8197" width="3.42578125" style="42" customWidth="1"/>
    <col min="8198" max="8437" width="9" style="42"/>
    <col min="8438" max="8438" width="2.85546875" style="42" customWidth="1"/>
    <col min="8439" max="8439" width="17.7109375" style="42" customWidth="1"/>
    <col min="8440" max="8440" width="9" style="42"/>
    <col min="8441" max="8441" width="11.7109375" style="42" customWidth="1"/>
    <col min="8442" max="8442" width="12.7109375" style="42" customWidth="1"/>
    <col min="8443" max="8446" width="11.28515625" style="42" customWidth="1"/>
    <col min="8447" max="8451" width="10.85546875" style="42" customWidth="1"/>
    <col min="8452" max="8452" width="6.42578125" style="42" customWidth="1"/>
    <col min="8453" max="8453" width="3.42578125" style="42" customWidth="1"/>
    <col min="8454" max="8693" width="9" style="42"/>
    <col min="8694" max="8694" width="2.85546875" style="42" customWidth="1"/>
    <col min="8695" max="8695" width="17.7109375" style="42" customWidth="1"/>
    <col min="8696" max="8696" width="9" style="42"/>
    <col min="8697" max="8697" width="11.7109375" style="42" customWidth="1"/>
    <col min="8698" max="8698" width="12.7109375" style="42" customWidth="1"/>
    <col min="8699" max="8702" width="11.28515625" style="42" customWidth="1"/>
    <col min="8703" max="8707" width="10.85546875" style="42" customWidth="1"/>
    <col min="8708" max="8708" width="6.42578125" style="42" customWidth="1"/>
    <col min="8709" max="8709" width="3.42578125" style="42" customWidth="1"/>
    <col min="8710" max="8949" width="9" style="42"/>
    <col min="8950" max="8950" width="2.85546875" style="42" customWidth="1"/>
    <col min="8951" max="8951" width="17.7109375" style="42" customWidth="1"/>
    <col min="8952" max="8952" width="9" style="42"/>
    <col min="8953" max="8953" width="11.7109375" style="42" customWidth="1"/>
    <col min="8954" max="8954" width="12.7109375" style="42" customWidth="1"/>
    <col min="8955" max="8958" width="11.28515625" style="42" customWidth="1"/>
    <col min="8959" max="8963" width="10.85546875" style="42" customWidth="1"/>
    <col min="8964" max="8964" width="6.42578125" style="42" customWidth="1"/>
    <col min="8965" max="8965" width="3.42578125" style="42" customWidth="1"/>
    <col min="8966" max="9205" width="9" style="42"/>
    <col min="9206" max="9206" width="2.85546875" style="42" customWidth="1"/>
    <col min="9207" max="9207" width="17.7109375" style="42" customWidth="1"/>
    <col min="9208" max="9208" width="9" style="42"/>
    <col min="9209" max="9209" width="11.7109375" style="42" customWidth="1"/>
    <col min="9210" max="9210" width="12.7109375" style="42" customWidth="1"/>
    <col min="9211" max="9214" width="11.28515625" style="42" customWidth="1"/>
    <col min="9215" max="9219" width="10.85546875" style="42" customWidth="1"/>
    <col min="9220" max="9220" width="6.42578125" style="42" customWidth="1"/>
    <col min="9221" max="9221" width="3.42578125" style="42" customWidth="1"/>
    <col min="9222" max="9461" width="9" style="42"/>
    <col min="9462" max="9462" width="2.85546875" style="42" customWidth="1"/>
    <col min="9463" max="9463" width="17.7109375" style="42" customWidth="1"/>
    <col min="9464" max="9464" width="9" style="42"/>
    <col min="9465" max="9465" width="11.7109375" style="42" customWidth="1"/>
    <col min="9466" max="9466" width="12.7109375" style="42" customWidth="1"/>
    <col min="9467" max="9470" width="11.28515625" style="42" customWidth="1"/>
    <col min="9471" max="9475" width="10.85546875" style="42" customWidth="1"/>
    <col min="9476" max="9476" width="6.42578125" style="42" customWidth="1"/>
    <col min="9477" max="9477" width="3.42578125" style="42" customWidth="1"/>
    <col min="9478" max="9717" width="9" style="42"/>
    <col min="9718" max="9718" width="2.85546875" style="42" customWidth="1"/>
    <col min="9719" max="9719" width="17.7109375" style="42" customWidth="1"/>
    <col min="9720" max="9720" width="9" style="42"/>
    <col min="9721" max="9721" width="11.7109375" style="42" customWidth="1"/>
    <col min="9722" max="9722" width="12.7109375" style="42" customWidth="1"/>
    <col min="9723" max="9726" width="11.28515625" style="42" customWidth="1"/>
    <col min="9727" max="9731" width="10.85546875" style="42" customWidth="1"/>
    <col min="9732" max="9732" width="6.42578125" style="42" customWidth="1"/>
    <col min="9733" max="9733" width="3.42578125" style="42" customWidth="1"/>
    <col min="9734" max="9973" width="9" style="42"/>
    <col min="9974" max="9974" width="2.85546875" style="42" customWidth="1"/>
    <col min="9975" max="9975" width="17.7109375" style="42" customWidth="1"/>
    <col min="9976" max="9976" width="9" style="42"/>
    <col min="9977" max="9977" width="11.7109375" style="42" customWidth="1"/>
    <col min="9978" max="9978" width="12.7109375" style="42" customWidth="1"/>
    <col min="9979" max="9982" width="11.28515625" style="42" customWidth="1"/>
    <col min="9983" max="9987" width="10.85546875" style="42" customWidth="1"/>
    <col min="9988" max="9988" width="6.42578125" style="42" customWidth="1"/>
    <col min="9989" max="9989" width="3.42578125" style="42" customWidth="1"/>
    <col min="9990" max="10229" width="9" style="42"/>
    <col min="10230" max="10230" width="2.85546875" style="42" customWidth="1"/>
    <col min="10231" max="10231" width="17.7109375" style="42" customWidth="1"/>
    <col min="10232" max="10232" width="9" style="42"/>
    <col min="10233" max="10233" width="11.7109375" style="42" customWidth="1"/>
    <col min="10234" max="10234" width="12.7109375" style="42" customWidth="1"/>
    <col min="10235" max="10238" width="11.28515625" style="42" customWidth="1"/>
    <col min="10239" max="10243" width="10.85546875" style="42" customWidth="1"/>
    <col min="10244" max="10244" width="6.42578125" style="42" customWidth="1"/>
    <col min="10245" max="10245" width="3.42578125" style="42" customWidth="1"/>
    <col min="10246" max="10485" width="9" style="42"/>
    <col min="10486" max="10486" width="2.85546875" style="42" customWidth="1"/>
    <col min="10487" max="10487" width="17.7109375" style="42" customWidth="1"/>
    <col min="10488" max="10488" width="9" style="42"/>
    <col min="10489" max="10489" width="11.7109375" style="42" customWidth="1"/>
    <col min="10490" max="10490" width="12.7109375" style="42" customWidth="1"/>
    <col min="10491" max="10494" width="11.28515625" style="42" customWidth="1"/>
    <col min="10495" max="10499" width="10.85546875" style="42" customWidth="1"/>
    <col min="10500" max="10500" width="6.42578125" style="42" customWidth="1"/>
    <col min="10501" max="10501" width="3.42578125" style="42" customWidth="1"/>
    <col min="10502" max="10741" width="9" style="42"/>
    <col min="10742" max="10742" width="2.85546875" style="42" customWidth="1"/>
    <col min="10743" max="10743" width="17.7109375" style="42" customWidth="1"/>
    <col min="10744" max="10744" width="9" style="42"/>
    <col min="10745" max="10745" width="11.7109375" style="42" customWidth="1"/>
    <col min="10746" max="10746" width="12.7109375" style="42" customWidth="1"/>
    <col min="10747" max="10750" width="11.28515625" style="42" customWidth="1"/>
    <col min="10751" max="10755" width="10.85546875" style="42" customWidth="1"/>
    <col min="10756" max="10756" width="6.42578125" style="42" customWidth="1"/>
    <col min="10757" max="10757" width="3.42578125" style="42" customWidth="1"/>
    <col min="10758" max="10997" width="9" style="42"/>
    <col min="10998" max="10998" width="2.85546875" style="42" customWidth="1"/>
    <col min="10999" max="10999" width="17.7109375" style="42" customWidth="1"/>
    <col min="11000" max="11000" width="9" style="42"/>
    <col min="11001" max="11001" width="11.7109375" style="42" customWidth="1"/>
    <col min="11002" max="11002" width="12.7109375" style="42" customWidth="1"/>
    <col min="11003" max="11006" width="11.28515625" style="42" customWidth="1"/>
    <col min="11007" max="11011" width="10.85546875" style="42" customWidth="1"/>
    <col min="11012" max="11012" width="6.42578125" style="42" customWidth="1"/>
    <col min="11013" max="11013" width="3.42578125" style="42" customWidth="1"/>
    <col min="11014" max="11253" width="9" style="42"/>
    <col min="11254" max="11254" width="2.85546875" style="42" customWidth="1"/>
    <col min="11255" max="11255" width="17.7109375" style="42" customWidth="1"/>
    <col min="11256" max="11256" width="9" style="42"/>
    <col min="11257" max="11257" width="11.7109375" style="42" customWidth="1"/>
    <col min="11258" max="11258" width="12.7109375" style="42" customWidth="1"/>
    <col min="11259" max="11262" width="11.28515625" style="42" customWidth="1"/>
    <col min="11263" max="11267" width="10.85546875" style="42" customWidth="1"/>
    <col min="11268" max="11268" width="6.42578125" style="42" customWidth="1"/>
    <col min="11269" max="11269" width="3.42578125" style="42" customWidth="1"/>
    <col min="11270" max="11509" width="9" style="42"/>
    <col min="11510" max="11510" width="2.85546875" style="42" customWidth="1"/>
    <col min="11511" max="11511" width="17.7109375" style="42" customWidth="1"/>
    <col min="11512" max="11512" width="9" style="42"/>
    <col min="11513" max="11513" width="11.7109375" style="42" customWidth="1"/>
    <col min="11514" max="11514" width="12.7109375" style="42" customWidth="1"/>
    <col min="11515" max="11518" width="11.28515625" style="42" customWidth="1"/>
    <col min="11519" max="11523" width="10.85546875" style="42" customWidth="1"/>
    <col min="11524" max="11524" width="6.42578125" style="42" customWidth="1"/>
    <col min="11525" max="11525" width="3.42578125" style="42" customWidth="1"/>
    <col min="11526" max="11765" width="9" style="42"/>
    <col min="11766" max="11766" width="2.85546875" style="42" customWidth="1"/>
    <col min="11767" max="11767" width="17.7109375" style="42" customWidth="1"/>
    <col min="11768" max="11768" width="9" style="42"/>
    <col min="11769" max="11769" width="11.7109375" style="42" customWidth="1"/>
    <col min="11770" max="11770" width="12.7109375" style="42" customWidth="1"/>
    <col min="11771" max="11774" width="11.28515625" style="42" customWidth="1"/>
    <col min="11775" max="11779" width="10.85546875" style="42" customWidth="1"/>
    <col min="11780" max="11780" width="6.42578125" style="42" customWidth="1"/>
    <col min="11781" max="11781" width="3.42578125" style="42" customWidth="1"/>
    <col min="11782" max="12021" width="9" style="42"/>
    <col min="12022" max="12022" width="2.85546875" style="42" customWidth="1"/>
    <col min="12023" max="12023" width="17.7109375" style="42" customWidth="1"/>
    <col min="12024" max="12024" width="9" style="42"/>
    <col min="12025" max="12025" width="11.7109375" style="42" customWidth="1"/>
    <col min="12026" max="12026" width="12.7109375" style="42" customWidth="1"/>
    <col min="12027" max="12030" width="11.28515625" style="42" customWidth="1"/>
    <col min="12031" max="12035" width="10.85546875" style="42" customWidth="1"/>
    <col min="12036" max="12036" width="6.42578125" style="42" customWidth="1"/>
    <col min="12037" max="12037" width="3.42578125" style="42" customWidth="1"/>
    <col min="12038" max="12277" width="9" style="42"/>
    <col min="12278" max="12278" width="2.85546875" style="42" customWidth="1"/>
    <col min="12279" max="12279" width="17.7109375" style="42" customWidth="1"/>
    <col min="12280" max="12280" width="9" style="42"/>
    <col min="12281" max="12281" width="11.7109375" style="42" customWidth="1"/>
    <col min="12282" max="12282" width="12.7109375" style="42" customWidth="1"/>
    <col min="12283" max="12286" width="11.28515625" style="42" customWidth="1"/>
    <col min="12287" max="12291" width="10.85546875" style="42" customWidth="1"/>
    <col min="12292" max="12292" width="6.42578125" style="42" customWidth="1"/>
    <col min="12293" max="12293" width="3.42578125" style="42" customWidth="1"/>
    <col min="12294" max="12533" width="9" style="42"/>
    <col min="12534" max="12534" width="2.85546875" style="42" customWidth="1"/>
    <col min="12535" max="12535" width="17.7109375" style="42" customWidth="1"/>
    <col min="12536" max="12536" width="9" style="42"/>
    <col min="12537" max="12537" width="11.7109375" style="42" customWidth="1"/>
    <col min="12538" max="12538" width="12.7109375" style="42" customWidth="1"/>
    <col min="12539" max="12542" width="11.28515625" style="42" customWidth="1"/>
    <col min="12543" max="12547" width="10.85546875" style="42" customWidth="1"/>
    <col min="12548" max="12548" width="6.42578125" style="42" customWidth="1"/>
    <col min="12549" max="12549" width="3.42578125" style="42" customWidth="1"/>
    <col min="12550" max="12789" width="9" style="42"/>
    <col min="12790" max="12790" width="2.85546875" style="42" customWidth="1"/>
    <col min="12791" max="12791" width="17.7109375" style="42" customWidth="1"/>
    <col min="12792" max="12792" width="9" style="42"/>
    <col min="12793" max="12793" width="11.7109375" style="42" customWidth="1"/>
    <col min="12794" max="12794" width="12.7109375" style="42" customWidth="1"/>
    <col min="12795" max="12798" width="11.28515625" style="42" customWidth="1"/>
    <col min="12799" max="12803" width="10.85546875" style="42" customWidth="1"/>
    <col min="12804" max="12804" width="6.42578125" style="42" customWidth="1"/>
    <col min="12805" max="12805" width="3.42578125" style="42" customWidth="1"/>
    <col min="12806" max="13045" width="9" style="42"/>
    <col min="13046" max="13046" width="2.85546875" style="42" customWidth="1"/>
    <col min="13047" max="13047" width="17.7109375" style="42" customWidth="1"/>
    <col min="13048" max="13048" width="9" style="42"/>
    <col min="13049" max="13049" width="11.7109375" style="42" customWidth="1"/>
    <col min="13050" max="13050" width="12.7109375" style="42" customWidth="1"/>
    <col min="13051" max="13054" width="11.28515625" style="42" customWidth="1"/>
    <col min="13055" max="13059" width="10.85546875" style="42" customWidth="1"/>
    <col min="13060" max="13060" width="6.42578125" style="42" customWidth="1"/>
    <col min="13061" max="13061" width="3.42578125" style="42" customWidth="1"/>
    <col min="13062" max="13301" width="9" style="42"/>
    <col min="13302" max="13302" width="2.85546875" style="42" customWidth="1"/>
    <col min="13303" max="13303" width="17.7109375" style="42" customWidth="1"/>
    <col min="13304" max="13304" width="9" style="42"/>
    <col min="13305" max="13305" width="11.7109375" style="42" customWidth="1"/>
    <col min="13306" max="13306" width="12.7109375" style="42" customWidth="1"/>
    <col min="13307" max="13310" width="11.28515625" style="42" customWidth="1"/>
    <col min="13311" max="13315" width="10.85546875" style="42" customWidth="1"/>
    <col min="13316" max="13316" width="6.42578125" style="42" customWidth="1"/>
    <col min="13317" max="13317" width="3.42578125" style="42" customWidth="1"/>
    <col min="13318" max="13557" width="9" style="42"/>
    <col min="13558" max="13558" width="2.85546875" style="42" customWidth="1"/>
    <col min="13559" max="13559" width="17.7109375" style="42" customWidth="1"/>
    <col min="13560" max="13560" width="9" style="42"/>
    <col min="13561" max="13561" width="11.7109375" style="42" customWidth="1"/>
    <col min="13562" max="13562" width="12.7109375" style="42" customWidth="1"/>
    <col min="13563" max="13566" width="11.28515625" style="42" customWidth="1"/>
    <col min="13567" max="13571" width="10.85546875" style="42" customWidth="1"/>
    <col min="13572" max="13572" width="6.42578125" style="42" customWidth="1"/>
    <col min="13573" max="13573" width="3.42578125" style="42" customWidth="1"/>
    <col min="13574" max="13813" width="9" style="42"/>
    <col min="13814" max="13814" width="2.85546875" style="42" customWidth="1"/>
    <col min="13815" max="13815" width="17.7109375" style="42" customWidth="1"/>
    <col min="13816" max="13816" width="9" style="42"/>
    <col min="13817" max="13817" width="11.7109375" style="42" customWidth="1"/>
    <col min="13818" max="13818" width="12.7109375" style="42" customWidth="1"/>
    <col min="13819" max="13822" width="11.28515625" style="42" customWidth="1"/>
    <col min="13823" max="13827" width="10.85546875" style="42" customWidth="1"/>
    <col min="13828" max="13828" width="6.42578125" style="42" customWidth="1"/>
    <col min="13829" max="13829" width="3.42578125" style="42" customWidth="1"/>
    <col min="13830" max="14069" width="9" style="42"/>
    <col min="14070" max="14070" width="2.85546875" style="42" customWidth="1"/>
    <col min="14071" max="14071" width="17.7109375" style="42" customWidth="1"/>
    <col min="14072" max="14072" width="9" style="42"/>
    <col min="14073" max="14073" width="11.7109375" style="42" customWidth="1"/>
    <col min="14074" max="14074" width="12.7109375" style="42" customWidth="1"/>
    <col min="14075" max="14078" width="11.28515625" style="42" customWidth="1"/>
    <col min="14079" max="14083" width="10.85546875" style="42" customWidth="1"/>
    <col min="14084" max="14084" width="6.42578125" style="42" customWidth="1"/>
    <col min="14085" max="14085" width="3.42578125" style="42" customWidth="1"/>
    <col min="14086" max="14325" width="9" style="42"/>
    <col min="14326" max="14326" width="2.85546875" style="42" customWidth="1"/>
    <col min="14327" max="14327" width="17.7109375" style="42" customWidth="1"/>
    <col min="14328" max="14328" width="9" style="42"/>
    <col min="14329" max="14329" width="11.7109375" style="42" customWidth="1"/>
    <col min="14330" max="14330" width="12.7109375" style="42" customWidth="1"/>
    <col min="14331" max="14334" width="11.28515625" style="42" customWidth="1"/>
    <col min="14335" max="14339" width="10.85546875" style="42" customWidth="1"/>
    <col min="14340" max="14340" width="6.42578125" style="42" customWidth="1"/>
    <col min="14341" max="14341" width="3.42578125" style="42" customWidth="1"/>
    <col min="14342" max="14581" width="9" style="42"/>
    <col min="14582" max="14582" width="2.85546875" style="42" customWidth="1"/>
    <col min="14583" max="14583" width="17.7109375" style="42" customWidth="1"/>
    <col min="14584" max="14584" width="9" style="42"/>
    <col min="14585" max="14585" width="11.7109375" style="42" customWidth="1"/>
    <col min="14586" max="14586" width="12.7109375" style="42" customWidth="1"/>
    <col min="14587" max="14590" width="11.28515625" style="42" customWidth="1"/>
    <col min="14591" max="14595" width="10.85546875" style="42" customWidth="1"/>
    <col min="14596" max="14596" width="6.42578125" style="42" customWidth="1"/>
    <col min="14597" max="14597" width="3.42578125" style="42" customWidth="1"/>
    <col min="14598" max="14837" width="9" style="42"/>
    <col min="14838" max="14838" width="2.85546875" style="42" customWidth="1"/>
    <col min="14839" max="14839" width="17.7109375" style="42" customWidth="1"/>
    <col min="14840" max="14840" width="9" style="42"/>
    <col min="14841" max="14841" width="11.7109375" style="42" customWidth="1"/>
    <col min="14842" max="14842" width="12.7109375" style="42" customWidth="1"/>
    <col min="14843" max="14846" width="11.28515625" style="42" customWidth="1"/>
    <col min="14847" max="14851" width="10.85546875" style="42" customWidth="1"/>
    <col min="14852" max="14852" width="6.42578125" style="42" customWidth="1"/>
    <col min="14853" max="14853" width="3.42578125" style="42" customWidth="1"/>
    <col min="14854" max="15093" width="9" style="42"/>
    <col min="15094" max="15094" width="2.85546875" style="42" customWidth="1"/>
    <col min="15095" max="15095" width="17.7109375" style="42" customWidth="1"/>
    <col min="15096" max="15096" width="9" style="42"/>
    <col min="15097" max="15097" width="11.7109375" style="42" customWidth="1"/>
    <col min="15098" max="15098" width="12.7109375" style="42" customWidth="1"/>
    <col min="15099" max="15102" width="11.28515625" style="42" customWidth="1"/>
    <col min="15103" max="15107" width="10.85546875" style="42" customWidth="1"/>
    <col min="15108" max="15108" width="6.42578125" style="42" customWidth="1"/>
    <col min="15109" max="15109" width="3.42578125" style="42" customWidth="1"/>
    <col min="15110" max="15349" width="9" style="42"/>
    <col min="15350" max="15350" width="2.85546875" style="42" customWidth="1"/>
    <col min="15351" max="15351" width="17.7109375" style="42" customWidth="1"/>
    <col min="15352" max="15352" width="9" style="42"/>
    <col min="15353" max="15353" width="11.7109375" style="42" customWidth="1"/>
    <col min="15354" max="15354" width="12.7109375" style="42" customWidth="1"/>
    <col min="15355" max="15358" width="11.28515625" style="42" customWidth="1"/>
    <col min="15359" max="15363" width="10.85546875" style="42" customWidth="1"/>
    <col min="15364" max="15364" width="6.42578125" style="42" customWidth="1"/>
    <col min="15365" max="15365" width="3.42578125" style="42" customWidth="1"/>
    <col min="15366" max="15605" width="9" style="42"/>
    <col min="15606" max="15606" width="2.85546875" style="42" customWidth="1"/>
    <col min="15607" max="15607" width="17.7109375" style="42" customWidth="1"/>
    <col min="15608" max="15608" width="9" style="42"/>
    <col min="15609" max="15609" width="11.7109375" style="42" customWidth="1"/>
    <col min="15610" max="15610" width="12.7109375" style="42" customWidth="1"/>
    <col min="15611" max="15614" width="11.28515625" style="42" customWidth="1"/>
    <col min="15615" max="15619" width="10.85546875" style="42" customWidth="1"/>
    <col min="15620" max="15620" width="6.42578125" style="42" customWidth="1"/>
    <col min="15621" max="15621" width="3.42578125" style="42" customWidth="1"/>
    <col min="15622" max="15861" width="9" style="42"/>
    <col min="15862" max="15862" width="2.85546875" style="42" customWidth="1"/>
    <col min="15863" max="15863" width="17.7109375" style="42" customWidth="1"/>
    <col min="15864" max="15864" width="9" style="42"/>
    <col min="15865" max="15865" width="11.7109375" style="42" customWidth="1"/>
    <col min="15866" max="15866" width="12.7109375" style="42" customWidth="1"/>
    <col min="15867" max="15870" width="11.28515625" style="42" customWidth="1"/>
    <col min="15871" max="15875" width="10.85546875" style="42" customWidth="1"/>
    <col min="15876" max="15876" width="6.42578125" style="42" customWidth="1"/>
    <col min="15877" max="15877" width="3.42578125" style="42" customWidth="1"/>
    <col min="15878" max="16117" width="9" style="42"/>
    <col min="16118" max="16118" width="2.85546875" style="42" customWidth="1"/>
    <col min="16119" max="16119" width="17.7109375" style="42" customWidth="1"/>
    <col min="16120" max="16120" width="9" style="42"/>
    <col min="16121" max="16121" width="11.7109375" style="42" customWidth="1"/>
    <col min="16122" max="16122" width="12.7109375" style="42" customWidth="1"/>
    <col min="16123" max="16126" width="11.28515625" style="42" customWidth="1"/>
    <col min="16127" max="16131" width="10.85546875" style="42" customWidth="1"/>
    <col min="16132" max="16132" width="6.42578125" style="42" customWidth="1"/>
    <col min="16133" max="16133" width="3.42578125" style="42" customWidth="1"/>
    <col min="16134" max="16384" width="9" style="42"/>
  </cols>
  <sheetData>
    <row r="1" spans="1:9" s="5" customFormat="1" ht="15.75" customHeight="1">
      <c r="A1" s="2759"/>
      <c r="B1" s="2759"/>
      <c r="C1" s="2759"/>
      <c r="D1" s="2759"/>
      <c r="E1" s="2759"/>
      <c r="F1" s="2759"/>
      <c r="G1" s="407"/>
      <c r="H1" s="407"/>
      <c r="I1" s="407"/>
    </row>
    <row r="2" spans="1:9" s="5" customFormat="1" ht="26.25" customHeight="1">
      <c r="A2" s="2685" t="str">
        <f>'هزینه سربار تولید'!A1:F1</f>
        <v>انبارهای عمومی و خدمات گمرکی ایران</v>
      </c>
      <c r="B2" s="2685"/>
      <c r="C2" s="2685"/>
      <c r="D2" s="2685"/>
      <c r="E2" s="2685"/>
      <c r="F2" s="2685"/>
      <c r="G2" s="2685"/>
      <c r="H2" s="2685"/>
      <c r="I2" s="2685"/>
    </row>
    <row r="3" spans="1:9" s="5" customFormat="1" ht="20.25" customHeight="1">
      <c r="A3" s="396"/>
      <c r="B3" s="396"/>
      <c r="C3" s="396"/>
      <c r="D3" s="396"/>
      <c r="E3" s="396"/>
      <c r="F3" s="396"/>
      <c r="G3" s="396"/>
      <c r="H3" s="396"/>
      <c r="I3" s="396"/>
    </row>
    <row r="4" spans="1:9" s="5" customFormat="1" ht="24" customHeight="1">
      <c r="A4" s="1110" t="s">
        <v>215</v>
      </c>
      <c r="B4" s="1110" t="s">
        <v>1277</v>
      </c>
      <c r="C4" s="1110"/>
      <c r="D4" s="1110"/>
      <c r="E4" s="1110"/>
      <c r="F4" s="1088" t="s">
        <v>1246</v>
      </c>
      <c r="G4" s="1089" t="str">
        <f>روکش!$F$9</f>
        <v>شش ماهه</v>
      </c>
      <c r="H4" s="1089" t="s">
        <v>379</v>
      </c>
      <c r="I4" s="1088">
        <f>روکش!$D$9</f>
        <v>1405</v>
      </c>
    </row>
    <row r="5" spans="1:9" s="862" customFormat="1" ht="15.75" customHeight="1">
      <c r="A5" s="500"/>
      <c r="B5" s="501"/>
      <c r="C5" s="500"/>
      <c r="D5" s="500"/>
      <c r="E5" s="500"/>
      <c r="F5" s="500"/>
      <c r="G5" s="500"/>
      <c r="H5" s="500"/>
      <c r="I5" s="500"/>
    </row>
    <row r="6" spans="1:9" s="1" customFormat="1" ht="24" customHeight="1" thickBot="1">
      <c r="A6" s="502"/>
      <c r="B6" s="2723"/>
      <c r="C6" s="2723"/>
      <c r="D6" s="2723"/>
      <c r="E6" s="2723"/>
      <c r="F6" s="398"/>
      <c r="G6" s="503" t="s">
        <v>30</v>
      </c>
      <c r="H6" s="527"/>
      <c r="I6" s="502"/>
    </row>
    <row r="7" spans="1:9" s="1" customFormat="1" ht="27" customHeight="1">
      <c r="A7" s="502"/>
      <c r="B7" s="2753" t="s">
        <v>0</v>
      </c>
      <c r="C7" s="2995"/>
      <c r="D7" s="2995"/>
      <c r="E7" s="2914" t="s">
        <v>693</v>
      </c>
      <c r="F7" s="2997" t="s">
        <v>642</v>
      </c>
      <c r="G7" s="2998"/>
      <c r="H7" s="2998"/>
      <c r="I7" s="2999"/>
    </row>
    <row r="8" spans="1:9" s="1" customFormat="1" ht="55.5" customHeight="1" thickBot="1">
      <c r="A8" s="502"/>
      <c r="B8" s="2913"/>
      <c r="C8" s="2996"/>
      <c r="D8" s="2996"/>
      <c r="E8" s="2915"/>
      <c r="F8" s="713" t="s">
        <v>53</v>
      </c>
      <c r="G8" s="714" t="s">
        <v>216</v>
      </c>
      <c r="H8" s="714" t="s">
        <v>804</v>
      </c>
      <c r="I8" s="715" t="s">
        <v>230</v>
      </c>
    </row>
    <row r="9" spans="1:9" s="1" customFormat="1" ht="30" customHeight="1">
      <c r="B9" s="3000" t="s">
        <v>273</v>
      </c>
      <c r="C9" s="3001"/>
      <c r="D9" s="3002"/>
      <c r="E9" s="1127"/>
      <c r="F9" s="1127"/>
      <c r="G9" s="531">
        <f>'خرید اقلام خدمات آزادراهی'!I14</f>
        <v>0</v>
      </c>
      <c r="H9" s="506" t="str">
        <f t="shared" ref="H9:H21" si="0">IFERROR((G9-E9)*100/E9,"-")</f>
        <v>-</v>
      </c>
      <c r="I9" s="507" t="str">
        <f t="shared" ref="I9:I21" si="1">IFERROR(G9*100/F9,"-")</f>
        <v>-</v>
      </c>
    </row>
    <row r="10" spans="1:9" s="1" customFormat="1" ht="30" customHeight="1">
      <c r="B10" s="2992" t="s">
        <v>185</v>
      </c>
      <c r="C10" s="2993"/>
      <c r="D10" s="2994"/>
      <c r="E10" s="1128"/>
      <c r="F10" s="929">
        <f ca="1">'خرید اقلام خدمات آزادراهی'!L14</f>
        <v>0</v>
      </c>
      <c r="G10" s="532">
        <f>'خرید اقلام خدمات آزادراهی'!O14</f>
        <v>0</v>
      </c>
      <c r="H10" s="508" t="str">
        <f t="shared" si="0"/>
        <v>-</v>
      </c>
      <c r="I10" s="509" t="str">
        <f t="shared" ca="1" si="1"/>
        <v>-</v>
      </c>
    </row>
    <row r="11" spans="1:9" s="1" customFormat="1" ht="30" customHeight="1">
      <c r="B11" s="3003" t="s">
        <v>714</v>
      </c>
      <c r="C11" s="3004"/>
      <c r="D11" s="3005"/>
      <c r="E11" s="1128"/>
      <c r="F11" s="1082"/>
      <c r="G11" s="532">
        <f>'خرید اقلام خدمات آزادراهی'!F24</f>
        <v>0</v>
      </c>
      <c r="H11" s="508" t="str">
        <f t="shared" si="0"/>
        <v>-</v>
      </c>
      <c r="I11" s="509" t="str">
        <f t="shared" si="1"/>
        <v>-</v>
      </c>
    </row>
    <row r="12" spans="1:9" s="1" customFormat="1" ht="30" customHeight="1" thickBot="1">
      <c r="B12" s="3006" t="s">
        <v>272</v>
      </c>
      <c r="C12" s="3007"/>
      <c r="D12" s="3008"/>
      <c r="E12" s="1128"/>
      <c r="F12" s="1129"/>
      <c r="G12" s="532">
        <f>'خرید اقلام خدمات آزادراهی'!L24</f>
        <v>0</v>
      </c>
      <c r="H12" s="508" t="str">
        <f t="shared" si="0"/>
        <v>-</v>
      </c>
      <c r="I12" s="509" t="str">
        <f t="shared" si="1"/>
        <v>-</v>
      </c>
    </row>
    <row r="13" spans="1:9" s="1" customFormat="1" ht="30" customHeight="1">
      <c r="B13" s="3000" t="s">
        <v>182</v>
      </c>
      <c r="C13" s="3001"/>
      <c r="D13" s="3002"/>
      <c r="E13" s="930">
        <f>E9+E10-E12-E11</f>
        <v>0</v>
      </c>
      <c r="F13" s="931">
        <f ca="1">F9+F10-F12-F11</f>
        <v>0</v>
      </c>
      <c r="G13" s="533">
        <f>G9+G10-G12-G11</f>
        <v>0</v>
      </c>
      <c r="H13" s="510" t="str">
        <f t="shared" si="0"/>
        <v>-</v>
      </c>
      <c r="I13" s="511" t="str">
        <f t="shared" ca="1" si="1"/>
        <v>-</v>
      </c>
    </row>
    <row r="14" spans="1:9" s="1" customFormat="1" ht="30" customHeight="1">
      <c r="B14" s="2992" t="s">
        <v>57</v>
      </c>
      <c r="C14" s="2993"/>
      <c r="D14" s="2994"/>
      <c r="E14" s="932">
        <f>'هزینه پرسنلی مستقیم خدمات 2'!B55</f>
        <v>0</v>
      </c>
      <c r="F14" s="929">
        <f>'هزینه پرسنلی مستقیم خدمات 2'!C55</f>
        <v>0</v>
      </c>
      <c r="G14" s="532">
        <f>'هزینه پرسنلی مستقیم خدمات 2'!D55</f>
        <v>0</v>
      </c>
      <c r="H14" s="508" t="str">
        <f t="shared" si="0"/>
        <v>-</v>
      </c>
      <c r="I14" s="509" t="str">
        <f t="shared" si="1"/>
        <v>-</v>
      </c>
    </row>
    <row r="15" spans="1:9" s="1" customFormat="1" ht="30" customHeight="1">
      <c r="B15" s="2992" t="s">
        <v>183</v>
      </c>
      <c r="C15" s="2993"/>
      <c r="D15" s="2994"/>
      <c r="E15" s="932">
        <f>'هزینه پرسنلی غیرمستقیم خدمات 2'!B55</f>
        <v>0</v>
      </c>
      <c r="F15" s="929">
        <f>'هزینه پرسنلی غیرمستقیم خدمات 2'!C55</f>
        <v>0</v>
      </c>
      <c r="G15" s="532">
        <f>'هزینه پرسنلی غیرمستقیم خدمات 2'!D55</f>
        <v>0</v>
      </c>
      <c r="H15" s="508" t="str">
        <f t="shared" si="0"/>
        <v>-</v>
      </c>
      <c r="I15" s="509" t="str">
        <f t="shared" si="1"/>
        <v>-</v>
      </c>
    </row>
    <row r="16" spans="1:9" s="1" customFormat="1" ht="30" customHeight="1">
      <c r="B16" s="2992" t="s">
        <v>715</v>
      </c>
      <c r="C16" s="2993"/>
      <c r="D16" s="2994"/>
      <c r="E16" s="933">
        <f>'هزینه سربار خدمات آزادراهی'!B38</f>
        <v>0</v>
      </c>
      <c r="F16" s="934">
        <f>'هزینه سربار خدمات آزادراهی'!C38</f>
        <v>0</v>
      </c>
      <c r="G16" s="534">
        <f>'هزینه سربار خدمات آزادراهی'!D38</f>
        <v>0</v>
      </c>
      <c r="H16" s="512" t="str">
        <f t="shared" si="0"/>
        <v>-</v>
      </c>
      <c r="I16" s="513" t="str">
        <f t="shared" si="1"/>
        <v>-</v>
      </c>
    </row>
    <row r="17" spans="2:9" s="1" customFormat="1" ht="30" customHeight="1" thickBot="1">
      <c r="B17" s="3011" t="s">
        <v>274</v>
      </c>
      <c r="C17" s="3012"/>
      <c r="D17" s="3012"/>
      <c r="E17" s="933">
        <f ca="1">_xlfn.IFNA(VLOOKUP("هزینه های جذب نشده در خدمات",'سایر عملیاتی آزادراهی'!$A$7:$I$46,2,FALSE),0)</f>
        <v>0</v>
      </c>
      <c r="F17" s="934">
        <f ca="1">_xlfn.IFNA(VLOOKUP("هزینه های جذب نشده در خدمات",'سایر عملیاتی آزادراهی'!$A$7:$I$46,3,FALSE),0)</f>
        <v>0</v>
      </c>
      <c r="G17" s="534">
        <f ca="1">_xlfn.IFNA(VLOOKUP("هزینه های جذب نشده در خدمات",'سایر عملیاتی آزادراهی'!$A$7:$I$46,4,FALSE),0)</f>
        <v>0</v>
      </c>
      <c r="H17" s="512" t="str">
        <f t="shared" ca="1" si="0"/>
        <v>-</v>
      </c>
      <c r="I17" s="513" t="str">
        <f t="shared" ca="1" si="1"/>
        <v>-</v>
      </c>
    </row>
    <row r="18" spans="2:9" s="1" customFormat="1" ht="30" customHeight="1">
      <c r="B18" s="3000" t="s">
        <v>58</v>
      </c>
      <c r="C18" s="3001"/>
      <c r="D18" s="3002"/>
      <c r="E18" s="930">
        <f ca="1">SUM(E13:E16)-E17</f>
        <v>0</v>
      </c>
      <c r="F18" s="931">
        <f ca="1">SUM(F13:F16)-F17</f>
        <v>0</v>
      </c>
      <c r="G18" s="533">
        <f ca="1">SUM(G13:G16)-G17</f>
        <v>0</v>
      </c>
      <c r="H18" s="510" t="str">
        <f t="shared" ca="1" si="0"/>
        <v>-</v>
      </c>
      <c r="I18" s="511" t="str">
        <f t="shared" ca="1" si="1"/>
        <v>-</v>
      </c>
    </row>
    <row r="19" spans="2:9" s="1" customFormat="1" ht="30" customHeight="1">
      <c r="B19" s="2992" t="s">
        <v>275</v>
      </c>
      <c r="C19" s="2993"/>
      <c r="D19" s="2994"/>
      <c r="E19" s="1129"/>
      <c r="F19" s="1129"/>
      <c r="G19" s="1084"/>
      <c r="H19" s="508" t="str">
        <f t="shared" si="0"/>
        <v>-</v>
      </c>
      <c r="I19" s="509" t="str">
        <f t="shared" si="1"/>
        <v>-</v>
      </c>
    </row>
    <row r="20" spans="2:9" s="1" customFormat="1" ht="30" customHeight="1" thickBot="1">
      <c r="B20" s="3006" t="s">
        <v>276</v>
      </c>
      <c r="C20" s="3007"/>
      <c r="D20" s="3008"/>
      <c r="E20" s="1124"/>
      <c r="F20" s="1124"/>
      <c r="G20" s="248"/>
      <c r="H20" s="512" t="str">
        <f t="shared" si="0"/>
        <v>-</v>
      </c>
      <c r="I20" s="513" t="str">
        <f t="shared" si="1"/>
        <v>-</v>
      </c>
    </row>
    <row r="21" spans="2:9" s="1" customFormat="1" ht="30" customHeight="1" thickBot="1">
      <c r="B21" s="3009" t="s">
        <v>59</v>
      </c>
      <c r="C21" s="3010"/>
      <c r="D21" s="3010"/>
      <c r="E21" s="528">
        <f ca="1">E18+E19-E20</f>
        <v>0</v>
      </c>
      <c r="F21" s="529">
        <f ca="1">F18+F19-F20</f>
        <v>0</v>
      </c>
      <c r="G21" s="530">
        <f ca="1">G18+G19-G20</f>
        <v>0</v>
      </c>
      <c r="H21" s="504" t="str">
        <f t="shared" ca="1" si="0"/>
        <v>-</v>
      </c>
      <c r="I21" s="505" t="str">
        <f t="shared" ca="1" si="1"/>
        <v>-</v>
      </c>
    </row>
    <row r="22" spans="2:9" s="1" customFormat="1" ht="20.25" customHeight="1" thickTop="1">
      <c r="B22" s="928"/>
      <c r="C22" s="928"/>
      <c r="D22" s="928"/>
      <c r="E22" s="928"/>
      <c r="F22" s="928"/>
      <c r="G22" s="928"/>
      <c r="H22" s="928"/>
      <c r="I22" s="928"/>
    </row>
    <row r="23" spans="2:9" ht="27">
      <c r="B23" s="43"/>
      <c r="C23" s="43"/>
      <c r="D23" s="43"/>
      <c r="E23" s="43"/>
      <c r="F23" s="43"/>
      <c r="G23" s="43"/>
    </row>
  </sheetData>
  <mergeCells count="19">
    <mergeCell ref="B21:D21"/>
    <mergeCell ref="B15:D15"/>
    <mergeCell ref="B16:D16"/>
    <mergeCell ref="B17:D17"/>
    <mergeCell ref="B18:D18"/>
    <mergeCell ref="B19:D19"/>
    <mergeCell ref="B20:D20"/>
    <mergeCell ref="B14:D14"/>
    <mergeCell ref="A1:F1"/>
    <mergeCell ref="A2:I2"/>
    <mergeCell ref="B6:E6"/>
    <mergeCell ref="B7:D8"/>
    <mergeCell ref="E7:E8"/>
    <mergeCell ref="F7:I7"/>
    <mergeCell ref="B9:D9"/>
    <mergeCell ref="B10:D10"/>
    <mergeCell ref="B11:D11"/>
    <mergeCell ref="B12:D12"/>
    <mergeCell ref="B13:D13"/>
  </mergeCells>
  <printOptions horizontalCentered="1"/>
  <pageMargins left="0.19685039370078741" right="0.19685039370078741" top="0.59055118110236227" bottom="0.78740157480314965" header="0.19685039370078741" footer="0.19685039370078741"/>
  <pageSetup paperSize="9" scale="8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7">
    <tabColor rgb="FFC00000"/>
    <pageSetUpPr fitToPage="1"/>
  </sheetPr>
  <dimension ref="A1:O28"/>
  <sheetViews>
    <sheetView showGridLines="0" rightToLeft="1" view="pageBreakPreview" zoomScale="90" zoomScaleNormal="100" zoomScaleSheetLayoutView="90" workbookViewId="0">
      <selection activeCell="H7" sqref="H7"/>
    </sheetView>
  </sheetViews>
  <sheetFormatPr defaultColWidth="9" defaultRowHeight="21"/>
  <cols>
    <col min="1" max="1" width="6.28515625" style="37" customWidth="1"/>
    <col min="2" max="2" width="40.5703125" style="37" customWidth="1"/>
    <col min="3" max="3" width="15.5703125" style="37" customWidth="1"/>
    <col min="4" max="8" width="16.5703125" style="37" customWidth="1"/>
    <col min="9" max="10" width="13.5703125" style="37" customWidth="1"/>
    <col min="11" max="11" width="3.7109375" style="37" customWidth="1"/>
    <col min="12" max="12" width="15.5703125" style="37" customWidth="1"/>
    <col min="13" max="14" width="12" style="37" hidden="1" customWidth="1"/>
    <col min="15" max="15" width="9" style="37" hidden="1" customWidth="1"/>
    <col min="16" max="16" width="0" style="37" hidden="1" customWidth="1"/>
    <col min="17" max="16384" width="9" style="37"/>
  </cols>
  <sheetData>
    <row r="1" spans="1:15" s="5" customFormat="1" ht="24" customHeight="1">
      <c r="A1" s="2685" t="str">
        <f>روکش!D4</f>
        <v>انبارهای عمومی و خدمات گمرکی ایران</v>
      </c>
      <c r="B1" s="2685"/>
      <c r="C1" s="2685"/>
      <c r="D1" s="2685"/>
      <c r="E1" s="2685"/>
      <c r="F1" s="2685"/>
      <c r="G1" s="2685"/>
      <c r="H1" s="2685"/>
      <c r="I1" s="2685"/>
      <c r="J1" s="2685"/>
      <c r="K1" s="2685"/>
      <c r="L1" s="54"/>
      <c r="M1" s="3"/>
      <c r="N1" s="211"/>
    </row>
    <row r="2" spans="1:15" s="5" customFormat="1" ht="28.5" customHeight="1">
      <c r="A2" s="1206" t="str">
        <f>"مقادیر خدمات ارائه شده در دوره " &amp; روکش!F9 &amp; " سال " &amp; روکش!D9</f>
        <v>مقادیر خدمات ارائه شده در دوره شش ماهه سال 1405</v>
      </c>
      <c r="B2" s="1205"/>
      <c r="C2" s="1205"/>
      <c r="D2" s="1205"/>
      <c r="E2" s="1205"/>
      <c r="F2" s="1205"/>
      <c r="G2" s="1202"/>
      <c r="H2" s="1202"/>
      <c r="I2" s="1202"/>
      <c r="J2" s="1202"/>
      <c r="K2" s="1202"/>
      <c r="L2" s="62"/>
      <c r="M2" s="865"/>
      <c r="N2" s="866"/>
    </row>
    <row r="3" spans="1:15" ht="20.100000000000001" customHeight="1" thickBot="1">
      <c r="A3" s="2859"/>
      <c r="B3" s="2859"/>
      <c r="C3" s="2859"/>
      <c r="D3" s="2859"/>
      <c r="E3" s="2859"/>
      <c r="F3" s="2334" t="s">
        <v>3203</v>
      </c>
      <c r="G3" s="456"/>
      <c r="H3" s="456"/>
      <c r="I3" s="455"/>
      <c r="J3" s="1208" t="s">
        <v>28</v>
      </c>
      <c r="K3" s="1208"/>
      <c r="L3" s="84"/>
    </row>
    <row r="4" spans="1:15" ht="19.5" customHeight="1">
      <c r="A4" s="2860" t="s">
        <v>5</v>
      </c>
      <c r="B4" s="2864" t="s">
        <v>270</v>
      </c>
      <c r="C4" s="2864" t="s">
        <v>16</v>
      </c>
      <c r="D4" s="2864" t="s">
        <v>222</v>
      </c>
      <c r="E4" s="2866" t="s">
        <v>271</v>
      </c>
      <c r="F4" s="2914" t="s">
        <v>679</v>
      </c>
      <c r="G4" s="1374" t="s">
        <v>642</v>
      </c>
      <c r="H4" s="1375"/>
      <c r="I4" s="1375"/>
      <c r="J4" s="1376"/>
      <c r="K4" s="1376"/>
      <c r="L4" s="867"/>
      <c r="M4" s="867"/>
      <c r="N4" s="867"/>
    </row>
    <row r="5" spans="1:15" ht="20.25" customHeight="1">
      <c r="A5" s="2941"/>
      <c r="B5" s="2943"/>
      <c r="C5" s="2943"/>
      <c r="D5" s="2943"/>
      <c r="E5" s="2944"/>
      <c r="F5" s="2945"/>
      <c r="G5" s="2949" t="s">
        <v>53</v>
      </c>
      <c r="H5" s="2951" t="s">
        <v>216</v>
      </c>
      <c r="I5" s="3016" t="s">
        <v>793</v>
      </c>
      <c r="J5" s="3013" t="s">
        <v>230</v>
      </c>
      <c r="K5" s="3014"/>
      <c r="L5" s="867"/>
      <c r="M5" s="867"/>
      <c r="N5" s="867"/>
    </row>
    <row r="6" spans="1:15" ht="48" customHeight="1" thickBot="1">
      <c r="A6" s="2861"/>
      <c r="B6" s="2865"/>
      <c r="C6" s="2865"/>
      <c r="D6" s="2865"/>
      <c r="E6" s="2867"/>
      <c r="F6" s="2915"/>
      <c r="G6" s="2950"/>
      <c r="H6" s="2952"/>
      <c r="I6" s="3017"/>
      <c r="J6" s="3015"/>
      <c r="K6" s="2948"/>
      <c r="L6" s="867"/>
      <c r="M6" s="867"/>
      <c r="N6" s="1360" t="s">
        <v>783</v>
      </c>
      <c r="O6" s="1360"/>
    </row>
    <row r="7" spans="1:15" ht="21" customHeight="1">
      <c r="A7" s="1356">
        <v>1</v>
      </c>
      <c r="B7" s="1311" t="str">
        <f ca="1">IF(ROW()-ROW($A$7)&lt;'الف-ب-ج'!$L$9,INDIRECT("BudgetDB!D"&amp;('الف-ب-ج'!$M$9+ROW()-ROW($A$7))),"")</f>
        <v>انبارداری واردات</v>
      </c>
      <c r="C7" s="2136" t="str">
        <f ca="1">IF(ROW()-ROW($A$7)&lt;'الف-ب-ج'!$L$9,INDIRECT("BudgetDB!E"&amp;('الف-ب-ج'!$M$9+ROW()-ROW($A$7))),"")</f>
        <v>تن</v>
      </c>
      <c r="D7" s="1495">
        <f ca="1">IF(ROW()-ROW($A$7)&lt;'الف-ب-ج'!$L$9,INDIRECT("BudgetDB!DL"&amp;('الف-ب-ج'!$M$9+ROW()-ROW($A$7))),"")</f>
        <v>0</v>
      </c>
      <c r="E7" s="1496">
        <f ca="1">IF(ROW()-ROW($A$7)&lt;'الف-ب-ج'!$L$9,INDIRECT("BudgetDB!DM"&amp;('الف-ب-ج'!$M$9+ROW()-ROW($A$7))),"")</f>
        <v>0</v>
      </c>
      <c r="F7" s="2634">
        <f>'جدول فروش خدمات'!D5</f>
        <v>113724</v>
      </c>
      <c r="G7" s="2635">
        <f>'جدول فروش خدمات'!F5</f>
        <v>152262.27588707619</v>
      </c>
      <c r="H7" s="2636">
        <f>'جدول فروش خدمات'!$H$5</f>
        <v>145726</v>
      </c>
      <c r="I7" s="414">
        <f t="shared" ref="I7:I26" si="0">IFERROR((H7-F7)*100/F7,"-")</f>
        <v>28.140058386971969</v>
      </c>
      <c r="J7" s="2169">
        <f t="shared" ref="J7:J26" si="1">IFERROR((H7*100/G7),"-")</f>
        <v>95.707225674254502</v>
      </c>
      <c r="K7" s="415">
        <f>IFERROR(ABS(J7-100),500)</f>
        <v>4.2927743257454978</v>
      </c>
      <c r="L7" s="869"/>
      <c r="M7" s="869"/>
      <c r="N7" s="1360">
        <f>IF(AND(G7=0,H7&gt;0),100,IFERROR(ABS(J7-100),"-"))</f>
        <v>4.2927743257454978</v>
      </c>
      <c r="O7" s="1360"/>
    </row>
    <row r="8" spans="1:15" ht="21" customHeight="1">
      <c r="A8" s="1357">
        <v>2</v>
      </c>
      <c r="B8" s="1312" t="str">
        <f ca="1">IF(ROW()-ROW($A$7)&lt;'الف-ب-ج'!$L$9,INDIRECT("BudgetDB!D"&amp;('الف-ب-ج'!$M$9+ROW()-ROW($A$7))),"")</f>
        <v>باربری واردات</v>
      </c>
      <c r="C8" s="2137" t="str">
        <f ca="1">IF(ROW()-ROW($A$7)&lt;'الف-ب-ج'!$L$9,INDIRECT("BudgetDB!E"&amp;('الف-ب-ج'!$M$9+ROW()-ROW($A$7))),"")</f>
        <v>تن</v>
      </c>
      <c r="D8" s="839">
        <f ca="1">IF(ROW()-ROW($A$7)&lt;'الف-ب-ج'!$L$9,INDIRECT("BudgetDB!DL"&amp;('الف-ب-ج'!$M$9+ROW()-ROW($A$7))),"")</f>
        <v>0</v>
      </c>
      <c r="E8" s="1363">
        <f ca="1">IF(ROW()-ROW($A$7)&lt;'الف-ب-ج'!$L$9,INDIRECT("BudgetDB!DM"&amp;('الف-ب-ج'!$M$9+ROW()-ROW($A$7))),"")</f>
        <v>0</v>
      </c>
      <c r="F8" s="2637">
        <f>'جدول فروش خدمات'!D8</f>
        <v>227448</v>
      </c>
      <c r="G8" s="2638">
        <f>'جدول فروش خدمات'!F8</f>
        <v>304524.55177415238</v>
      </c>
      <c r="H8" s="2639">
        <f>'جدول فروش خدمات'!$H$8</f>
        <v>291452</v>
      </c>
      <c r="I8" s="417">
        <f t="shared" si="0"/>
        <v>28.140058386971969</v>
      </c>
      <c r="J8" s="2170">
        <f t="shared" si="1"/>
        <v>95.707225674254502</v>
      </c>
      <c r="K8" s="418">
        <f t="shared" ref="K8:K26" si="2">IFERROR(ABS(J8-100),500)</f>
        <v>4.2927743257454978</v>
      </c>
      <c r="L8" s="869"/>
      <c r="M8" s="869"/>
      <c r="N8" s="1360">
        <f t="shared" ref="N8:N26" si="3">IF(AND(G8=0,H8&gt;0),100,IFERROR(ABS(J8-100),"-"))</f>
        <v>4.2927743257454978</v>
      </c>
      <c r="O8" s="1360"/>
    </row>
    <row r="9" spans="1:15" ht="21" customHeight="1">
      <c r="A9" s="1357">
        <v>3</v>
      </c>
      <c r="B9" s="1312" t="str">
        <f ca="1">IF(ROW()-ROW($A$7)&lt;'الف-ب-ج'!$L$9,INDIRECT("BudgetDB!D"&amp;('الف-ب-ج'!$M$9+ROW()-ROW($A$7))),"")</f>
        <v>حمل یکسره واردات</v>
      </c>
      <c r="C9" s="2137" t="str">
        <f ca="1">IF(ROW()-ROW($A$7)&lt;'الف-ب-ج'!$L$9,INDIRECT("BudgetDB!E"&amp;('الف-ب-ج'!$M$9+ROW()-ROW($A$7))),"")</f>
        <v>تن</v>
      </c>
      <c r="D9" s="839">
        <f ca="1">IF(ROW()-ROW($A$7)&lt;'الف-ب-ج'!$L$9,INDIRECT("BudgetDB!DL"&amp;('الف-ب-ج'!$M$9+ROW()-ROW($A$7))),"")</f>
        <v>0</v>
      </c>
      <c r="E9" s="1363">
        <f ca="1">IF(ROW()-ROW($A$7)&lt;'الف-ب-ج'!$L$9,INDIRECT("BudgetDB!DM"&amp;('الف-ب-ج'!$M$9+ROW()-ROW($A$7))),"")</f>
        <v>0</v>
      </c>
      <c r="F9" s="2637">
        <f>'جدول فروش خدمات'!D9</f>
        <v>3902</v>
      </c>
      <c r="G9" s="2638">
        <f>'جدول فروش خدمات'!F9</f>
        <v>9774.4184502281296</v>
      </c>
      <c r="H9" s="2639">
        <f>'جدول فروش خدمات'!$H$9</f>
        <v>657</v>
      </c>
      <c r="I9" s="417">
        <f t="shared" si="0"/>
        <v>-83.162480779087645</v>
      </c>
      <c r="J9" s="2170">
        <f t="shared" si="1"/>
        <v>6.7216275151865021</v>
      </c>
      <c r="K9" s="418">
        <f t="shared" si="2"/>
        <v>93.278372484813502</v>
      </c>
      <c r="L9" s="869"/>
      <c r="M9" s="869"/>
      <c r="N9" s="1360">
        <f t="shared" si="3"/>
        <v>93.278372484813502</v>
      </c>
      <c r="O9" s="1360"/>
    </row>
    <row r="10" spans="1:15" ht="21" customHeight="1">
      <c r="A10" s="1357">
        <v>4</v>
      </c>
      <c r="B10" s="1312" t="str">
        <f ca="1">IF(ROW()-ROW($A$7)&lt;'الف-ب-ج'!$L$9,INDIRECT("BudgetDB!D"&amp;('الف-ب-ج'!$M$9+ROW()-ROW($A$7))),"")</f>
        <v>ترانشیپ واردات</v>
      </c>
      <c r="C10" s="2137" t="str">
        <f ca="1">IF(ROW()-ROW($A$7)&lt;'الف-ب-ج'!$L$9,INDIRECT("BudgetDB!E"&amp;('الف-ب-ج'!$M$9+ROW()-ROW($A$7))),"")</f>
        <v>تن</v>
      </c>
      <c r="D10" s="839">
        <f ca="1">IF(ROW()-ROW($A$7)&lt;'الف-ب-ج'!$L$9,INDIRECT("BudgetDB!DL"&amp;('الف-ب-ج'!$M$9+ROW()-ROW($A$7))),"")</f>
        <v>0</v>
      </c>
      <c r="E10" s="1363">
        <f ca="1">IF(ROW()-ROW($A$7)&lt;'الف-ب-ج'!$L$9,INDIRECT("BudgetDB!DM"&amp;('الف-ب-ج'!$M$9+ROW()-ROW($A$7))),"")</f>
        <v>0</v>
      </c>
      <c r="F10" s="2637">
        <f>'جدول فروش خدمات'!D10</f>
        <v>498346</v>
      </c>
      <c r="G10" s="2638">
        <f>'جدول فروش خدمات'!F10</f>
        <v>509431.766219393</v>
      </c>
      <c r="H10" s="2639">
        <f>'جدول فروش خدمات'!$H$10</f>
        <v>641162</v>
      </c>
      <c r="I10" s="417">
        <f t="shared" si="0"/>
        <v>28.658000666203801</v>
      </c>
      <c r="J10" s="2170">
        <f t="shared" si="1"/>
        <v>125.85826847002622</v>
      </c>
      <c r="K10" s="418">
        <f t="shared" si="2"/>
        <v>25.858268470026218</v>
      </c>
      <c r="L10" s="869"/>
      <c r="M10" s="869"/>
      <c r="N10" s="1360">
        <f t="shared" si="3"/>
        <v>25.858268470026218</v>
      </c>
      <c r="O10" s="1360"/>
    </row>
    <row r="11" spans="1:15" ht="21" customHeight="1">
      <c r="A11" s="1357">
        <v>5</v>
      </c>
      <c r="B11" s="1312" t="str">
        <f ca="1">IF(ROW()-ROW($A$7)&lt;'الف-ب-ج'!$L$9,INDIRECT("BudgetDB!D"&amp;('الف-ب-ج'!$M$9+ROW()-ROW($A$7))),"")</f>
        <v>خدمات باربری واردات</v>
      </c>
      <c r="C11" s="2137" t="str">
        <f ca="1">IF(ROW()-ROW($A$7)&lt;'الف-ب-ج'!$L$9,INDIRECT("BudgetDB!E"&amp;('الف-ب-ج'!$M$9+ROW()-ROW($A$7))),"")</f>
        <v>میلیون ریال</v>
      </c>
      <c r="D11" s="839">
        <f ca="1">IF(ROW()-ROW($A$7)&lt;'الف-ب-ج'!$L$9,INDIRECT("BudgetDB!DL"&amp;('الف-ب-ج'!$M$9+ROW()-ROW($A$7))),"")</f>
        <v>0</v>
      </c>
      <c r="E11" s="1363">
        <f ca="1">IF(ROW()-ROW($A$7)&lt;'الف-ب-ج'!$L$9,INDIRECT("BudgetDB!DM"&amp;('الف-ب-ج'!$M$9+ROW()-ROW($A$7))),"")</f>
        <v>0</v>
      </c>
      <c r="F11" s="2637">
        <f>'جدول فروش خدمات'!E11</f>
        <v>73454</v>
      </c>
      <c r="G11" s="2638">
        <f>'جدول فروش خدمات'!G11</f>
        <v>132255</v>
      </c>
      <c r="H11" s="2639">
        <f>'جدول فروش خدمات'!$J$11</f>
        <v>118106</v>
      </c>
      <c r="I11" s="417">
        <f t="shared" si="0"/>
        <v>60.789065265336127</v>
      </c>
      <c r="J11" s="2170">
        <f t="shared" si="1"/>
        <v>89.301727722959441</v>
      </c>
      <c r="K11" s="418">
        <f t="shared" si="2"/>
        <v>10.698272277040559</v>
      </c>
      <c r="L11" s="869"/>
      <c r="M11" s="869"/>
      <c r="N11" s="1360">
        <f t="shared" si="3"/>
        <v>10.698272277040559</v>
      </c>
      <c r="O11" s="1360"/>
    </row>
    <row r="12" spans="1:15" ht="21" customHeight="1">
      <c r="A12" s="1357">
        <v>6</v>
      </c>
      <c r="B12" s="1362" t="str">
        <f ca="1">IF(ROW()-ROW($A$7)&lt;'الف-ب-ج'!$L$9,INDIRECT("BudgetDB!D"&amp;('الف-ب-ج'!$M$9+ROW()-ROW($A$7))),"")</f>
        <v>انبارداری صادرات</v>
      </c>
      <c r="C12" s="2133" t="str">
        <f ca="1">IF(ROW()-ROW($A$7)&lt;'الف-ب-ج'!$L$9,INDIRECT("BudgetDB!E"&amp;('الف-ب-ج'!$M$9+ROW()-ROW($A$7))),"")</f>
        <v>تن</v>
      </c>
      <c r="D12" s="839">
        <f ca="1">IF(ROW()-ROW($A$7)&lt;'الف-ب-ج'!$L$9,INDIRECT("BudgetDB!DL"&amp;('الف-ب-ج'!$M$9+ROW()-ROW($A$7))),"")</f>
        <v>0</v>
      </c>
      <c r="E12" s="1363">
        <f ca="1">IF(ROW()-ROW($A$7)&lt;'الف-ب-ج'!$L$9,INDIRECT("BudgetDB!DM"&amp;('الف-ب-ج'!$M$9+ROW()-ROW($A$7))),"")</f>
        <v>0</v>
      </c>
      <c r="F12" s="2637">
        <f>'جدول فروش خدمات'!D13</f>
        <v>26356</v>
      </c>
      <c r="G12" s="2638">
        <f>'جدول فروش خدمات'!$F$13</f>
        <v>36653.373932076101</v>
      </c>
      <c r="H12" s="2639">
        <f>'جدول فروش خدمات'!$H$13</f>
        <v>43469</v>
      </c>
      <c r="I12" s="417">
        <f t="shared" si="0"/>
        <v>64.930186674760961</v>
      </c>
      <c r="J12" s="2170">
        <f t="shared" si="1"/>
        <v>118.59481225535805</v>
      </c>
      <c r="K12" s="418">
        <f t="shared" si="2"/>
        <v>18.59481225535805</v>
      </c>
      <c r="L12" s="869"/>
      <c r="M12" s="869"/>
      <c r="N12" s="1360">
        <f t="shared" si="3"/>
        <v>18.59481225535805</v>
      </c>
      <c r="O12" s="1360"/>
    </row>
    <row r="13" spans="1:15" ht="21" customHeight="1">
      <c r="A13" s="1357">
        <v>7</v>
      </c>
      <c r="B13" s="1362" t="str">
        <f ca="1">IF(ROW()-ROW($A$7)&lt;'الف-ب-ج'!$L$9,INDIRECT("BudgetDB!D"&amp;('الف-ب-ج'!$M$9+ROW()-ROW($A$7))),"")</f>
        <v>باربری صادرات</v>
      </c>
      <c r="C13" s="2133" t="str">
        <f ca="1">IF(ROW()-ROW($A$7)&lt;'الف-ب-ج'!$L$9,INDIRECT("BudgetDB!E"&amp;('الف-ب-ج'!$M$9+ROW()-ROW($A$7))),"")</f>
        <v>تن</v>
      </c>
      <c r="D13" s="839">
        <f ca="1">IF(ROW()-ROW($A$7)&lt;'الف-ب-ج'!$L$9,INDIRECT("BudgetDB!DL"&amp;('الف-ب-ج'!$M$9+ROW()-ROW($A$7))),"")</f>
        <v>0</v>
      </c>
      <c r="E13" s="1363">
        <f ca="1">IF(ROW()-ROW($A$7)&lt;'الف-ب-ج'!$L$9,INDIRECT("BudgetDB!DM"&amp;('الف-ب-ج'!$M$9+ROW()-ROW($A$7))),"")</f>
        <v>0</v>
      </c>
      <c r="F13" s="2637">
        <f>'جدول فروش خدمات'!D16</f>
        <v>52712</v>
      </c>
      <c r="G13" s="2638">
        <f>'جدول فروش خدمات'!$F$16</f>
        <v>73306.747864152203</v>
      </c>
      <c r="H13" s="2639">
        <f>'جدول فروش خدمات'!$H$16</f>
        <v>86938</v>
      </c>
      <c r="I13" s="417">
        <f t="shared" si="0"/>
        <v>64.930186674760961</v>
      </c>
      <c r="J13" s="2170">
        <f t="shared" si="1"/>
        <v>118.59481225535805</v>
      </c>
      <c r="K13" s="418">
        <f t="shared" si="2"/>
        <v>18.59481225535805</v>
      </c>
      <c r="L13" s="869"/>
      <c r="M13" s="869"/>
      <c r="N13" s="1360">
        <f t="shared" si="3"/>
        <v>18.59481225535805</v>
      </c>
      <c r="O13" s="1360"/>
    </row>
    <row r="14" spans="1:15" ht="21" customHeight="1">
      <c r="A14" s="1357">
        <v>8</v>
      </c>
      <c r="B14" s="1362" t="str">
        <f ca="1">IF(ROW()-ROW($A$7)&lt;'الف-ب-ج'!$L$9,INDIRECT("BudgetDB!D"&amp;('الف-ب-ج'!$M$9+ROW()-ROW($A$7))),"")</f>
        <v>حمل یکسره صادرات</v>
      </c>
      <c r="C14" s="2133" t="str">
        <f ca="1">IF(ROW()-ROW($A$7)&lt;'الف-ب-ج'!$L$9,INDIRECT("BudgetDB!E"&amp;('الف-ب-ج'!$M$9+ROW()-ROW($A$7))),"")</f>
        <v>تن</v>
      </c>
      <c r="D14" s="839">
        <f ca="1">IF(ROW()-ROW($A$7)&lt;'الف-ب-ج'!$L$9,INDIRECT("BudgetDB!DL"&amp;('الف-ب-ج'!$M$9+ROW()-ROW($A$7))),"")</f>
        <v>0</v>
      </c>
      <c r="E14" s="1363">
        <f ca="1">IF(ROW()-ROW($A$7)&lt;'الف-ب-ج'!$L$9,INDIRECT("BudgetDB!DM"&amp;('الف-ب-ج'!$M$9+ROW()-ROW($A$7))),"")</f>
        <v>0</v>
      </c>
      <c r="F14" s="2637">
        <f>'جدول فروش خدمات'!D17</f>
        <v>18</v>
      </c>
      <c r="G14" s="2638">
        <f>'جدول فروش خدمات'!$F$17</f>
        <v>26.040173755656109</v>
      </c>
      <c r="H14" s="2639">
        <f>'جدول فروش خدمات'!$H$17</f>
        <v>0</v>
      </c>
      <c r="I14" s="417">
        <f t="shared" si="0"/>
        <v>-100</v>
      </c>
      <c r="J14" s="2170">
        <f t="shared" si="1"/>
        <v>0</v>
      </c>
      <c r="K14" s="420">
        <f t="shared" si="2"/>
        <v>100</v>
      </c>
      <c r="L14" s="869"/>
      <c r="M14" s="869"/>
      <c r="N14" s="1360">
        <f t="shared" si="3"/>
        <v>100</v>
      </c>
      <c r="O14" s="1360"/>
    </row>
    <row r="15" spans="1:15" ht="21" customHeight="1">
      <c r="A15" s="1357">
        <v>9</v>
      </c>
      <c r="B15" s="1362" t="str">
        <f ca="1">IF(ROW()-ROW($A$7)&lt;'الف-ب-ج'!$L$9,INDIRECT("BudgetDB!D"&amp;('الف-ب-ج'!$M$9+ROW()-ROW($A$7))),"")</f>
        <v>ترانشیپ صادرات</v>
      </c>
      <c r="C15" s="2133" t="str">
        <f ca="1">IF(ROW()-ROW($A$7)&lt;'الف-ب-ج'!$L$9,INDIRECT("BudgetDB!E"&amp;('الف-ب-ج'!$M$9+ROW()-ROW($A$7))),"")</f>
        <v>تن</v>
      </c>
      <c r="D15" s="839">
        <f ca="1">IF(ROW()-ROW($A$7)&lt;'الف-ب-ج'!$L$9,INDIRECT("BudgetDB!DL"&amp;('الف-ب-ج'!$M$9+ROW()-ROW($A$7))),"")</f>
        <v>0</v>
      </c>
      <c r="E15" s="1363">
        <f ca="1">IF(ROW()-ROW($A$7)&lt;'الف-ب-ج'!$L$9,INDIRECT("BudgetDB!DM"&amp;('الف-ب-ج'!$M$9+ROW()-ROW($A$7))),"")</f>
        <v>0</v>
      </c>
      <c r="F15" s="2637">
        <f>'جدول فروش خدمات'!D18</f>
        <v>378750</v>
      </c>
      <c r="G15" s="2638">
        <f>'جدول فروش خدمات'!$F$18</f>
        <v>513151.19436328375</v>
      </c>
      <c r="H15" s="2639">
        <f>'جدول فروش خدمات'!$H$18</f>
        <v>467553</v>
      </c>
      <c r="I15" s="417">
        <f t="shared" si="0"/>
        <v>23.446336633663368</v>
      </c>
      <c r="J15" s="2170">
        <f t="shared" si="1"/>
        <v>91.114081996854395</v>
      </c>
      <c r="K15" s="420">
        <f t="shared" si="2"/>
        <v>8.8859180031456049</v>
      </c>
      <c r="L15" s="869"/>
      <c r="M15" s="869"/>
      <c r="N15" s="1360">
        <f t="shared" si="3"/>
        <v>8.8859180031456049</v>
      </c>
      <c r="O15" s="1360"/>
    </row>
    <row r="16" spans="1:15" ht="21" customHeight="1">
      <c r="A16" s="1357">
        <v>10</v>
      </c>
      <c r="B16" s="1362" t="str">
        <f ca="1">IF(ROW()-ROW($A$7)&lt;'الف-ب-ج'!$L$9,INDIRECT("BudgetDB!D"&amp;('الف-ب-ج'!$M$9+ROW()-ROW($A$7))),"")</f>
        <v>خدمات باربری صادرات</v>
      </c>
      <c r="C16" s="2133" t="str">
        <f ca="1">IF(ROW()-ROW($A$7)&lt;'الف-ب-ج'!$L$9,INDIRECT("BudgetDB!E"&amp;('الف-ب-ج'!$M$9+ROW()-ROW($A$7))),"")</f>
        <v>میلیون ریال</v>
      </c>
      <c r="D16" s="839">
        <f ca="1">IF(ROW()-ROW($A$7)&lt;'الف-ب-ج'!$L$9,INDIRECT("BudgetDB!DL"&amp;('الف-ب-ج'!$M$9+ROW()-ROW($A$7))),"")</f>
        <v>0</v>
      </c>
      <c r="E16" s="1363">
        <f ca="1">IF(ROW()-ROW($A$7)&lt;'الف-ب-ج'!$L$9,INDIRECT("BudgetDB!DM"&amp;('الف-ب-ج'!$M$9+ROW()-ROW($A$7))),"")</f>
        <v>0</v>
      </c>
      <c r="F16" s="2637">
        <f>'جدول فروش خدمات'!E19</f>
        <v>55252</v>
      </c>
      <c r="G16" s="2638">
        <f>'جدول فروش خدمات'!$G$19</f>
        <v>55246</v>
      </c>
      <c r="H16" s="2639">
        <f>'جدول فروش خدمات'!$J$19</f>
        <v>34526</v>
      </c>
      <c r="I16" s="417">
        <f t="shared" si="0"/>
        <v>-37.511764280026064</v>
      </c>
      <c r="J16" s="2170">
        <f t="shared" si="1"/>
        <v>62.495022264055315</v>
      </c>
      <c r="K16" s="420">
        <f t="shared" si="2"/>
        <v>37.504977735944685</v>
      </c>
      <c r="L16" s="869"/>
      <c r="M16" s="869"/>
      <c r="N16" s="1360">
        <f t="shared" si="3"/>
        <v>37.504977735944685</v>
      </c>
      <c r="O16" s="1360"/>
    </row>
    <row r="17" spans="1:15" ht="21" customHeight="1">
      <c r="A17" s="1357">
        <v>11</v>
      </c>
      <c r="B17" s="1364" t="str">
        <f ca="1">IF(ROW()-ROW($A$7)&lt;'الف-ب-ج'!$L$9,INDIRECT("BudgetDB!D"&amp;('الف-ب-ج'!$M$9+ROW()-ROW($A$7))),"")</f>
        <v>حمل‌ونقل داخلی</v>
      </c>
      <c r="C17" s="2134" t="str">
        <f ca="1">IF(ROW()-ROW($A$7)&lt;'الف-ب-ج'!$L$9,INDIRECT("BudgetDB!E"&amp;('الف-ب-ج'!$M$9+ROW()-ROW($A$7))),"")</f>
        <v>صدور بارنامه</v>
      </c>
      <c r="D17" s="839">
        <f ca="1">IF(ROW()-ROW($A$7)&lt;'الف-ب-ج'!$L$9,INDIRECT("BudgetDB!DL"&amp;('الف-ب-ج'!$M$9+ROW()-ROW($A$7))),"")</f>
        <v>0</v>
      </c>
      <c r="E17" s="1363">
        <f ca="1">IF(ROW()-ROW($A$7)&lt;'الف-ب-ج'!$L$9,INDIRECT("BudgetDB!DM"&amp;('الف-ب-ج'!$M$9+ROW()-ROW($A$7))),"")</f>
        <v>0</v>
      </c>
      <c r="F17" s="2637">
        <f>'جدول فروش خدمات'!D21</f>
        <v>0</v>
      </c>
      <c r="G17" s="2638">
        <f>'جدول فروش خدمات'!$F$21</f>
        <v>0</v>
      </c>
      <c r="H17" s="2639">
        <f>'جدول فروش خدمات'!$H$21</f>
        <v>0</v>
      </c>
      <c r="I17" s="417" t="str">
        <f t="shared" si="0"/>
        <v>-</v>
      </c>
      <c r="J17" s="2170" t="str">
        <f t="shared" si="1"/>
        <v>-</v>
      </c>
      <c r="K17" s="420">
        <f t="shared" si="2"/>
        <v>500</v>
      </c>
      <c r="L17" s="869"/>
      <c r="M17" s="869"/>
      <c r="N17" s="1360" t="str">
        <f t="shared" si="3"/>
        <v>-</v>
      </c>
      <c r="O17" s="1360"/>
    </row>
    <row r="18" spans="1:15" ht="21" customHeight="1">
      <c r="A18" s="1357">
        <v>12</v>
      </c>
      <c r="B18" s="1364" t="str">
        <f ca="1">IF(ROW()-ROW($A$7)&lt;'الف-ب-ج'!$L$9,INDIRECT("BudgetDB!D"&amp;('الف-ب-ج'!$M$9+ROW()-ROW($A$7))),"")</f>
        <v>حمل‌ونقل داخلی</v>
      </c>
      <c r="C18" s="2134" t="str">
        <f ca="1">IF(ROW()-ROW($A$7)&lt;'الف-ب-ج'!$L$9,INDIRECT("BudgetDB!E"&amp;('الف-ب-ج'!$M$9+ROW()-ROW($A$7))),"")</f>
        <v>تناژ حمل</v>
      </c>
      <c r="D18" s="839">
        <f ca="1">IF(ROW()-ROW($A$7)&lt;'الف-ب-ج'!$L$9,INDIRECT("BudgetDB!DL"&amp;('الف-ب-ج'!$M$9+ROW()-ROW($A$7))),"")</f>
        <v>0</v>
      </c>
      <c r="E18" s="1363">
        <f ca="1">IF(ROW()-ROW($A$7)&lt;'الف-ب-ج'!$L$9,INDIRECT("BudgetDB!DM"&amp;('الف-ب-ج'!$M$9+ROW()-ROW($A$7))),"")</f>
        <v>0</v>
      </c>
      <c r="F18" s="2637">
        <f>'جدول فروش خدمات'!D22</f>
        <v>0</v>
      </c>
      <c r="G18" s="2638">
        <f>'جدول فروش خدمات'!$F$22</f>
        <v>0</v>
      </c>
      <c r="H18" s="2639">
        <f>'جدول فروش خدمات'!$H$22</f>
        <v>0</v>
      </c>
      <c r="I18" s="417" t="str">
        <f t="shared" si="0"/>
        <v>-</v>
      </c>
      <c r="J18" s="2170" t="str">
        <f t="shared" si="1"/>
        <v>-</v>
      </c>
      <c r="K18" s="420">
        <f t="shared" si="2"/>
        <v>500</v>
      </c>
      <c r="L18" s="869"/>
      <c r="M18" s="869"/>
      <c r="N18" s="1360" t="str">
        <f t="shared" si="3"/>
        <v>-</v>
      </c>
      <c r="O18" s="1360"/>
    </row>
    <row r="19" spans="1:15" ht="21" hidden="1" customHeight="1">
      <c r="A19" s="1357">
        <v>13</v>
      </c>
      <c r="B19" s="1364">
        <f ca="1">IF(ROW()-ROW($A$7)&lt;'الف-ب-ج'!$L$9,INDIRECT("BudgetDB!D"&amp;('الف-ب-ج'!$M$9+ROW()-ROW($A$7))),"")</f>
        <v>0</v>
      </c>
      <c r="C19" s="2134">
        <f ca="1">IF(ROW()-ROW($A$7)&lt;'الف-ب-ج'!$L$9,INDIRECT("BudgetDB!E"&amp;('الف-ب-ج'!$M$9+ROW()-ROW($A$7))),"")</f>
        <v>0</v>
      </c>
      <c r="D19" s="839">
        <f ca="1">IF(ROW()-ROW($A$7)&lt;'الف-ب-ج'!$L$9,INDIRECT("BudgetDB!DL"&amp;('الف-ب-ج'!$M$9+ROW()-ROW($A$7))),"")</f>
        <v>0</v>
      </c>
      <c r="E19" s="1363">
        <f ca="1">IF(ROW()-ROW($A$7)&lt;'الف-ب-ج'!$L$9,INDIRECT("BudgetDB!DM"&amp;('الف-ب-ج'!$M$9+ROW()-ROW($A$7))),"")</f>
        <v>0</v>
      </c>
      <c r="F19" s="1108"/>
      <c r="G19" s="1368" cm="1">
        <f t="array" aca="1" ref="G19" ca="1">IF(ROW()-ROW($A$7)&lt;'الف-ب-ج'!$L$9,IF(روکش!$F$9="سه ماهه",INDIRECT("BudgetDB!DC"&amp;('الف-ب-ج'!$M$9+ROW()-ROW($A$7))),INDIRECT("BudgetDB!DD"&amp;('الف-ب-ج'!$M$9+ROW()-ROW($A$7)))),"")</f>
        <v>0</v>
      </c>
      <c r="H19" s="233"/>
      <c r="I19" s="2164" t="str">
        <f t="shared" si="0"/>
        <v>-</v>
      </c>
      <c r="J19" s="2170" t="str">
        <f t="shared" ca="1" si="1"/>
        <v>-</v>
      </c>
      <c r="K19" s="420">
        <f t="shared" ca="1" si="2"/>
        <v>500</v>
      </c>
      <c r="L19" s="869"/>
      <c r="M19" s="869"/>
      <c r="N19" s="1360" t="str">
        <f t="shared" ca="1" si="3"/>
        <v>-</v>
      </c>
      <c r="O19" s="1360"/>
    </row>
    <row r="20" spans="1:15" ht="21" hidden="1" customHeight="1">
      <c r="A20" s="1357">
        <v>14</v>
      </c>
      <c r="B20" s="1364">
        <f ca="1">IF(ROW()-ROW($A$7)&lt;'الف-ب-ج'!$L$9,INDIRECT("BudgetDB!D"&amp;('الف-ب-ج'!$M$9+ROW()-ROW($A$7))),"")</f>
        <v>0</v>
      </c>
      <c r="C20" s="2134">
        <f ca="1">IF(ROW()-ROW($A$7)&lt;'الف-ب-ج'!$L$9,INDIRECT("BudgetDB!E"&amp;('الف-ب-ج'!$M$9+ROW()-ROW($A$7))),"")</f>
        <v>0</v>
      </c>
      <c r="D20" s="839">
        <f ca="1">IF(ROW()-ROW($A$7)&lt;'الف-ب-ج'!$L$9,INDIRECT("BudgetDB!DL"&amp;('الف-ب-ج'!$M$9+ROW()-ROW($A$7))),"")</f>
        <v>0</v>
      </c>
      <c r="E20" s="1363">
        <f ca="1">IF(ROW()-ROW($A$7)&lt;'الف-ب-ج'!$L$9,INDIRECT("BudgetDB!DM"&amp;('الف-ب-ج'!$M$9+ROW()-ROW($A$7))),"")</f>
        <v>0</v>
      </c>
      <c r="F20" s="1108"/>
      <c r="G20" s="1368" cm="1">
        <f t="array" aca="1" ref="G20" ca="1">IF(ROW()-ROW($A$7)&lt;'الف-ب-ج'!$L$9,IF(روکش!$F$9="سه ماهه",INDIRECT("BudgetDB!DC"&amp;('الف-ب-ج'!$M$9+ROW()-ROW($A$7))),INDIRECT("BudgetDB!DD"&amp;('الف-ب-ج'!$M$9+ROW()-ROW($A$7)))),"")</f>
        <v>0</v>
      </c>
      <c r="H20" s="233"/>
      <c r="I20" s="2164" t="str">
        <f t="shared" si="0"/>
        <v>-</v>
      </c>
      <c r="J20" s="2170" t="str">
        <f t="shared" ca="1" si="1"/>
        <v>-</v>
      </c>
      <c r="K20" s="420">
        <f t="shared" ca="1" si="2"/>
        <v>500</v>
      </c>
      <c r="L20" s="869"/>
      <c r="M20" s="869"/>
      <c r="N20" s="1360" t="str">
        <f t="shared" ca="1" si="3"/>
        <v>-</v>
      </c>
      <c r="O20" s="1360"/>
    </row>
    <row r="21" spans="1:15" ht="21" hidden="1" customHeight="1">
      <c r="A21" s="1358">
        <v>15</v>
      </c>
      <c r="B21" s="1364">
        <f ca="1">IF(ROW()-ROW($A$7)&lt;'الف-ب-ج'!$L$9,INDIRECT("BudgetDB!D"&amp;('الف-ب-ج'!$M$9+ROW()-ROW($A$7))),"")</f>
        <v>0</v>
      </c>
      <c r="C21" s="2134">
        <f ca="1">IF(ROW()-ROW($A$7)&lt;'الف-ب-ج'!$L$9,INDIRECT("BudgetDB!E"&amp;('الف-ب-ج'!$M$9+ROW()-ROW($A$7))),"")</f>
        <v>0</v>
      </c>
      <c r="D21" s="840">
        <f ca="1">IF(ROW()-ROW($A$7)&lt;'الف-ب-ج'!$L$9,INDIRECT("BudgetDB!DL"&amp;('الف-ب-ج'!$M$9+ROW()-ROW($A$7))),"")</f>
        <v>0</v>
      </c>
      <c r="E21" s="1365">
        <f ca="1">IF(ROW()-ROW($A$7)&lt;'الف-ب-ج'!$L$9,INDIRECT("BudgetDB!DM"&amp;('الف-ب-ج'!$M$9+ROW()-ROW($A$7))),"")</f>
        <v>0</v>
      </c>
      <c r="F21" s="1108"/>
      <c r="G21" s="1368" cm="1">
        <f t="array" aca="1" ref="G21" ca="1">IF(ROW()-ROW($A$7)&lt;'الف-ب-ج'!$L$9,IF(روکش!$F$9="سه ماهه",INDIRECT("BudgetDB!DC"&amp;('الف-ب-ج'!$M$9+ROW()-ROW($A$7))),INDIRECT("BudgetDB!DD"&amp;('الف-ب-ج'!$M$9+ROW()-ROW($A$7)))),"")</f>
        <v>0</v>
      </c>
      <c r="H21" s="233"/>
      <c r="I21" s="2164" t="str">
        <f t="shared" si="0"/>
        <v>-</v>
      </c>
      <c r="J21" s="2170" t="str">
        <f t="shared" ca="1" si="1"/>
        <v>-</v>
      </c>
      <c r="K21" s="420">
        <f t="shared" ca="1" si="2"/>
        <v>500</v>
      </c>
      <c r="L21" s="869"/>
      <c r="M21" s="869"/>
      <c r="N21" s="1360" t="str">
        <f t="shared" ca="1" si="3"/>
        <v>-</v>
      </c>
      <c r="O21" s="1360"/>
    </row>
    <row r="22" spans="1:15" ht="21" hidden="1" customHeight="1">
      <c r="A22" s="1358">
        <v>16</v>
      </c>
      <c r="B22" s="1364">
        <f ca="1">IF(ROW()-ROW($A$7)&lt;'الف-ب-ج'!$L$9,INDIRECT("BudgetDB!D"&amp;('الف-ب-ج'!$M$9+ROW()-ROW($A$7))),"")</f>
        <v>0</v>
      </c>
      <c r="C22" s="2134">
        <f ca="1">IF(ROW()-ROW($A$7)&lt;'الف-ب-ج'!$L$9,INDIRECT("BudgetDB!E"&amp;('الف-ب-ج'!$M$9+ROW()-ROW($A$7))),"")</f>
        <v>0</v>
      </c>
      <c r="D22" s="840">
        <f ca="1">IF(ROW()-ROW($A$7)&lt;'الف-ب-ج'!$L$9,INDIRECT("BudgetDB!DL"&amp;('الف-ب-ج'!$M$9+ROW()-ROW($A$7))),"")</f>
        <v>0</v>
      </c>
      <c r="E22" s="1365">
        <f ca="1">IF(ROW()-ROW($A$7)&lt;'الف-ب-ج'!$L$9,INDIRECT("BudgetDB!DM"&amp;('الف-ب-ج'!$M$9+ROW()-ROW($A$7))),"")</f>
        <v>0</v>
      </c>
      <c r="F22" s="1108"/>
      <c r="G22" s="1368" cm="1">
        <f t="array" aca="1" ref="G22" ca="1">IF(ROW()-ROW($A$7)&lt;'الف-ب-ج'!$L$9,IF(روکش!$F$9="سه ماهه",INDIRECT("BudgetDB!DC"&amp;('الف-ب-ج'!$M$9+ROW()-ROW($A$7))),INDIRECT("BudgetDB!DD"&amp;('الف-ب-ج'!$M$9+ROW()-ROW($A$7)))),"")</f>
        <v>0</v>
      </c>
      <c r="H22" s="233"/>
      <c r="I22" s="2164" t="str">
        <f t="shared" si="0"/>
        <v>-</v>
      </c>
      <c r="J22" s="2170" t="str">
        <f t="shared" ca="1" si="1"/>
        <v>-</v>
      </c>
      <c r="K22" s="420">
        <f t="shared" ca="1" si="2"/>
        <v>500</v>
      </c>
      <c r="L22" s="869"/>
      <c r="M22" s="869"/>
      <c r="N22" s="1360" t="str">
        <f t="shared" ca="1" si="3"/>
        <v>-</v>
      </c>
      <c r="O22" s="1360"/>
    </row>
    <row r="23" spans="1:15" ht="21" hidden="1" customHeight="1">
      <c r="A23" s="1358">
        <v>17</v>
      </c>
      <c r="B23" s="1364">
        <f ca="1">IF(ROW()-ROW($A$7)&lt;'الف-ب-ج'!$L$9,INDIRECT("BudgetDB!D"&amp;('الف-ب-ج'!$M$9+ROW()-ROW($A$7))),"")</f>
        <v>0</v>
      </c>
      <c r="C23" s="2134">
        <f ca="1">IF(ROW()-ROW($A$7)&lt;'الف-ب-ج'!$L$9,INDIRECT("BudgetDB!E"&amp;('الف-ب-ج'!$M$9+ROW()-ROW($A$7))),"")</f>
        <v>0</v>
      </c>
      <c r="D23" s="840">
        <f ca="1">IF(ROW()-ROW($A$7)&lt;'الف-ب-ج'!$L$9,INDIRECT("BudgetDB!DL"&amp;('الف-ب-ج'!$M$9+ROW()-ROW($A$7))),"")</f>
        <v>0</v>
      </c>
      <c r="E23" s="1365">
        <f ca="1">IF(ROW()-ROW($A$7)&lt;'الف-ب-ج'!$L$9,INDIRECT("BudgetDB!DM"&amp;('الف-ب-ج'!$M$9+ROW()-ROW($A$7))),"")</f>
        <v>0</v>
      </c>
      <c r="F23" s="1108"/>
      <c r="G23" s="1368" cm="1">
        <f t="array" aca="1" ref="G23" ca="1">IF(ROW()-ROW($A$7)&lt;'الف-ب-ج'!$L$9,IF(روکش!$F$9="سه ماهه",INDIRECT("BudgetDB!DC"&amp;('الف-ب-ج'!$M$9+ROW()-ROW($A$7))),INDIRECT("BudgetDB!DD"&amp;('الف-ب-ج'!$M$9+ROW()-ROW($A$7)))),"")</f>
        <v>0</v>
      </c>
      <c r="H23" s="233"/>
      <c r="I23" s="2164" t="str">
        <f t="shared" si="0"/>
        <v>-</v>
      </c>
      <c r="J23" s="2170" t="str">
        <f t="shared" ca="1" si="1"/>
        <v>-</v>
      </c>
      <c r="K23" s="420">
        <f t="shared" ca="1" si="2"/>
        <v>500</v>
      </c>
      <c r="L23" s="869"/>
      <c r="M23" s="869"/>
      <c r="N23" s="1360" t="str">
        <f t="shared" ca="1" si="3"/>
        <v>-</v>
      </c>
      <c r="O23" s="1360"/>
    </row>
    <row r="24" spans="1:15" ht="21" hidden="1" customHeight="1">
      <c r="A24" s="1358">
        <v>18</v>
      </c>
      <c r="B24" s="2041">
        <f ca="1">IF(ROW()-ROW($A$7)&lt;'الف-ب-ج'!$L$9,INDIRECT("BudgetDB!D"&amp;('الف-ب-ج'!$M$9+ROW()-ROW($A$7))),"")</f>
        <v>0</v>
      </c>
      <c r="C24" s="2135">
        <f ca="1">IF(ROW()-ROW($A$7)&lt;'الف-ب-ج'!$L$9,INDIRECT("BudgetDB!E"&amp;('الف-ب-ج'!$M$9+ROW()-ROW($A$7))),"")</f>
        <v>0</v>
      </c>
      <c r="D24" s="2042">
        <f ca="1">IF(ROW()-ROW($A$7)&lt;'الف-ب-ج'!$L$9,INDIRECT("BudgetDB!DL"&amp;('الف-ب-ج'!$M$9+ROW()-ROW($A$7))),"")</f>
        <v>0</v>
      </c>
      <c r="E24" s="2043">
        <f ca="1">IF(ROW()-ROW($A$7)&lt;'الف-ب-ج'!$L$9,INDIRECT("BudgetDB!DM"&amp;('الف-ب-ج'!$M$9+ROW()-ROW($A$7))),"")</f>
        <v>0</v>
      </c>
      <c r="F24" s="1108"/>
      <c r="G24" s="1368" cm="1">
        <f t="array" aca="1" ref="G24" ca="1">IF(ROW()-ROW($A$7)&lt;'الف-ب-ج'!$L$9,IF(روکش!$F$9="سه ماهه",INDIRECT("BudgetDB!DC"&amp;('الف-ب-ج'!$M$9+ROW()-ROW($A$7))),INDIRECT("BudgetDB!DD"&amp;('الف-ب-ج'!$M$9+ROW()-ROW($A$7)))),"")</f>
        <v>0</v>
      </c>
      <c r="H24" s="233"/>
      <c r="I24" s="2164" t="str">
        <f t="shared" si="0"/>
        <v>-</v>
      </c>
      <c r="J24" s="2170" t="str">
        <f t="shared" ca="1" si="1"/>
        <v>-</v>
      </c>
      <c r="K24" s="420">
        <f t="shared" ca="1" si="2"/>
        <v>500</v>
      </c>
      <c r="L24" s="869"/>
      <c r="M24" s="869"/>
      <c r="N24" s="1360" t="str">
        <f t="shared" ca="1" si="3"/>
        <v>-</v>
      </c>
      <c r="O24" s="1360"/>
    </row>
    <row r="25" spans="1:15" ht="21" hidden="1" customHeight="1">
      <c r="A25" s="1358">
        <v>19</v>
      </c>
      <c r="B25" s="2041">
        <f ca="1">IF(ROW()-ROW($A$7)&lt;'الف-ب-ج'!$L$9,INDIRECT("BudgetDB!D"&amp;('الف-ب-ج'!$M$9+ROW()-ROW($A$7))),"")</f>
        <v>0</v>
      </c>
      <c r="C25" s="2135">
        <f ca="1">IF(ROW()-ROW($A$7)&lt;'الف-ب-ج'!$L$9,INDIRECT("BudgetDB!E"&amp;('الف-ب-ج'!$M$9+ROW()-ROW($A$7))),"")</f>
        <v>0</v>
      </c>
      <c r="D25" s="2042">
        <f ca="1">IF(ROW()-ROW($A$7)&lt;'الف-ب-ج'!$L$9,INDIRECT("BudgetDB!DL"&amp;('الف-ب-ج'!$M$9+ROW()-ROW($A$7))),"")</f>
        <v>0</v>
      </c>
      <c r="E25" s="2043">
        <f ca="1">IF(ROW()-ROW($A$7)&lt;'الف-ب-ج'!$L$9,INDIRECT("BudgetDB!DM"&amp;('الف-ب-ج'!$M$9+ROW()-ROW($A$7))),"")</f>
        <v>0</v>
      </c>
      <c r="F25" s="1108"/>
      <c r="G25" s="1368" cm="1">
        <f t="array" aca="1" ref="G25" ca="1">IF(ROW()-ROW($A$7)&lt;'الف-ب-ج'!$L$9,IF(روکش!$F$9="سه ماهه",INDIRECT("BudgetDB!DC"&amp;('الف-ب-ج'!$M$9+ROW()-ROW($A$7))),INDIRECT("BudgetDB!DD"&amp;('الف-ب-ج'!$M$9+ROW()-ROW($A$7)))),"")</f>
        <v>0</v>
      </c>
      <c r="H25" s="233"/>
      <c r="I25" s="2164" t="str">
        <f t="shared" si="0"/>
        <v>-</v>
      </c>
      <c r="J25" s="2170" t="str">
        <f t="shared" ca="1" si="1"/>
        <v>-</v>
      </c>
      <c r="K25" s="420">
        <f t="shared" ca="1" si="2"/>
        <v>500</v>
      </c>
      <c r="L25" s="869"/>
      <c r="M25" s="869"/>
      <c r="N25" s="1360" t="str">
        <f t="shared" ca="1" si="3"/>
        <v>-</v>
      </c>
      <c r="O25" s="1360"/>
    </row>
    <row r="26" spans="1:15" ht="21" hidden="1" customHeight="1" thickBot="1">
      <c r="A26" s="1492">
        <v>20</v>
      </c>
      <c r="B26" s="2141">
        <f ca="1">IF(ROW()-ROW($A$7)&lt;'الف-ب-ج'!$L$9,INDIRECT("BudgetDB!D"&amp;('الف-ب-ج'!$M$9+ROW()-ROW($A$7))),"")</f>
        <v>0</v>
      </c>
      <c r="C26" s="2142">
        <f ca="1">IF(ROW()-ROW($A$7)&lt;'الف-ب-ج'!$L$9,INDIRECT("BudgetDB!E"&amp;('الف-ب-ج'!$M$9+ROW()-ROW($A$7))),"")</f>
        <v>0</v>
      </c>
      <c r="D26" s="2046">
        <f ca="1">IF(ROW()-ROW($A$7)&lt;'الف-ب-ج'!$L$9,INDIRECT("BudgetDB!DL"&amp;('الف-ب-ج'!$M$9+ROW()-ROW($A$7))),"")</f>
        <v>0</v>
      </c>
      <c r="E26" s="2047">
        <f ca="1">IF(ROW()-ROW($A$7)&lt;'الف-ب-ج'!$L$9,INDIRECT("BudgetDB!DM"&amp;('الف-ب-ج'!$M$9+ROW()-ROW($A$7))),"")</f>
        <v>0</v>
      </c>
      <c r="F26" s="178"/>
      <c r="G26" s="1494" cm="1">
        <f t="array" aca="1" ref="G26" ca="1">IF(ROW()-ROW($A$7)&lt;'الف-ب-ج'!$L$9,IF(روکش!$F$9="سه ماهه",INDIRECT("BudgetDB!DC"&amp;('الف-ب-ج'!$M$9+ROW()-ROW($A$7))),INDIRECT("BudgetDB!DD"&amp;('الف-ب-ج'!$M$9+ROW()-ROW($A$7)))),"")</f>
        <v>0</v>
      </c>
      <c r="H26" s="179"/>
      <c r="I26" s="2227" t="str">
        <f t="shared" si="0"/>
        <v>-</v>
      </c>
      <c r="J26" s="2225" t="str">
        <f t="shared" ca="1" si="1"/>
        <v>-</v>
      </c>
      <c r="K26" s="2226">
        <f t="shared" ca="1" si="2"/>
        <v>500</v>
      </c>
      <c r="L26" s="869"/>
      <c r="M26" s="869"/>
      <c r="N26" s="1360" t="str">
        <f t="shared" ca="1" si="3"/>
        <v>-</v>
      </c>
      <c r="O26" s="1360"/>
    </row>
    <row r="27" spans="1:15" ht="21.95" customHeight="1">
      <c r="A27" s="870"/>
      <c r="B27" s="871"/>
      <c r="C27" s="870"/>
      <c r="D27" s="870"/>
      <c r="E27" s="870"/>
      <c r="F27" s="870"/>
      <c r="G27" s="870"/>
      <c r="H27" s="870"/>
      <c r="I27" s="870"/>
      <c r="J27" s="870"/>
      <c r="K27" s="870"/>
      <c r="L27" s="870"/>
      <c r="M27" s="870"/>
      <c r="N27" s="870"/>
    </row>
    <row r="28" spans="1:15" s="5" customFormat="1">
      <c r="A28" s="8"/>
      <c r="B28" s="8"/>
      <c r="C28" s="9"/>
      <c r="E28" s="720"/>
      <c r="G28" s="720"/>
      <c r="H28" s="718"/>
      <c r="I28" s="720"/>
      <c r="L28" s="37"/>
      <c r="M28" s="37"/>
      <c r="N28" s="212"/>
    </row>
  </sheetData>
  <sheetProtection algorithmName="SHA-512" hashValue="9q5gKkPndIjgkRVmFAXPaUO5btJmaOOeJIhPn0pVepXFDmxpPTEwrpE9q9Mp1cDZDOdrQry77UUqqqQ1ua6Bjw==" saltValue="GEHmLNhr4tifhy6+3juuYA==" spinCount="100000" sheet="1" objects="1" scenarios="1" formatCells="0" formatColumns="0" formatRows="0"/>
  <mergeCells count="12">
    <mergeCell ref="A1:K1"/>
    <mergeCell ref="J5:K6"/>
    <mergeCell ref="H5:H6"/>
    <mergeCell ref="I5:I6"/>
    <mergeCell ref="A3:E3"/>
    <mergeCell ref="A4:A6"/>
    <mergeCell ref="B4:B6"/>
    <mergeCell ref="C4:C6"/>
    <mergeCell ref="D4:D6"/>
    <mergeCell ref="E4:E6"/>
    <mergeCell ref="F4:F6"/>
    <mergeCell ref="G5:G6"/>
  </mergeCells>
  <conditionalFormatting sqref="B7:B26">
    <cfRule type="expression" dxfId="423" priority="7">
      <formula>AND(B7=0,OR($F7&lt;&gt;0,$H7&lt;&gt;0))</formula>
    </cfRule>
  </conditionalFormatting>
  <conditionalFormatting sqref="C7:C26">
    <cfRule type="expression" dxfId="422" priority="6">
      <formula>AND(C7=0,OR($F7&lt;&gt;0,$H7&lt;&gt;0))</formula>
    </cfRule>
  </conditionalFormatting>
  <conditionalFormatting sqref="K7:K26">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8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5" id="{00000000-000E-0000-2A00-000004000000}">
            <x14:iconSet iconSet="3Symbols" custom="1">
              <x14:cfvo type="percent">
                <xm:f>0</xm:f>
              </x14:cfvo>
              <x14:cfvo type="num">
                <xm:f>0</xm:f>
              </x14:cfvo>
              <x14:cfvo type="num">
                <xm:f>0</xm:f>
              </x14:cfvo>
              <x14:cfIcon iconSet="3Symbols" iconId="1"/>
              <x14:cfIcon iconSet="3Symbols" iconId="1"/>
              <x14:cfIcon iconSet="NoIcons" iconId="0"/>
            </x14:iconSet>
          </x14:cfRule>
          <xm:sqref>I7:I26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6">
    <tabColor rgb="FFC00000"/>
    <pageSetUpPr fitToPage="1"/>
  </sheetPr>
  <dimension ref="A1:U35"/>
  <sheetViews>
    <sheetView rightToLeft="1" view="pageBreakPreview" zoomScale="60" zoomScaleNormal="100" workbookViewId="0">
      <selection activeCell="B7" sqref="B7"/>
    </sheetView>
  </sheetViews>
  <sheetFormatPr defaultColWidth="9" defaultRowHeight="15"/>
  <cols>
    <col min="1" max="1" width="4.28515625" style="5" customWidth="1"/>
    <col min="2" max="2" width="20.5703125" style="5" customWidth="1"/>
    <col min="3" max="3" width="8.85546875" style="5" customWidth="1"/>
    <col min="4" max="15" width="11.5703125" style="5" customWidth="1"/>
    <col min="16" max="16" width="9.5703125" style="5" customWidth="1"/>
    <col min="17" max="17" width="3.7109375" style="5" customWidth="1"/>
    <col min="18" max="18" width="11.5703125" style="5" customWidth="1"/>
    <col min="19" max="19" width="3.7109375" style="5" customWidth="1"/>
    <col min="20" max="20" width="9.5703125" style="5" customWidth="1"/>
    <col min="21" max="21" width="9" style="79"/>
    <col min="22" max="16384" width="9" style="5"/>
  </cols>
  <sheetData>
    <row r="1" spans="1:20"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row>
    <row r="2" spans="1:20" ht="28.5" customHeight="1">
      <c r="A2" s="1206" t="str">
        <f>"گزارش گردش اقلام و نیازهای اولیه خدمات در دوره " &amp; روکش!F9 &amp; " سال " &amp; روکش!D9</f>
        <v>گزارش گردش اقلام و نیازهای اولیه خدمات در دوره شش ماهه سال 1405</v>
      </c>
      <c r="B2" s="1206"/>
      <c r="C2" s="1206"/>
      <c r="D2" s="1206"/>
      <c r="E2" s="1206"/>
      <c r="F2" s="1206"/>
      <c r="G2" s="1206"/>
      <c r="H2" s="1206"/>
      <c r="I2" s="1206"/>
      <c r="J2" s="1206"/>
      <c r="K2" s="1206"/>
      <c r="L2" s="1206"/>
      <c r="M2" s="1206"/>
      <c r="N2" s="1206"/>
      <c r="O2" s="1203"/>
      <c r="P2" s="1203"/>
      <c r="Q2" s="1203"/>
      <c r="R2" s="1203"/>
      <c r="S2" s="1203"/>
      <c r="T2" s="1203"/>
    </row>
    <row r="3" spans="1:20" ht="20.100000000000001" customHeight="1" thickBot="1">
      <c r="A3" s="67"/>
      <c r="B3" s="67"/>
      <c r="C3" s="461"/>
      <c r="D3" s="461"/>
      <c r="E3" s="461"/>
      <c r="F3" s="461"/>
      <c r="G3" s="456"/>
      <c r="H3" s="455"/>
      <c r="I3"/>
      <c r="J3"/>
      <c r="K3"/>
      <c r="L3"/>
      <c r="M3" s="2760"/>
      <c r="N3" s="2760"/>
      <c r="O3" s="1388"/>
      <c r="P3" s="1207" t="s">
        <v>3</v>
      </c>
      <c r="Q3" s="1207"/>
      <c r="R3" s="1343"/>
      <c r="S3" s="1343"/>
      <c r="T3" s="1208" t="s">
        <v>30</v>
      </c>
    </row>
    <row r="4" spans="1:20" ht="24" customHeight="1">
      <c r="A4" s="2885" t="s">
        <v>5</v>
      </c>
      <c r="B4" s="2888" t="s">
        <v>21</v>
      </c>
      <c r="C4" s="2891" t="s">
        <v>1571</v>
      </c>
      <c r="D4" s="1389" t="s">
        <v>172</v>
      </c>
      <c r="E4" s="1390"/>
      <c r="F4" s="1391"/>
      <c r="G4" s="1391"/>
      <c r="H4" s="1392"/>
      <c r="I4" s="1393"/>
      <c r="J4" s="1394" t="s">
        <v>688</v>
      </c>
      <c r="K4" s="1395"/>
      <c r="L4" s="1395"/>
      <c r="M4" s="1395"/>
      <c r="N4" s="1395"/>
      <c r="O4" s="1395"/>
      <c r="P4" s="1395"/>
      <c r="Q4" s="1395"/>
      <c r="R4" s="1395"/>
      <c r="S4" s="1395"/>
      <c r="T4" s="1396"/>
    </row>
    <row r="5" spans="1:20" ht="21" customHeight="1">
      <c r="A5" s="2886"/>
      <c r="B5" s="2889"/>
      <c r="C5" s="2892"/>
      <c r="D5" s="1397" t="s">
        <v>229</v>
      </c>
      <c r="E5" s="1398"/>
      <c r="F5" s="1399"/>
      <c r="G5" s="1400" t="s">
        <v>228</v>
      </c>
      <c r="H5" s="1398"/>
      <c r="I5" s="1401"/>
      <c r="J5" s="1397" t="s">
        <v>53</v>
      </c>
      <c r="K5" s="1398"/>
      <c r="L5" s="1399"/>
      <c r="M5" s="1397" t="s">
        <v>216</v>
      </c>
      <c r="N5" s="1398"/>
      <c r="O5" s="1399"/>
      <c r="P5" s="1400" t="s">
        <v>687</v>
      </c>
      <c r="Q5" s="1398"/>
      <c r="R5" s="1398"/>
      <c r="S5" s="1398"/>
      <c r="T5" s="2128"/>
    </row>
    <row r="6" spans="1:20" ht="21.75" thickBot="1">
      <c r="A6" s="2886"/>
      <c r="B6" s="2890"/>
      <c r="C6" s="2892"/>
      <c r="D6" s="465" t="s">
        <v>8</v>
      </c>
      <c r="E6" s="466" t="s">
        <v>9</v>
      </c>
      <c r="F6" s="468" t="s">
        <v>10</v>
      </c>
      <c r="G6" s="467" t="s">
        <v>8</v>
      </c>
      <c r="H6" s="466" t="s">
        <v>9</v>
      </c>
      <c r="I6" s="475" t="s">
        <v>10</v>
      </c>
      <c r="J6" s="465" t="s">
        <v>8</v>
      </c>
      <c r="K6" s="466" t="s">
        <v>9</v>
      </c>
      <c r="L6" s="468" t="s">
        <v>10</v>
      </c>
      <c r="M6" s="465" t="s">
        <v>8</v>
      </c>
      <c r="N6" s="466" t="s">
        <v>9</v>
      </c>
      <c r="O6" s="468" t="s">
        <v>10</v>
      </c>
      <c r="P6" s="2900" t="s">
        <v>8</v>
      </c>
      <c r="Q6" s="2901"/>
      <c r="R6" s="2902" t="s">
        <v>9</v>
      </c>
      <c r="S6" s="2901"/>
      <c r="T6" s="468" t="s">
        <v>10</v>
      </c>
    </row>
    <row r="7" spans="1:20" ht="23.1" customHeight="1">
      <c r="A7" s="1303">
        <v>1</v>
      </c>
      <c r="B7" s="850">
        <f ca="1">IF(ROW()-ROW($A$7)&lt;'الف-ب-ج'!$L$9,INDIRECT("BudgetDB!DE"&amp;('الف-ب-ج'!$M$9+ROW()-ROW($A$7))),"")</f>
        <v>0</v>
      </c>
      <c r="C7" s="851">
        <f ca="1">IF(ROW()-ROW($A$7)&lt;'الف-ب-ج'!$L$9,INDIRECT("BudgetDB!DF"&amp;('الف-ب-ج'!$M$9+ROW()-ROW($A$7))),"")</f>
        <v>0</v>
      </c>
      <c r="D7" s="215"/>
      <c r="E7" s="216"/>
      <c r="F7" s="1369">
        <f>IFERROR(E7*D7/1000000,0)</f>
        <v>0</v>
      </c>
      <c r="G7" s="215"/>
      <c r="H7" s="216"/>
      <c r="I7" s="478">
        <f>IFERROR(H7*G7/1000000,0)</f>
        <v>0</v>
      </c>
      <c r="J7" s="1366" cm="1">
        <f t="array" aca="1" ref="J7" ca="1">IF(ROW()-ROW($A$7)&lt;'الف-ب-ج'!$L$9,IF(روکش!$F$9="سه ماهه",INDIRECT("BudgetDB!DG"&amp;('الف-ب-ج'!$M$9+ROW()-ROW($A$7))),INDIRECT("BudgetDB!DH"&amp;('الف-ب-ج'!$M$9+ROW()-ROW($A$7)))),"")</f>
        <v>0</v>
      </c>
      <c r="K7" s="838" cm="1">
        <f t="array" aca="1" ref="K7" ca="1">IF(ROW()-ROW($A$7)&lt;'الف-ب-ج'!$L$9,IF(روکش!$F$9="سه ماهه",INDIRECT("BudgetDB!DI"&amp;('الف-ب-ج'!$M$9+ROW()-ROW($A$7))),INDIRECT("BudgetDB!DJ"&amp;('الف-ب-ج'!$M$9+ROW()-ROW($A$7)))),"")</f>
        <v>0</v>
      </c>
      <c r="L7" s="1369">
        <f ca="1">IFERROR(K7*J7/1000000,0)</f>
        <v>0</v>
      </c>
      <c r="M7" s="215"/>
      <c r="N7" s="216"/>
      <c r="O7" s="1369">
        <f>IFERROR(N7*M7/1000000,0)</f>
        <v>0</v>
      </c>
      <c r="P7" s="2119" t="str">
        <f ca="1">IFERROR(M7*100/J7,"-")</f>
        <v>-</v>
      </c>
      <c r="Q7" s="2163">
        <f ca="1">IFERROR(ABS(P7-100),500)</f>
        <v>500</v>
      </c>
      <c r="R7" s="2169" t="str">
        <f t="shared" ref="R7:R15" ca="1" si="0">IFERROR(N7*100/K7,"-")</f>
        <v>-</v>
      </c>
      <c r="S7" s="2163">
        <f ca="1">IFERROR(ABS(R7-100),500)</f>
        <v>500</v>
      </c>
      <c r="T7" s="415" t="str">
        <f t="shared" ref="T7:T16" ca="1" si="1">IFERROR(O7*100/L7,"-")</f>
        <v>-</v>
      </c>
    </row>
    <row r="8" spans="1:20" ht="23.1" customHeight="1">
      <c r="A8" s="1304">
        <v>2</v>
      </c>
      <c r="B8" s="852">
        <f ca="1">IF(ROW()-ROW($A$7)&lt;'الف-ب-ج'!$L$9,INDIRECT("BudgetDB!DE"&amp;('الف-ب-ج'!$M$9+ROW()-ROW($A$7))),"")</f>
        <v>0</v>
      </c>
      <c r="C8" s="853">
        <f ca="1">IF(ROW()-ROW($A$7)&lt;'الف-ب-ج'!$L$9,INDIRECT("BudgetDB!DF"&amp;('الف-ب-ج'!$M$9+ROW()-ROW($A$7))),"")</f>
        <v>0</v>
      </c>
      <c r="D8" s="217"/>
      <c r="E8" s="218"/>
      <c r="F8" s="457">
        <f t="shared" ref="F8:F15" si="2">IFERROR(E8*D8/1000000,0)</f>
        <v>0</v>
      </c>
      <c r="G8" s="217"/>
      <c r="H8" s="218"/>
      <c r="I8" s="480">
        <f t="shared" ref="I8:I15" si="3">IFERROR(H8*G8/1000000,0)</f>
        <v>0</v>
      </c>
      <c r="J8" s="1367" cm="1">
        <f t="array" aca="1" ref="J8" ca="1">IF(ROW()-ROW($A$7)&lt;'الف-ب-ج'!$L$9,IF(روکش!$F$9="سه ماهه",INDIRECT("BudgetDB!DG"&amp;('الف-ب-ج'!$M$9+ROW()-ROW($A$7))),INDIRECT("BudgetDB!DH"&amp;('الف-ب-ج'!$M$9+ROW()-ROW($A$7)))),"")</f>
        <v>0</v>
      </c>
      <c r="K8" s="839" cm="1">
        <f t="array" aca="1" ref="K8" ca="1">IF(ROW()-ROW($A$7)&lt;'الف-ب-ج'!$L$9,IF(روکش!$F$9="سه ماهه",INDIRECT("BudgetDB!DI"&amp;('الف-ب-ج'!$M$9+ROW()-ROW($A$7))),INDIRECT("BudgetDB!DJ"&amp;('الف-ب-ج'!$M$9+ROW()-ROW($A$7)))),"")</f>
        <v>0</v>
      </c>
      <c r="L8" s="457">
        <f t="shared" ref="L8:L15" ca="1" si="4">IFERROR(K8*J8/1000000,0)</f>
        <v>0</v>
      </c>
      <c r="M8" s="217"/>
      <c r="N8" s="218"/>
      <c r="O8" s="457">
        <f t="shared" ref="O8:O15" si="5">IFERROR(N8*M8/1000000,0)</f>
        <v>0</v>
      </c>
      <c r="P8" s="2120" t="str">
        <f t="shared" ref="P8:P15" ca="1" si="6">IFERROR(M8*100/J8,"-")</f>
        <v>-</v>
      </c>
      <c r="Q8" s="2164">
        <f t="shared" ref="Q8:S15" ca="1" si="7">IFERROR(ABS(P8-100),500)</f>
        <v>500</v>
      </c>
      <c r="R8" s="2170" t="str">
        <f t="shared" ca="1" si="0"/>
        <v>-</v>
      </c>
      <c r="S8" s="2164">
        <f t="shared" ca="1" si="7"/>
        <v>500</v>
      </c>
      <c r="T8" s="418" t="str">
        <f t="shared" ca="1" si="1"/>
        <v>-</v>
      </c>
    </row>
    <row r="9" spans="1:20" ht="23.1" customHeight="1">
      <c r="A9" s="1304">
        <v>3</v>
      </c>
      <c r="B9" s="852">
        <f ca="1">IF(ROW()-ROW($A$7)&lt;'الف-ب-ج'!$L$9,INDIRECT("BudgetDB!DE"&amp;('الف-ب-ج'!$M$9+ROW()-ROW($A$7))),"")</f>
        <v>0</v>
      </c>
      <c r="C9" s="853">
        <f ca="1">IF(ROW()-ROW($A$7)&lt;'الف-ب-ج'!$L$9,INDIRECT("BudgetDB!DF"&amp;('الف-ب-ج'!$M$9+ROW()-ROW($A$7))),"")</f>
        <v>0</v>
      </c>
      <c r="D9" s="217"/>
      <c r="E9" s="218"/>
      <c r="F9" s="457">
        <f t="shared" si="2"/>
        <v>0</v>
      </c>
      <c r="G9" s="217"/>
      <c r="H9" s="218"/>
      <c r="I9" s="480">
        <f t="shared" si="3"/>
        <v>0</v>
      </c>
      <c r="J9" s="1367" cm="1">
        <f t="array" aca="1" ref="J9" ca="1">IF(ROW()-ROW($A$7)&lt;'الف-ب-ج'!$L$9,IF(روکش!$F$9="سه ماهه",INDIRECT("BudgetDB!DG"&amp;('الف-ب-ج'!$M$9+ROW()-ROW($A$7))),INDIRECT("BudgetDB!DH"&amp;('الف-ب-ج'!$M$9+ROW()-ROW($A$7)))),"")</f>
        <v>0</v>
      </c>
      <c r="K9" s="839" cm="1">
        <f t="array" aca="1" ref="K9" ca="1">IF(ROW()-ROW($A$7)&lt;'الف-ب-ج'!$L$9,IF(روکش!$F$9="سه ماهه",INDIRECT("BudgetDB!DI"&amp;('الف-ب-ج'!$M$9+ROW()-ROW($A$7))),INDIRECT("BudgetDB!DJ"&amp;('الف-ب-ج'!$M$9+ROW()-ROW($A$7)))),"")</f>
        <v>0</v>
      </c>
      <c r="L9" s="457">
        <f t="shared" ca="1" si="4"/>
        <v>0</v>
      </c>
      <c r="M9" s="217"/>
      <c r="N9" s="218"/>
      <c r="O9" s="457">
        <f t="shared" si="5"/>
        <v>0</v>
      </c>
      <c r="P9" s="2120" t="str">
        <f t="shared" ca="1" si="6"/>
        <v>-</v>
      </c>
      <c r="Q9" s="2164">
        <f t="shared" ca="1" si="7"/>
        <v>500</v>
      </c>
      <c r="R9" s="2170" t="str">
        <f t="shared" ca="1" si="0"/>
        <v>-</v>
      </c>
      <c r="S9" s="2164">
        <f t="shared" ca="1" si="7"/>
        <v>500</v>
      </c>
      <c r="T9" s="418" t="str">
        <f t="shared" ca="1" si="1"/>
        <v>-</v>
      </c>
    </row>
    <row r="10" spans="1:20" ht="23.1" customHeight="1">
      <c r="A10" s="1304">
        <v>4</v>
      </c>
      <c r="B10" s="852">
        <f ca="1">IF(ROW()-ROW($A$7)&lt;'الف-ب-ج'!$L$9,INDIRECT("BudgetDB!DE"&amp;('الف-ب-ج'!$M$9+ROW()-ROW($A$7))),"")</f>
        <v>0</v>
      </c>
      <c r="C10" s="853">
        <f ca="1">IF(ROW()-ROW($A$7)&lt;'الف-ب-ج'!$L$9,INDIRECT("BudgetDB!DF"&amp;('الف-ب-ج'!$M$9+ROW()-ROW($A$7))),"")</f>
        <v>0</v>
      </c>
      <c r="D10" s="175"/>
      <c r="E10" s="176"/>
      <c r="F10" s="457">
        <f t="shared" si="2"/>
        <v>0</v>
      </c>
      <c r="G10" s="463"/>
      <c r="H10" s="176"/>
      <c r="I10" s="457">
        <f t="shared" si="3"/>
        <v>0</v>
      </c>
      <c r="J10" s="1367" cm="1">
        <f t="array" aca="1" ref="J10" ca="1">IF(ROW()-ROW($A$7)&lt;'الف-ب-ج'!$L$9,IF(روکش!$F$9="سه ماهه",INDIRECT("BudgetDB!DG"&amp;('الف-ب-ج'!$M$9+ROW()-ROW($A$7))),INDIRECT("BudgetDB!DH"&amp;('الف-ب-ج'!$M$9+ROW()-ROW($A$7)))),"")</f>
        <v>0</v>
      </c>
      <c r="K10" s="839" cm="1">
        <f t="array" aca="1" ref="K10" ca="1">IF(ROW()-ROW($A$7)&lt;'الف-ب-ج'!$L$9,IF(روکش!$F$9="سه ماهه",INDIRECT("BudgetDB!DI"&amp;('الف-ب-ج'!$M$9+ROW()-ROW($A$7))),INDIRECT("BudgetDB!DJ"&amp;('الف-ب-ج'!$M$9+ROW()-ROW($A$7)))),"")</f>
        <v>0</v>
      </c>
      <c r="L10" s="457">
        <f t="shared" ca="1" si="4"/>
        <v>0</v>
      </c>
      <c r="M10" s="175"/>
      <c r="N10" s="176"/>
      <c r="O10" s="457">
        <f t="shared" si="5"/>
        <v>0</v>
      </c>
      <c r="P10" s="2231" t="str">
        <f t="shared" ca="1" si="6"/>
        <v>-</v>
      </c>
      <c r="Q10" s="2232">
        <f t="shared" ca="1" si="7"/>
        <v>500</v>
      </c>
      <c r="R10" s="562" t="str">
        <f t="shared" ca="1" si="0"/>
        <v>-</v>
      </c>
      <c r="S10" s="2232">
        <f t="shared" ca="1" si="7"/>
        <v>500</v>
      </c>
      <c r="T10" s="1493" t="str">
        <f t="shared" ca="1" si="1"/>
        <v>-</v>
      </c>
    </row>
    <row r="11" spans="1:20" ht="23.1" customHeight="1">
      <c r="A11" s="1304">
        <v>5</v>
      </c>
      <c r="B11" s="852">
        <f ca="1">IF(ROW()-ROW($A$7)&lt;'الف-ب-ج'!$L$9,INDIRECT("BudgetDB!DE"&amp;('الف-ب-ج'!$M$9+ROW()-ROW($A$7))),"")</f>
        <v>0</v>
      </c>
      <c r="C11" s="853">
        <f ca="1">IF(ROW()-ROW($A$7)&lt;'الف-ب-ج'!$L$9,INDIRECT("BudgetDB!DF"&amp;('الف-ب-ج'!$M$9+ROW()-ROW($A$7))),"")</f>
        <v>0</v>
      </c>
      <c r="D11" s="175"/>
      <c r="E11" s="176"/>
      <c r="F11" s="457">
        <f t="shared" si="2"/>
        <v>0</v>
      </c>
      <c r="G11" s="463"/>
      <c r="H11" s="176"/>
      <c r="I11" s="457">
        <f t="shared" si="3"/>
        <v>0</v>
      </c>
      <c r="J11" s="1367" cm="1">
        <f t="array" aca="1" ref="J11" ca="1">IF(ROW()-ROW($A$7)&lt;'الف-ب-ج'!$L$9,IF(روکش!$F$9="سه ماهه",INDIRECT("BudgetDB!DG"&amp;('الف-ب-ج'!$M$9+ROW()-ROW($A$7))),INDIRECT("BudgetDB!DH"&amp;('الف-ب-ج'!$M$9+ROW()-ROW($A$7)))),"")</f>
        <v>0</v>
      </c>
      <c r="K11" s="839" cm="1">
        <f t="array" aca="1" ref="K11" ca="1">IF(ROW()-ROW($A$7)&lt;'الف-ب-ج'!$L$9,IF(روکش!$F$9="سه ماهه",INDIRECT("BudgetDB!DI"&amp;('الف-ب-ج'!$M$9+ROW()-ROW($A$7))),INDIRECT("BudgetDB!DJ"&amp;('الف-ب-ج'!$M$9+ROW()-ROW($A$7)))),"")</f>
        <v>0</v>
      </c>
      <c r="L11" s="457">
        <f t="shared" ca="1" si="4"/>
        <v>0</v>
      </c>
      <c r="M11" s="175"/>
      <c r="N11" s="176"/>
      <c r="O11" s="457">
        <f t="shared" si="5"/>
        <v>0</v>
      </c>
      <c r="P11" s="2231" t="str">
        <f t="shared" ca="1" si="6"/>
        <v>-</v>
      </c>
      <c r="Q11" s="2232">
        <f t="shared" ca="1" si="7"/>
        <v>500</v>
      </c>
      <c r="R11" s="562" t="str">
        <f t="shared" ca="1" si="0"/>
        <v>-</v>
      </c>
      <c r="S11" s="2232">
        <f t="shared" ca="1" si="7"/>
        <v>500</v>
      </c>
      <c r="T11" s="1493" t="str">
        <f t="shared" ca="1" si="1"/>
        <v>-</v>
      </c>
    </row>
    <row r="12" spans="1:20" ht="23.1" customHeight="1">
      <c r="A12" s="1304">
        <v>6</v>
      </c>
      <c r="B12" s="852">
        <f ca="1">IF(ROW()-ROW($A$7)&lt;'الف-ب-ج'!$L$9,INDIRECT("BudgetDB!DE"&amp;('الف-ب-ج'!$M$9+ROW()-ROW($A$7))),"")</f>
        <v>0</v>
      </c>
      <c r="C12" s="853">
        <f ca="1">IF(ROW()-ROW($A$7)&lt;'الف-ب-ج'!$L$9,INDIRECT("BudgetDB!DF"&amp;('الف-ب-ج'!$M$9+ROW()-ROW($A$7))),"")</f>
        <v>0</v>
      </c>
      <c r="D12" s="175"/>
      <c r="E12" s="176"/>
      <c r="F12" s="457">
        <f t="shared" si="2"/>
        <v>0</v>
      </c>
      <c r="G12" s="463"/>
      <c r="H12" s="176"/>
      <c r="I12" s="457">
        <f t="shared" si="3"/>
        <v>0</v>
      </c>
      <c r="J12" s="1367" cm="1">
        <f t="array" aca="1" ref="J12" ca="1">IF(ROW()-ROW($A$7)&lt;'الف-ب-ج'!$L$9,IF(روکش!$F$9="سه ماهه",INDIRECT("BudgetDB!DG"&amp;('الف-ب-ج'!$M$9+ROW()-ROW($A$7))),INDIRECT("BudgetDB!DH"&amp;('الف-ب-ج'!$M$9+ROW()-ROW($A$7)))),"")</f>
        <v>0</v>
      </c>
      <c r="K12" s="839" cm="1">
        <f t="array" aca="1" ref="K12" ca="1">IF(ROW()-ROW($A$7)&lt;'الف-ب-ج'!$L$9,IF(روکش!$F$9="سه ماهه",INDIRECT("BudgetDB!DI"&amp;('الف-ب-ج'!$M$9+ROW()-ROW($A$7))),INDIRECT("BudgetDB!DJ"&amp;('الف-ب-ج'!$M$9+ROW()-ROW($A$7)))),"")</f>
        <v>0</v>
      </c>
      <c r="L12" s="457">
        <f t="shared" ca="1" si="4"/>
        <v>0</v>
      </c>
      <c r="M12" s="175"/>
      <c r="N12" s="176"/>
      <c r="O12" s="457">
        <f t="shared" si="5"/>
        <v>0</v>
      </c>
      <c r="P12" s="2231" t="str">
        <f t="shared" ca="1" si="6"/>
        <v>-</v>
      </c>
      <c r="Q12" s="2232">
        <f t="shared" ca="1" si="7"/>
        <v>500</v>
      </c>
      <c r="R12" s="562" t="str">
        <f t="shared" ca="1" si="0"/>
        <v>-</v>
      </c>
      <c r="S12" s="2232">
        <f t="shared" ca="1" si="7"/>
        <v>500</v>
      </c>
      <c r="T12" s="1493" t="str">
        <f t="shared" ca="1" si="1"/>
        <v>-</v>
      </c>
    </row>
    <row r="13" spans="1:20" ht="23.1" customHeight="1">
      <c r="A13" s="1304">
        <v>7</v>
      </c>
      <c r="B13" s="852">
        <f ca="1">IF(ROW()-ROW($A$7)&lt;'الف-ب-ج'!$L$9,INDIRECT("BudgetDB!DE"&amp;('الف-ب-ج'!$M$9+ROW()-ROW($A$7))),"")</f>
        <v>0</v>
      </c>
      <c r="C13" s="853">
        <f ca="1">IF(ROW()-ROW($A$7)&lt;'الف-ب-ج'!$L$9,INDIRECT("BudgetDB!DF"&amp;('الف-ب-ج'!$M$9+ROW()-ROW($A$7))),"")</f>
        <v>0</v>
      </c>
      <c r="D13" s="175"/>
      <c r="E13" s="176"/>
      <c r="F13" s="457">
        <f t="shared" si="2"/>
        <v>0</v>
      </c>
      <c r="G13" s="463"/>
      <c r="H13" s="176"/>
      <c r="I13" s="457">
        <f t="shared" si="3"/>
        <v>0</v>
      </c>
      <c r="J13" s="1367" cm="1">
        <f t="array" aca="1" ref="J13" ca="1">IF(ROW()-ROW($A$7)&lt;'الف-ب-ج'!$L$9,IF(روکش!$F$9="سه ماهه",INDIRECT("BudgetDB!DG"&amp;('الف-ب-ج'!$M$9+ROW()-ROW($A$7))),INDIRECT("BudgetDB!DH"&amp;('الف-ب-ج'!$M$9+ROW()-ROW($A$7)))),"")</f>
        <v>0</v>
      </c>
      <c r="K13" s="839" cm="1">
        <f t="array" aca="1" ref="K13" ca="1">IF(ROW()-ROW($A$7)&lt;'الف-ب-ج'!$L$9,IF(روکش!$F$9="سه ماهه",INDIRECT("BudgetDB!DI"&amp;('الف-ب-ج'!$M$9+ROW()-ROW($A$7))),INDIRECT("BudgetDB!DJ"&amp;('الف-ب-ج'!$M$9+ROW()-ROW($A$7)))),"")</f>
        <v>0</v>
      </c>
      <c r="L13" s="457">
        <f t="shared" ca="1" si="4"/>
        <v>0</v>
      </c>
      <c r="M13" s="175"/>
      <c r="N13" s="176"/>
      <c r="O13" s="457">
        <f t="shared" si="5"/>
        <v>0</v>
      </c>
      <c r="P13" s="2231" t="str">
        <f t="shared" ca="1" si="6"/>
        <v>-</v>
      </c>
      <c r="Q13" s="2232">
        <f t="shared" ca="1" si="7"/>
        <v>500</v>
      </c>
      <c r="R13" s="562" t="str">
        <f t="shared" ca="1" si="0"/>
        <v>-</v>
      </c>
      <c r="S13" s="2232">
        <f t="shared" ca="1" si="7"/>
        <v>500</v>
      </c>
      <c r="T13" s="1493" t="str">
        <f t="shared" ca="1" si="1"/>
        <v>-</v>
      </c>
    </row>
    <row r="14" spans="1:20" ht="23.1" customHeight="1">
      <c r="A14" s="1304">
        <v>8</v>
      </c>
      <c r="B14" s="483">
        <f ca="1">IF(ROW()-ROW($A$7)&lt;'الف-ب-ج'!$L$9,INDIRECT("BudgetDB!DE"&amp;('الف-ب-ج'!$M$9+ROW()-ROW($A$7))),"")</f>
        <v>0</v>
      </c>
      <c r="C14" s="484">
        <f ca="1">IF(ROW()-ROW($A$7)&lt;'الف-ب-ج'!$L$9,INDIRECT("BudgetDB!DF"&amp;('الف-ب-ج'!$M$9+ROW()-ROW($A$7))),"")</f>
        <v>0</v>
      </c>
      <c r="D14" s="175"/>
      <c r="E14" s="176"/>
      <c r="F14" s="457">
        <f t="shared" si="2"/>
        <v>0</v>
      </c>
      <c r="G14" s="463"/>
      <c r="H14" s="176"/>
      <c r="I14" s="457">
        <f t="shared" si="3"/>
        <v>0</v>
      </c>
      <c r="J14" s="1367" cm="1">
        <f t="array" aca="1" ref="J14" ca="1">IF(ROW()-ROW($A$7)&lt;'الف-ب-ج'!$L$9,IF(روکش!$F$9="سه ماهه",INDIRECT("BudgetDB!DG"&amp;('الف-ب-ج'!$M$9+ROW()-ROW($A$7))),INDIRECT("BudgetDB!DH"&amp;('الف-ب-ج'!$M$9+ROW()-ROW($A$7)))),"")</f>
        <v>0</v>
      </c>
      <c r="K14" s="839" cm="1">
        <f t="array" aca="1" ref="K14" ca="1">IF(ROW()-ROW($A$7)&lt;'الف-ب-ج'!$L$9,IF(روکش!$F$9="سه ماهه",INDIRECT("BudgetDB!DI"&amp;('الف-ب-ج'!$M$9+ROW()-ROW($A$7))),INDIRECT("BudgetDB!DJ"&amp;('الف-ب-ج'!$M$9+ROW()-ROW($A$7)))),"")</f>
        <v>0</v>
      </c>
      <c r="L14" s="457">
        <f t="shared" ca="1" si="4"/>
        <v>0</v>
      </c>
      <c r="M14" s="175"/>
      <c r="N14" s="176"/>
      <c r="O14" s="457">
        <f t="shared" si="5"/>
        <v>0</v>
      </c>
      <c r="P14" s="2231" t="str">
        <f t="shared" ca="1" si="6"/>
        <v>-</v>
      </c>
      <c r="Q14" s="2232">
        <f t="shared" ca="1" si="7"/>
        <v>500</v>
      </c>
      <c r="R14" s="562" t="str">
        <f t="shared" ca="1" si="0"/>
        <v>-</v>
      </c>
      <c r="S14" s="2232">
        <f t="shared" ca="1" si="7"/>
        <v>500</v>
      </c>
      <c r="T14" s="1493" t="str">
        <f t="shared" ca="1" si="1"/>
        <v>-</v>
      </c>
    </row>
    <row r="15" spans="1:20" ht="23.1" customHeight="1">
      <c r="A15" s="1304">
        <v>9</v>
      </c>
      <c r="B15" s="483">
        <f ca="1">IF(ROW()-ROW($A$7)&lt;'الف-ب-ج'!$L$9,INDIRECT("BudgetDB!DE"&amp;('الف-ب-ج'!$M$9+ROW()-ROW($A$7))),"")</f>
        <v>0</v>
      </c>
      <c r="C15" s="484">
        <f ca="1">IF(ROW()-ROW($A$7)&lt;'الف-ب-ج'!$L$9,INDIRECT("BudgetDB!DF"&amp;('الف-ب-ج'!$M$9+ROW()-ROW($A$7))),"")</f>
        <v>0</v>
      </c>
      <c r="D15" s="175"/>
      <c r="E15" s="176"/>
      <c r="F15" s="457">
        <f t="shared" si="2"/>
        <v>0</v>
      </c>
      <c r="G15" s="463"/>
      <c r="H15" s="176"/>
      <c r="I15" s="457">
        <f t="shared" si="3"/>
        <v>0</v>
      </c>
      <c r="J15" s="1367" cm="1">
        <f t="array" aca="1" ref="J15" ca="1">IF(ROW()-ROW($A$7)&lt;'الف-ب-ج'!$L$9,IF(روکش!$F$9="سه ماهه",INDIRECT("BudgetDB!DG"&amp;('الف-ب-ج'!$M$9+ROW()-ROW($A$7))),INDIRECT("BudgetDB!DH"&amp;('الف-ب-ج'!$M$9+ROW()-ROW($A$7)))),"")</f>
        <v>0</v>
      </c>
      <c r="K15" s="839" cm="1">
        <f t="array" aca="1" ref="K15" ca="1">IF(ROW()-ROW($A$7)&lt;'الف-ب-ج'!$L$9,IF(روکش!$F$9="سه ماهه",INDIRECT("BudgetDB!DI"&amp;('الف-ب-ج'!$M$9+ROW()-ROW($A$7))),INDIRECT("BudgetDB!DJ"&amp;('الف-ب-ج'!$M$9+ROW()-ROW($A$7)))),"")</f>
        <v>0</v>
      </c>
      <c r="L15" s="457">
        <f t="shared" ca="1" si="4"/>
        <v>0</v>
      </c>
      <c r="M15" s="175"/>
      <c r="N15" s="176"/>
      <c r="O15" s="457">
        <f t="shared" si="5"/>
        <v>0</v>
      </c>
      <c r="P15" s="2231" t="str">
        <f t="shared" ca="1" si="6"/>
        <v>-</v>
      </c>
      <c r="Q15" s="2232">
        <f t="shared" ca="1" si="7"/>
        <v>500</v>
      </c>
      <c r="R15" s="562" t="str">
        <f t="shared" ca="1" si="0"/>
        <v>-</v>
      </c>
      <c r="S15" s="2232">
        <f t="shared" ca="1" si="7"/>
        <v>500</v>
      </c>
      <c r="T15" s="1493" t="str">
        <f t="shared" ca="1" si="1"/>
        <v>-</v>
      </c>
    </row>
    <row r="16" spans="1:20" ht="21.75" thickBot="1">
      <c r="A16" s="2969" t="s">
        <v>31</v>
      </c>
      <c r="B16" s="2970"/>
      <c r="C16" s="1408"/>
      <c r="D16" s="1409"/>
      <c r="E16" s="471"/>
      <c r="F16" s="473">
        <f>SUM(F7:F15)</f>
        <v>0</v>
      </c>
      <c r="G16" s="470"/>
      <c r="H16" s="471"/>
      <c r="I16" s="476">
        <f>SUM(I7:I15)</f>
        <v>0</v>
      </c>
      <c r="J16" s="1409"/>
      <c r="K16" s="471"/>
      <c r="L16" s="473">
        <f ca="1">SUM(L7:L15)</f>
        <v>0</v>
      </c>
      <c r="M16" s="1409"/>
      <c r="N16" s="471"/>
      <c r="O16" s="473">
        <f>SUM(O7:O15)</f>
        <v>0</v>
      </c>
      <c r="P16" s="2229"/>
      <c r="Q16" s="470"/>
      <c r="R16" s="2228"/>
      <c r="S16" s="2230"/>
      <c r="T16" s="473" t="str">
        <f t="shared" ca="1" si="1"/>
        <v>-</v>
      </c>
    </row>
    <row r="17" spans="1:20" ht="11.25" customHeight="1" thickTop="1" thickBot="1">
      <c r="A17" s="843"/>
      <c r="B17" s="844"/>
      <c r="C17" s="845"/>
      <c r="D17" s="845"/>
      <c r="E17" s="845"/>
      <c r="F17" s="846"/>
      <c r="G17" s="846"/>
      <c r="H17" s="846"/>
      <c r="I17" s="846"/>
      <c r="J17" s="846"/>
      <c r="K17" s="846"/>
      <c r="L17" s="846"/>
      <c r="M17" s="846"/>
      <c r="N17" s="846"/>
      <c r="O17" s="846"/>
      <c r="P17" s="846"/>
      <c r="Q17" s="846"/>
      <c r="R17" s="846"/>
      <c r="S17" s="846"/>
      <c r="T17" s="846"/>
    </row>
    <row r="18" spans="1:20" ht="24" customHeight="1">
      <c r="A18" s="2885" t="s">
        <v>5</v>
      </c>
      <c r="B18" s="2888" t="s">
        <v>21</v>
      </c>
      <c r="C18" s="2891" t="s">
        <v>22</v>
      </c>
      <c r="D18" s="1389" t="s">
        <v>691</v>
      </c>
      <c r="E18" s="1390"/>
      <c r="F18" s="1391"/>
      <c r="G18" s="1391"/>
      <c r="H18" s="1392"/>
      <c r="I18" s="1393"/>
      <c r="J18" s="2894" t="s">
        <v>692</v>
      </c>
      <c r="K18" s="2895"/>
      <c r="L18" s="2895"/>
      <c r="M18" s="868"/>
      <c r="N18" s="867"/>
      <c r="O18" s="867"/>
      <c r="P18" s="867"/>
      <c r="Q18" s="867"/>
      <c r="R18" s="867"/>
      <c r="S18" s="867"/>
      <c r="T18" s="867"/>
    </row>
    <row r="19" spans="1:20" ht="21" customHeight="1">
      <c r="A19" s="2886"/>
      <c r="B19" s="2889"/>
      <c r="C19" s="2892"/>
      <c r="D19" s="1397" t="s">
        <v>689</v>
      </c>
      <c r="E19" s="1398"/>
      <c r="F19" s="1399"/>
      <c r="G19" s="1400" t="s">
        <v>690</v>
      </c>
      <c r="H19" s="1398"/>
      <c r="I19" s="1402"/>
      <c r="J19" s="2897"/>
      <c r="K19" s="2898"/>
      <c r="L19" s="2898"/>
      <c r="M19" s="1500"/>
      <c r="N19" s="274"/>
      <c r="O19" s="274"/>
      <c r="P19" s="274"/>
      <c r="Q19" s="274"/>
      <c r="R19" s="274"/>
      <c r="S19" s="274"/>
      <c r="T19" s="274"/>
    </row>
    <row r="20" spans="1:20" ht="21.75" thickBot="1">
      <c r="A20" s="2886"/>
      <c r="B20" s="2890"/>
      <c r="C20" s="2892"/>
      <c r="D20" s="465" t="s">
        <v>8</v>
      </c>
      <c r="E20" s="466" t="s">
        <v>9</v>
      </c>
      <c r="F20" s="468" t="s">
        <v>10</v>
      </c>
      <c r="G20" s="467" t="s">
        <v>8</v>
      </c>
      <c r="H20" s="466" t="s">
        <v>9</v>
      </c>
      <c r="I20" s="468" t="s">
        <v>10</v>
      </c>
      <c r="J20" s="465" t="s">
        <v>8</v>
      </c>
      <c r="K20" s="466" t="s">
        <v>9</v>
      </c>
      <c r="L20" s="475" t="s">
        <v>10</v>
      </c>
      <c r="M20" s="882"/>
      <c r="N20" s="237"/>
      <c r="O20" s="237"/>
      <c r="P20" s="237"/>
      <c r="Q20" s="237"/>
      <c r="R20" s="237"/>
      <c r="S20" s="237"/>
      <c r="T20" s="237"/>
    </row>
    <row r="21" spans="1:20" ht="23.1" customHeight="1">
      <c r="A21" s="424">
        <v>1</v>
      </c>
      <c r="B21" s="1410">
        <f t="shared" ref="B21:C29" ca="1" si="8">B7</f>
        <v>0</v>
      </c>
      <c r="C21" s="1411">
        <f t="shared" ca="1" si="8"/>
        <v>0</v>
      </c>
      <c r="D21" s="464"/>
      <c r="E21" s="232"/>
      <c r="F21" s="1369">
        <f>IFERROR(E21*D21/1000000,0)</f>
        <v>0</v>
      </c>
      <c r="G21" s="462"/>
      <c r="H21" s="216"/>
      <c r="I21" s="1369">
        <f>IFERROR(H21*G21/1000000,0)</f>
        <v>0</v>
      </c>
      <c r="J21" s="1583">
        <f t="shared" ref="J21:J29" si="9">G7+M7-D21-G21</f>
        <v>0</v>
      </c>
      <c r="K21" s="1406" t="str">
        <f>IFERROR(L21*1000000/J21,"-")</f>
        <v>-</v>
      </c>
      <c r="L21" s="2122">
        <f t="shared" ref="L21:L29" si="10">I7+O7-F21-I21</f>
        <v>0</v>
      </c>
      <c r="M21" s="883"/>
      <c r="N21" s="884"/>
      <c r="O21" s="884"/>
      <c r="P21" s="885"/>
      <c r="Q21" s="885"/>
      <c r="R21" s="885"/>
      <c r="S21" s="885"/>
      <c r="T21" s="885"/>
    </row>
    <row r="22" spans="1:20" ht="23.1" customHeight="1">
      <c r="A22" s="425">
        <v>2</v>
      </c>
      <c r="B22" s="1412">
        <f t="shared" ca="1" si="8"/>
        <v>0</v>
      </c>
      <c r="C22" s="1413">
        <f t="shared" ca="1" si="8"/>
        <v>0</v>
      </c>
      <c r="D22" s="175"/>
      <c r="E22" s="176"/>
      <c r="F22" s="457">
        <f t="shared" ref="F22:F29" si="11">IFERROR(E22*D22/1000000,0)</f>
        <v>0</v>
      </c>
      <c r="G22" s="463"/>
      <c r="H22" s="218"/>
      <c r="I22" s="457">
        <f t="shared" ref="I22:I29" si="12">IFERROR(H22*G22/1000000,0)</f>
        <v>0</v>
      </c>
      <c r="J22" s="2104">
        <f t="shared" si="9"/>
        <v>0</v>
      </c>
      <c r="K22" s="1407" t="str">
        <f t="shared" ref="K22:K29" si="13">IFERROR(L22*1000000/J22,"-")</f>
        <v>-</v>
      </c>
      <c r="L22" s="2105">
        <f t="shared" si="10"/>
        <v>0</v>
      </c>
      <c r="M22" s="883"/>
      <c r="N22" s="884"/>
      <c r="O22" s="884"/>
      <c r="P22" s="885"/>
      <c r="Q22" s="885"/>
      <c r="R22" s="885"/>
      <c r="S22" s="885"/>
      <c r="T22" s="885"/>
    </row>
    <row r="23" spans="1:20" ht="23.1" customHeight="1">
      <c r="A23" s="425">
        <v>3</v>
      </c>
      <c r="B23" s="1412">
        <f t="shared" ca="1" si="8"/>
        <v>0</v>
      </c>
      <c r="C23" s="1413">
        <f t="shared" ca="1" si="8"/>
        <v>0</v>
      </c>
      <c r="D23" s="175"/>
      <c r="E23" s="176"/>
      <c r="F23" s="457">
        <f t="shared" si="11"/>
        <v>0</v>
      </c>
      <c r="G23" s="463"/>
      <c r="H23" s="218"/>
      <c r="I23" s="457">
        <f t="shared" si="12"/>
        <v>0</v>
      </c>
      <c r="J23" s="2104">
        <f t="shared" si="9"/>
        <v>0</v>
      </c>
      <c r="K23" s="1407" t="str">
        <f t="shared" si="13"/>
        <v>-</v>
      </c>
      <c r="L23" s="2105">
        <f t="shared" si="10"/>
        <v>0</v>
      </c>
      <c r="M23" s="883"/>
      <c r="N23" s="884"/>
      <c r="O23" s="884"/>
      <c r="P23" s="885"/>
      <c r="Q23" s="885"/>
      <c r="R23" s="885"/>
      <c r="S23" s="885"/>
      <c r="T23" s="885"/>
    </row>
    <row r="24" spans="1:20" ht="23.1" customHeight="1">
      <c r="A24" s="425">
        <v>4</v>
      </c>
      <c r="B24" s="1412">
        <f t="shared" ca="1" si="8"/>
        <v>0</v>
      </c>
      <c r="C24" s="1413">
        <f t="shared" ca="1" si="8"/>
        <v>0</v>
      </c>
      <c r="D24" s="175"/>
      <c r="E24" s="176"/>
      <c r="F24" s="457">
        <f t="shared" si="11"/>
        <v>0</v>
      </c>
      <c r="G24" s="463"/>
      <c r="H24" s="218"/>
      <c r="I24" s="457">
        <f t="shared" si="12"/>
        <v>0</v>
      </c>
      <c r="J24" s="479">
        <f t="shared" si="9"/>
        <v>0</v>
      </c>
      <c r="K24" s="236" t="str">
        <f t="shared" si="13"/>
        <v>-</v>
      </c>
      <c r="L24" s="480">
        <f t="shared" si="10"/>
        <v>0</v>
      </c>
      <c r="M24" s="883"/>
      <c r="N24" s="884"/>
      <c r="O24" s="884"/>
      <c r="P24" s="885"/>
      <c r="Q24" s="885"/>
      <c r="R24" s="885"/>
      <c r="S24" s="885"/>
      <c r="T24" s="885"/>
    </row>
    <row r="25" spans="1:20" ht="23.1" customHeight="1">
      <c r="A25" s="425">
        <v>5</v>
      </c>
      <c r="B25" s="1412">
        <f t="shared" ca="1" si="8"/>
        <v>0</v>
      </c>
      <c r="C25" s="1413">
        <f t="shared" ca="1" si="8"/>
        <v>0</v>
      </c>
      <c r="D25" s="175"/>
      <c r="E25" s="176"/>
      <c r="F25" s="457">
        <f t="shared" si="11"/>
        <v>0</v>
      </c>
      <c r="G25" s="463"/>
      <c r="H25" s="176"/>
      <c r="I25" s="457">
        <f t="shared" si="12"/>
        <v>0</v>
      </c>
      <c r="J25" s="479">
        <f t="shared" si="9"/>
        <v>0</v>
      </c>
      <c r="K25" s="236" t="str">
        <f t="shared" si="13"/>
        <v>-</v>
      </c>
      <c r="L25" s="480">
        <f t="shared" si="10"/>
        <v>0</v>
      </c>
      <c r="M25" s="883"/>
      <c r="N25" s="884"/>
      <c r="O25" s="884"/>
      <c r="P25" s="885"/>
      <c r="Q25" s="885"/>
      <c r="R25" s="885"/>
      <c r="S25" s="885"/>
      <c r="T25" s="885"/>
    </row>
    <row r="26" spans="1:20" ht="23.1" customHeight="1">
      <c r="A26" s="425">
        <v>6</v>
      </c>
      <c r="B26" s="1412">
        <f t="shared" ca="1" si="8"/>
        <v>0</v>
      </c>
      <c r="C26" s="1413">
        <f t="shared" ca="1" si="8"/>
        <v>0</v>
      </c>
      <c r="D26" s="175"/>
      <c r="E26" s="176"/>
      <c r="F26" s="457">
        <f t="shared" si="11"/>
        <v>0</v>
      </c>
      <c r="G26" s="463"/>
      <c r="H26" s="176"/>
      <c r="I26" s="457">
        <f t="shared" si="12"/>
        <v>0</v>
      </c>
      <c r="J26" s="479">
        <f t="shared" si="9"/>
        <v>0</v>
      </c>
      <c r="K26" s="236" t="str">
        <f t="shared" si="13"/>
        <v>-</v>
      </c>
      <c r="L26" s="480">
        <f t="shared" si="10"/>
        <v>0</v>
      </c>
      <c r="M26" s="883"/>
      <c r="N26" s="884"/>
      <c r="O26" s="884"/>
      <c r="P26" s="885"/>
      <c r="Q26" s="885"/>
      <c r="R26" s="885"/>
      <c r="S26" s="885"/>
      <c r="T26" s="885"/>
    </row>
    <row r="27" spans="1:20" ht="23.1" customHeight="1">
      <c r="A27" s="425">
        <v>7</v>
      </c>
      <c r="B27" s="1412">
        <f t="shared" ca="1" si="8"/>
        <v>0</v>
      </c>
      <c r="C27" s="1413">
        <f t="shared" ca="1" si="8"/>
        <v>0</v>
      </c>
      <c r="D27" s="175"/>
      <c r="E27" s="176"/>
      <c r="F27" s="457">
        <f t="shared" si="11"/>
        <v>0</v>
      </c>
      <c r="G27" s="463"/>
      <c r="H27" s="176"/>
      <c r="I27" s="457">
        <f t="shared" si="12"/>
        <v>0</v>
      </c>
      <c r="J27" s="479">
        <f t="shared" si="9"/>
        <v>0</v>
      </c>
      <c r="K27" s="236" t="str">
        <f t="shared" si="13"/>
        <v>-</v>
      </c>
      <c r="L27" s="480">
        <f t="shared" si="10"/>
        <v>0</v>
      </c>
      <c r="M27" s="883"/>
      <c r="N27" s="884"/>
      <c r="O27" s="884"/>
      <c r="P27" s="885"/>
      <c r="Q27" s="885"/>
      <c r="R27" s="885"/>
      <c r="S27" s="885"/>
      <c r="T27" s="885"/>
    </row>
    <row r="28" spans="1:20" ht="23.1" customHeight="1">
      <c r="A28" s="425">
        <v>8</v>
      </c>
      <c r="B28" s="1412">
        <f t="shared" ca="1" si="8"/>
        <v>0</v>
      </c>
      <c r="C28" s="1413">
        <f t="shared" ca="1" si="8"/>
        <v>0</v>
      </c>
      <c r="D28" s="175"/>
      <c r="E28" s="176"/>
      <c r="F28" s="457">
        <f t="shared" si="11"/>
        <v>0</v>
      </c>
      <c r="G28" s="463"/>
      <c r="H28" s="176"/>
      <c r="I28" s="457">
        <f t="shared" si="12"/>
        <v>0</v>
      </c>
      <c r="J28" s="479">
        <f t="shared" si="9"/>
        <v>0</v>
      </c>
      <c r="K28" s="236" t="str">
        <f t="shared" si="13"/>
        <v>-</v>
      </c>
      <c r="L28" s="480">
        <f t="shared" si="10"/>
        <v>0</v>
      </c>
      <c r="M28" s="883"/>
      <c r="N28" s="884"/>
      <c r="O28" s="884"/>
      <c r="P28" s="885"/>
      <c r="Q28" s="885"/>
      <c r="R28" s="885"/>
      <c r="S28" s="885"/>
      <c r="T28" s="885"/>
    </row>
    <row r="29" spans="1:20" ht="23.1" customHeight="1">
      <c r="A29" s="425">
        <v>9</v>
      </c>
      <c r="B29" s="1412">
        <f t="shared" ca="1" si="8"/>
        <v>0</v>
      </c>
      <c r="C29" s="1413">
        <f t="shared" ca="1" si="8"/>
        <v>0</v>
      </c>
      <c r="D29" s="175"/>
      <c r="E29" s="176"/>
      <c r="F29" s="457">
        <f t="shared" si="11"/>
        <v>0</v>
      </c>
      <c r="G29" s="463"/>
      <c r="H29" s="176"/>
      <c r="I29" s="457">
        <f t="shared" si="12"/>
        <v>0</v>
      </c>
      <c r="J29" s="479">
        <f t="shared" si="9"/>
        <v>0</v>
      </c>
      <c r="K29" s="236" t="str">
        <f t="shared" si="13"/>
        <v>-</v>
      </c>
      <c r="L29" s="480">
        <f t="shared" si="10"/>
        <v>0</v>
      </c>
      <c r="M29" s="883"/>
      <c r="N29" s="884"/>
      <c r="O29" s="884"/>
      <c r="P29" s="885"/>
      <c r="Q29" s="885"/>
      <c r="R29" s="885"/>
      <c r="S29" s="885"/>
      <c r="T29" s="885"/>
    </row>
    <row r="30" spans="1:20" ht="21.75" thickBot="1">
      <c r="A30" s="2969" t="s">
        <v>31</v>
      </c>
      <c r="B30" s="2970"/>
      <c r="C30" s="1408"/>
      <c r="D30" s="1409"/>
      <c r="E30" s="471"/>
      <c r="F30" s="473">
        <f>SUM(F21:F29)</f>
        <v>0</v>
      </c>
      <c r="G30" s="470"/>
      <c r="H30" s="471"/>
      <c r="I30" s="473">
        <f>SUM(I21:I29)</f>
        <v>0</v>
      </c>
      <c r="J30" s="470"/>
      <c r="K30" s="471"/>
      <c r="L30" s="476">
        <f>SUM(L21:L29)</f>
        <v>0</v>
      </c>
      <c r="M30" s="883"/>
      <c r="N30" s="884"/>
      <c r="O30" s="884"/>
      <c r="P30" s="886"/>
      <c r="Q30" s="886"/>
      <c r="R30" s="886"/>
      <c r="S30" s="886"/>
      <c r="T30" s="887"/>
    </row>
    <row r="31" spans="1:20" ht="13.5" customHeight="1" thickTop="1">
      <c r="A31" s="40"/>
      <c r="B31" s="40"/>
      <c r="C31" s="40"/>
      <c r="D31" s="40"/>
      <c r="E31" s="40"/>
      <c r="F31" s="40"/>
      <c r="G31" s="40"/>
      <c r="H31" s="40"/>
      <c r="I31" s="40"/>
      <c r="J31" s="40"/>
      <c r="K31" s="40"/>
      <c r="L31" s="40"/>
      <c r="M31" s="40"/>
      <c r="N31" s="40"/>
      <c r="O31" s="40"/>
      <c r="P31" s="40"/>
      <c r="Q31" s="40"/>
      <c r="R31" s="40"/>
      <c r="S31" s="40"/>
      <c r="T31" s="40"/>
    </row>
    <row r="32" spans="1:20" ht="21">
      <c r="A32" s="8"/>
      <c r="B32" s="8"/>
      <c r="D32" s="9"/>
      <c r="E32" s="9"/>
      <c r="J32" s="2752"/>
      <c r="K32" s="2752"/>
      <c r="O32" s="9"/>
      <c r="P32" s="847"/>
      <c r="Q32" s="847"/>
    </row>
    <row r="35" spans="1:1" ht="21">
      <c r="A35" s="37"/>
    </row>
  </sheetData>
  <mergeCells count="14">
    <mergeCell ref="A30:B30"/>
    <mergeCell ref="J32:K32"/>
    <mergeCell ref="A16:B16"/>
    <mergeCell ref="A18:A20"/>
    <mergeCell ref="B18:B20"/>
    <mergeCell ref="C18:C20"/>
    <mergeCell ref="J18:L19"/>
    <mergeCell ref="A1:T1"/>
    <mergeCell ref="M3:N3"/>
    <mergeCell ref="A4:A6"/>
    <mergeCell ref="B4:B6"/>
    <mergeCell ref="C4:C6"/>
    <mergeCell ref="P6:Q6"/>
    <mergeCell ref="R6:S6"/>
  </mergeCells>
  <conditionalFormatting sqref="H7:H15">
    <cfRule type="expression" dxfId="421" priority="21">
      <formula>AND(C7="میلیون ریال",H7&lt;&gt;1000000,H7&lt;&gt;"")</formula>
    </cfRule>
  </conditionalFormatting>
  <conditionalFormatting sqref="E7:E15">
    <cfRule type="expression" dxfId="420" priority="20">
      <formula>AND(C7="میلیون ریال",E7&lt;&gt;1000000,E7&lt;&gt;"")</formula>
    </cfRule>
  </conditionalFormatting>
  <conditionalFormatting sqref="B7:C15">
    <cfRule type="expression" dxfId="419" priority="14">
      <formula>AND($B7=0,OR($D7&lt;&gt;0,$G7&lt;&gt;0,$M7&lt;&gt;0,$D21&lt;&gt;0,$G21&lt;&gt;0))</formula>
    </cfRule>
  </conditionalFormatting>
  <conditionalFormatting sqref="N7:N15">
    <cfRule type="expression" dxfId="418" priority="15">
      <formula>AND(N7&lt;E7,M7&lt;&gt;0,K7&gt;E7)</formula>
    </cfRule>
    <cfRule type="expression" dxfId="417" priority="19">
      <formula>AND(C7="میلیون ریال",N7&lt;&gt;1000000,N7&lt;&gt;"")</formula>
    </cfRule>
  </conditionalFormatting>
  <conditionalFormatting sqref="H21:H29">
    <cfRule type="expression" dxfId="416" priority="9">
      <formula>OR($H21&gt;MAX($N7,$H7),$H21&lt;MIN($N7,$H7))</formula>
    </cfRule>
    <cfRule type="expression" dxfId="415" priority="11">
      <formula>AND(C21="میلیون ریال",H21&lt;&gt;1000000,H21&lt;&gt;"")</formula>
    </cfRule>
  </conditionalFormatting>
  <conditionalFormatting sqref="Q7:Q15">
    <cfRule type="iconSet" priority="5">
      <iconSet iconSet="3Symbols" showValue="0" reverse="1">
        <cfvo type="percent" val="0"/>
        <cfvo type="num" val="10" gte="0"/>
        <cfvo type="num" val="40"/>
      </iconSet>
    </cfRule>
  </conditionalFormatting>
  <conditionalFormatting sqref="S7:S15">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3" id="{00000000-000E-0000-2B00-000005000000}">
            <x14:iconSet iconSet="3Symbols" custom="1">
              <x14:cfvo type="percent">
                <xm:f>0</xm:f>
              </x14:cfvo>
              <x14:cfvo type="num">
                <xm:f>0</xm:f>
              </x14:cfvo>
              <x14:cfvo type="num">
                <xm:f>0</xm:f>
              </x14:cfvo>
              <x14:cfIcon iconSet="3Symbols" iconId="0"/>
              <x14:cfIcon iconSet="NoIcons" iconId="0"/>
              <x14:cfIcon iconSet="NoIcons" iconId="0"/>
            </x14:iconSet>
          </x14:cfRule>
          <xm:sqref>J21:J29</xm:sqref>
        </x14:conditionalFormatting>
        <x14:conditionalFormatting xmlns:xm="http://schemas.microsoft.com/office/excel/2006/main">
          <x14:cfRule type="iconSet" priority="12" id="{00000000-000E-0000-2B00-000004000000}">
            <x14:iconSet iconSet="3Symbols" custom="1">
              <x14:cfvo type="percent">
                <xm:f>0</xm:f>
              </x14:cfvo>
              <x14:cfvo type="num">
                <xm:f>0</xm:f>
              </x14:cfvo>
              <x14:cfvo type="num">
                <xm:f>0</xm:f>
              </x14:cfvo>
              <x14:cfIcon iconSet="3Symbols" iconId="0"/>
              <x14:cfIcon iconSet="NoIcons" iconId="0"/>
              <x14:cfIcon iconSet="NoIcons" iconId="0"/>
            </x14:iconSet>
          </x14:cfRule>
          <xm:sqref>L21:L29</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tabColor rgb="FF32CD32"/>
    <pageSetUpPr fitToPage="1"/>
  </sheetPr>
  <dimension ref="A1:AH197"/>
  <sheetViews>
    <sheetView showGridLines="0" rightToLeft="1" topLeftCell="A105" zoomScale="90" zoomScaleNormal="90" zoomScaleSheetLayoutView="80" workbookViewId="0">
      <selection activeCell="Q117" sqref="Q117"/>
    </sheetView>
  </sheetViews>
  <sheetFormatPr defaultColWidth="9" defaultRowHeight="21"/>
  <cols>
    <col min="1" max="1" width="37.140625" style="44" customWidth="1"/>
    <col min="2" max="20" width="8.140625" style="44" customWidth="1"/>
    <col min="21" max="21" width="3.7109375" style="44" customWidth="1"/>
    <col min="22" max="22" width="8.140625" style="44" customWidth="1"/>
    <col min="23" max="23" width="3.7109375" style="44" customWidth="1"/>
    <col min="24" max="24" width="8.140625" style="44" customWidth="1"/>
    <col min="25" max="25" width="3.7109375" style="44" customWidth="1"/>
    <col min="26" max="27" width="8.140625" style="44" customWidth="1"/>
    <col min="28" max="28" width="3.7109375" style="44" customWidth="1"/>
    <col min="29" max="29" width="8.140625" style="44" customWidth="1"/>
    <col min="30" max="30" width="3.7109375" style="44" customWidth="1"/>
    <col min="31" max="32" width="9" style="44"/>
    <col min="33" max="33" width="9" style="44" customWidth="1"/>
    <col min="34" max="34" width="9" style="44" hidden="1" customWidth="1"/>
    <col min="35" max="35" width="9" style="44" customWidth="1"/>
    <col min="36" max="16384" width="9" style="44"/>
  </cols>
  <sheetData>
    <row r="1" spans="1:34" s="2560" customFormat="1"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c r="U1" s="2685"/>
      <c r="V1" s="2685"/>
      <c r="W1" s="2685"/>
      <c r="X1" s="2685"/>
      <c r="Y1" s="2685"/>
      <c r="Z1" s="2685"/>
      <c r="AA1" s="2685"/>
      <c r="AB1" s="2685"/>
      <c r="AC1" s="2685"/>
      <c r="AD1" s="2149"/>
    </row>
    <row r="2" spans="1:34" s="2560" customFormat="1" ht="28.5" customHeight="1" thickBot="1">
      <c r="A2" s="3033" t="str">
        <f>"گزارش تعداد پرسنل و سرانه هزینه پرسنلی به تفکیک نوع قرارداد در دوره " &amp; روکش!$F$9 &amp; " سال " &amp; روکش!$D$9&amp;"- مجتمع خراسان"</f>
        <v>گزارش تعداد پرسنل و سرانه هزینه پرسنلی به تفکیک نوع قرارداد در دوره شش ماهه سال 1405- مجتمع خراسان</v>
      </c>
      <c r="B2" s="3033"/>
      <c r="C2" s="3033"/>
      <c r="D2" s="3033"/>
      <c r="E2" s="3033"/>
      <c r="F2" s="3033"/>
      <c r="G2" s="3033"/>
      <c r="H2" s="3033"/>
      <c r="I2" s="3033"/>
      <c r="J2" s="3033"/>
      <c r="K2" s="3033"/>
      <c r="L2" s="3033"/>
      <c r="M2" s="3033"/>
      <c r="N2" s="3033"/>
      <c r="O2" s="3033"/>
      <c r="P2" s="3033"/>
      <c r="Q2" s="3033"/>
      <c r="R2" s="3033"/>
      <c r="S2" s="3033"/>
      <c r="T2" s="3033"/>
      <c r="U2" s="3033"/>
      <c r="V2" s="3033"/>
      <c r="W2" s="3033"/>
      <c r="X2" s="3033"/>
      <c r="Y2" s="3033"/>
      <c r="Z2" s="3033"/>
      <c r="AA2" s="3033"/>
      <c r="AB2" s="3033"/>
      <c r="AC2" s="3033"/>
      <c r="AD2" s="3033"/>
    </row>
    <row r="3" spans="1:34" ht="24" customHeight="1" thickBot="1">
      <c r="A3" s="2907" t="s">
        <v>21</v>
      </c>
      <c r="B3" s="3018" t="s">
        <v>716</v>
      </c>
      <c r="C3" s="3019"/>
      <c r="D3" s="3019"/>
      <c r="E3" s="3019"/>
      <c r="F3" s="3019"/>
      <c r="G3" s="3020"/>
      <c r="H3" s="3018" t="s">
        <v>674</v>
      </c>
      <c r="I3" s="3019"/>
      <c r="J3" s="3019"/>
      <c r="K3" s="3019"/>
      <c r="L3" s="3019"/>
      <c r="M3" s="3020"/>
      <c r="N3" s="3018" t="s">
        <v>675</v>
      </c>
      <c r="O3" s="3019"/>
      <c r="P3" s="3019"/>
      <c r="Q3" s="3019"/>
      <c r="R3" s="3019"/>
      <c r="S3" s="3020"/>
      <c r="T3" s="3018" t="s">
        <v>717</v>
      </c>
      <c r="U3" s="3019"/>
      <c r="V3" s="3019"/>
      <c r="W3" s="3019"/>
      <c r="X3" s="3019"/>
      <c r="Y3" s="3019"/>
      <c r="Z3" s="3019"/>
      <c r="AA3" s="3019"/>
      <c r="AB3" s="3019"/>
      <c r="AC3" s="3019"/>
      <c r="AD3" s="3020"/>
    </row>
    <row r="4" spans="1:34" ht="64.5" customHeight="1" thickBot="1">
      <c r="A4" s="2908"/>
      <c r="B4" s="542" t="s">
        <v>60</v>
      </c>
      <c r="C4" s="543" t="s">
        <v>61</v>
      </c>
      <c r="D4" s="544" t="s">
        <v>62</v>
      </c>
      <c r="E4" s="722" t="s">
        <v>1</v>
      </c>
      <c r="F4" s="542" t="s">
        <v>1403</v>
      </c>
      <c r="G4" s="544" t="s">
        <v>1404</v>
      </c>
      <c r="H4" s="542" t="s">
        <v>60</v>
      </c>
      <c r="I4" s="543" t="s">
        <v>61</v>
      </c>
      <c r="J4" s="544" t="s">
        <v>62</v>
      </c>
      <c r="K4" s="545" t="s">
        <v>1</v>
      </c>
      <c r="L4" s="542" t="s">
        <v>1403</v>
      </c>
      <c r="M4" s="544" t="s">
        <v>1404</v>
      </c>
      <c r="N4" s="542" t="s">
        <v>60</v>
      </c>
      <c r="O4" s="543" t="s">
        <v>61</v>
      </c>
      <c r="P4" s="544" t="s">
        <v>62</v>
      </c>
      <c r="Q4" s="545" t="s">
        <v>1</v>
      </c>
      <c r="R4" s="542" t="s">
        <v>1403</v>
      </c>
      <c r="S4" s="544" t="s">
        <v>1404</v>
      </c>
      <c r="T4" s="2928" t="s">
        <v>60</v>
      </c>
      <c r="U4" s="3028"/>
      <c r="V4" s="3027" t="s">
        <v>61</v>
      </c>
      <c r="W4" s="3028"/>
      <c r="X4" s="3027" t="s">
        <v>62</v>
      </c>
      <c r="Y4" s="2930"/>
      <c r="Z4" s="545" t="s">
        <v>1</v>
      </c>
      <c r="AA4" s="2928" t="s">
        <v>1403</v>
      </c>
      <c r="AB4" s="3028"/>
      <c r="AC4" s="3027" t="s">
        <v>1404</v>
      </c>
      <c r="AD4" s="2930"/>
    </row>
    <row r="5" spans="1:34" ht="42.75" hidden="1" customHeight="1">
      <c r="A5" s="2549" t="s">
        <v>1278</v>
      </c>
      <c r="B5" s="172"/>
      <c r="C5" s="173"/>
      <c r="D5" s="174"/>
      <c r="E5" s="551">
        <f>SUM(B5:D5)</f>
        <v>0</v>
      </c>
      <c r="F5" s="1561">
        <f>IF($A$1="صنایع شیر ایران",IFERROR(('هزینه پرسنلی مستقیم تولید'!$B$31/(C5+B5+D5))/$AH$5,0),IFERROR(('هزینه پرسنلی مستقیم تولید'!$B$31/(C5+B5))/$AH$5,0))</f>
        <v>0</v>
      </c>
      <c r="G5" s="3021">
        <f ca="1">IFERROR((VLOOKUP($AH$6,'هزینه سربار تولید'!$A:$F,2,FALSE)/(D5+D6))/$AH$5,0)</f>
        <v>0</v>
      </c>
      <c r="H5" s="1499" cm="1">
        <f t="array" aca="1" ref="H5" ca="1">IF(ROW()-ROW($A$5)&lt;'الف-ب-ج'!$L$9,IF(روکش!$F$9="سه ماهه",INDIRECT("BudgetDB!FY"&amp;('الف-ب-ج'!$M$9+ROW()-ROW($A$5))),INDIRECT("BudgetDB!GB"&amp;('الف-ب-ج'!$M$9+ROW()-ROW($A$5)))),"")</f>
        <v>0</v>
      </c>
      <c r="I5" s="1555" cm="1">
        <f t="array" aca="1" ref="I5" ca="1">IF(ROW()-ROW($A$5)&lt;'الف-ب-ج'!$L$9,IF(روکش!$F$9="سه ماهه",INDIRECT("BudgetDB!FZ"&amp;('الف-ب-ج'!$M$9+ROW()-ROW($A$5))),INDIRECT("BudgetDB!GC"&amp;('الف-ب-ج'!$M$9+ROW()-ROW($A$5)))),"")</f>
        <v>0</v>
      </c>
      <c r="J5" s="1556" cm="1">
        <f t="array" aca="1" ref="J5" ca="1">IF(ROW()-ROW($A$5)&lt;'الف-ب-ج'!$L$9,IF(روکش!$F$9="سه ماهه",INDIRECT("BudgetDB!GA"&amp;('الف-ب-ج'!$M$9+ROW()-ROW($A$5))),INDIRECT("BudgetDB!GD"&amp;('الف-ب-ج'!$M$9+ROW()-ROW($A$5)))),"")</f>
        <v>0</v>
      </c>
      <c r="K5" s="551">
        <f ca="1">SUM(H5:J5)</f>
        <v>0</v>
      </c>
      <c r="L5" s="1561">
        <f ca="1">IF($A$1="صنایع شیر ایران",IFERROR(('هزینه پرسنلی مستقیم تولید'!$C$31/(I5+H5+J5))/$AH$5,0),IFERROR(('هزینه پرسنلی مستقیم تولید'!$C$31/(I5+H5))/$AH$5,0))</f>
        <v>0</v>
      </c>
      <c r="M5" s="3021">
        <f ca="1">IFERROR((VLOOKUP($AH$6,'هزینه سربار تولید'!$A:$F,3,FALSE)/(J5+J6))/$AH$5,0)</f>
        <v>0</v>
      </c>
      <c r="N5" s="172"/>
      <c r="O5" s="173"/>
      <c r="P5" s="174"/>
      <c r="Q5" s="551">
        <f>SUM(N5:P5)</f>
        <v>0</v>
      </c>
      <c r="R5" s="1561">
        <f>IF($A$1="صنایع شیر ایران",IFERROR(('هزینه پرسنلی مستقیم تولید'!$D$31/(O5+N5+P5))/$AH$5,0),IFERROR(('هزینه پرسنلی مستقیم تولید'!$D$31/(O5+N5))/$AH$5,0))</f>
        <v>0</v>
      </c>
      <c r="S5" s="3021">
        <f ca="1">IFERROR((VLOOKUP($AH$6,'هزینه سربار تولید'!$A:$F,4,FALSE)/(P5+P6))/$AH$5,0)</f>
        <v>0</v>
      </c>
      <c r="T5" s="2119" t="str">
        <f t="shared" ref="T5:T11" ca="1" si="0">IFERROR(N5*100/H5,"-")</f>
        <v>-</v>
      </c>
      <c r="U5" s="2163">
        <f t="shared" ref="U5:U11" ca="1" si="1">IFERROR(ABS(T5-100),500)</f>
        <v>500</v>
      </c>
      <c r="V5" s="2169" t="str">
        <f t="shared" ref="V5:V11" ca="1" si="2">IFERROR(O5*100/I5,"-")</f>
        <v>-</v>
      </c>
      <c r="W5" s="2163">
        <f t="shared" ref="W5:W11" ca="1" si="3">IFERROR(ABS(V5-100),500)</f>
        <v>500</v>
      </c>
      <c r="X5" s="2169" t="str">
        <f t="shared" ref="X5:X11" ca="1" si="4">IFERROR(P5*100/J5,"-")</f>
        <v>-</v>
      </c>
      <c r="Y5" s="415">
        <f t="shared" ref="Y5:Y11" ca="1" si="5">IFERROR(ABS(X5-100),500)</f>
        <v>500</v>
      </c>
      <c r="Z5" s="2163" t="str">
        <f t="shared" ref="Z5:AA11" ca="1" si="6">IFERROR(Q5*100/K5,"-")</f>
        <v>-</v>
      </c>
      <c r="AA5" s="2119" t="str">
        <f t="shared" ca="1" si="6"/>
        <v>-</v>
      </c>
      <c r="AB5" s="2163">
        <f t="shared" ref="AB5:AB11" ca="1" si="7">IFERROR(ABS(AA5-100),500)</f>
        <v>500</v>
      </c>
      <c r="AC5" s="3023" t="str">
        <f ca="1">IFERROR(S5*100/M5,"-")</f>
        <v>-</v>
      </c>
      <c r="AD5" s="3029">
        <f ca="1">IFERROR(ABS(AC5-100),500)</f>
        <v>500</v>
      </c>
      <c r="AH5" s="1558">
        <f>IF(روکش!$F$9="سه ماهه", 3,6)</f>
        <v>6</v>
      </c>
    </row>
    <row r="6" spans="1:34" ht="42.75" hidden="1" customHeight="1">
      <c r="A6" s="2550" t="s">
        <v>1279</v>
      </c>
      <c r="B6" s="175"/>
      <c r="C6" s="176"/>
      <c r="D6" s="177"/>
      <c r="E6" s="552">
        <f>SUM(B6:D6)</f>
        <v>0</v>
      </c>
      <c r="F6" s="561">
        <f>IF($A$1="صنایع شیر ایران",IFERROR(('هزینه پرسنلی غیرمستقیم تولید'!$B$31/(C6+B6+D6))/$AH$5,0),IFERROR(('هزینه پرسنلی غیرمستقیم تولید'!$B$31/(C6+B6))/$AH$5,0))</f>
        <v>0</v>
      </c>
      <c r="G6" s="3022"/>
      <c r="H6" s="1367" cm="1">
        <f t="array" aca="1" ref="H6" ca="1">IF(ROW()-ROW($A$5)&lt;'الف-ب-ج'!$L$9,IF(روکش!$F$9="سه ماهه",INDIRECT("BudgetDB!FY"&amp;('الف-ب-ج'!$M$9+ROW()-ROW($A$5))),INDIRECT("BudgetDB!GB"&amp;('الف-ب-ج'!$M$9+ROW()-ROW($A$5)))),"")</f>
        <v>0</v>
      </c>
      <c r="I6" s="839" cm="1">
        <f t="array" aca="1" ref="I6" ca="1">IF(ROW()-ROW($A$5)&lt;'الف-ب-ج'!$L$9,IF(روکش!$F$9="سه ماهه",INDIRECT("BudgetDB!FZ"&amp;('الف-ب-ج'!$M$9+ROW()-ROW($A$5))),INDIRECT("BudgetDB!GC"&amp;('الف-ب-ج'!$M$9+ROW()-ROW($A$5)))),"")</f>
        <v>0</v>
      </c>
      <c r="J6" s="1363" cm="1">
        <f t="array" aca="1" ref="J6" ca="1">IF(ROW()-ROW($A$5)&lt;'الف-ب-ج'!$L$9,IF(روکش!$F$9="سه ماهه",INDIRECT("BudgetDB!GA"&amp;('الف-ب-ج'!$M$9+ROW()-ROW($A$5))),INDIRECT("BudgetDB!GD"&amp;('الف-ب-ج'!$M$9+ROW()-ROW($A$5)))),"")</f>
        <v>0</v>
      </c>
      <c r="K6" s="552">
        <f ca="1">SUM(H6:J6)</f>
        <v>0</v>
      </c>
      <c r="L6" s="561">
        <f ca="1">IF($A$1="صنایع شیر ایران",IFERROR(('هزینه پرسنلی غیرمستقیم تولید'!$C$31/(I6+H6+J6))/$AH$5,0),IFERROR(('هزینه پرسنلی غیرمستقیم تولید'!$C$31/(I6+H6))/$AH$5,0))</f>
        <v>0</v>
      </c>
      <c r="M6" s="3022"/>
      <c r="N6" s="175"/>
      <c r="O6" s="176"/>
      <c r="P6" s="177"/>
      <c r="Q6" s="552">
        <f>SUM(N6:P6)</f>
        <v>0</v>
      </c>
      <c r="R6" s="561">
        <f>IF($A$1="صنایع شیر ایران",IFERROR(('هزینه پرسنلی غیرمستقیم تولید'!$D$31/(O6+N6+P6))/$AH$5,0),IFERROR(('هزینه پرسنلی غیرمستقیم تولید'!$D$31/(O6+N6))/$AH$5,0))</f>
        <v>0</v>
      </c>
      <c r="S6" s="3022"/>
      <c r="T6" s="2120" t="str">
        <f t="shared" ca="1" si="0"/>
        <v>-</v>
      </c>
      <c r="U6" s="2164">
        <f t="shared" ca="1" si="1"/>
        <v>500</v>
      </c>
      <c r="V6" s="2170" t="str">
        <f t="shared" ca="1" si="2"/>
        <v>-</v>
      </c>
      <c r="W6" s="2164">
        <f t="shared" ca="1" si="3"/>
        <v>500</v>
      </c>
      <c r="X6" s="2170" t="str">
        <f t="shared" ca="1" si="4"/>
        <v>-</v>
      </c>
      <c r="Y6" s="418">
        <f t="shared" ca="1" si="5"/>
        <v>500</v>
      </c>
      <c r="Z6" s="2164" t="str">
        <f t="shared" ca="1" si="6"/>
        <v>-</v>
      </c>
      <c r="AA6" s="2120" t="str">
        <f t="shared" ca="1" si="6"/>
        <v>-</v>
      </c>
      <c r="AB6" s="2164">
        <f t="shared" ca="1" si="7"/>
        <v>500</v>
      </c>
      <c r="AC6" s="3024"/>
      <c r="AD6" s="3030"/>
      <c r="AH6" s="1558" t="s">
        <v>1634</v>
      </c>
    </row>
    <row r="7" spans="1:34" ht="35.1" customHeight="1">
      <c r="A7" s="2550" t="s">
        <v>1280</v>
      </c>
      <c r="B7" s="175">
        <f>SUM(B24,B42,B60,B78,B96,B114,B132,B150,B168,B186)</f>
        <v>0</v>
      </c>
      <c r="C7" s="44">
        <f t="shared" ref="C7:D7" si="8">SUM(C24,C42,C60,C78,C96,C114,C132,C150,C168,C186)</f>
        <v>166</v>
      </c>
      <c r="D7" s="177">
        <f t="shared" si="8"/>
        <v>23</v>
      </c>
      <c r="E7" s="552">
        <f>SUM(B7:D7)</f>
        <v>189</v>
      </c>
      <c r="F7" s="561">
        <f>IFERROR(('هزینه پرسنلی مستقیم خدمات'!$B$31/(C8+B7))/$AH$5,0)</f>
        <v>0</v>
      </c>
      <c r="G7" s="3025">
        <f ca="1">IFERROR((VLOOKUP($AH$6,'هزینه سربار خدمات'!$A:$F,2,FALSE)/(D7+D8))/$AH$5,0)</f>
        <v>279.02173913043481</v>
      </c>
      <c r="H7" s="175">
        <f>SUM(H24,H42,H60,H78,H96,H114,H132,H150,H168,H186)</f>
        <v>0</v>
      </c>
      <c r="I7" s="44">
        <f t="shared" ref="I7:J7" si="9">SUM(I24,I42,I60,I78,I96,I114,I132,I150,I168,I186)</f>
        <v>166</v>
      </c>
      <c r="J7" s="177">
        <f t="shared" si="9"/>
        <v>95</v>
      </c>
      <c r="K7" s="552">
        <f>SUM(H7:J7)</f>
        <v>261</v>
      </c>
      <c r="L7" s="561">
        <f ca="1">IFERROR(('هزینه پرسنلی مستقیم خدمات'!$C$31/(I7+H7))/$AH$5,0)</f>
        <v>1171.0421686746988</v>
      </c>
      <c r="M7" s="3025">
        <f ca="1">IFERROR((VLOOKUP($AH$6,'هزینه سربار خدمات'!$A:$F,3,FALSE)/(J7+J8))/$AH$5,0)</f>
        <v>217.15087719298245</v>
      </c>
      <c r="N7" s="175">
        <f>SUM(N24,N42,N60,N78,N96,N114,N132,N150,N168,N186)</f>
        <v>0</v>
      </c>
      <c r="O7" s="44">
        <f t="shared" ref="O7:P7" si="10">SUM(O24,O42,O60,O78,O96,O114,O132,O150,O168,O186)</f>
        <v>163</v>
      </c>
      <c r="P7" s="177">
        <f t="shared" si="10"/>
        <v>40</v>
      </c>
      <c r="Q7" s="552">
        <f>SUM(N7:P7)</f>
        <v>203</v>
      </c>
      <c r="R7" s="561">
        <f>IFERROR(('هزینه پرسنلی مستقیم خدمات'!$D$31/(O7+N7))/$AH$5,0)</f>
        <v>1269.984662576687</v>
      </c>
      <c r="S7" s="3025">
        <f ca="1">IFERROR((VLOOKUP($AH$6,'هزینه سربار خدمات'!$A:$F,4,FALSE)/(P7+P8))/$AH$5,0)</f>
        <v>1181.05</v>
      </c>
      <c r="T7" s="2231" t="str">
        <f t="shared" si="0"/>
        <v>-</v>
      </c>
      <c r="U7" s="2232">
        <f t="shared" si="1"/>
        <v>500</v>
      </c>
      <c r="V7" s="562">
        <f t="shared" si="2"/>
        <v>98.192771084337352</v>
      </c>
      <c r="W7" s="2232">
        <f t="shared" si="3"/>
        <v>1.8072289156626482</v>
      </c>
      <c r="X7" s="562">
        <f t="shared" si="4"/>
        <v>42.10526315789474</v>
      </c>
      <c r="Y7" s="2253">
        <f t="shared" si="5"/>
        <v>57.89473684210526</v>
      </c>
      <c r="Z7" s="2253">
        <f t="shared" si="6"/>
        <v>77.777777777777771</v>
      </c>
      <c r="AA7" s="2231">
        <f t="shared" ca="1" si="6"/>
        <v>108.44909744061259</v>
      </c>
      <c r="AB7" s="2232">
        <f t="shared" ca="1" si="7"/>
        <v>8.44909744061259</v>
      </c>
      <c r="AC7" s="3026">
        <f ca="1">IFERROR(S7*100/M7,"-")</f>
        <v>543.88451719234752</v>
      </c>
      <c r="AD7" s="3031">
        <f ca="1">IFERROR(ABS(AC7-100),500)</f>
        <v>443.88451719234752</v>
      </c>
      <c r="AH7" s="1558"/>
    </row>
    <row r="8" spans="1:34" ht="35.1" customHeight="1">
      <c r="A8" s="2550" t="s">
        <v>1281</v>
      </c>
      <c r="B8" s="175">
        <f t="shared" ref="B8:D8" si="11">SUM(B25,B43,B61,B79,B97,B115,B133,B151,B169,B187)</f>
        <v>0</v>
      </c>
      <c r="C8" s="176">
        <f t="shared" si="11"/>
        <v>0</v>
      </c>
      <c r="D8" s="177">
        <f t="shared" si="11"/>
        <v>0</v>
      </c>
      <c r="E8" s="552">
        <f>SUM(B8:D8)</f>
        <v>0</v>
      </c>
      <c r="F8" s="561">
        <f>IFERROR(('هزینه پرسنلی غیرمستقیم خدمات'!$B$31/(#REF!+B8))/$AH$5,0)</f>
        <v>0</v>
      </c>
      <c r="G8" s="3022"/>
      <c r="H8" s="175">
        <f t="shared" ref="H8:J8" si="12">SUM(H25,H43,H61,H79,H97,H115,H133,H151,H169,H187)</f>
        <v>0</v>
      </c>
      <c r="I8" s="176">
        <f t="shared" si="12"/>
        <v>0</v>
      </c>
      <c r="J8" s="177">
        <f t="shared" si="12"/>
        <v>0</v>
      </c>
      <c r="K8" s="552">
        <f>SUM(H8:J8)</f>
        <v>0</v>
      </c>
      <c r="L8" s="561">
        <f ca="1">IFERROR(('هزینه پرسنلی غیرمستقیم خدمات'!$C$31/(I8+H8))/$AH$5,0)</f>
        <v>0</v>
      </c>
      <c r="M8" s="3022"/>
      <c r="N8" s="175">
        <f t="shared" ref="N8:P8" si="13">SUM(N25,N43,N61,N79,N97,N115,N133,N151,N169,N187)</f>
        <v>0</v>
      </c>
      <c r="O8" s="176">
        <f t="shared" si="13"/>
        <v>0</v>
      </c>
      <c r="P8" s="177">
        <f t="shared" si="13"/>
        <v>0</v>
      </c>
      <c r="Q8" s="552">
        <f>SUM(N8:P8)</f>
        <v>0</v>
      </c>
      <c r="R8" s="561">
        <f>IFERROR(('هزینه پرسنلی غیرمستقیم خدمات'!$D$31/(O8+N8))/$AH$5,0)</f>
        <v>0</v>
      </c>
      <c r="S8" s="3022"/>
      <c r="T8" s="2231" t="str">
        <f t="shared" si="0"/>
        <v>-</v>
      </c>
      <c r="U8" s="2232">
        <f t="shared" si="1"/>
        <v>500</v>
      </c>
      <c r="V8" s="562" t="str">
        <f t="shared" si="2"/>
        <v>-</v>
      </c>
      <c r="W8" s="2232">
        <f t="shared" si="3"/>
        <v>500</v>
      </c>
      <c r="X8" s="562" t="str">
        <f t="shared" si="4"/>
        <v>-</v>
      </c>
      <c r="Y8" s="2253">
        <f t="shared" si="5"/>
        <v>500</v>
      </c>
      <c r="Z8" s="2253" t="str">
        <f t="shared" si="6"/>
        <v>-</v>
      </c>
      <c r="AA8" s="2231" t="str">
        <f t="shared" ca="1" si="6"/>
        <v>-</v>
      </c>
      <c r="AB8" s="2232">
        <f t="shared" ca="1" si="7"/>
        <v>500</v>
      </c>
      <c r="AC8" s="3024"/>
      <c r="AD8" s="3032"/>
    </row>
    <row r="9" spans="1:34" ht="35.1" customHeight="1" thickBot="1">
      <c r="A9" s="2551" t="s">
        <v>277</v>
      </c>
      <c r="B9" s="178">
        <f t="shared" ref="B9:D9" si="14">SUM(B26,B44,B62,B80,B98,B116,B134,B152,B170,B188)</f>
        <v>0</v>
      </c>
      <c r="C9" s="179">
        <f t="shared" si="14"/>
        <v>31</v>
      </c>
      <c r="D9" s="180">
        <f t="shared" si="14"/>
        <v>9</v>
      </c>
      <c r="E9" s="553">
        <f>SUM(B9:D9)</f>
        <v>40</v>
      </c>
      <c r="F9" s="561">
        <f>IF($A$1="صنایع شیر ایران",IFERROR(('هزینه اداری عمومی'!$B$26/(C9+B9+D9))/$AH$5,0),IFERROR(('هزینه اداری عمومی'!$B$26/(C9+B9))/$AH$5,0))</f>
        <v>760.0645161290322</v>
      </c>
      <c r="G9" s="1493">
        <f ca="1">IFERROR((VLOOKUP($AH$6,'هزینه اداری عمومی'!$A:$F,2,FALSE)/D9)/$AH$5,0)</f>
        <v>0</v>
      </c>
      <c r="H9" s="178">
        <f t="shared" ref="H9:J9" si="15">SUM(H26,H44,H62,H80,H98,H116,H134,H152,H170,H188)</f>
        <v>0</v>
      </c>
      <c r="I9" s="179">
        <f t="shared" si="15"/>
        <v>31</v>
      </c>
      <c r="J9" s="180">
        <f t="shared" si="15"/>
        <v>15</v>
      </c>
      <c r="K9" s="553">
        <f>SUM(H9:J9)</f>
        <v>46</v>
      </c>
      <c r="L9" s="561">
        <f>IF($A$1="صنایع شیر ایران",IFERROR(('هزینه اداری عمومی'!$C$26/(I9+H9+J9))/$AH$5,0),IFERROR(('هزینه اداری عمومی'!$C$26/(I9+H9))/$AH$5,0))</f>
        <v>1021.1290322580645</v>
      </c>
      <c r="M9" s="1493">
        <f ca="1">IFERROR((VLOOKUP($AH$6,'هزینه اداری عمومی'!$A:$F,3,FALSE)/J9)/$AH$5,0)</f>
        <v>319.23333333333335</v>
      </c>
      <c r="N9" s="178">
        <f t="shared" ref="N9:P9" si="16">SUM(N26,N44,N62,N80,N98,N116,N134,N152,N170,N188)</f>
        <v>0</v>
      </c>
      <c r="O9" s="179">
        <f t="shared" si="16"/>
        <v>30</v>
      </c>
      <c r="P9" s="180">
        <f t="shared" si="16"/>
        <v>9</v>
      </c>
      <c r="Q9" s="553">
        <f>SUM(N9:P9)</f>
        <v>39</v>
      </c>
      <c r="R9" s="561">
        <f>IF($A$1="صنایع شیر ایران",IFERROR(('هزینه اداری عمومی'!$D$26/(O9+N9+P9))/$AH$5,0),IFERROR(('هزینه اداری عمومی'!$D$26/(O9+N9))/$AH$5,0))</f>
        <v>1246.8555555555556</v>
      </c>
      <c r="S9" s="1493">
        <f ca="1">IFERROR((VLOOKUP($AH$6,'هزینه اداری عمومی'!$A:$F,4,FALSE)/P9)/$AH$5,0)</f>
        <v>0</v>
      </c>
      <c r="T9" s="2255" t="str">
        <f t="shared" si="0"/>
        <v>-</v>
      </c>
      <c r="U9" s="2248">
        <f t="shared" si="1"/>
        <v>500</v>
      </c>
      <c r="V9" s="2250">
        <f t="shared" si="2"/>
        <v>96.774193548387103</v>
      </c>
      <c r="W9" s="2248">
        <f t="shared" si="3"/>
        <v>3.2258064516128968</v>
      </c>
      <c r="X9" s="2250">
        <f t="shared" si="4"/>
        <v>60</v>
      </c>
      <c r="Y9" s="565">
        <f t="shared" si="5"/>
        <v>40</v>
      </c>
      <c r="Z9" s="565">
        <f t="shared" si="6"/>
        <v>84.782608695652172</v>
      </c>
      <c r="AA9" s="2231">
        <f t="shared" si="6"/>
        <v>122.10558275856017</v>
      </c>
      <c r="AB9" s="2248">
        <f t="shared" si="7"/>
        <v>22.105582758560175</v>
      </c>
      <c r="AC9" s="562">
        <f ca="1">IFERROR(S9*100/M9,"-")</f>
        <v>0</v>
      </c>
      <c r="AD9" s="565">
        <f ca="1">IFERROR(ABS(AC9-100),500)</f>
        <v>100</v>
      </c>
    </row>
    <row r="10" spans="1:34" ht="35.1" customHeight="1" thickBot="1">
      <c r="A10" s="2552" t="s">
        <v>448</v>
      </c>
      <c r="B10" s="547">
        <f>SUM(B5:B9)</f>
        <v>0</v>
      </c>
      <c r="C10" s="548">
        <f>SUM(C5:C9)</f>
        <v>197</v>
      </c>
      <c r="D10" s="549">
        <f>SUM(D5:D9)</f>
        <v>32</v>
      </c>
      <c r="E10" s="550">
        <f>SUM(E5:E9)</f>
        <v>229</v>
      </c>
      <c r="F10" s="554">
        <f>IF($A$1="صنایع شیر ایران",IFERROR(((SUM(F6*(C6+B6+D6),F9*(C9+B9+D9),F5*(C5+B5+D5)))/(C10+B10+D10)),0),IFERROR(((SUM(F6*(C6+B6),F7*(C8+B7),F8*(#REF!+B8),F9*(C9+B9),F5*(C5+B5)))/(C10+B10)),0))</f>
        <v>0</v>
      </c>
      <c r="G10" s="556">
        <f ca="1">IFERROR((G5*(D6+D5)+G7*(D8+D7)+G9*D9)/(D10),0)</f>
        <v>200.54687500000003</v>
      </c>
      <c r="H10" s="547">
        <f ca="1">SUM(H5:H9)</f>
        <v>0</v>
      </c>
      <c r="I10" s="548">
        <f ca="1">SUM(I5:I9)</f>
        <v>197</v>
      </c>
      <c r="J10" s="549">
        <f ca="1">SUM(J5:J9)</f>
        <v>110</v>
      </c>
      <c r="K10" s="550">
        <f ca="1">SUM(K5:K9)</f>
        <v>307</v>
      </c>
      <c r="L10" s="554">
        <f ca="1">IF($A$1="صنایع شیر ایران",IFERROR(((SUM(L6*(I6+H6+J6),L9*(I9+H9+J9),L5*(I5+H5+J5)))/(I10+H10+J10)),0),IFERROR(((SUM(L6*(I6+H6),L7*(I7+H7),L8*(I8+H8),L9*(I9+H9),L5*(I5+H5)))/(I10+H10)),0))</f>
        <v>1147.4517766497461</v>
      </c>
      <c r="M10" s="556">
        <f ca="1">IFERROR((M5*(J6+J5)+M7*(J8+J7)+M9*J9)/(J10),0)</f>
        <v>231.07121212121211</v>
      </c>
      <c r="N10" s="547">
        <f>SUM(N5:N9)</f>
        <v>0</v>
      </c>
      <c r="O10" s="548">
        <f>SUM(O5:O9)</f>
        <v>193</v>
      </c>
      <c r="P10" s="549">
        <f>SUM(P5:P9)</f>
        <v>49</v>
      </c>
      <c r="Q10" s="550">
        <f>SUM(Q5:Q9)</f>
        <v>242</v>
      </c>
      <c r="R10" s="554">
        <f>IF($A$1="صنایع شیر ایران",IFERROR(((SUM(R6*(O6+N6+P6),R9*(O9+N9+P9),R5*(O5+N5+P5)))/(O10+N10+P10)),0),IFERROR(((SUM(R6*(O6+N6),R7*(O7+N7),R8*(O8+N8),R9*(O9+N9),R5*(O5+N5)))/(O10+N10)),0))</f>
        <v>1266.3894645941275</v>
      </c>
      <c r="S10" s="556">
        <f ca="1">IFERROR((S5*(P6+P5)+S7*(P8+P7)+S9*P9)/(P10),0)</f>
        <v>964.12244897959181</v>
      </c>
      <c r="T10" s="2263" t="str">
        <f t="shared" ca="1" si="0"/>
        <v>-</v>
      </c>
      <c r="U10" s="2257">
        <f t="shared" ca="1" si="1"/>
        <v>500</v>
      </c>
      <c r="V10" s="2259">
        <f t="shared" ca="1" si="2"/>
        <v>97.969543147208128</v>
      </c>
      <c r="W10" s="2257">
        <f t="shared" ca="1" si="3"/>
        <v>2.0304568527918718</v>
      </c>
      <c r="X10" s="2259">
        <f t="shared" ca="1" si="4"/>
        <v>44.545454545454547</v>
      </c>
      <c r="Y10" s="1563">
        <f t="shared" ca="1" si="5"/>
        <v>55.454545454545453</v>
      </c>
      <c r="Z10" s="1563">
        <f t="shared" ca="1" si="6"/>
        <v>78.827361563517911</v>
      </c>
      <c r="AA10" s="2263">
        <f t="shared" ca="1" si="6"/>
        <v>110.36537572774063</v>
      </c>
      <c r="AB10" s="2257">
        <f t="shared" ca="1" si="7"/>
        <v>10.365375727740627</v>
      </c>
      <c r="AC10" s="2259">
        <f ca="1">IFERROR(S10*100/M10,"-")</f>
        <v>417.24039967118273</v>
      </c>
      <c r="AD10" s="1563">
        <f ca="1">IFERROR(ABS(AC10-100),500)</f>
        <v>317.24039967118273</v>
      </c>
    </row>
    <row r="11" spans="1:34" ht="35.1" customHeight="1" thickTop="1" thickBot="1">
      <c r="A11" s="2553" t="s">
        <v>449</v>
      </c>
      <c r="B11" s="689"/>
      <c r="C11" s="690"/>
      <c r="D11" s="691"/>
      <c r="E11" s="1564">
        <f>SUM(B11:D11)</f>
        <v>0</v>
      </c>
      <c r="F11" s="1559"/>
      <c r="G11" s="1560"/>
      <c r="H11" s="689"/>
      <c r="I11" s="690"/>
      <c r="J11" s="691"/>
      <c r="K11" s="1564">
        <f>SUM(H11:J11)</f>
        <v>0</v>
      </c>
      <c r="L11" s="1559"/>
      <c r="M11" s="1560"/>
      <c r="N11" s="689"/>
      <c r="O11" s="690"/>
      <c r="P11" s="691"/>
      <c r="Q11" s="1564">
        <f>SUM(N11:P11)</f>
        <v>0</v>
      </c>
      <c r="R11" s="1559"/>
      <c r="S11" s="1560"/>
      <c r="T11" s="2262" t="str">
        <f t="shared" si="0"/>
        <v>-</v>
      </c>
      <c r="U11" s="2258">
        <f t="shared" si="1"/>
        <v>500</v>
      </c>
      <c r="V11" s="2260" t="str">
        <f t="shared" si="2"/>
        <v>-</v>
      </c>
      <c r="W11" s="2258">
        <f t="shared" si="3"/>
        <v>500</v>
      </c>
      <c r="X11" s="2260" t="str">
        <f t="shared" si="4"/>
        <v>-</v>
      </c>
      <c r="Y11" s="2261">
        <f t="shared" si="5"/>
        <v>500</v>
      </c>
      <c r="Z11" s="2261" t="str">
        <f t="shared" si="6"/>
        <v>-</v>
      </c>
      <c r="AA11" s="2262" t="str">
        <f t="shared" si="6"/>
        <v>-</v>
      </c>
      <c r="AB11" s="2258">
        <f t="shared" si="7"/>
        <v>500</v>
      </c>
      <c r="AC11" s="2260" t="str">
        <f>IFERROR(S11*100/M11,"-")</f>
        <v>-</v>
      </c>
      <c r="AD11" s="2261">
        <f>IFERROR(ABS(AC11-100),500)</f>
        <v>500</v>
      </c>
    </row>
    <row r="12" spans="1:34" ht="16.5" customHeight="1">
      <c r="A12" s="2554"/>
      <c r="B12" s="2554"/>
      <c r="C12" s="2554"/>
      <c r="D12" s="2554"/>
      <c r="E12" s="2554"/>
      <c r="F12" s="2554"/>
      <c r="G12" s="2554"/>
      <c r="H12" s="2554"/>
      <c r="I12" s="2554"/>
      <c r="J12" s="2554"/>
      <c r="K12" s="2554"/>
      <c r="L12" s="2554"/>
      <c r="M12" s="2554"/>
      <c r="N12" s="2554"/>
      <c r="O12" s="2554"/>
      <c r="P12" s="2554"/>
      <c r="Q12" s="2554"/>
      <c r="R12" s="2554"/>
      <c r="S12" s="2554"/>
      <c r="T12" s="2554"/>
      <c r="U12" s="2554"/>
      <c r="V12" s="2554"/>
      <c r="W12" s="2554"/>
      <c r="X12" s="2554"/>
      <c r="Y12" s="2554"/>
      <c r="Z12" s="2554"/>
    </row>
    <row r="13" spans="1:34" ht="8.25" customHeight="1">
      <c r="A13" s="2554"/>
      <c r="B13" s="2554"/>
      <c r="C13" s="2554"/>
      <c r="D13" s="2554"/>
      <c r="E13" s="2554"/>
      <c r="F13" s="2554"/>
      <c r="G13" s="2554"/>
      <c r="H13" s="2554"/>
      <c r="I13" s="2554"/>
      <c r="J13" s="2554"/>
      <c r="K13" s="2554"/>
      <c r="L13" s="2554"/>
      <c r="M13" s="2554"/>
      <c r="N13" s="2554"/>
      <c r="O13" s="2554"/>
      <c r="P13" s="2554"/>
      <c r="Q13" s="2554"/>
      <c r="R13" s="2554"/>
      <c r="S13" s="2554"/>
      <c r="T13" s="2554"/>
      <c r="U13" s="2554"/>
      <c r="V13" s="2554"/>
      <c r="W13" s="2554"/>
      <c r="X13" s="2554"/>
      <c r="Y13" s="2554"/>
      <c r="Z13" s="2554"/>
    </row>
    <row r="19" spans="1:31" ht="29.25" thickBot="1">
      <c r="A19" s="3034" t="str">
        <f>"گزارش تعداد پرسنل و سرانه هزینه پرسنلی به تفکیک نوع قرارداد در دوره " &amp; روکش!$F$9 &amp; " سال " &amp; روکش!$D$9&amp;"- مجتمع خراسان/ شعبه "&amp;AE19</f>
        <v>گزارش تعداد پرسنل و سرانه هزینه پرسنلی به تفکیک نوع قرارداد در دوره شش ماهه سال 1405- مجتمع خراسان/ شعبه شهید کاوه</v>
      </c>
      <c r="B19" s="3034"/>
      <c r="C19" s="3034"/>
      <c r="D19" s="3034"/>
      <c r="E19" s="3034"/>
      <c r="F19" s="3034"/>
      <c r="G19" s="3034"/>
      <c r="H19" s="3034"/>
      <c r="I19" s="3034"/>
      <c r="J19" s="3034"/>
      <c r="K19" s="3034"/>
      <c r="L19" s="3034"/>
      <c r="M19" s="3034"/>
      <c r="N19" s="3034"/>
      <c r="O19" s="3034"/>
      <c r="P19" s="3034"/>
      <c r="Q19" s="3034"/>
      <c r="R19" s="3034"/>
      <c r="S19" s="3034"/>
      <c r="T19" s="3034"/>
      <c r="U19" s="3034"/>
      <c r="V19" s="3034"/>
      <c r="W19" s="3034"/>
      <c r="X19" s="3034"/>
      <c r="Y19" s="3034"/>
      <c r="Z19" s="3034"/>
      <c r="AA19" s="3034"/>
      <c r="AB19" s="3034"/>
      <c r="AC19" s="3034"/>
      <c r="AD19" s="3034"/>
      <c r="AE19" s="2561" t="str">
        <f>واردات!$AA$42</f>
        <v>شهید کاوه</v>
      </c>
    </row>
    <row r="20" spans="1:31" ht="24.75" thickBot="1">
      <c r="A20" s="3052" t="s">
        <v>21</v>
      </c>
      <c r="B20" s="3035" t="s">
        <v>716</v>
      </c>
      <c r="C20" s="3036"/>
      <c r="D20" s="3036"/>
      <c r="E20" s="3036"/>
      <c r="F20" s="3036"/>
      <c r="G20" s="3037"/>
      <c r="H20" s="3035" t="s">
        <v>674</v>
      </c>
      <c r="I20" s="3036"/>
      <c r="J20" s="3036"/>
      <c r="K20" s="3036"/>
      <c r="L20" s="3036"/>
      <c r="M20" s="3037"/>
      <c r="N20" s="3035" t="s">
        <v>675</v>
      </c>
      <c r="O20" s="3036"/>
      <c r="P20" s="3036"/>
      <c r="Q20" s="3036"/>
      <c r="R20" s="3036"/>
      <c r="S20" s="3037"/>
      <c r="T20" s="3035" t="s">
        <v>717</v>
      </c>
      <c r="U20" s="3036"/>
      <c r="V20" s="3036"/>
      <c r="W20" s="3036"/>
      <c r="X20" s="3036"/>
      <c r="Y20" s="3036"/>
      <c r="Z20" s="3036"/>
      <c r="AA20" s="3036"/>
      <c r="AB20" s="3036"/>
      <c r="AC20" s="3036"/>
      <c r="AD20" s="3037"/>
    </row>
    <row r="21" spans="1:31" ht="63.75" thickBot="1">
      <c r="A21" s="3053"/>
      <c r="B21" s="2335" t="s">
        <v>60</v>
      </c>
      <c r="C21" s="2336" t="s">
        <v>61</v>
      </c>
      <c r="D21" s="2337" t="s">
        <v>62</v>
      </c>
      <c r="E21" s="2338" t="s">
        <v>1</v>
      </c>
      <c r="F21" s="2335" t="s">
        <v>1403</v>
      </c>
      <c r="G21" s="2337" t="s">
        <v>1404</v>
      </c>
      <c r="H21" s="2335" t="s">
        <v>60</v>
      </c>
      <c r="I21" s="2336" t="s">
        <v>61</v>
      </c>
      <c r="J21" s="2337" t="s">
        <v>62</v>
      </c>
      <c r="K21" s="2339" t="s">
        <v>1</v>
      </c>
      <c r="L21" s="2335" t="s">
        <v>1403</v>
      </c>
      <c r="M21" s="2337" t="s">
        <v>1404</v>
      </c>
      <c r="N21" s="2335" t="s">
        <v>60</v>
      </c>
      <c r="O21" s="2336" t="s">
        <v>61</v>
      </c>
      <c r="P21" s="2337" t="s">
        <v>62</v>
      </c>
      <c r="Q21" s="2339" t="s">
        <v>1</v>
      </c>
      <c r="R21" s="2335" t="s">
        <v>1403</v>
      </c>
      <c r="S21" s="2337" t="s">
        <v>1404</v>
      </c>
      <c r="T21" s="3044" t="s">
        <v>60</v>
      </c>
      <c r="U21" s="3045"/>
      <c r="V21" s="3046" t="s">
        <v>61</v>
      </c>
      <c r="W21" s="3045"/>
      <c r="X21" s="3046" t="s">
        <v>62</v>
      </c>
      <c r="Y21" s="3047"/>
      <c r="Z21" s="2339" t="s">
        <v>1</v>
      </c>
      <c r="AA21" s="3044" t="s">
        <v>1403</v>
      </c>
      <c r="AB21" s="3045"/>
      <c r="AC21" s="3046" t="s">
        <v>1404</v>
      </c>
      <c r="AD21" s="3047"/>
    </row>
    <row r="22" spans="1:31" hidden="1">
      <c r="A22" s="2555" t="s">
        <v>1278</v>
      </c>
      <c r="B22" s="172"/>
      <c r="C22" s="173"/>
      <c r="D22" s="174"/>
      <c r="E22" s="2340">
        <f>SUM(B22:D22)</f>
        <v>0</v>
      </c>
      <c r="F22" s="2341">
        <f>IF($A$1="صنایع شیر ایران",IFERROR(('هزینه پرسنلی مستقیم تولید'!$B$31/(C22+B22+D22))/$AH$5,0),IFERROR(('هزینه پرسنلی مستقیم تولید'!$B$31/(C22+B22))/$AH$5,0))</f>
        <v>0</v>
      </c>
      <c r="G22" s="3048">
        <f ca="1">IFERROR((VLOOKUP($AH$6,'هزینه سربار تولید'!$A:$F,2,FALSE)/(D22+D23))/$AH$5,0)</f>
        <v>0</v>
      </c>
      <c r="H22" s="2342">
        <v>0</v>
      </c>
      <c r="I22" s="2343">
        <v>0</v>
      </c>
      <c r="J22" s="2344">
        <v>0</v>
      </c>
      <c r="K22" s="2340">
        <f>SUM(H22:J22)</f>
        <v>0</v>
      </c>
      <c r="L22" s="2341">
        <f ca="1">IF($A$1="صنایع شیر ایران",IFERROR(('هزینه پرسنلی مستقیم تولید'!$C$31/(I22+H22+J22))/$AH$5,0),IFERROR(('هزینه پرسنلی مستقیم تولید'!$C$31/(I22+H22))/$AH$5,0))</f>
        <v>0</v>
      </c>
      <c r="M22" s="3048">
        <f ca="1">IFERROR((VLOOKUP($AH$6,'هزینه سربار تولید'!$A:$F,3,FALSE)/(J22+J23))/$AH$5,0)</f>
        <v>0</v>
      </c>
      <c r="N22" s="172"/>
      <c r="O22" s="173"/>
      <c r="P22" s="174"/>
      <c r="Q22" s="2340">
        <f>SUM(N22:P22)</f>
        <v>0</v>
      </c>
      <c r="R22" s="2341">
        <f>IF($A$1="صنایع شیر ایران",IFERROR(('هزینه پرسنلی مستقیم تولید'!$D$31/(O22+N22+P22))/$AH$5,0),IFERROR(('هزینه پرسنلی مستقیم تولید'!$D$31/(O22+N22))/$AH$5,0))</f>
        <v>0</v>
      </c>
      <c r="S22" s="3048">
        <f ca="1">IFERROR((VLOOKUP($AH$6,'هزینه سربار تولید'!$A:$F,4,FALSE)/(P22+P23))/$AH$5,0)</f>
        <v>0</v>
      </c>
      <c r="T22" s="2345" t="str">
        <f t="shared" ref="T22:T28" si="17">IFERROR(N22*100/H22,"-")</f>
        <v>-</v>
      </c>
      <c r="U22" s="2346">
        <f t="shared" ref="U22:U28" si="18">IFERROR(ABS(T22-100),500)</f>
        <v>500</v>
      </c>
      <c r="V22" s="2347" t="str">
        <f t="shared" ref="V22:V28" si="19">IFERROR(O22*100/I22,"-")</f>
        <v>-</v>
      </c>
      <c r="W22" s="2346">
        <f t="shared" ref="W22:W28" si="20">IFERROR(ABS(V22-100),500)</f>
        <v>500</v>
      </c>
      <c r="X22" s="2347" t="str">
        <f t="shared" ref="X22:X28" si="21">IFERROR(P22*100/J22,"-")</f>
        <v>-</v>
      </c>
      <c r="Y22" s="2348">
        <f t="shared" ref="Y22:Y28" si="22">IFERROR(ABS(X22-100),500)</f>
        <v>500</v>
      </c>
      <c r="Z22" s="2346" t="str">
        <f t="shared" ref="Z22:Z28" si="23">IFERROR(Q22*100/K22,"-")</f>
        <v>-</v>
      </c>
      <c r="AA22" s="2345" t="str">
        <f t="shared" ref="AA22:AA28" ca="1" si="24">IFERROR(R22*100/L22,"-")</f>
        <v>-</v>
      </c>
      <c r="AB22" s="2346">
        <f t="shared" ref="AB22:AB28" ca="1" si="25">IFERROR(ABS(AA22-100),500)</f>
        <v>500</v>
      </c>
      <c r="AC22" s="3049" t="str">
        <f ca="1">IFERROR(S22*100/M22,"-")</f>
        <v>-</v>
      </c>
      <c r="AD22" s="3050">
        <f ca="1">IFERROR(ABS(AC22-100),500)</f>
        <v>500</v>
      </c>
    </row>
    <row r="23" spans="1:31" hidden="1">
      <c r="A23" s="2556" t="s">
        <v>1279</v>
      </c>
      <c r="B23" s="175"/>
      <c r="C23" s="176"/>
      <c r="D23" s="177"/>
      <c r="E23" s="2349">
        <f>SUM(B23:D23)</f>
        <v>0</v>
      </c>
      <c r="F23" s="2350">
        <f>IF($A$1="صنایع شیر ایران",IFERROR(('هزینه پرسنلی غیرمستقیم تولید'!$B$31/(C23+B23+D23))/$AH$5,0),IFERROR(('هزینه پرسنلی غیرمستقیم تولید'!$B$31/(C23+B23))/$AH$5,0))</f>
        <v>0</v>
      </c>
      <c r="G23" s="3039"/>
      <c r="H23" s="2351">
        <v>0</v>
      </c>
      <c r="I23" s="2352">
        <v>0</v>
      </c>
      <c r="J23" s="2353">
        <v>0</v>
      </c>
      <c r="K23" s="2349">
        <f>SUM(H23:J23)</f>
        <v>0</v>
      </c>
      <c r="L23" s="2350">
        <f ca="1">IF($A$1="صنایع شیر ایران",IFERROR(('هزینه پرسنلی غیرمستقیم تولید'!$C$31/(I23+H23+J23))/$AH$5,0),IFERROR(('هزینه پرسنلی غیرمستقیم تولید'!$C$31/(I23+H23))/$AH$5,0))</f>
        <v>0</v>
      </c>
      <c r="M23" s="3039"/>
      <c r="N23" s="175"/>
      <c r="O23" s="176"/>
      <c r="P23" s="177"/>
      <c r="Q23" s="2349">
        <f>SUM(N23:P23)</f>
        <v>0</v>
      </c>
      <c r="R23" s="2350">
        <f>IF($A$1="صنایع شیر ایران",IFERROR(('هزینه پرسنلی غیرمستقیم تولید'!$D$31/(O23+N23+P23))/$AH$5,0),IFERROR(('هزینه پرسنلی غیرمستقیم تولید'!$D$31/(O23+N23))/$AH$5,0))</f>
        <v>0</v>
      </c>
      <c r="S23" s="3039"/>
      <c r="T23" s="2354" t="str">
        <f t="shared" si="17"/>
        <v>-</v>
      </c>
      <c r="U23" s="2355">
        <f t="shared" si="18"/>
        <v>500</v>
      </c>
      <c r="V23" s="2356" t="str">
        <f t="shared" si="19"/>
        <v>-</v>
      </c>
      <c r="W23" s="2355">
        <f t="shared" si="20"/>
        <v>500</v>
      </c>
      <c r="X23" s="2356" t="str">
        <f t="shared" si="21"/>
        <v>-</v>
      </c>
      <c r="Y23" s="2357">
        <f t="shared" si="22"/>
        <v>500</v>
      </c>
      <c r="Z23" s="2355" t="str">
        <f t="shared" si="23"/>
        <v>-</v>
      </c>
      <c r="AA23" s="2354" t="str">
        <f t="shared" ca="1" si="24"/>
        <v>-</v>
      </c>
      <c r="AB23" s="2355">
        <f t="shared" ca="1" si="25"/>
        <v>500</v>
      </c>
      <c r="AC23" s="3041"/>
      <c r="AD23" s="3051"/>
    </row>
    <row r="24" spans="1:31" ht="35.1" customHeight="1">
      <c r="A24" s="2556" t="s">
        <v>1280</v>
      </c>
      <c r="B24" s="175"/>
      <c r="C24" s="176">
        <v>21</v>
      </c>
      <c r="D24" s="177">
        <v>1</v>
      </c>
      <c r="E24" s="2349">
        <f>SUM(B24:D24)</f>
        <v>22</v>
      </c>
      <c r="F24" s="2350">
        <f>IFERROR(('هزینه پرسنلی مستقیم خدمات'!$B$31/(C24+B24))/$AH$5,0)</f>
        <v>6023.8888888888896</v>
      </c>
      <c r="G24" s="3038">
        <f ca="1">IFERROR((VLOOKUP($AH$6,'هزینه سربار خدمات'!$A:$F,2,FALSE)/(D24+D25))/$AH$5,0)</f>
        <v>6417.5</v>
      </c>
      <c r="H24" s="175"/>
      <c r="I24" s="176">
        <v>21</v>
      </c>
      <c r="J24" s="177">
        <v>7</v>
      </c>
      <c r="K24" s="2349">
        <f>SUM(H24:J24)</f>
        <v>28</v>
      </c>
      <c r="L24" s="2350">
        <f ca="1">IFERROR(('هزینه پرسنلی مستقیم خدمات'!$C$31/(I24+H24))/$AH$5,0)</f>
        <v>9256.8095238095248</v>
      </c>
      <c r="M24" s="3038">
        <f ca="1">IFERROR((VLOOKUP($AH$6,'هزینه سربار خدمات'!$A:$F,3,FALSE)/(J24+J25))/$AH$5,0)</f>
        <v>2947.0476190476188</v>
      </c>
      <c r="N24" s="175"/>
      <c r="O24" s="176">
        <v>22</v>
      </c>
      <c r="P24" s="177">
        <v>1</v>
      </c>
      <c r="Q24" s="2349">
        <f>SUM(N24:P24)</f>
        <v>23</v>
      </c>
      <c r="R24" s="2350">
        <f>IFERROR(('هزینه پرسنلی مستقیم خدمات'!$D$31/(O24+N24))/$AH$5,0)</f>
        <v>9409.431818181818</v>
      </c>
      <c r="S24" s="3038">
        <f ca="1">IFERROR((VLOOKUP($AH$6,'هزینه سربار خدمات'!$A:$F,4,FALSE)/(P24+P25))/$AH$5,0)</f>
        <v>47242</v>
      </c>
      <c r="T24" s="2358" t="str">
        <f t="shared" si="17"/>
        <v>-</v>
      </c>
      <c r="U24" s="2359">
        <f t="shared" si="18"/>
        <v>500</v>
      </c>
      <c r="V24" s="2360">
        <f t="shared" si="19"/>
        <v>104.76190476190476</v>
      </c>
      <c r="W24" s="2359">
        <f t="shared" si="20"/>
        <v>4.7619047619047592</v>
      </c>
      <c r="X24" s="2360">
        <f t="shared" si="21"/>
        <v>14.285714285714286</v>
      </c>
      <c r="Y24" s="2361">
        <f t="shared" si="22"/>
        <v>85.714285714285708</v>
      </c>
      <c r="Z24" s="2361">
        <f t="shared" si="23"/>
        <v>82.142857142857139</v>
      </c>
      <c r="AA24" s="2358">
        <f t="shared" ca="1" si="24"/>
        <v>101.64875699321382</v>
      </c>
      <c r="AB24" s="2359">
        <f t="shared" ca="1" si="25"/>
        <v>1.6487569932138229</v>
      </c>
      <c r="AC24" s="3040">
        <f ca="1">IFERROR(S24*100/M24,"-")</f>
        <v>1603.0280506721822</v>
      </c>
      <c r="AD24" s="3042">
        <f ca="1">IFERROR(ABS(AC24-100),500)</f>
        <v>1503.0280506721822</v>
      </c>
    </row>
    <row r="25" spans="1:31" ht="35.1" customHeight="1">
      <c r="A25" s="2556" t="s">
        <v>1281</v>
      </c>
      <c r="B25" s="175"/>
      <c r="C25" s="176"/>
      <c r="D25" s="177"/>
      <c r="E25" s="2349">
        <f>SUM(B25:D25)</f>
        <v>0</v>
      </c>
      <c r="F25" s="2350">
        <f>IFERROR(('هزینه پرسنلی غیرمستقیم خدمات'!$B$31/(C25+B25))/$AH$5,0)</f>
        <v>0</v>
      </c>
      <c r="G25" s="3039"/>
      <c r="H25" s="175"/>
      <c r="I25" s="176"/>
      <c r="J25" s="177"/>
      <c r="K25" s="2349">
        <f>SUM(H25:J25)</f>
        <v>0</v>
      </c>
      <c r="L25" s="2350">
        <f ca="1">IFERROR(('هزینه پرسنلی غیرمستقیم خدمات'!$C$31/(I25+H25))/$AH$5,0)</f>
        <v>0</v>
      </c>
      <c r="M25" s="3039"/>
      <c r="N25" s="175"/>
      <c r="O25" s="176"/>
      <c r="P25" s="177"/>
      <c r="Q25" s="2349">
        <f>SUM(N25:P25)</f>
        <v>0</v>
      </c>
      <c r="R25" s="2350">
        <f>IFERROR(('هزینه پرسنلی غیرمستقیم خدمات'!$D$31/(O25+N25))/$AH$5,0)</f>
        <v>0</v>
      </c>
      <c r="S25" s="3039"/>
      <c r="T25" s="2358" t="str">
        <f t="shared" si="17"/>
        <v>-</v>
      </c>
      <c r="U25" s="2359">
        <f t="shared" si="18"/>
        <v>500</v>
      </c>
      <c r="V25" s="2360" t="str">
        <f t="shared" si="19"/>
        <v>-</v>
      </c>
      <c r="W25" s="2359">
        <f t="shared" si="20"/>
        <v>500</v>
      </c>
      <c r="X25" s="2360" t="str">
        <f t="shared" si="21"/>
        <v>-</v>
      </c>
      <c r="Y25" s="2361">
        <f t="shared" si="22"/>
        <v>500</v>
      </c>
      <c r="Z25" s="2361" t="str">
        <f t="shared" si="23"/>
        <v>-</v>
      </c>
      <c r="AA25" s="2358" t="str">
        <f t="shared" ca="1" si="24"/>
        <v>-</v>
      </c>
      <c r="AB25" s="2359">
        <f t="shared" ca="1" si="25"/>
        <v>500</v>
      </c>
      <c r="AC25" s="3041"/>
      <c r="AD25" s="3043"/>
    </row>
    <row r="26" spans="1:31" ht="35.1" customHeight="1" thickBot="1">
      <c r="A26" s="2557" t="s">
        <v>277</v>
      </c>
      <c r="B26" s="178"/>
      <c r="C26" s="179">
        <v>20</v>
      </c>
      <c r="D26" s="180">
        <v>5</v>
      </c>
      <c r="E26" s="2362">
        <f>SUM(B26:D26)</f>
        <v>25</v>
      </c>
      <c r="F26" s="2350">
        <f>IF($A$1="صنایع شیر ایران",IFERROR(('هزینه اداری عمومی'!$B$26/(C26+B26+D26))/$AH$5,0),IFERROR(('هزینه اداری عمومی'!$B$26/(C26+B26))/$AH$5,0))</f>
        <v>1178.1000000000001</v>
      </c>
      <c r="G26" s="2363">
        <f ca="1">IFERROR((VLOOKUP($AH$6,'هزینه اداری عمومی'!$A:$F,2,FALSE)/D26)/$AH$5,0)</f>
        <v>0</v>
      </c>
      <c r="H26" s="178"/>
      <c r="I26" s="179">
        <v>20</v>
      </c>
      <c r="J26" s="180">
        <v>7</v>
      </c>
      <c r="K26" s="2362">
        <f>SUM(H26:J26)</f>
        <v>27</v>
      </c>
      <c r="L26" s="2350">
        <f>IF($A$1="صنایع شیر ایران",IFERROR(('هزینه اداری عمومی'!$C$26/(I26+H26+J26))/$AH$5,0),IFERROR(('هزینه اداری عمومی'!$C$26/(I26+H26))/$AH$5,0))</f>
        <v>1582.75</v>
      </c>
      <c r="M26" s="2363">
        <f ca="1">IFERROR((VLOOKUP($AH$6,'هزینه اداری عمومی'!$A:$F,3,FALSE)/J26)/$AH$5,0)</f>
        <v>684.07142857142856</v>
      </c>
      <c r="N26" s="178"/>
      <c r="O26" s="179">
        <v>18</v>
      </c>
      <c r="P26" s="180">
        <v>6</v>
      </c>
      <c r="Q26" s="2362">
        <f>SUM(N26:P26)</f>
        <v>24</v>
      </c>
      <c r="R26" s="2350">
        <f>IF($A$1="صنایع شیر ایران",IFERROR(('هزینه اداری عمومی'!$D$26/(O26+N26+P26))/$AH$5,0),IFERROR(('هزینه اداری عمومی'!$D$26/(O26+N26))/$AH$5,0))</f>
        <v>2078.0925925925926</v>
      </c>
      <c r="S26" s="2363">
        <f ca="1">IFERROR((VLOOKUP($AH$6,'هزینه اداری عمومی'!$A:$F,4,FALSE)/P26)/$AH$5,0)</f>
        <v>0</v>
      </c>
      <c r="T26" s="2364" t="str">
        <f t="shared" si="17"/>
        <v>-</v>
      </c>
      <c r="U26" s="2365">
        <f t="shared" si="18"/>
        <v>500</v>
      </c>
      <c r="V26" s="2366">
        <f t="shared" si="19"/>
        <v>90</v>
      </c>
      <c r="W26" s="2365">
        <f t="shared" si="20"/>
        <v>10</v>
      </c>
      <c r="X26" s="2366">
        <f t="shared" si="21"/>
        <v>85.714285714285708</v>
      </c>
      <c r="Y26" s="2367">
        <f t="shared" si="22"/>
        <v>14.285714285714292</v>
      </c>
      <c r="Z26" s="2367">
        <f t="shared" si="23"/>
        <v>88.888888888888886</v>
      </c>
      <c r="AA26" s="2358">
        <f t="shared" si="24"/>
        <v>131.29632554683889</v>
      </c>
      <c r="AB26" s="2365">
        <f t="shared" si="25"/>
        <v>31.296325546838887</v>
      </c>
      <c r="AC26" s="2360">
        <f ca="1">IFERROR(S26*100/M26,"-")</f>
        <v>0</v>
      </c>
      <c r="AD26" s="2367">
        <f ca="1">IFERROR(ABS(AC26-100),500)</f>
        <v>100</v>
      </c>
    </row>
    <row r="27" spans="1:31" ht="35.1" customHeight="1" thickBot="1">
      <c r="A27" s="2558" t="s">
        <v>448</v>
      </c>
      <c r="B27" s="2368">
        <f>SUM(B22:B26)</f>
        <v>0</v>
      </c>
      <c r="C27" s="2369">
        <f>SUM(C22:C26)</f>
        <v>41</v>
      </c>
      <c r="D27" s="2370">
        <f>SUM(D22:D26)</f>
        <v>6</v>
      </c>
      <c r="E27" s="2371">
        <f>SUM(E22:E26)</f>
        <v>47</v>
      </c>
      <c r="F27" s="2372">
        <f>IF($A$1="صنایع شیر ایران",IFERROR(((SUM(F23*(C23+B23+D23),F26*(C26+B26+D26),F22*(C22+B22+D22)))/(C27+B27+D27)),0),IFERROR(((SUM(F23*(C23+B23),F24*(C24+B24),F25*(C25+B25),F26*(C26+B26),F22*(C22+B22)))/(C27+B27)),0))</f>
        <v>3660.0894308943093</v>
      </c>
      <c r="G27" s="2373">
        <f ca="1">IFERROR((G22*(D23+D22)+G24*(D25+D24)+G26*D26)/(D27),0)</f>
        <v>1069.5833333333333</v>
      </c>
      <c r="H27" s="2368">
        <f>SUM(H22:H26)</f>
        <v>0</v>
      </c>
      <c r="I27" s="2369">
        <f>SUM(I22:I26)</f>
        <v>41</v>
      </c>
      <c r="J27" s="2370">
        <f>SUM(J22:J26)</f>
        <v>14</v>
      </c>
      <c r="K27" s="2371">
        <f>SUM(K22:K26)</f>
        <v>55</v>
      </c>
      <c r="L27" s="2372">
        <f ca="1">IF($A$1="صنایع شیر ایران",IFERROR(((SUM(L23*(I23+H23+J23),L26*(I26+H26+J26),L22*(I22+H22+J22)))/(I27+H27+J27)),0),IFERROR(((SUM(L23*(I23+H23),L24*(I24+H24),L25*(I25+H25),L26*(I26+H26),L22*(I22+H22)))/(I27+H27)),0))</f>
        <v>5513.3658536585372</v>
      </c>
      <c r="M27" s="2373">
        <f ca="1">IFERROR((M22*(J23+J22)+M24*(J25+J24)+M26*J26)/(J27),0)</f>
        <v>1815.5595238095236</v>
      </c>
      <c r="N27" s="2368">
        <f>SUM(N22:N26)</f>
        <v>0</v>
      </c>
      <c r="O27" s="2369">
        <f>SUM(O22:O26)</f>
        <v>40</v>
      </c>
      <c r="P27" s="2370">
        <f>SUM(P22:P26)</f>
        <v>7</v>
      </c>
      <c r="Q27" s="2371">
        <f>SUM(Q22:Q26)</f>
        <v>47</v>
      </c>
      <c r="R27" s="2372">
        <f>IF($A$1="صنایع شیر ایران",IFERROR(((SUM(R23*(O23+N23+P23),R26*(O26+N26+P26),R22*(O22+N22+P22)))/(O27+N27+P27)),0),IFERROR(((SUM(R23*(O23+N23),R24*(O24+N24),R25*(O25+N25),R26*(O26+N26),R22*(O22+N22)))/(O27+N27)),0))</f>
        <v>6110.3291666666664</v>
      </c>
      <c r="S27" s="2373">
        <f ca="1">IFERROR((S22*(P23+P22)+S24*(P25+P24)+S26*P26)/(P27),0)</f>
        <v>6748.8571428571431</v>
      </c>
      <c r="T27" s="2374" t="str">
        <f t="shared" si="17"/>
        <v>-</v>
      </c>
      <c r="U27" s="2375">
        <f t="shared" si="18"/>
        <v>500</v>
      </c>
      <c r="V27" s="2376">
        <f t="shared" si="19"/>
        <v>97.560975609756099</v>
      </c>
      <c r="W27" s="2375">
        <f t="shared" si="20"/>
        <v>2.4390243902439011</v>
      </c>
      <c r="X27" s="2376">
        <f t="shared" si="21"/>
        <v>50</v>
      </c>
      <c r="Y27" s="2377">
        <f t="shared" si="22"/>
        <v>50</v>
      </c>
      <c r="Z27" s="2377">
        <f t="shared" si="23"/>
        <v>85.454545454545453</v>
      </c>
      <c r="AA27" s="2374">
        <f t="shared" ca="1" si="24"/>
        <v>110.82756575299639</v>
      </c>
      <c r="AB27" s="2375">
        <f t="shared" ca="1" si="25"/>
        <v>10.827565752996392</v>
      </c>
      <c r="AC27" s="2376">
        <f ca="1">IFERROR(S27*100/M27,"-")</f>
        <v>371.72326516159922</v>
      </c>
      <c r="AD27" s="2377">
        <f ca="1">IFERROR(ABS(AC27-100),500)</f>
        <v>271.72326516159922</v>
      </c>
    </row>
    <row r="28" spans="1:31" ht="35.1" customHeight="1" thickTop="1" thickBot="1">
      <c r="A28" s="2559" t="s">
        <v>449</v>
      </c>
      <c r="B28" s="689"/>
      <c r="C28" s="690"/>
      <c r="D28" s="691"/>
      <c r="E28" s="2378">
        <f>SUM(B28:D28)</f>
        <v>0</v>
      </c>
      <c r="F28" s="1559"/>
      <c r="G28" s="1560"/>
      <c r="H28" s="689"/>
      <c r="I28" s="690"/>
      <c r="J28" s="691"/>
      <c r="K28" s="2378">
        <f>SUM(H28:J28)</f>
        <v>0</v>
      </c>
      <c r="L28" s="1559"/>
      <c r="M28" s="1560"/>
      <c r="N28" s="689"/>
      <c r="O28" s="690"/>
      <c r="P28" s="691"/>
      <c r="Q28" s="2378">
        <f>SUM(N28:P28)</f>
        <v>0</v>
      </c>
      <c r="R28" s="1559"/>
      <c r="S28" s="1560"/>
      <c r="T28" s="2379" t="str">
        <f t="shared" si="17"/>
        <v>-</v>
      </c>
      <c r="U28" s="2380">
        <f t="shared" si="18"/>
        <v>500</v>
      </c>
      <c r="V28" s="2381" t="str">
        <f t="shared" si="19"/>
        <v>-</v>
      </c>
      <c r="W28" s="2380">
        <f t="shared" si="20"/>
        <v>500</v>
      </c>
      <c r="X28" s="2381" t="str">
        <f t="shared" si="21"/>
        <v>-</v>
      </c>
      <c r="Y28" s="2382">
        <f t="shared" si="22"/>
        <v>500</v>
      </c>
      <c r="Z28" s="2382" t="str">
        <f t="shared" si="23"/>
        <v>-</v>
      </c>
      <c r="AA28" s="2379" t="str">
        <f t="shared" si="24"/>
        <v>-</v>
      </c>
      <c r="AB28" s="2380">
        <f t="shared" si="25"/>
        <v>500</v>
      </c>
      <c r="AC28" s="2381" t="str">
        <f>IFERROR(S28*100/M28,"-")</f>
        <v>-</v>
      </c>
      <c r="AD28" s="2382">
        <f>IFERROR(ABS(AC28-100),500)</f>
        <v>500</v>
      </c>
    </row>
    <row r="29" spans="1:31" ht="21.75" thickBot="1"/>
    <row r="30" spans="1:31" ht="25.5">
      <c r="A30" s="3054" t="s">
        <v>446</v>
      </c>
      <c r="B30" s="3055"/>
      <c r="C30" s="3055"/>
      <c r="D30" s="3055"/>
      <c r="E30" s="3055"/>
      <c r="F30" s="3055"/>
      <c r="G30" s="3055"/>
      <c r="H30" s="3055"/>
      <c r="I30" s="3055"/>
      <c r="J30" s="3055"/>
      <c r="K30" s="3055"/>
      <c r="L30" s="3055"/>
      <c r="M30" s="3055"/>
      <c r="N30" s="3055"/>
      <c r="O30" s="3055"/>
      <c r="P30" s="3055"/>
      <c r="Q30" s="3055"/>
      <c r="R30" s="3055"/>
      <c r="S30" s="3056"/>
    </row>
    <row r="31" spans="1:31">
      <c r="A31" s="3057"/>
      <c r="B31" s="3058"/>
      <c r="C31" s="3058"/>
      <c r="D31" s="3058"/>
      <c r="E31" s="3058"/>
      <c r="F31" s="3058"/>
      <c r="G31" s="3058"/>
      <c r="H31" s="3058"/>
      <c r="I31" s="3058"/>
      <c r="J31" s="3058"/>
      <c r="K31" s="3058"/>
      <c r="L31" s="3058"/>
      <c r="M31" s="3058"/>
      <c r="N31" s="3058"/>
      <c r="O31" s="3058"/>
      <c r="P31" s="3058"/>
      <c r="Q31" s="3058"/>
      <c r="R31" s="3058"/>
      <c r="S31" s="3059"/>
    </row>
    <row r="32" spans="1:31">
      <c r="A32" s="3057"/>
      <c r="B32" s="3058"/>
      <c r="C32" s="3058"/>
      <c r="D32" s="3058"/>
      <c r="E32" s="3058"/>
      <c r="F32" s="3058"/>
      <c r="G32" s="3058"/>
      <c r="H32" s="3058"/>
      <c r="I32" s="3058"/>
      <c r="J32" s="3058"/>
      <c r="K32" s="3058"/>
      <c r="L32" s="3058"/>
      <c r="M32" s="3058"/>
      <c r="N32" s="3058"/>
      <c r="O32" s="3058"/>
      <c r="P32" s="3058"/>
      <c r="Q32" s="3058"/>
      <c r="R32" s="3058"/>
      <c r="S32" s="3059"/>
    </row>
    <row r="33" spans="1:31">
      <c r="A33" s="3057"/>
      <c r="B33" s="3058"/>
      <c r="C33" s="3058"/>
      <c r="D33" s="3058"/>
      <c r="E33" s="3058"/>
      <c r="F33" s="3058"/>
      <c r="G33" s="3058"/>
      <c r="H33" s="3058"/>
      <c r="I33" s="3058"/>
      <c r="J33" s="3058"/>
      <c r="K33" s="3058"/>
      <c r="L33" s="3058"/>
      <c r="M33" s="3058"/>
      <c r="N33" s="3058"/>
      <c r="O33" s="3058"/>
      <c r="P33" s="3058"/>
      <c r="Q33" s="3058"/>
      <c r="R33" s="3058"/>
      <c r="S33" s="3059"/>
    </row>
    <row r="34" spans="1:31">
      <c r="A34" s="3057"/>
      <c r="B34" s="3058"/>
      <c r="C34" s="3058"/>
      <c r="D34" s="3058"/>
      <c r="E34" s="3058"/>
      <c r="F34" s="3058"/>
      <c r="G34" s="3058"/>
      <c r="H34" s="3058"/>
      <c r="I34" s="3058"/>
      <c r="J34" s="3058"/>
      <c r="K34" s="3058"/>
      <c r="L34" s="3058"/>
      <c r="M34" s="3058"/>
      <c r="N34" s="3058"/>
      <c r="O34" s="3058"/>
      <c r="P34" s="3058"/>
      <c r="Q34" s="3058"/>
      <c r="R34" s="3058"/>
      <c r="S34" s="3059"/>
    </row>
    <row r="35" spans="1:31" ht="21.75" thickBot="1">
      <c r="A35" s="3060"/>
      <c r="B35" s="3061"/>
      <c r="C35" s="3061"/>
      <c r="D35" s="3061"/>
      <c r="E35" s="3061"/>
      <c r="F35" s="3061"/>
      <c r="G35" s="3061"/>
      <c r="H35" s="3061"/>
      <c r="I35" s="3061"/>
      <c r="J35" s="3061"/>
      <c r="K35" s="3061"/>
      <c r="L35" s="3061"/>
      <c r="M35" s="3061"/>
      <c r="N35" s="3061"/>
      <c r="O35" s="3061"/>
      <c r="P35" s="3061"/>
      <c r="Q35" s="3061"/>
      <c r="R35" s="3061"/>
      <c r="S35" s="3062"/>
    </row>
    <row r="37" spans="1:31" ht="29.25" thickBot="1">
      <c r="A37" s="3034" t="str">
        <f>"گزارش تعداد پرسنل و سرانه هزینه پرسنلی به تفکیک نوع قرارداد در دوره " &amp; روکش!$F$9 &amp; " سال " &amp; روکش!$D$9&amp;"- مجتمع خراسان/ شعبه "&amp;AE37</f>
        <v>گزارش تعداد پرسنل و سرانه هزینه پرسنلی به تفکیک نوع قرارداد در دوره شش ماهه سال 1405- مجتمع خراسان/ شعبه مطهری</v>
      </c>
      <c r="B37" s="3034"/>
      <c r="C37" s="3034"/>
      <c r="D37" s="3034"/>
      <c r="E37" s="3034"/>
      <c r="F37" s="3034"/>
      <c r="G37" s="3034"/>
      <c r="H37" s="3034"/>
      <c r="I37" s="3034"/>
      <c r="J37" s="3034"/>
      <c r="K37" s="3034"/>
      <c r="L37" s="3034"/>
      <c r="M37" s="3034"/>
      <c r="N37" s="3034"/>
      <c r="O37" s="3034"/>
      <c r="P37" s="3034"/>
      <c r="Q37" s="3034"/>
      <c r="R37" s="3034"/>
      <c r="S37" s="3034"/>
      <c r="T37" s="3034"/>
      <c r="U37" s="3034"/>
      <c r="V37" s="3034"/>
      <c r="W37" s="3034"/>
      <c r="X37" s="3034"/>
      <c r="Y37" s="3034"/>
      <c r="Z37" s="3034"/>
      <c r="AA37" s="3034"/>
      <c r="AB37" s="3034"/>
      <c r="AC37" s="3034"/>
      <c r="AD37" s="3034"/>
      <c r="AE37" s="2561" t="str">
        <f>واردات!$AA$43</f>
        <v>مطهری</v>
      </c>
    </row>
    <row r="38" spans="1:31" ht="24.75" thickBot="1">
      <c r="A38" s="3052" t="s">
        <v>21</v>
      </c>
      <c r="B38" s="3035" t="s">
        <v>716</v>
      </c>
      <c r="C38" s="3036"/>
      <c r="D38" s="3036"/>
      <c r="E38" s="3036"/>
      <c r="F38" s="3036"/>
      <c r="G38" s="3037"/>
      <c r="H38" s="3035" t="s">
        <v>674</v>
      </c>
      <c r="I38" s="3036"/>
      <c r="J38" s="3036"/>
      <c r="K38" s="3036"/>
      <c r="L38" s="3036"/>
      <c r="M38" s="3037"/>
      <c r="N38" s="3035" t="s">
        <v>675</v>
      </c>
      <c r="O38" s="3036"/>
      <c r="P38" s="3036"/>
      <c r="Q38" s="3036"/>
      <c r="R38" s="3036"/>
      <c r="S38" s="3037"/>
      <c r="T38" s="3035" t="s">
        <v>717</v>
      </c>
      <c r="U38" s="3036"/>
      <c r="V38" s="3036"/>
      <c r="W38" s="3036"/>
      <c r="X38" s="3036"/>
      <c r="Y38" s="3036"/>
      <c r="Z38" s="3036"/>
      <c r="AA38" s="3036"/>
      <c r="AB38" s="3036"/>
      <c r="AC38" s="3036"/>
      <c r="AD38" s="3037"/>
    </row>
    <row r="39" spans="1:31" ht="63.75" thickBot="1">
      <c r="A39" s="3053"/>
      <c r="B39" s="2335" t="s">
        <v>60</v>
      </c>
      <c r="C39" s="2336" t="s">
        <v>61</v>
      </c>
      <c r="D39" s="2337" t="s">
        <v>62</v>
      </c>
      <c r="E39" s="2338" t="s">
        <v>1</v>
      </c>
      <c r="F39" s="2335" t="s">
        <v>1403</v>
      </c>
      <c r="G39" s="2337" t="s">
        <v>1404</v>
      </c>
      <c r="H39" s="2335" t="s">
        <v>60</v>
      </c>
      <c r="I39" s="2336" t="s">
        <v>61</v>
      </c>
      <c r="J39" s="2337" t="s">
        <v>62</v>
      </c>
      <c r="K39" s="2339" t="s">
        <v>1</v>
      </c>
      <c r="L39" s="2335" t="s">
        <v>1403</v>
      </c>
      <c r="M39" s="2337" t="s">
        <v>1404</v>
      </c>
      <c r="N39" s="2335" t="s">
        <v>60</v>
      </c>
      <c r="O39" s="2336" t="s">
        <v>61</v>
      </c>
      <c r="P39" s="2337" t="s">
        <v>62</v>
      </c>
      <c r="Q39" s="2339" t="s">
        <v>1</v>
      </c>
      <c r="R39" s="2335" t="s">
        <v>1403</v>
      </c>
      <c r="S39" s="2337" t="s">
        <v>1404</v>
      </c>
      <c r="T39" s="3044" t="s">
        <v>60</v>
      </c>
      <c r="U39" s="3045"/>
      <c r="V39" s="3046" t="s">
        <v>61</v>
      </c>
      <c r="W39" s="3045"/>
      <c r="X39" s="3046" t="s">
        <v>62</v>
      </c>
      <c r="Y39" s="3047"/>
      <c r="Z39" s="2339" t="s">
        <v>1</v>
      </c>
      <c r="AA39" s="3044" t="s">
        <v>1403</v>
      </c>
      <c r="AB39" s="3045"/>
      <c r="AC39" s="3046" t="s">
        <v>1404</v>
      </c>
      <c r="AD39" s="3047"/>
    </row>
    <row r="40" spans="1:31" hidden="1">
      <c r="A40" s="2555" t="s">
        <v>1278</v>
      </c>
      <c r="B40" s="172"/>
      <c r="C40" s="173"/>
      <c r="D40" s="174"/>
      <c r="E40" s="2340">
        <f>SUM(B40:D40)</f>
        <v>0</v>
      </c>
      <c r="F40" s="2341">
        <f>IF($A$1="صنایع شیر ایران",IFERROR(('هزینه پرسنلی مستقیم تولید'!$B$31/(C40+B40+D40))/$AH$5,0),IFERROR(('هزینه پرسنلی مستقیم تولید'!$B$31/(C40+B40))/$AH$5,0))</f>
        <v>0</v>
      </c>
      <c r="G40" s="3048">
        <f ca="1">IFERROR((VLOOKUP($AH$6,'هزینه سربار تولید'!$A:$F,2,FALSE)/(D40+D41))/$AH$5,0)</f>
        <v>0</v>
      </c>
      <c r="H40" s="2342">
        <v>0</v>
      </c>
      <c r="I40" s="2343">
        <v>0</v>
      </c>
      <c r="J40" s="2344">
        <v>0</v>
      </c>
      <c r="K40" s="2340">
        <f>SUM(H40:J40)</f>
        <v>0</v>
      </c>
      <c r="L40" s="2341">
        <f ca="1">IF($A$1="صنایع شیر ایران",IFERROR(('هزینه پرسنلی مستقیم تولید'!$C$31/(I40+H40+J40))/$AH$5,0),IFERROR(('هزینه پرسنلی مستقیم تولید'!$C$31/(I40+H40))/$AH$5,0))</f>
        <v>0</v>
      </c>
      <c r="M40" s="3048">
        <f ca="1">IFERROR((VLOOKUP($AH$6,'هزینه سربار تولید'!$A:$F,3,FALSE)/(J40+J41))/$AH$5,0)</f>
        <v>0</v>
      </c>
      <c r="N40" s="172"/>
      <c r="O40" s="173"/>
      <c r="P40" s="174"/>
      <c r="Q40" s="2340">
        <f>SUM(N40:P40)</f>
        <v>0</v>
      </c>
      <c r="R40" s="2341">
        <f>IF($A$1="صنایع شیر ایران",IFERROR(('هزینه پرسنلی مستقیم تولید'!$D$31/(O40+N40+P40))/$AH$5,0),IFERROR(('هزینه پرسنلی مستقیم تولید'!$D$31/(O40+N40))/$AH$5,0))</f>
        <v>0</v>
      </c>
      <c r="S40" s="3048">
        <f ca="1">IFERROR((VLOOKUP($AH$6,'هزینه سربار تولید'!$A:$F,4,FALSE)/(P40+P41))/$AH$5,0)</f>
        <v>0</v>
      </c>
      <c r="T40" s="2345" t="str">
        <f t="shared" ref="T40:T46" si="26">IFERROR(N40*100/H40,"-")</f>
        <v>-</v>
      </c>
      <c r="U40" s="2346">
        <f t="shared" ref="U40:U46" si="27">IFERROR(ABS(T40-100),500)</f>
        <v>500</v>
      </c>
      <c r="V40" s="2347" t="str">
        <f t="shared" ref="V40:V46" si="28">IFERROR(O40*100/I40,"-")</f>
        <v>-</v>
      </c>
      <c r="W40" s="2346">
        <f t="shared" ref="W40:W46" si="29">IFERROR(ABS(V40-100),500)</f>
        <v>500</v>
      </c>
      <c r="X40" s="2347" t="str">
        <f t="shared" ref="X40:X46" si="30">IFERROR(P40*100/J40,"-")</f>
        <v>-</v>
      </c>
      <c r="Y40" s="2348">
        <f t="shared" ref="Y40:Y46" si="31">IFERROR(ABS(X40-100),500)</f>
        <v>500</v>
      </c>
      <c r="Z40" s="2346" t="str">
        <f t="shared" ref="Z40:Z46" si="32">IFERROR(Q40*100/K40,"-")</f>
        <v>-</v>
      </c>
      <c r="AA40" s="2345" t="str">
        <f t="shared" ref="AA40:AA46" ca="1" si="33">IFERROR(R40*100/L40,"-")</f>
        <v>-</v>
      </c>
      <c r="AB40" s="2346">
        <f t="shared" ref="AB40:AB46" ca="1" si="34">IFERROR(ABS(AA40-100),500)</f>
        <v>500</v>
      </c>
      <c r="AC40" s="3049" t="str">
        <f ca="1">IFERROR(S40*100/M40,"-")</f>
        <v>-</v>
      </c>
      <c r="AD40" s="3050">
        <f ca="1">IFERROR(ABS(AC40-100),500)</f>
        <v>500</v>
      </c>
    </row>
    <row r="41" spans="1:31" hidden="1">
      <c r="A41" s="2556" t="s">
        <v>1279</v>
      </c>
      <c r="B41" s="175"/>
      <c r="C41" s="176"/>
      <c r="D41" s="177"/>
      <c r="E41" s="2349">
        <f>SUM(B41:D41)</f>
        <v>0</v>
      </c>
      <c r="F41" s="2350">
        <f>IF($A$1="صنایع شیر ایران",IFERROR(('هزینه پرسنلی غیرمستقیم تولید'!$B$31/(C41+B41+D41))/$AH$5,0),IFERROR(('هزینه پرسنلی غیرمستقیم تولید'!$B$31/(C41+B41))/$AH$5,0))</f>
        <v>0</v>
      </c>
      <c r="G41" s="3039"/>
      <c r="H41" s="2351">
        <v>0</v>
      </c>
      <c r="I41" s="2352">
        <v>0</v>
      </c>
      <c r="J41" s="2353">
        <v>0</v>
      </c>
      <c r="K41" s="2349">
        <f>SUM(H41:J41)</f>
        <v>0</v>
      </c>
      <c r="L41" s="2350">
        <f ca="1">IF($A$1="صنایع شیر ایران",IFERROR(('هزینه پرسنلی غیرمستقیم تولید'!$C$31/(I41+H41+J41))/$AH$5,0),IFERROR(('هزینه پرسنلی غیرمستقیم تولید'!$C$31/(I41+H41))/$AH$5,0))</f>
        <v>0</v>
      </c>
      <c r="M41" s="3039"/>
      <c r="N41" s="175"/>
      <c r="O41" s="176"/>
      <c r="P41" s="177"/>
      <c r="Q41" s="2349">
        <f>SUM(N41:P41)</f>
        <v>0</v>
      </c>
      <c r="R41" s="2350">
        <f>IF($A$1="صنایع شیر ایران",IFERROR(('هزینه پرسنلی غیرمستقیم تولید'!$D$31/(O41+N41+P41))/$AH$5,0),IFERROR(('هزینه پرسنلی غیرمستقیم تولید'!$D$31/(O41+N41))/$AH$5,0))</f>
        <v>0</v>
      </c>
      <c r="S41" s="3039"/>
      <c r="T41" s="2354" t="str">
        <f t="shared" si="26"/>
        <v>-</v>
      </c>
      <c r="U41" s="2355">
        <f t="shared" si="27"/>
        <v>500</v>
      </c>
      <c r="V41" s="2356" t="str">
        <f t="shared" si="28"/>
        <v>-</v>
      </c>
      <c r="W41" s="2355">
        <f t="shared" si="29"/>
        <v>500</v>
      </c>
      <c r="X41" s="2356" t="str">
        <f t="shared" si="30"/>
        <v>-</v>
      </c>
      <c r="Y41" s="2357">
        <f t="shared" si="31"/>
        <v>500</v>
      </c>
      <c r="Z41" s="2355" t="str">
        <f t="shared" si="32"/>
        <v>-</v>
      </c>
      <c r="AA41" s="2354" t="str">
        <f t="shared" ca="1" si="33"/>
        <v>-</v>
      </c>
      <c r="AB41" s="2355">
        <f t="shared" ca="1" si="34"/>
        <v>500</v>
      </c>
      <c r="AC41" s="3041"/>
      <c r="AD41" s="3051"/>
    </row>
    <row r="42" spans="1:31" ht="35.1" customHeight="1">
      <c r="A42" s="2556" t="s">
        <v>1280</v>
      </c>
      <c r="B42" s="175"/>
      <c r="C42" s="176">
        <v>27</v>
      </c>
      <c r="D42" s="177">
        <v>7</v>
      </c>
      <c r="E42" s="2349">
        <f>SUM(B42:D42)</f>
        <v>34</v>
      </c>
      <c r="F42" s="2350">
        <f>IFERROR(('هزینه پرسنلی مستقیم خدمات'!$B$31/(C42+B42))/$AH$5,0)</f>
        <v>4685.2469135802467</v>
      </c>
      <c r="G42" s="3038">
        <f ca="1">IFERROR((VLOOKUP($AH$6,'هزینه سربار خدمات'!$A:$F,2,FALSE)/(D42+D43))/$AH$5,0)</f>
        <v>916.78571428571422</v>
      </c>
      <c r="H42" s="175"/>
      <c r="I42" s="176">
        <v>27</v>
      </c>
      <c r="J42" s="177">
        <v>11</v>
      </c>
      <c r="K42" s="2349">
        <f>SUM(H42:J42)</f>
        <v>38</v>
      </c>
      <c r="L42" s="2350">
        <f ca="1">IFERROR(('هزینه پرسنلی مستقیم خدمات'!$C$31/(I42+H42))/$AH$5,0)</f>
        <v>7199.7407407407409</v>
      </c>
      <c r="M42" s="3038">
        <f ca="1">IFERROR((VLOOKUP($AH$6,'هزینه سربار خدمات'!$A:$F,3,FALSE)/(J42+J43))/$AH$5,0)</f>
        <v>1875.3939393939393</v>
      </c>
      <c r="N42" s="175"/>
      <c r="O42" s="176">
        <v>27</v>
      </c>
      <c r="P42" s="177">
        <v>10</v>
      </c>
      <c r="Q42" s="2349">
        <f>SUM(N42:P42)</f>
        <v>37</v>
      </c>
      <c r="R42" s="2350">
        <f>IFERROR(('هزینه پرسنلی مستقیم خدمات'!$D$31/(O42+N42))/$AH$5,0)</f>
        <v>7666.9444444444443</v>
      </c>
      <c r="S42" s="3038">
        <f ca="1">IFERROR((VLOOKUP($AH$6,'هزینه سربار خدمات'!$A:$F,4,FALSE)/(P42+P43))/$AH$5,0)</f>
        <v>4724.2</v>
      </c>
      <c r="T42" s="2358" t="str">
        <f t="shared" si="26"/>
        <v>-</v>
      </c>
      <c r="U42" s="2359">
        <f t="shared" si="27"/>
        <v>500</v>
      </c>
      <c r="V42" s="2360">
        <f t="shared" si="28"/>
        <v>100</v>
      </c>
      <c r="W42" s="2359">
        <f t="shared" si="29"/>
        <v>0</v>
      </c>
      <c r="X42" s="2360">
        <f t="shared" si="30"/>
        <v>90.909090909090907</v>
      </c>
      <c r="Y42" s="2361">
        <f t="shared" si="31"/>
        <v>9.0909090909090935</v>
      </c>
      <c r="Z42" s="2361">
        <f t="shared" si="32"/>
        <v>97.368421052631575</v>
      </c>
      <c r="AA42" s="2358">
        <f t="shared" ca="1" si="33"/>
        <v>106.48917399289068</v>
      </c>
      <c r="AB42" s="2359">
        <f t="shared" ca="1" si="34"/>
        <v>6.4891739928906844</v>
      </c>
      <c r="AC42" s="3040">
        <f ca="1">IFERROR(S42*100/M42,"-")</f>
        <v>251.90440796277147</v>
      </c>
      <c r="AD42" s="3042">
        <f ca="1">IFERROR(ABS(AC42-100),500)</f>
        <v>151.90440796277147</v>
      </c>
    </row>
    <row r="43" spans="1:31" ht="35.1" customHeight="1">
      <c r="A43" s="2556" t="s">
        <v>1281</v>
      </c>
      <c r="B43" s="175"/>
      <c r="C43" s="176"/>
      <c r="D43" s="177"/>
      <c r="E43" s="2349">
        <f>SUM(B43:D43)</f>
        <v>0</v>
      </c>
      <c r="F43" s="2350">
        <f>IFERROR(('هزینه پرسنلی غیرمستقیم خدمات'!$B$31/(C43+B43))/$AH$5,0)</f>
        <v>0</v>
      </c>
      <c r="G43" s="3039"/>
      <c r="H43" s="175"/>
      <c r="I43" s="176"/>
      <c r="J43" s="177"/>
      <c r="K43" s="2349">
        <f>SUM(H43:J43)</f>
        <v>0</v>
      </c>
      <c r="L43" s="2350">
        <f ca="1">IFERROR(('هزینه پرسنلی غیرمستقیم خدمات'!$C$31/(I43+H43))/$AH$5,0)</f>
        <v>0</v>
      </c>
      <c r="M43" s="3039"/>
      <c r="N43" s="175"/>
      <c r="O43" s="176"/>
      <c r="P43" s="177"/>
      <c r="Q43" s="2349">
        <f>SUM(N43:P43)</f>
        <v>0</v>
      </c>
      <c r="R43" s="2350">
        <f>IFERROR(('هزینه پرسنلی غیرمستقیم خدمات'!$D$31/(O43+N43))/$AH$5,0)</f>
        <v>0</v>
      </c>
      <c r="S43" s="3039"/>
      <c r="T43" s="2358" t="str">
        <f t="shared" si="26"/>
        <v>-</v>
      </c>
      <c r="U43" s="2359">
        <f t="shared" si="27"/>
        <v>500</v>
      </c>
      <c r="V43" s="2360" t="str">
        <f t="shared" si="28"/>
        <v>-</v>
      </c>
      <c r="W43" s="2359">
        <f t="shared" si="29"/>
        <v>500</v>
      </c>
      <c r="X43" s="2360" t="str">
        <f t="shared" si="30"/>
        <v>-</v>
      </c>
      <c r="Y43" s="2361">
        <f t="shared" si="31"/>
        <v>500</v>
      </c>
      <c r="Z43" s="2361" t="str">
        <f t="shared" si="32"/>
        <v>-</v>
      </c>
      <c r="AA43" s="2358" t="str">
        <f t="shared" ca="1" si="33"/>
        <v>-</v>
      </c>
      <c r="AB43" s="2359">
        <f t="shared" ca="1" si="34"/>
        <v>500</v>
      </c>
      <c r="AC43" s="3041"/>
      <c r="AD43" s="3043"/>
    </row>
    <row r="44" spans="1:31" ht="35.1" customHeight="1" thickBot="1">
      <c r="A44" s="2557" t="s">
        <v>277</v>
      </c>
      <c r="B44" s="178"/>
      <c r="C44" s="179">
        <v>1</v>
      </c>
      <c r="D44" s="180">
        <v>2</v>
      </c>
      <c r="E44" s="2362">
        <f>SUM(B44:D44)</f>
        <v>3</v>
      </c>
      <c r="F44" s="2350">
        <f>IF($A$1="صنایع شیر ایران",IFERROR(('هزینه اداری عمومی'!$B$26/(C44+B44+D44))/$AH$5,0),IFERROR(('هزینه اداری عمومی'!$B$26/(C44+B44))/$AH$5,0))</f>
        <v>23562</v>
      </c>
      <c r="G44" s="2363">
        <f ca="1">IFERROR((VLOOKUP($AH$6,'هزینه اداری عمومی'!$A:$F,2,FALSE)/D44)/$AH$5,0)</f>
        <v>0</v>
      </c>
      <c r="H44" s="178"/>
      <c r="I44" s="179">
        <v>1</v>
      </c>
      <c r="J44" s="180">
        <v>2</v>
      </c>
      <c r="K44" s="2362">
        <f>SUM(H44:J44)</f>
        <v>3</v>
      </c>
      <c r="L44" s="2350">
        <f>IF($A$1="صنایع شیر ایران",IFERROR(('هزینه اداری عمومی'!$C$26/(I44+H44+J44))/$AH$5,0),IFERROR(('هزینه اداری عمومی'!$C$26/(I44+H44))/$AH$5,0))</f>
        <v>31655</v>
      </c>
      <c r="M44" s="2363">
        <f ca="1">IFERROR((VLOOKUP($AH$6,'هزینه اداری عمومی'!$A:$F,3,FALSE)/J44)/$AH$5,0)</f>
        <v>2394.25</v>
      </c>
      <c r="N44" s="178"/>
      <c r="O44" s="179">
        <v>1</v>
      </c>
      <c r="P44" s="180">
        <v>2</v>
      </c>
      <c r="Q44" s="2362">
        <f>SUM(N44:P44)</f>
        <v>3</v>
      </c>
      <c r="R44" s="2350">
        <f>IF($A$1="صنایع شیر ایران",IFERROR(('هزینه اداری عمومی'!$D$26/(O44+N44+P44))/$AH$5,0),IFERROR(('هزینه اداری عمومی'!$D$26/(O44+N44))/$AH$5,0))</f>
        <v>37405.666666666664</v>
      </c>
      <c r="S44" s="2363">
        <f ca="1">IFERROR((VLOOKUP($AH$6,'هزینه اداری عمومی'!$A:$F,4,FALSE)/P44)/$AH$5,0)</f>
        <v>0</v>
      </c>
      <c r="T44" s="2364" t="str">
        <f t="shared" si="26"/>
        <v>-</v>
      </c>
      <c r="U44" s="2365">
        <f t="shared" si="27"/>
        <v>500</v>
      </c>
      <c r="V44" s="2366">
        <f t="shared" si="28"/>
        <v>100</v>
      </c>
      <c r="W44" s="2365">
        <f t="shared" si="29"/>
        <v>0</v>
      </c>
      <c r="X44" s="2366">
        <f t="shared" si="30"/>
        <v>100</v>
      </c>
      <c r="Y44" s="2367">
        <f t="shared" si="31"/>
        <v>0</v>
      </c>
      <c r="Z44" s="2367">
        <f t="shared" si="32"/>
        <v>100</v>
      </c>
      <c r="AA44" s="2358">
        <f t="shared" si="33"/>
        <v>118.16669299215501</v>
      </c>
      <c r="AB44" s="2365">
        <f t="shared" si="34"/>
        <v>18.166692992155006</v>
      </c>
      <c r="AC44" s="2360">
        <f ca="1">IFERROR(S44*100/M44,"-")</f>
        <v>0</v>
      </c>
      <c r="AD44" s="2367">
        <f ca="1">IFERROR(ABS(AC44-100),500)</f>
        <v>100</v>
      </c>
    </row>
    <row r="45" spans="1:31" ht="35.1" customHeight="1" thickBot="1">
      <c r="A45" s="2558" t="s">
        <v>448</v>
      </c>
      <c r="B45" s="2368">
        <f>SUM(B40:B44)</f>
        <v>0</v>
      </c>
      <c r="C45" s="2369">
        <f>SUM(C40:C44)</f>
        <v>28</v>
      </c>
      <c r="D45" s="2370">
        <f>SUM(D40:D44)</f>
        <v>9</v>
      </c>
      <c r="E45" s="2371">
        <f>SUM(E40:E44)</f>
        <v>37</v>
      </c>
      <c r="F45" s="2372">
        <f>IF($A$1="صنایع شیر ایران",IFERROR(((SUM(F41*(C41+B41+D41),F44*(C44+B44+D44),F40*(C40+B40+D40)))/(C45+B45+D45)),0),IFERROR(((SUM(F41*(C41+B41),F42*(C42+B42),F43*(C43+B43),F44*(C44+B44),F40*(C40+B40)))/(C45+B45)),0))</f>
        <v>5359.4166666666661</v>
      </c>
      <c r="G45" s="2373">
        <f ca="1">IFERROR((G40*(D41+D40)+G42*(D43+D42)+G44*D44)/(D45),0)</f>
        <v>713.05555555555554</v>
      </c>
      <c r="H45" s="2368">
        <f>SUM(H40:H44)</f>
        <v>0</v>
      </c>
      <c r="I45" s="2369">
        <f>SUM(I40:I44)</f>
        <v>28</v>
      </c>
      <c r="J45" s="2370">
        <f>SUM(J40:J44)</f>
        <v>13</v>
      </c>
      <c r="K45" s="2371">
        <f>SUM(K40:K44)</f>
        <v>41</v>
      </c>
      <c r="L45" s="2372">
        <f ca="1">IF($A$1="صنایع شیر ایران",IFERROR(((SUM(L41*(I41+H41+J41),L44*(I44+H44+J44),L40*(I40+H40+J40)))/(I45+H45+J45)),0),IFERROR(((SUM(L41*(I41+H41),L42*(I42+H42),L43*(I43+H43),L44*(I44+H44),L40*(I40+H40)))/(I45+H45)),0))</f>
        <v>8073.1428571428569</v>
      </c>
      <c r="M45" s="2373">
        <f ca="1">IFERROR((M40*(J41+J40)+M42*(J43+J42)+M44*J44)/(J45),0)</f>
        <v>1955.2179487179487</v>
      </c>
      <c r="N45" s="2368">
        <f>SUM(N40:N44)</f>
        <v>0</v>
      </c>
      <c r="O45" s="2369">
        <f>SUM(O40:O44)</f>
        <v>28</v>
      </c>
      <c r="P45" s="2370">
        <f>SUM(P40:P44)</f>
        <v>12</v>
      </c>
      <c r="Q45" s="2371">
        <f>SUM(Q40:Q44)</f>
        <v>40</v>
      </c>
      <c r="R45" s="2372">
        <f>IF($A$1="صنایع شیر ایران",IFERROR(((SUM(R41*(O41+N41+P41),R44*(O44+N44+P44),R40*(O40+N40+P40)))/(O45+N45+P45)),0),IFERROR(((SUM(R41*(O41+N41),R42*(O42+N42),R43*(O43+N43),R44*(O44+N44),R40*(O40+N40)))/(O45+N45)),0))</f>
        <v>8729.0416666666661</v>
      </c>
      <c r="S45" s="2373">
        <f ca="1">IFERROR((S40*(P41+P40)+S42*(P43+P42)+S44*P44)/(P45),0)</f>
        <v>3936.8333333333335</v>
      </c>
      <c r="T45" s="2374" t="str">
        <f t="shared" si="26"/>
        <v>-</v>
      </c>
      <c r="U45" s="2375">
        <f t="shared" si="27"/>
        <v>500</v>
      </c>
      <c r="V45" s="2376">
        <f t="shared" si="28"/>
        <v>100</v>
      </c>
      <c r="W45" s="2375">
        <f t="shared" si="29"/>
        <v>0</v>
      </c>
      <c r="X45" s="2376">
        <f t="shared" si="30"/>
        <v>92.307692307692307</v>
      </c>
      <c r="Y45" s="2377">
        <f t="shared" si="31"/>
        <v>7.6923076923076934</v>
      </c>
      <c r="Z45" s="2377">
        <f t="shared" si="32"/>
        <v>97.560975609756099</v>
      </c>
      <c r="AA45" s="2374">
        <f t="shared" ca="1" si="33"/>
        <v>108.12445439316723</v>
      </c>
      <c r="AB45" s="2375">
        <f t="shared" ca="1" si="34"/>
        <v>8.1244543931672268</v>
      </c>
      <c r="AC45" s="2376">
        <f ca="1">IFERROR(S45*100/M45,"-")</f>
        <v>201.35010196253288</v>
      </c>
      <c r="AD45" s="2377">
        <f ca="1">IFERROR(ABS(AC45-100),500)</f>
        <v>101.35010196253288</v>
      </c>
    </row>
    <row r="46" spans="1:31" ht="35.1" customHeight="1" thickTop="1" thickBot="1">
      <c r="A46" s="2559" t="s">
        <v>449</v>
      </c>
      <c r="B46" s="689"/>
      <c r="C46" s="690"/>
      <c r="D46" s="691"/>
      <c r="E46" s="2378">
        <f>SUM(B46:D46)</f>
        <v>0</v>
      </c>
      <c r="F46" s="1559"/>
      <c r="G46" s="1560"/>
      <c r="H46" s="689"/>
      <c r="I46" s="690"/>
      <c r="J46" s="691"/>
      <c r="K46" s="2378">
        <f>SUM(H46:J46)</f>
        <v>0</v>
      </c>
      <c r="L46" s="1559"/>
      <c r="M46" s="1560"/>
      <c r="N46" s="689"/>
      <c r="O46" s="690"/>
      <c r="P46" s="691"/>
      <c r="Q46" s="2378">
        <f>SUM(N46:P46)</f>
        <v>0</v>
      </c>
      <c r="R46" s="1559"/>
      <c r="S46" s="1560"/>
      <c r="T46" s="2379" t="str">
        <f t="shared" si="26"/>
        <v>-</v>
      </c>
      <c r="U46" s="2380">
        <f t="shared" si="27"/>
        <v>500</v>
      </c>
      <c r="V46" s="2381" t="str">
        <f t="shared" si="28"/>
        <v>-</v>
      </c>
      <c r="W46" s="2380">
        <f t="shared" si="29"/>
        <v>500</v>
      </c>
      <c r="X46" s="2381" t="str">
        <f t="shared" si="30"/>
        <v>-</v>
      </c>
      <c r="Y46" s="2382">
        <f t="shared" si="31"/>
        <v>500</v>
      </c>
      <c r="Z46" s="2382" t="str">
        <f t="shared" si="32"/>
        <v>-</v>
      </c>
      <c r="AA46" s="2379" t="str">
        <f t="shared" si="33"/>
        <v>-</v>
      </c>
      <c r="AB46" s="2380">
        <f t="shared" si="34"/>
        <v>500</v>
      </c>
      <c r="AC46" s="2381" t="str">
        <f>IFERROR(S46*100/M46,"-")</f>
        <v>-</v>
      </c>
      <c r="AD46" s="2382">
        <f>IFERROR(ABS(AC46-100),500)</f>
        <v>500</v>
      </c>
    </row>
    <row r="47" spans="1:31" ht="21.75" thickBot="1"/>
    <row r="48" spans="1:31" ht="25.5">
      <c r="A48" s="3054" t="s">
        <v>446</v>
      </c>
      <c r="B48" s="3055"/>
      <c r="C48" s="3055"/>
      <c r="D48" s="3055"/>
      <c r="E48" s="3055"/>
      <c r="F48" s="3055"/>
      <c r="G48" s="3055"/>
      <c r="H48" s="3055"/>
      <c r="I48" s="3055"/>
      <c r="J48" s="3055"/>
      <c r="K48" s="3055"/>
      <c r="L48" s="3055"/>
      <c r="M48" s="3055"/>
      <c r="N48" s="3055"/>
      <c r="O48" s="3055"/>
      <c r="P48" s="3055"/>
      <c r="Q48" s="3055"/>
      <c r="R48" s="3055"/>
      <c r="S48" s="3056"/>
    </row>
    <row r="49" spans="1:31">
      <c r="A49" s="3057"/>
      <c r="B49" s="3058"/>
      <c r="C49" s="3058"/>
      <c r="D49" s="3058"/>
      <c r="E49" s="3058"/>
      <c r="F49" s="3058"/>
      <c r="G49" s="3058"/>
      <c r="H49" s="3058"/>
      <c r="I49" s="3058"/>
      <c r="J49" s="3058"/>
      <c r="K49" s="3058"/>
      <c r="L49" s="3058"/>
      <c r="M49" s="3058"/>
      <c r="N49" s="3058"/>
      <c r="O49" s="3058"/>
      <c r="P49" s="3058"/>
      <c r="Q49" s="3058"/>
      <c r="R49" s="3058"/>
      <c r="S49" s="3059"/>
    </row>
    <row r="50" spans="1:31">
      <c r="A50" s="3057"/>
      <c r="B50" s="3058"/>
      <c r="C50" s="3058"/>
      <c r="D50" s="3058"/>
      <c r="E50" s="3058"/>
      <c r="F50" s="3058"/>
      <c r="G50" s="3058"/>
      <c r="H50" s="3058"/>
      <c r="I50" s="3058"/>
      <c r="J50" s="3058"/>
      <c r="K50" s="3058"/>
      <c r="L50" s="3058"/>
      <c r="M50" s="3058"/>
      <c r="N50" s="3058"/>
      <c r="O50" s="3058"/>
      <c r="P50" s="3058"/>
      <c r="Q50" s="3058"/>
      <c r="R50" s="3058"/>
      <c r="S50" s="3059"/>
    </row>
    <row r="51" spans="1:31">
      <c r="A51" s="3057"/>
      <c r="B51" s="3058"/>
      <c r="C51" s="3058"/>
      <c r="D51" s="3058"/>
      <c r="E51" s="3058"/>
      <c r="F51" s="3058"/>
      <c r="G51" s="3058"/>
      <c r="H51" s="3058"/>
      <c r="I51" s="3058"/>
      <c r="J51" s="3058"/>
      <c r="K51" s="3058"/>
      <c r="L51" s="3058"/>
      <c r="M51" s="3058"/>
      <c r="N51" s="3058"/>
      <c r="O51" s="3058"/>
      <c r="P51" s="3058"/>
      <c r="Q51" s="3058"/>
      <c r="R51" s="3058"/>
      <c r="S51" s="3059"/>
    </row>
    <row r="52" spans="1:31">
      <c r="A52" s="3057"/>
      <c r="B52" s="3058"/>
      <c r="C52" s="3058"/>
      <c r="D52" s="3058"/>
      <c r="E52" s="3058"/>
      <c r="F52" s="3058"/>
      <c r="G52" s="3058"/>
      <c r="H52" s="3058"/>
      <c r="I52" s="3058"/>
      <c r="J52" s="3058"/>
      <c r="K52" s="3058"/>
      <c r="L52" s="3058"/>
      <c r="M52" s="3058"/>
      <c r="N52" s="3058"/>
      <c r="O52" s="3058"/>
      <c r="P52" s="3058"/>
      <c r="Q52" s="3058"/>
      <c r="R52" s="3058"/>
      <c r="S52" s="3059"/>
    </row>
    <row r="53" spans="1:31" ht="21.75" thickBot="1">
      <c r="A53" s="3060"/>
      <c r="B53" s="3061"/>
      <c r="C53" s="3061"/>
      <c r="D53" s="3061"/>
      <c r="E53" s="3061"/>
      <c r="F53" s="3061"/>
      <c r="G53" s="3061"/>
      <c r="H53" s="3061"/>
      <c r="I53" s="3061"/>
      <c r="J53" s="3061"/>
      <c r="K53" s="3061"/>
      <c r="L53" s="3061"/>
      <c r="M53" s="3061"/>
      <c r="N53" s="3061"/>
      <c r="O53" s="3061"/>
      <c r="P53" s="3061"/>
      <c r="Q53" s="3061"/>
      <c r="R53" s="3061"/>
      <c r="S53" s="3062"/>
    </row>
    <row r="55" spans="1:31" ht="29.25" thickBot="1">
      <c r="A55" s="3034" t="str">
        <f>"گزارش تعداد پرسنل و سرانه هزینه پرسنلی به تفکیک نوع قرارداد در دوره " &amp; روکش!$F$9 &amp; " سال " &amp; روکش!$D$9&amp;"- مجتمع خراسان/ شعبه "&amp;AE55</f>
        <v>گزارش تعداد پرسنل و سرانه هزینه پرسنلی به تفکیک نوع قرارداد در دوره شش ماهه سال 1405- مجتمع خراسان/ شعبه سرخس</v>
      </c>
      <c r="B55" s="3034"/>
      <c r="C55" s="3034"/>
      <c r="D55" s="3034"/>
      <c r="E55" s="3034"/>
      <c r="F55" s="3034"/>
      <c r="G55" s="3034"/>
      <c r="H55" s="3034"/>
      <c r="I55" s="3034"/>
      <c r="J55" s="3034"/>
      <c r="K55" s="3034"/>
      <c r="L55" s="3034"/>
      <c r="M55" s="3034"/>
      <c r="N55" s="3034"/>
      <c r="O55" s="3034"/>
      <c r="P55" s="3034"/>
      <c r="Q55" s="3034"/>
      <c r="R55" s="3034"/>
      <c r="S55" s="3034"/>
      <c r="T55" s="3034"/>
      <c r="U55" s="3034"/>
      <c r="V55" s="3034"/>
      <c r="W55" s="3034"/>
      <c r="X55" s="3034"/>
      <c r="Y55" s="3034"/>
      <c r="Z55" s="3034"/>
      <c r="AA55" s="3034"/>
      <c r="AB55" s="3034"/>
      <c r="AC55" s="3034"/>
      <c r="AD55" s="3034"/>
      <c r="AE55" s="2561" t="str">
        <f>واردات!$AA$44</f>
        <v>سرخس</v>
      </c>
    </row>
    <row r="56" spans="1:31" ht="24.75" thickBot="1">
      <c r="A56" s="3052" t="s">
        <v>21</v>
      </c>
      <c r="B56" s="3035" t="s">
        <v>716</v>
      </c>
      <c r="C56" s="3036"/>
      <c r="D56" s="3036"/>
      <c r="E56" s="3036"/>
      <c r="F56" s="3036"/>
      <c r="G56" s="3037"/>
      <c r="H56" s="3035" t="s">
        <v>674</v>
      </c>
      <c r="I56" s="3036"/>
      <c r="J56" s="3036"/>
      <c r="K56" s="3036"/>
      <c r="L56" s="3036"/>
      <c r="M56" s="3037"/>
      <c r="N56" s="3035" t="s">
        <v>675</v>
      </c>
      <c r="O56" s="3036"/>
      <c r="P56" s="3036"/>
      <c r="Q56" s="3036"/>
      <c r="R56" s="3036"/>
      <c r="S56" s="3037"/>
      <c r="T56" s="3035" t="s">
        <v>717</v>
      </c>
      <c r="U56" s="3036"/>
      <c r="V56" s="3036"/>
      <c r="W56" s="3036"/>
      <c r="X56" s="3036"/>
      <c r="Y56" s="3036"/>
      <c r="Z56" s="3036"/>
      <c r="AA56" s="3036"/>
      <c r="AB56" s="3036"/>
      <c r="AC56" s="3036"/>
      <c r="AD56" s="3037"/>
    </row>
    <row r="57" spans="1:31" ht="63.75" thickBot="1">
      <c r="A57" s="3053"/>
      <c r="B57" s="2335" t="s">
        <v>60</v>
      </c>
      <c r="C57" s="2336" t="s">
        <v>61</v>
      </c>
      <c r="D57" s="2337" t="s">
        <v>62</v>
      </c>
      <c r="E57" s="2338" t="s">
        <v>1</v>
      </c>
      <c r="F57" s="2335" t="s">
        <v>1403</v>
      </c>
      <c r="G57" s="2337" t="s">
        <v>1404</v>
      </c>
      <c r="H57" s="2335" t="s">
        <v>60</v>
      </c>
      <c r="I57" s="2336" t="s">
        <v>61</v>
      </c>
      <c r="J57" s="2337" t="s">
        <v>62</v>
      </c>
      <c r="K57" s="2339" t="s">
        <v>1</v>
      </c>
      <c r="L57" s="2335" t="s">
        <v>1403</v>
      </c>
      <c r="M57" s="2337" t="s">
        <v>1404</v>
      </c>
      <c r="N57" s="2335" t="s">
        <v>60</v>
      </c>
      <c r="O57" s="2336" t="s">
        <v>61</v>
      </c>
      <c r="P57" s="2337" t="s">
        <v>62</v>
      </c>
      <c r="Q57" s="2339" t="s">
        <v>1</v>
      </c>
      <c r="R57" s="2335" t="s">
        <v>1403</v>
      </c>
      <c r="S57" s="2337" t="s">
        <v>1404</v>
      </c>
      <c r="T57" s="3044" t="s">
        <v>60</v>
      </c>
      <c r="U57" s="3045"/>
      <c r="V57" s="3046" t="s">
        <v>61</v>
      </c>
      <c r="W57" s="3045"/>
      <c r="X57" s="3046" t="s">
        <v>62</v>
      </c>
      <c r="Y57" s="3047"/>
      <c r="Z57" s="2339" t="s">
        <v>1</v>
      </c>
      <c r="AA57" s="3044" t="s">
        <v>1403</v>
      </c>
      <c r="AB57" s="3045"/>
      <c r="AC57" s="3046" t="s">
        <v>1404</v>
      </c>
      <c r="AD57" s="3047"/>
    </row>
    <row r="58" spans="1:31" hidden="1">
      <c r="A58" s="2555" t="s">
        <v>1278</v>
      </c>
      <c r="B58" s="172"/>
      <c r="C58" s="173"/>
      <c r="D58" s="174"/>
      <c r="E58" s="2340">
        <f>SUM(B58:D58)</f>
        <v>0</v>
      </c>
      <c r="F58" s="2341">
        <f>IF($A$1="صنایع شیر ایران",IFERROR(('هزینه پرسنلی مستقیم تولید'!$B$31/(C58+B58+D58))/$AH$5,0),IFERROR(('هزینه پرسنلی مستقیم تولید'!$B$31/(C58+B58))/$AH$5,0))</f>
        <v>0</v>
      </c>
      <c r="G58" s="3048">
        <f ca="1">IFERROR((VLOOKUP($AH$6,'هزینه سربار تولید'!$A:$F,2,FALSE)/(D58+D59))/$AH$5,0)</f>
        <v>0</v>
      </c>
      <c r="H58" s="2342">
        <v>0</v>
      </c>
      <c r="I58" s="2343">
        <v>0</v>
      </c>
      <c r="J58" s="2344">
        <v>0</v>
      </c>
      <c r="K58" s="2340">
        <f>SUM(H58:J58)</f>
        <v>0</v>
      </c>
      <c r="L58" s="2341">
        <f ca="1">IF($A$1="صنایع شیر ایران",IFERROR(('هزینه پرسنلی مستقیم تولید'!$C$31/(I58+H58+J58))/$AH$5,0),IFERROR(('هزینه پرسنلی مستقیم تولید'!$C$31/(I58+H58))/$AH$5,0))</f>
        <v>0</v>
      </c>
      <c r="M58" s="3048">
        <f ca="1">IFERROR((VLOOKUP($AH$6,'هزینه سربار تولید'!$A:$F,3,FALSE)/(J58+J59))/$AH$5,0)</f>
        <v>0</v>
      </c>
      <c r="N58" s="172"/>
      <c r="O58" s="173"/>
      <c r="P58" s="174"/>
      <c r="Q58" s="2340">
        <f>SUM(N58:P58)</f>
        <v>0</v>
      </c>
      <c r="R58" s="2341">
        <f>IF($A$1="صنایع شیر ایران",IFERROR(('هزینه پرسنلی مستقیم تولید'!$D$31/(O58+N58+P58))/$AH$5,0),IFERROR(('هزینه پرسنلی مستقیم تولید'!$D$31/(O58+N58))/$AH$5,0))</f>
        <v>0</v>
      </c>
      <c r="S58" s="3048">
        <f ca="1">IFERROR((VLOOKUP($AH$6,'هزینه سربار تولید'!$A:$F,4,FALSE)/(P58+P59))/$AH$5,0)</f>
        <v>0</v>
      </c>
      <c r="T58" s="2345" t="str">
        <f t="shared" ref="T58:T64" si="35">IFERROR(N58*100/H58,"-")</f>
        <v>-</v>
      </c>
      <c r="U58" s="2346">
        <f t="shared" ref="U58:U64" si="36">IFERROR(ABS(T58-100),500)</f>
        <v>500</v>
      </c>
      <c r="V58" s="2347" t="str">
        <f t="shared" ref="V58:V64" si="37">IFERROR(O58*100/I58,"-")</f>
        <v>-</v>
      </c>
      <c r="W58" s="2346">
        <f t="shared" ref="W58:W64" si="38">IFERROR(ABS(V58-100),500)</f>
        <v>500</v>
      </c>
      <c r="X58" s="2347" t="str">
        <f t="shared" ref="X58:X64" si="39">IFERROR(P58*100/J58,"-")</f>
        <v>-</v>
      </c>
      <c r="Y58" s="2348">
        <f t="shared" ref="Y58:Y64" si="40">IFERROR(ABS(X58-100),500)</f>
        <v>500</v>
      </c>
      <c r="Z58" s="2346" t="str">
        <f t="shared" ref="Z58:Z64" si="41">IFERROR(Q58*100/K58,"-")</f>
        <v>-</v>
      </c>
      <c r="AA58" s="2345" t="str">
        <f t="shared" ref="AA58:AA64" ca="1" si="42">IFERROR(R58*100/L58,"-")</f>
        <v>-</v>
      </c>
      <c r="AB58" s="2346">
        <f t="shared" ref="AB58:AB64" ca="1" si="43">IFERROR(ABS(AA58-100),500)</f>
        <v>500</v>
      </c>
      <c r="AC58" s="3049" t="str">
        <f ca="1">IFERROR(S58*100/M58,"-")</f>
        <v>-</v>
      </c>
      <c r="AD58" s="3050">
        <f ca="1">IFERROR(ABS(AC58-100),500)</f>
        <v>500</v>
      </c>
    </row>
    <row r="59" spans="1:31" hidden="1">
      <c r="A59" s="2556" t="s">
        <v>1279</v>
      </c>
      <c r="B59" s="175"/>
      <c r="C59" s="176"/>
      <c r="D59" s="177"/>
      <c r="E59" s="2349">
        <f>SUM(B59:D59)</f>
        <v>0</v>
      </c>
      <c r="F59" s="2350">
        <f>IF($A$1="صنایع شیر ایران",IFERROR(('هزینه پرسنلی غیرمستقیم تولید'!$B$31/(C59+B59+D59))/$AH$5,0),IFERROR(('هزینه پرسنلی غیرمستقیم تولید'!$B$31/(C59+B59))/$AH$5,0))</f>
        <v>0</v>
      </c>
      <c r="G59" s="3039"/>
      <c r="H59" s="2351">
        <v>0</v>
      </c>
      <c r="I59" s="2352">
        <v>0</v>
      </c>
      <c r="J59" s="2353">
        <v>0</v>
      </c>
      <c r="K59" s="2349">
        <f>SUM(H59:J59)</f>
        <v>0</v>
      </c>
      <c r="L59" s="2350">
        <f ca="1">IF($A$1="صنایع شیر ایران",IFERROR(('هزینه پرسنلی غیرمستقیم تولید'!$C$31/(I59+H59+J59))/$AH$5,0),IFERROR(('هزینه پرسنلی غیرمستقیم تولید'!$C$31/(I59+H59))/$AH$5,0))</f>
        <v>0</v>
      </c>
      <c r="M59" s="3039"/>
      <c r="N59" s="175"/>
      <c r="O59" s="176"/>
      <c r="P59" s="177"/>
      <c r="Q59" s="2349">
        <f>SUM(N59:P59)</f>
        <v>0</v>
      </c>
      <c r="R59" s="2350">
        <f>IF($A$1="صنایع شیر ایران",IFERROR(('هزینه پرسنلی غیرمستقیم تولید'!$D$31/(O59+N59+P59))/$AH$5,0),IFERROR(('هزینه پرسنلی غیرمستقیم تولید'!$D$31/(O59+N59))/$AH$5,0))</f>
        <v>0</v>
      </c>
      <c r="S59" s="3039"/>
      <c r="T59" s="2354" t="str">
        <f t="shared" si="35"/>
        <v>-</v>
      </c>
      <c r="U59" s="2355">
        <f t="shared" si="36"/>
        <v>500</v>
      </c>
      <c r="V59" s="2356" t="str">
        <f t="shared" si="37"/>
        <v>-</v>
      </c>
      <c r="W59" s="2355">
        <f t="shared" si="38"/>
        <v>500</v>
      </c>
      <c r="X59" s="2356" t="str">
        <f t="shared" si="39"/>
        <v>-</v>
      </c>
      <c r="Y59" s="2357">
        <f t="shared" si="40"/>
        <v>500</v>
      </c>
      <c r="Z59" s="2355" t="str">
        <f t="shared" si="41"/>
        <v>-</v>
      </c>
      <c r="AA59" s="2354" t="str">
        <f t="shared" ca="1" si="42"/>
        <v>-</v>
      </c>
      <c r="AB59" s="2355">
        <f t="shared" ca="1" si="43"/>
        <v>500</v>
      </c>
      <c r="AC59" s="3041"/>
      <c r="AD59" s="3051"/>
    </row>
    <row r="60" spans="1:31" ht="35.1" customHeight="1">
      <c r="A60" s="2556" t="s">
        <v>1280</v>
      </c>
      <c r="B60" s="175"/>
      <c r="C60" s="176">
        <v>19</v>
      </c>
      <c r="D60" s="177">
        <v>0</v>
      </c>
      <c r="E60" s="2349">
        <f>SUM(B60:D60)</f>
        <v>19</v>
      </c>
      <c r="F60" s="2350">
        <f>IFERROR(('هزینه پرسنلی مستقیم خدمات'!$B$31/(C60+B60))/$AH$5,0)</f>
        <v>6657.9824561403511</v>
      </c>
      <c r="G60" s="3038">
        <f ca="1">IFERROR((VLOOKUP($AH$6,'هزینه سربار خدمات'!$A:$F,2,FALSE)/(D60+D61))/$AH$5,0)</f>
        <v>0</v>
      </c>
      <c r="H60" s="175"/>
      <c r="I60" s="176">
        <v>19</v>
      </c>
      <c r="J60" s="177">
        <v>3</v>
      </c>
      <c r="K60" s="2349">
        <f>SUM(H60:J60)</f>
        <v>22</v>
      </c>
      <c r="L60" s="2350">
        <f ca="1">IFERROR(('هزینه پرسنلی مستقیم خدمات'!$C$31/(I60+H60))/$AH$5,0)</f>
        <v>10231.21052631579</v>
      </c>
      <c r="M60" s="3038">
        <f ca="1">IFERROR((VLOOKUP($AH$6,'هزینه سربار خدمات'!$A:$F,3,FALSE)/(J60+J61))/$AH$5,0)</f>
        <v>6876.4444444444443</v>
      </c>
      <c r="N60" s="175"/>
      <c r="O60" s="176">
        <v>19</v>
      </c>
      <c r="P60" s="177">
        <v>1</v>
      </c>
      <c r="Q60" s="2349">
        <f>SUM(N60:P60)</f>
        <v>20</v>
      </c>
      <c r="R60" s="2350">
        <f>IFERROR(('هزینه پرسنلی مستقیم خدمات'!$D$31/(O60+N60))/$AH$5,0)</f>
        <v>10895.131578947368</v>
      </c>
      <c r="S60" s="3038">
        <f ca="1">IFERROR((VLOOKUP($AH$6,'هزینه سربار خدمات'!$A:$F,4,FALSE)/(P60+P61))/$AH$5,0)</f>
        <v>47242</v>
      </c>
      <c r="T60" s="2358" t="str">
        <f t="shared" si="35"/>
        <v>-</v>
      </c>
      <c r="U60" s="2359">
        <f t="shared" si="36"/>
        <v>500</v>
      </c>
      <c r="V60" s="2360">
        <f t="shared" si="37"/>
        <v>100</v>
      </c>
      <c r="W60" s="2359">
        <f t="shared" si="38"/>
        <v>0</v>
      </c>
      <c r="X60" s="2360">
        <f t="shared" si="39"/>
        <v>33.333333333333336</v>
      </c>
      <c r="Y60" s="2361">
        <f t="shared" si="40"/>
        <v>66.666666666666657</v>
      </c>
      <c r="Z60" s="2361">
        <f t="shared" si="41"/>
        <v>90.909090909090907</v>
      </c>
      <c r="AA60" s="2358">
        <f t="shared" ca="1" si="42"/>
        <v>106.48917399289068</v>
      </c>
      <c r="AB60" s="2359">
        <f t="shared" ca="1" si="43"/>
        <v>6.4891739928906844</v>
      </c>
      <c r="AC60" s="3040">
        <f ca="1">IFERROR(S60*100/M60,"-")</f>
        <v>687.01202171664943</v>
      </c>
      <c r="AD60" s="3042">
        <f ca="1">IFERROR(ABS(AC60-100),500)</f>
        <v>587.01202171664943</v>
      </c>
    </row>
    <row r="61" spans="1:31" ht="35.1" customHeight="1">
      <c r="A61" s="2556" t="s">
        <v>1281</v>
      </c>
      <c r="B61" s="175"/>
      <c r="C61" s="176"/>
      <c r="D61" s="177"/>
      <c r="E61" s="2349">
        <f>SUM(B61:D61)</f>
        <v>0</v>
      </c>
      <c r="F61" s="2350">
        <f>IFERROR(('هزینه پرسنلی غیرمستقیم خدمات'!$B$31/(C61+B61))/$AH$5,0)</f>
        <v>0</v>
      </c>
      <c r="G61" s="3039"/>
      <c r="H61" s="175"/>
      <c r="I61" s="176"/>
      <c r="J61" s="177"/>
      <c r="K61" s="2349">
        <f>SUM(H61:J61)</f>
        <v>0</v>
      </c>
      <c r="L61" s="2350">
        <f ca="1">IFERROR(('هزینه پرسنلی غیرمستقیم خدمات'!$C$31/(I61+H61))/$AH$5,0)</f>
        <v>0</v>
      </c>
      <c r="M61" s="3039"/>
      <c r="N61" s="175"/>
      <c r="O61" s="176"/>
      <c r="P61" s="177"/>
      <c r="Q61" s="2349">
        <f>SUM(N61:P61)</f>
        <v>0</v>
      </c>
      <c r="R61" s="2350">
        <f>IFERROR(('هزینه پرسنلی غیرمستقیم خدمات'!$D$31/(O61+N61))/$AH$5,0)</f>
        <v>0</v>
      </c>
      <c r="S61" s="3039"/>
      <c r="T61" s="2358" t="str">
        <f t="shared" si="35"/>
        <v>-</v>
      </c>
      <c r="U61" s="2359">
        <f t="shared" si="36"/>
        <v>500</v>
      </c>
      <c r="V61" s="2360" t="str">
        <f t="shared" si="37"/>
        <v>-</v>
      </c>
      <c r="W61" s="2359">
        <f t="shared" si="38"/>
        <v>500</v>
      </c>
      <c r="X61" s="2360" t="str">
        <f t="shared" si="39"/>
        <v>-</v>
      </c>
      <c r="Y61" s="2361">
        <f t="shared" si="40"/>
        <v>500</v>
      </c>
      <c r="Z61" s="2361" t="str">
        <f t="shared" si="41"/>
        <v>-</v>
      </c>
      <c r="AA61" s="2358" t="str">
        <f t="shared" ca="1" si="42"/>
        <v>-</v>
      </c>
      <c r="AB61" s="2359">
        <f t="shared" ca="1" si="43"/>
        <v>500</v>
      </c>
      <c r="AC61" s="3041"/>
      <c r="AD61" s="3043"/>
    </row>
    <row r="62" spans="1:31" ht="35.1" customHeight="1" thickBot="1">
      <c r="A62" s="2557" t="s">
        <v>277</v>
      </c>
      <c r="B62" s="178"/>
      <c r="C62" s="179">
        <v>4</v>
      </c>
      <c r="D62" s="180">
        <v>0</v>
      </c>
      <c r="E62" s="2362">
        <f>SUM(B62:D62)</f>
        <v>4</v>
      </c>
      <c r="F62" s="2350">
        <f>IF($A$1="صنایع شیر ایران",IFERROR(('هزینه اداری عمومی'!$B$26/(C62+B62+D62))/$AH$5,0),IFERROR(('هزینه اداری عمومی'!$B$26/(C62+B62))/$AH$5,0))</f>
        <v>5890.5</v>
      </c>
      <c r="G62" s="2363">
        <f ca="1">IFERROR((VLOOKUP($AH$6,'هزینه اداری عمومی'!$A:$F,2,FALSE)/D62)/$AH$5,0)</f>
        <v>0</v>
      </c>
      <c r="H62" s="178"/>
      <c r="I62" s="179">
        <v>4</v>
      </c>
      <c r="J62" s="180">
        <v>1</v>
      </c>
      <c r="K62" s="2362">
        <f>SUM(H62:J62)</f>
        <v>5</v>
      </c>
      <c r="L62" s="2350">
        <f>IF($A$1="صنایع شیر ایران",IFERROR(('هزینه اداری عمومی'!$C$26/(I62+H62+J62))/$AH$5,0),IFERROR(('هزینه اداری عمومی'!$C$26/(I62+H62))/$AH$5,0))</f>
        <v>7913.75</v>
      </c>
      <c r="M62" s="2363">
        <f ca="1">IFERROR((VLOOKUP($AH$6,'هزینه اداری عمومی'!$A:$F,3,FALSE)/J62)/$AH$5,0)</f>
        <v>4788.5</v>
      </c>
      <c r="N62" s="178"/>
      <c r="O62" s="179">
        <v>3</v>
      </c>
      <c r="P62" s="180">
        <v>0</v>
      </c>
      <c r="Q62" s="2362">
        <f>SUM(N62:P62)</f>
        <v>3</v>
      </c>
      <c r="R62" s="2350">
        <f>IF($A$1="صنایع شیر ایران",IFERROR(('هزینه اداری عمومی'!$D$26/(O62+N62+P62))/$AH$5,0),IFERROR(('هزینه اداری عمومی'!$D$26/(O62+N62))/$AH$5,0))</f>
        <v>12468.555555555555</v>
      </c>
      <c r="S62" s="2363">
        <f ca="1">IFERROR((VLOOKUP($AH$6,'هزینه اداری عمومی'!$A:$F,4,FALSE)/P62)/$AH$5,0)</f>
        <v>0</v>
      </c>
      <c r="T62" s="2364" t="str">
        <f t="shared" si="35"/>
        <v>-</v>
      </c>
      <c r="U62" s="2365">
        <f t="shared" si="36"/>
        <v>500</v>
      </c>
      <c r="V62" s="2366">
        <f t="shared" si="37"/>
        <v>75</v>
      </c>
      <c r="W62" s="2365">
        <f t="shared" si="38"/>
        <v>25</v>
      </c>
      <c r="X62" s="2366">
        <f t="shared" si="39"/>
        <v>0</v>
      </c>
      <c r="Y62" s="2367">
        <f t="shared" si="40"/>
        <v>100</v>
      </c>
      <c r="Z62" s="2367">
        <f t="shared" si="41"/>
        <v>60</v>
      </c>
      <c r="AA62" s="2358">
        <f t="shared" si="42"/>
        <v>157.55559065620668</v>
      </c>
      <c r="AB62" s="2365">
        <f t="shared" si="43"/>
        <v>57.555590656206675</v>
      </c>
      <c r="AC62" s="2360">
        <f ca="1">IFERROR(S62*100/M62,"-")</f>
        <v>0</v>
      </c>
      <c r="AD62" s="2367">
        <f ca="1">IFERROR(ABS(AC62-100),500)</f>
        <v>100</v>
      </c>
    </row>
    <row r="63" spans="1:31" ht="35.1" customHeight="1" thickBot="1">
      <c r="A63" s="2558" t="s">
        <v>448</v>
      </c>
      <c r="B63" s="2368">
        <f>SUM(B58:B62)</f>
        <v>0</v>
      </c>
      <c r="C63" s="2369">
        <f>SUM(C58:C62)</f>
        <v>23</v>
      </c>
      <c r="D63" s="2370">
        <f>SUM(D58:D62)</f>
        <v>0</v>
      </c>
      <c r="E63" s="2371">
        <f>SUM(E58:E62)</f>
        <v>23</v>
      </c>
      <c r="F63" s="2372">
        <f>IF($A$1="صنایع شیر ایران",IFERROR(((SUM(F59*(C59+B59+D59),F62*(C62+B62+D62),F58*(C58+B58+D58)))/(C63+B63+D63)),0),IFERROR(((SUM(F59*(C59+B59),F60*(C60+B60),F61*(C61+B61),F62*(C62+B62),F58*(C58+B58)))/(C63+B63)),0))</f>
        <v>6524.5072463768129</v>
      </c>
      <c r="G63" s="2373">
        <f ca="1">IFERROR((G58*(D59+D58)+G60*(D61+D60)+G62*D62)/(D63),0)</f>
        <v>0</v>
      </c>
      <c r="H63" s="2368">
        <f>SUM(H58:H62)</f>
        <v>0</v>
      </c>
      <c r="I63" s="2369">
        <f>SUM(I58:I62)</f>
        <v>23</v>
      </c>
      <c r="J63" s="2370">
        <f>SUM(J58:J62)</f>
        <v>4</v>
      </c>
      <c r="K63" s="2371">
        <f>SUM(K58:K62)</f>
        <v>27</v>
      </c>
      <c r="L63" s="2372">
        <f ca="1">IF($A$1="صنایع شیر ایران",IFERROR(((SUM(L59*(I59+H59+J59),L62*(I62+H62+J62),L58*(I58+H58+J58)))/(I63+H63+J63)),0),IFERROR(((SUM(L59*(I59+H59),L60*(I60+H60),L61*(I61+H61),L62*(I62+H62),L58*(I58+H58)))/(I63+H63)),0))</f>
        <v>9828.173913043478</v>
      </c>
      <c r="M63" s="2373">
        <f ca="1">IFERROR((M58*(J59+J58)+M60*(J61+J60)+M62*J62)/(J63),0)</f>
        <v>6354.458333333333</v>
      </c>
      <c r="N63" s="2368">
        <f>SUM(N58:N62)</f>
        <v>0</v>
      </c>
      <c r="O63" s="2369">
        <f>SUM(O58:O62)</f>
        <v>22</v>
      </c>
      <c r="P63" s="2370">
        <f>SUM(P58:P62)</f>
        <v>1</v>
      </c>
      <c r="Q63" s="2371">
        <f>SUM(Q58:Q62)</f>
        <v>23</v>
      </c>
      <c r="R63" s="2372">
        <f>IF($A$1="صنایع شیر ایران",IFERROR(((SUM(R59*(O59+N59+P59),R62*(O62+N62+P62),R58*(O58+N58+P58)))/(O63+N63+P63)),0),IFERROR(((SUM(R59*(O59+N59),R60*(O60+N60),R61*(O61+N61),R62*(O62+N62),R58*(O58+N58)))/(O63+N63)),0))</f>
        <v>11109.689393939394</v>
      </c>
      <c r="S63" s="2373">
        <f ca="1">IFERROR((S58*(P59+P58)+S60*(P61+P60)+S62*P62)/(P63),0)</f>
        <v>47242</v>
      </c>
      <c r="T63" s="2374" t="str">
        <f t="shared" si="35"/>
        <v>-</v>
      </c>
      <c r="U63" s="2375">
        <f t="shared" si="36"/>
        <v>500</v>
      </c>
      <c r="V63" s="2376">
        <f t="shared" si="37"/>
        <v>95.652173913043484</v>
      </c>
      <c r="W63" s="2375">
        <f t="shared" si="38"/>
        <v>4.3478260869565162</v>
      </c>
      <c r="X63" s="2376">
        <f t="shared" si="39"/>
        <v>25</v>
      </c>
      <c r="Y63" s="2377">
        <f t="shared" si="40"/>
        <v>75</v>
      </c>
      <c r="Z63" s="2377">
        <f t="shared" si="41"/>
        <v>85.18518518518519</v>
      </c>
      <c r="AA63" s="2374">
        <f t="shared" ca="1" si="42"/>
        <v>113.03920232012939</v>
      </c>
      <c r="AB63" s="2375">
        <f t="shared" ca="1" si="43"/>
        <v>13.039202320129391</v>
      </c>
      <c r="AC63" s="2376">
        <f ca="1">IFERROR(S63*100/M63,"-")</f>
        <v>743.44653032319832</v>
      </c>
      <c r="AD63" s="2377">
        <f ca="1">IFERROR(ABS(AC63-100),500)</f>
        <v>643.44653032319832</v>
      </c>
    </row>
    <row r="64" spans="1:31" ht="35.1" customHeight="1" thickTop="1" thickBot="1">
      <c r="A64" s="2559" t="s">
        <v>449</v>
      </c>
      <c r="B64" s="689"/>
      <c r="C64" s="690"/>
      <c r="D64" s="691"/>
      <c r="E64" s="2378">
        <f>SUM(B64:D64)</f>
        <v>0</v>
      </c>
      <c r="F64" s="1559"/>
      <c r="G64" s="1560"/>
      <c r="H64" s="689"/>
      <c r="I64" s="690"/>
      <c r="J64" s="691"/>
      <c r="K64" s="2378">
        <f>SUM(H64:J64)</f>
        <v>0</v>
      </c>
      <c r="L64" s="1559"/>
      <c r="M64" s="1560"/>
      <c r="N64" s="689"/>
      <c r="O64" s="690"/>
      <c r="P64" s="691"/>
      <c r="Q64" s="2378">
        <f>SUM(N64:P64)</f>
        <v>0</v>
      </c>
      <c r="R64" s="1559"/>
      <c r="S64" s="1560"/>
      <c r="T64" s="2379" t="str">
        <f t="shared" si="35"/>
        <v>-</v>
      </c>
      <c r="U64" s="2380">
        <f t="shared" si="36"/>
        <v>500</v>
      </c>
      <c r="V64" s="2381" t="str">
        <f t="shared" si="37"/>
        <v>-</v>
      </c>
      <c r="W64" s="2380">
        <f t="shared" si="38"/>
        <v>500</v>
      </c>
      <c r="X64" s="2381" t="str">
        <f t="shared" si="39"/>
        <v>-</v>
      </c>
      <c r="Y64" s="2382">
        <f t="shared" si="40"/>
        <v>500</v>
      </c>
      <c r="Z64" s="2382" t="str">
        <f t="shared" si="41"/>
        <v>-</v>
      </c>
      <c r="AA64" s="2379" t="str">
        <f t="shared" si="42"/>
        <v>-</v>
      </c>
      <c r="AB64" s="2380">
        <f t="shared" si="43"/>
        <v>500</v>
      </c>
      <c r="AC64" s="2381" t="str">
        <f>IFERROR(S64*100/M64,"-")</f>
        <v>-</v>
      </c>
      <c r="AD64" s="2382">
        <f>IFERROR(ABS(AC64-100),500)</f>
        <v>500</v>
      </c>
    </row>
    <row r="65" spans="1:31" ht="21.75" thickBot="1"/>
    <row r="66" spans="1:31" ht="25.5">
      <c r="A66" s="3054" t="s">
        <v>446</v>
      </c>
      <c r="B66" s="3055"/>
      <c r="C66" s="3055"/>
      <c r="D66" s="3055"/>
      <c r="E66" s="3055"/>
      <c r="F66" s="3055"/>
      <c r="G66" s="3055"/>
      <c r="H66" s="3055"/>
      <c r="I66" s="3055"/>
      <c r="J66" s="3055"/>
      <c r="K66" s="3055"/>
      <c r="L66" s="3055"/>
      <c r="M66" s="3055"/>
      <c r="N66" s="3055"/>
      <c r="O66" s="3055"/>
      <c r="P66" s="3055"/>
      <c r="Q66" s="3055"/>
      <c r="R66" s="3055"/>
      <c r="S66" s="3056"/>
    </row>
    <row r="67" spans="1:31">
      <c r="A67" s="3057"/>
      <c r="B67" s="3058"/>
      <c r="C67" s="3058"/>
      <c r="D67" s="3058"/>
      <c r="E67" s="3058"/>
      <c r="F67" s="3058"/>
      <c r="G67" s="3058"/>
      <c r="H67" s="3058"/>
      <c r="I67" s="3058"/>
      <c r="J67" s="3058"/>
      <c r="K67" s="3058"/>
      <c r="L67" s="3058"/>
      <c r="M67" s="3058"/>
      <c r="N67" s="3058"/>
      <c r="O67" s="3058"/>
      <c r="P67" s="3058"/>
      <c r="Q67" s="3058"/>
      <c r="R67" s="3058"/>
      <c r="S67" s="3059"/>
    </row>
    <row r="68" spans="1:31">
      <c r="A68" s="3057"/>
      <c r="B68" s="3058"/>
      <c r="C68" s="3058"/>
      <c r="D68" s="3058"/>
      <c r="E68" s="3058"/>
      <c r="F68" s="3058"/>
      <c r="G68" s="3058"/>
      <c r="H68" s="3058"/>
      <c r="I68" s="3058"/>
      <c r="J68" s="3058"/>
      <c r="K68" s="3058"/>
      <c r="L68" s="3058"/>
      <c r="M68" s="3058"/>
      <c r="N68" s="3058"/>
      <c r="O68" s="3058"/>
      <c r="P68" s="3058"/>
      <c r="Q68" s="3058"/>
      <c r="R68" s="3058"/>
      <c r="S68" s="3059"/>
    </row>
    <row r="69" spans="1:31">
      <c r="A69" s="3057"/>
      <c r="B69" s="3058"/>
      <c r="C69" s="3058"/>
      <c r="D69" s="3058"/>
      <c r="E69" s="3058"/>
      <c r="F69" s="3058"/>
      <c r="G69" s="3058"/>
      <c r="H69" s="3058"/>
      <c r="I69" s="3058"/>
      <c r="J69" s="3058"/>
      <c r="K69" s="3058"/>
      <c r="L69" s="3058"/>
      <c r="M69" s="3058"/>
      <c r="N69" s="3058"/>
      <c r="O69" s="3058"/>
      <c r="P69" s="3058"/>
      <c r="Q69" s="3058"/>
      <c r="R69" s="3058"/>
      <c r="S69" s="3059"/>
    </row>
    <row r="70" spans="1:31">
      <c r="A70" s="3057"/>
      <c r="B70" s="3058"/>
      <c r="C70" s="3058"/>
      <c r="D70" s="3058"/>
      <c r="E70" s="3058"/>
      <c r="F70" s="3058"/>
      <c r="G70" s="3058"/>
      <c r="H70" s="3058"/>
      <c r="I70" s="3058"/>
      <c r="J70" s="3058"/>
      <c r="K70" s="3058"/>
      <c r="L70" s="3058"/>
      <c r="M70" s="3058"/>
      <c r="N70" s="3058"/>
      <c r="O70" s="3058"/>
      <c r="P70" s="3058"/>
      <c r="Q70" s="3058"/>
      <c r="R70" s="3058"/>
      <c r="S70" s="3059"/>
    </row>
    <row r="71" spans="1:31" ht="21.75" thickBot="1">
      <c r="A71" s="3060"/>
      <c r="B71" s="3061"/>
      <c r="C71" s="3061"/>
      <c r="D71" s="3061"/>
      <c r="E71" s="3061"/>
      <c r="F71" s="3061"/>
      <c r="G71" s="3061"/>
      <c r="H71" s="3061"/>
      <c r="I71" s="3061"/>
      <c r="J71" s="3061"/>
      <c r="K71" s="3061"/>
      <c r="L71" s="3061"/>
      <c r="M71" s="3061"/>
      <c r="N71" s="3061"/>
      <c r="O71" s="3061"/>
      <c r="P71" s="3061"/>
      <c r="Q71" s="3061"/>
      <c r="R71" s="3061"/>
      <c r="S71" s="3062"/>
    </row>
    <row r="73" spans="1:31" ht="29.25" thickBot="1">
      <c r="A73" s="3034" t="str">
        <f>"گزارش تعداد پرسنل و سرانه هزینه پرسنلی به تفکیک نوع قرارداد در دوره " &amp; روکش!$F$9 &amp; " سال " &amp; روکش!$D$9&amp;"- مجتمع خراسان/ شعبه "&amp;AE73</f>
        <v>گزارش تعداد پرسنل و سرانه هزینه پرسنلی به تفکیک نوع قرارداد در دوره شش ماهه سال 1405- مجتمع خراسان/ شعبه لطف آباد</v>
      </c>
      <c r="B73" s="3034"/>
      <c r="C73" s="3034"/>
      <c r="D73" s="3034"/>
      <c r="E73" s="3034"/>
      <c r="F73" s="3034"/>
      <c r="G73" s="3034"/>
      <c r="H73" s="3034"/>
      <c r="I73" s="3034"/>
      <c r="J73" s="3034"/>
      <c r="K73" s="3034"/>
      <c r="L73" s="3034"/>
      <c r="M73" s="3034"/>
      <c r="N73" s="3034"/>
      <c r="O73" s="3034"/>
      <c r="P73" s="3034"/>
      <c r="Q73" s="3034"/>
      <c r="R73" s="3034"/>
      <c r="S73" s="3034"/>
      <c r="T73" s="3034"/>
      <c r="U73" s="3034"/>
      <c r="V73" s="3034"/>
      <c r="W73" s="3034"/>
      <c r="X73" s="3034"/>
      <c r="Y73" s="3034"/>
      <c r="Z73" s="3034"/>
      <c r="AA73" s="3034"/>
      <c r="AB73" s="3034"/>
      <c r="AC73" s="3034"/>
      <c r="AD73" s="3034"/>
      <c r="AE73" s="2561" t="str">
        <f>واردات!$AA$45</f>
        <v>لطف آباد</v>
      </c>
    </row>
    <row r="74" spans="1:31" ht="24.75" thickBot="1">
      <c r="A74" s="3052" t="s">
        <v>21</v>
      </c>
      <c r="B74" s="3035" t="s">
        <v>716</v>
      </c>
      <c r="C74" s="3036"/>
      <c r="D74" s="3036"/>
      <c r="E74" s="3036"/>
      <c r="F74" s="3036"/>
      <c r="G74" s="3037"/>
      <c r="H74" s="3035" t="s">
        <v>674</v>
      </c>
      <c r="I74" s="3036"/>
      <c r="J74" s="3036"/>
      <c r="K74" s="3036"/>
      <c r="L74" s="3036"/>
      <c r="M74" s="3037"/>
      <c r="N74" s="3035" t="s">
        <v>675</v>
      </c>
      <c r="O74" s="3036"/>
      <c r="P74" s="3036"/>
      <c r="Q74" s="3036"/>
      <c r="R74" s="3036"/>
      <c r="S74" s="3037"/>
      <c r="T74" s="3035" t="s">
        <v>717</v>
      </c>
      <c r="U74" s="3036"/>
      <c r="V74" s="3036"/>
      <c r="W74" s="3036"/>
      <c r="X74" s="3036"/>
      <c r="Y74" s="3036"/>
      <c r="Z74" s="3036"/>
      <c r="AA74" s="3036"/>
      <c r="AB74" s="3036"/>
      <c r="AC74" s="3036"/>
      <c r="AD74" s="3037"/>
    </row>
    <row r="75" spans="1:31" ht="63.75" thickBot="1">
      <c r="A75" s="3053"/>
      <c r="B75" s="2335" t="s">
        <v>60</v>
      </c>
      <c r="C75" s="2336" t="s">
        <v>61</v>
      </c>
      <c r="D75" s="2337" t="s">
        <v>62</v>
      </c>
      <c r="E75" s="2338" t="s">
        <v>1</v>
      </c>
      <c r="F75" s="2335" t="s">
        <v>1403</v>
      </c>
      <c r="G75" s="2337" t="s">
        <v>1404</v>
      </c>
      <c r="H75" s="2335" t="s">
        <v>60</v>
      </c>
      <c r="I75" s="2336" t="s">
        <v>61</v>
      </c>
      <c r="J75" s="2337" t="s">
        <v>62</v>
      </c>
      <c r="K75" s="2339" t="s">
        <v>1</v>
      </c>
      <c r="L75" s="2335" t="s">
        <v>1403</v>
      </c>
      <c r="M75" s="2337" t="s">
        <v>1404</v>
      </c>
      <c r="N75" s="2335" t="s">
        <v>60</v>
      </c>
      <c r="O75" s="2336" t="s">
        <v>61</v>
      </c>
      <c r="P75" s="2337" t="s">
        <v>62</v>
      </c>
      <c r="Q75" s="2339" t="s">
        <v>1</v>
      </c>
      <c r="R75" s="2335" t="s">
        <v>1403</v>
      </c>
      <c r="S75" s="2337" t="s">
        <v>1404</v>
      </c>
      <c r="T75" s="3044" t="s">
        <v>60</v>
      </c>
      <c r="U75" s="3045"/>
      <c r="V75" s="3046" t="s">
        <v>61</v>
      </c>
      <c r="W75" s="3045"/>
      <c r="X75" s="3046" t="s">
        <v>62</v>
      </c>
      <c r="Y75" s="3047"/>
      <c r="Z75" s="2339" t="s">
        <v>1</v>
      </c>
      <c r="AA75" s="3044" t="s">
        <v>1403</v>
      </c>
      <c r="AB75" s="3045"/>
      <c r="AC75" s="3046" t="s">
        <v>1404</v>
      </c>
      <c r="AD75" s="3047"/>
    </row>
    <row r="76" spans="1:31" hidden="1">
      <c r="A76" s="2555" t="s">
        <v>1278</v>
      </c>
      <c r="B76" s="172"/>
      <c r="C76" s="173"/>
      <c r="D76" s="174"/>
      <c r="E76" s="2340">
        <f>SUM(B76:D76)</f>
        <v>0</v>
      </c>
      <c r="F76" s="2341">
        <f>IF($A$1="صنایع شیر ایران",IFERROR(('هزینه پرسنلی مستقیم تولید'!$B$31/(C76+B76+D76))/$AH$5,0),IFERROR(('هزینه پرسنلی مستقیم تولید'!$B$31/(C76+B76))/$AH$5,0))</f>
        <v>0</v>
      </c>
      <c r="G76" s="3048">
        <f ca="1">IFERROR((VLOOKUP($AH$6,'هزینه سربار تولید'!$A:$F,2,FALSE)/(D76+D77))/$AH$5,0)</f>
        <v>0</v>
      </c>
      <c r="H76" s="2342">
        <v>0</v>
      </c>
      <c r="I76" s="2343">
        <v>0</v>
      </c>
      <c r="J76" s="2344">
        <v>0</v>
      </c>
      <c r="K76" s="2340">
        <f>SUM(H76:J76)</f>
        <v>0</v>
      </c>
      <c r="L76" s="2341">
        <f ca="1">IF($A$1="صنایع شیر ایران",IFERROR(('هزینه پرسنلی مستقیم تولید'!$C$31/(I76+H76+J76))/$AH$5,0),IFERROR(('هزینه پرسنلی مستقیم تولید'!$C$31/(I76+H76))/$AH$5,0))</f>
        <v>0</v>
      </c>
      <c r="M76" s="3048">
        <f ca="1">IFERROR((VLOOKUP($AH$6,'هزینه سربار تولید'!$A:$F,3,FALSE)/(J76+J77))/$AH$5,0)</f>
        <v>0</v>
      </c>
      <c r="N76" s="172"/>
      <c r="O76" s="173"/>
      <c r="P76" s="174"/>
      <c r="Q76" s="2340">
        <f>SUM(N76:P76)</f>
        <v>0</v>
      </c>
      <c r="R76" s="2341">
        <f>IF($A$1="صنایع شیر ایران",IFERROR(('هزینه پرسنلی مستقیم تولید'!$D$31/(O76+N76+P76))/$AH$5,0),IFERROR(('هزینه پرسنلی مستقیم تولید'!$D$31/(O76+N76))/$AH$5,0))</f>
        <v>0</v>
      </c>
      <c r="S76" s="3048">
        <f ca="1">IFERROR((VLOOKUP($AH$6,'هزینه سربار تولید'!$A:$F,4,FALSE)/(P76+P77))/$AH$5,0)</f>
        <v>0</v>
      </c>
      <c r="T76" s="2345" t="str">
        <f t="shared" ref="T76:T82" si="44">IFERROR(N76*100/H76,"-")</f>
        <v>-</v>
      </c>
      <c r="U76" s="2346">
        <f t="shared" ref="U76:U82" si="45">IFERROR(ABS(T76-100),500)</f>
        <v>500</v>
      </c>
      <c r="V76" s="2347" t="str">
        <f t="shared" ref="V76:V82" si="46">IFERROR(O76*100/I76,"-")</f>
        <v>-</v>
      </c>
      <c r="W76" s="2346">
        <f t="shared" ref="W76:W82" si="47">IFERROR(ABS(V76-100),500)</f>
        <v>500</v>
      </c>
      <c r="X76" s="2347" t="str">
        <f t="shared" ref="X76:X82" si="48">IFERROR(P76*100/J76,"-")</f>
        <v>-</v>
      </c>
      <c r="Y76" s="2348">
        <f t="shared" ref="Y76:Y82" si="49">IFERROR(ABS(X76-100),500)</f>
        <v>500</v>
      </c>
      <c r="Z76" s="2346" t="str">
        <f t="shared" ref="Z76:Z82" si="50">IFERROR(Q76*100/K76,"-")</f>
        <v>-</v>
      </c>
      <c r="AA76" s="2345" t="str">
        <f t="shared" ref="AA76:AA82" ca="1" si="51">IFERROR(R76*100/L76,"-")</f>
        <v>-</v>
      </c>
      <c r="AB76" s="2346">
        <f t="shared" ref="AB76:AB82" ca="1" si="52">IFERROR(ABS(AA76-100),500)</f>
        <v>500</v>
      </c>
      <c r="AC76" s="3049" t="str">
        <f ca="1">IFERROR(S76*100/M76,"-")</f>
        <v>-</v>
      </c>
      <c r="AD76" s="3050">
        <f ca="1">IFERROR(ABS(AC76-100),500)</f>
        <v>500</v>
      </c>
    </row>
    <row r="77" spans="1:31" hidden="1">
      <c r="A77" s="2556" t="s">
        <v>1279</v>
      </c>
      <c r="B77" s="175"/>
      <c r="C77" s="176"/>
      <c r="D77" s="177"/>
      <c r="E77" s="2349">
        <f>SUM(B77:D77)</f>
        <v>0</v>
      </c>
      <c r="F77" s="2350">
        <f>IF($A$1="صنایع شیر ایران",IFERROR(('هزینه پرسنلی غیرمستقیم تولید'!$B$31/(C77+B77+D77))/$AH$5,0),IFERROR(('هزینه پرسنلی غیرمستقیم تولید'!$B$31/(C77+B77))/$AH$5,0))</f>
        <v>0</v>
      </c>
      <c r="G77" s="3039"/>
      <c r="H77" s="2351">
        <v>0</v>
      </c>
      <c r="I77" s="2352">
        <v>0</v>
      </c>
      <c r="J77" s="2353">
        <v>0</v>
      </c>
      <c r="K77" s="2349">
        <f>SUM(H77:J77)</f>
        <v>0</v>
      </c>
      <c r="L77" s="2350">
        <f ca="1">IF($A$1="صنایع شیر ایران",IFERROR(('هزینه پرسنلی غیرمستقیم تولید'!$C$31/(I77+H77+J77))/$AH$5,0),IFERROR(('هزینه پرسنلی غیرمستقیم تولید'!$C$31/(I77+H77))/$AH$5,0))</f>
        <v>0</v>
      </c>
      <c r="M77" s="3039"/>
      <c r="N77" s="175"/>
      <c r="O77" s="176"/>
      <c r="P77" s="177"/>
      <c r="Q77" s="2349">
        <f>SUM(N77:P77)</f>
        <v>0</v>
      </c>
      <c r="R77" s="2350">
        <f>IF($A$1="صنایع شیر ایران",IFERROR(('هزینه پرسنلی غیرمستقیم تولید'!$D$31/(O77+N77+P77))/$AH$5,0),IFERROR(('هزینه پرسنلی غیرمستقیم تولید'!$D$31/(O77+N77))/$AH$5,0))</f>
        <v>0</v>
      </c>
      <c r="S77" s="3039"/>
      <c r="T77" s="2354" t="str">
        <f t="shared" si="44"/>
        <v>-</v>
      </c>
      <c r="U77" s="2355">
        <f t="shared" si="45"/>
        <v>500</v>
      </c>
      <c r="V77" s="2356" t="str">
        <f t="shared" si="46"/>
        <v>-</v>
      </c>
      <c r="W77" s="2355">
        <f t="shared" si="47"/>
        <v>500</v>
      </c>
      <c r="X77" s="2356" t="str">
        <f t="shared" si="48"/>
        <v>-</v>
      </c>
      <c r="Y77" s="2357">
        <f t="shared" si="49"/>
        <v>500</v>
      </c>
      <c r="Z77" s="2355" t="str">
        <f t="shared" si="50"/>
        <v>-</v>
      </c>
      <c r="AA77" s="2354" t="str">
        <f t="shared" ca="1" si="51"/>
        <v>-</v>
      </c>
      <c r="AB77" s="2355">
        <f t="shared" ca="1" si="52"/>
        <v>500</v>
      </c>
      <c r="AC77" s="3041"/>
      <c r="AD77" s="3051"/>
    </row>
    <row r="78" spans="1:31" ht="35.1" customHeight="1">
      <c r="A78" s="2556" t="s">
        <v>1280</v>
      </c>
      <c r="B78" s="175"/>
      <c r="C78" s="176">
        <v>24</v>
      </c>
      <c r="D78" s="177">
        <v>7</v>
      </c>
      <c r="E78" s="2349">
        <f>SUM(B78:D78)</f>
        <v>31</v>
      </c>
      <c r="F78" s="2350">
        <f>IFERROR(('هزینه پرسنلی مستقیم خدمات'!$B$31/(C78+B78))/$AH$5,0)</f>
        <v>5270.9027777777783</v>
      </c>
      <c r="G78" s="3038">
        <f ca="1">IFERROR((VLOOKUP($AH$6,'هزینه سربار خدمات'!$A:$F,2,FALSE)/(D78+D79))/$AH$5,0)</f>
        <v>916.78571428571422</v>
      </c>
      <c r="H78" s="175"/>
      <c r="I78" s="176">
        <v>24</v>
      </c>
      <c r="J78" s="177">
        <v>39</v>
      </c>
      <c r="K78" s="2349">
        <f>SUM(H78:J78)</f>
        <v>63</v>
      </c>
      <c r="L78" s="2350">
        <f ca="1">IFERROR(('هزینه پرسنلی مستقیم خدمات'!$C$31/(I78+H78))/$AH$5,0)</f>
        <v>8099.708333333333</v>
      </c>
      <c r="M78" s="3038">
        <f ca="1">IFERROR((VLOOKUP($AH$6,'هزینه سربار خدمات'!$A:$F,3,FALSE)/(J78+J79))/$AH$5,0)</f>
        <v>528.95726495726501</v>
      </c>
      <c r="N78" s="175"/>
      <c r="O78" s="176">
        <v>23</v>
      </c>
      <c r="P78" s="177">
        <v>13</v>
      </c>
      <c r="Q78" s="2349">
        <f>SUM(N78:P78)</f>
        <v>36</v>
      </c>
      <c r="R78" s="2350">
        <f>IFERROR(('هزینه پرسنلی مستقیم خدمات'!$D$31/(O78+N78))/$AH$5,0)</f>
        <v>9000.326086956522</v>
      </c>
      <c r="S78" s="3038">
        <f ca="1">IFERROR((VLOOKUP($AH$6,'هزینه سربار خدمات'!$A:$F,4,FALSE)/(P78+P79))/$AH$5,0)</f>
        <v>3634</v>
      </c>
      <c r="T78" s="2358" t="str">
        <f t="shared" si="44"/>
        <v>-</v>
      </c>
      <c r="U78" s="2359">
        <f t="shared" si="45"/>
        <v>500</v>
      </c>
      <c r="V78" s="2360">
        <f t="shared" si="46"/>
        <v>95.833333333333329</v>
      </c>
      <c r="W78" s="2359">
        <f t="shared" si="47"/>
        <v>4.1666666666666714</v>
      </c>
      <c r="X78" s="2360">
        <f t="shared" si="48"/>
        <v>33.333333333333336</v>
      </c>
      <c r="Y78" s="2361">
        <f t="shared" si="49"/>
        <v>66.666666666666657</v>
      </c>
      <c r="Z78" s="2361">
        <f t="shared" si="50"/>
        <v>57.142857142857146</v>
      </c>
      <c r="AA78" s="2358">
        <f t="shared" ca="1" si="51"/>
        <v>111.11913807953812</v>
      </c>
      <c r="AB78" s="2359">
        <f t="shared" ca="1" si="52"/>
        <v>11.119138079538118</v>
      </c>
      <c r="AC78" s="3040">
        <f ca="1">IFERROR(S78*100/M78,"-")</f>
        <v>687.01202171664931</v>
      </c>
      <c r="AD78" s="3042">
        <f ca="1">IFERROR(ABS(AC78-100),500)</f>
        <v>587.01202171664931</v>
      </c>
    </row>
    <row r="79" spans="1:31" ht="35.1" customHeight="1">
      <c r="A79" s="2556" t="s">
        <v>1281</v>
      </c>
      <c r="B79" s="175"/>
      <c r="C79" s="176"/>
      <c r="D79" s="177"/>
      <c r="E79" s="2349">
        <f>SUM(B79:D79)</f>
        <v>0</v>
      </c>
      <c r="F79" s="2350">
        <f>IFERROR(('هزینه پرسنلی غیرمستقیم خدمات'!$B$31/(C79+B79))/$AH$5,0)</f>
        <v>0</v>
      </c>
      <c r="G79" s="3039"/>
      <c r="H79" s="175"/>
      <c r="I79" s="176"/>
      <c r="J79" s="177"/>
      <c r="K79" s="2349">
        <f>SUM(H79:J79)</f>
        <v>0</v>
      </c>
      <c r="L79" s="2350">
        <f ca="1">IFERROR(('هزینه پرسنلی غیرمستقیم خدمات'!$C$31/(I79+H79))/$AH$5,0)</f>
        <v>0</v>
      </c>
      <c r="M79" s="3039"/>
      <c r="N79" s="175"/>
      <c r="O79" s="176"/>
      <c r="P79" s="177"/>
      <c r="Q79" s="2349">
        <f>SUM(N79:P79)</f>
        <v>0</v>
      </c>
      <c r="R79" s="2350">
        <f>IFERROR(('هزینه پرسنلی غیرمستقیم خدمات'!$D$31/(O79+N79))/$AH$5,0)</f>
        <v>0</v>
      </c>
      <c r="S79" s="3039"/>
      <c r="T79" s="2358" t="str">
        <f t="shared" si="44"/>
        <v>-</v>
      </c>
      <c r="U79" s="2359">
        <f t="shared" si="45"/>
        <v>500</v>
      </c>
      <c r="V79" s="2360" t="str">
        <f t="shared" si="46"/>
        <v>-</v>
      </c>
      <c r="W79" s="2359">
        <f t="shared" si="47"/>
        <v>500</v>
      </c>
      <c r="X79" s="2360" t="str">
        <f t="shared" si="48"/>
        <v>-</v>
      </c>
      <c r="Y79" s="2361">
        <f t="shared" si="49"/>
        <v>500</v>
      </c>
      <c r="Z79" s="2361" t="str">
        <f t="shared" si="50"/>
        <v>-</v>
      </c>
      <c r="AA79" s="2358" t="str">
        <f t="shared" ca="1" si="51"/>
        <v>-</v>
      </c>
      <c r="AB79" s="2359">
        <f t="shared" ca="1" si="52"/>
        <v>500</v>
      </c>
      <c r="AC79" s="3041"/>
      <c r="AD79" s="3043"/>
    </row>
    <row r="80" spans="1:31" ht="35.1" customHeight="1" thickBot="1">
      <c r="A80" s="2557" t="s">
        <v>277</v>
      </c>
      <c r="B80" s="178"/>
      <c r="C80" s="179">
        <v>2</v>
      </c>
      <c r="D80" s="180">
        <v>1</v>
      </c>
      <c r="E80" s="2362">
        <f>SUM(B80:D80)</f>
        <v>3</v>
      </c>
      <c r="F80" s="2350">
        <f>IF($A$1="صنایع شیر ایران",IFERROR(('هزینه اداری عمومی'!$B$26/(C80+B80+D80))/$AH$5,0),IFERROR(('هزینه اداری عمومی'!$B$26/(C80+B80))/$AH$5,0))</f>
        <v>11781</v>
      </c>
      <c r="G80" s="2363">
        <f ca="1">IFERROR((VLOOKUP($AH$6,'هزینه اداری عمومی'!$A:$F,2,FALSE)/D80)/$AH$5,0)</f>
        <v>0</v>
      </c>
      <c r="H80" s="178"/>
      <c r="I80" s="179">
        <v>2</v>
      </c>
      <c r="J80" s="180">
        <v>2</v>
      </c>
      <c r="K80" s="2362">
        <f>SUM(H80:J80)</f>
        <v>4</v>
      </c>
      <c r="L80" s="2350">
        <f>IF($A$1="صنایع شیر ایران",IFERROR(('هزینه اداری عمومی'!$C$26/(I80+H80+J80))/$AH$5,0),IFERROR(('هزینه اداری عمومی'!$C$26/(I80+H80))/$AH$5,0))</f>
        <v>15827.5</v>
      </c>
      <c r="M80" s="2363">
        <f ca="1">IFERROR((VLOOKUP($AH$6,'هزینه اداری عمومی'!$A:$F,3,FALSE)/J80)/$AH$5,0)</f>
        <v>2394.25</v>
      </c>
      <c r="N80" s="178"/>
      <c r="O80" s="179">
        <v>3</v>
      </c>
      <c r="P80" s="180">
        <v>1</v>
      </c>
      <c r="Q80" s="2362">
        <f>SUM(N80:P80)</f>
        <v>4</v>
      </c>
      <c r="R80" s="2350">
        <f>IF($A$1="صنایع شیر ایران",IFERROR(('هزینه اداری عمومی'!$D$26/(O80+N80+P80))/$AH$5,0),IFERROR(('هزینه اداری عمومی'!$D$26/(O80+N80))/$AH$5,0))</f>
        <v>12468.555555555555</v>
      </c>
      <c r="S80" s="2363">
        <f ca="1">IFERROR((VLOOKUP($AH$6,'هزینه اداری عمومی'!$A:$F,4,FALSE)/P80)/$AH$5,0)</f>
        <v>0</v>
      </c>
      <c r="T80" s="2364" t="str">
        <f t="shared" si="44"/>
        <v>-</v>
      </c>
      <c r="U80" s="2365">
        <f t="shared" si="45"/>
        <v>500</v>
      </c>
      <c r="V80" s="2366">
        <f t="shared" si="46"/>
        <v>150</v>
      </c>
      <c r="W80" s="2365">
        <f t="shared" si="47"/>
        <v>50</v>
      </c>
      <c r="X80" s="2366">
        <f t="shared" si="48"/>
        <v>50</v>
      </c>
      <c r="Y80" s="2367">
        <f t="shared" si="49"/>
        <v>50</v>
      </c>
      <c r="Z80" s="2367">
        <f t="shared" si="50"/>
        <v>100</v>
      </c>
      <c r="AA80" s="2358">
        <f t="shared" si="51"/>
        <v>78.777795328103338</v>
      </c>
      <c r="AB80" s="2365">
        <f t="shared" si="52"/>
        <v>21.222204671896662</v>
      </c>
      <c r="AC80" s="2360">
        <f ca="1">IFERROR(S80*100/M80,"-")</f>
        <v>0</v>
      </c>
      <c r="AD80" s="2367">
        <f ca="1">IFERROR(ABS(AC80-100),500)</f>
        <v>100</v>
      </c>
    </row>
    <row r="81" spans="1:31" ht="35.1" customHeight="1" thickBot="1">
      <c r="A81" s="2558" t="s">
        <v>448</v>
      </c>
      <c r="B81" s="2368">
        <f>SUM(B76:B80)</f>
        <v>0</v>
      </c>
      <c r="C81" s="2369">
        <f>SUM(C76:C80)</f>
        <v>26</v>
      </c>
      <c r="D81" s="2370">
        <f>SUM(D76:D80)</f>
        <v>8</v>
      </c>
      <c r="E81" s="2371">
        <f>SUM(E76:E80)</f>
        <v>34</v>
      </c>
      <c r="F81" s="2372">
        <f>IF($A$1="صنایع شیر ایران",IFERROR(((SUM(F77*(C77+B77+D77),F80*(C80+B80+D80),F76*(C76+B76+D76)))/(C81+B81+D81)),0),IFERROR(((SUM(F77*(C77+B77),F78*(C78+B78),F79*(C79+B79),F80*(C80+B80),F76*(C76+B76)))/(C81+B81)),0))</f>
        <v>5771.6794871794882</v>
      </c>
      <c r="G81" s="2373">
        <f ca="1">IFERROR((G76*(D77+D76)+G78*(D79+D78)+G80*D80)/(D81),0)</f>
        <v>802.1875</v>
      </c>
      <c r="H81" s="2368">
        <f>SUM(H76:H80)</f>
        <v>0</v>
      </c>
      <c r="I81" s="2369">
        <f>SUM(I76:I80)</f>
        <v>26</v>
      </c>
      <c r="J81" s="2370">
        <f>SUM(J76:J80)</f>
        <v>41</v>
      </c>
      <c r="K81" s="2371">
        <f>SUM(K76:K80)</f>
        <v>67</v>
      </c>
      <c r="L81" s="2372">
        <f ca="1">IF($A$1="صنایع شیر ایران",IFERROR(((SUM(L77*(I77+H77+J77),L80*(I80+H80+J80),L76*(I76+H76+J76)))/(I81+H81+J81)),0),IFERROR(((SUM(L77*(I77+H77),L78*(I78+H78),L79*(I79+H79),L80*(I80+H80),L76*(I76+H76)))/(I81+H81)),0))</f>
        <v>8694.1538461538457</v>
      </c>
      <c r="M81" s="2373">
        <f ca="1">IFERROR((M76*(J77+J76)+M78*(J79+J78)+M80*J80)/(J81),0)</f>
        <v>619.94715447154476</v>
      </c>
      <c r="N81" s="2368">
        <f>SUM(N76:N80)</f>
        <v>0</v>
      </c>
      <c r="O81" s="2369">
        <f>SUM(O76:O80)</f>
        <v>26</v>
      </c>
      <c r="P81" s="2370">
        <f>SUM(P76:P80)</f>
        <v>14</v>
      </c>
      <c r="Q81" s="2371">
        <f>SUM(Q76:Q80)</f>
        <v>40</v>
      </c>
      <c r="R81" s="2372">
        <f>IF($A$1="صنایع شیر ایران",IFERROR(((SUM(R77*(O77+N77+P77),R80*(O80+N80+P80),R76*(O76+N76+P76)))/(O81+N81+P81)),0),IFERROR(((SUM(R77*(O77+N77),R78*(O78+N78),R79*(O79+N79),R80*(O80+N80),R76*(O76+N76)))/(O81+N81)),0))</f>
        <v>9400.5064102564102</v>
      </c>
      <c r="S81" s="2373">
        <f ca="1">IFERROR((S76*(P77+P76)+S78*(P79+P78)+S80*P80)/(P81),0)</f>
        <v>3374.4285714285716</v>
      </c>
      <c r="T81" s="2374" t="str">
        <f t="shared" si="44"/>
        <v>-</v>
      </c>
      <c r="U81" s="2375">
        <f t="shared" si="45"/>
        <v>500</v>
      </c>
      <c r="V81" s="2376">
        <f t="shared" si="46"/>
        <v>100</v>
      </c>
      <c r="W81" s="2375">
        <f t="shared" si="47"/>
        <v>0</v>
      </c>
      <c r="X81" s="2376">
        <f t="shared" si="48"/>
        <v>34.146341463414636</v>
      </c>
      <c r="Y81" s="2377">
        <f t="shared" si="49"/>
        <v>65.853658536585357</v>
      </c>
      <c r="Z81" s="2377">
        <f t="shared" si="50"/>
        <v>59.701492537313435</v>
      </c>
      <c r="AA81" s="2374">
        <f t="shared" ca="1" si="51"/>
        <v>108.12445439316724</v>
      </c>
      <c r="AB81" s="2375">
        <f t="shared" ca="1" si="52"/>
        <v>8.1244543931672411</v>
      </c>
      <c r="AC81" s="2376">
        <f ca="1">IFERROR(S81*100/M81,"-")</f>
        <v>544.3090668437701</v>
      </c>
      <c r="AD81" s="2377">
        <f ca="1">IFERROR(ABS(AC81-100),500)</f>
        <v>444.3090668437701</v>
      </c>
    </row>
    <row r="82" spans="1:31" ht="35.1" customHeight="1" thickTop="1" thickBot="1">
      <c r="A82" s="2559" t="s">
        <v>449</v>
      </c>
      <c r="B82" s="689"/>
      <c r="C82" s="690"/>
      <c r="D82" s="691"/>
      <c r="E82" s="2378">
        <f>SUM(B82:D82)</f>
        <v>0</v>
      </c>
      <c r="F82" s="1559"/>
      <c r="G82" s="1560"/>
      <c r="H82" s="689"/>
      <c r="I82" s="690"/>
      <c r="J82" s="691"/>
      <c r="K82" s="2378">
        <f>SUM(H82:J82)</f>
        <v>0</v>
      </c>
      <c r="L82" s="1559"/>
      <c r="M82" s="1560"/>
      <c r="N82" s="689"/>
      <c r="O82" s="690"/>
      <c r="P82" s="691"/>
      <c r="Q82" s="2378">
        <f>SUM(N82:P82)</f>
        <v>0</v>
      </c>
      <c r="R82" s="1559"/>
      <c r="S82" s="1560"/>
      <c r="T82" s="2379" t="str">
        <f t="shared" si="44"/>
        <v>-</v>
      </c>
      <c r="U82" s="2380">
        <f t="shared" si="45"/>
        <v>500</v>
      </c>
      <c r="V82" s="2381" t="str">
        <f t="shared" si="46"/>
        <v>-</v>
      </c>
      <c r="W82" s="2380">
        <f t="shared" si="47"/>
        <v>500</v>
      </c>
      <c r="X82" s="2381" t="str">
        <f t="shared" si="48"/>
        <v>-</v>
      </c>
      <c r="Y82" s="2382">
        <f t="shared" si="49"/>
        <v>500</v>
      </c>
      <c r="Z82" s="2382" t="str">
        <f t="shared" si="50"/>
        <v>-</v>
      </c>
      <c r="AA82" s="2379" t="str">
        <f t="shared" si="51"/>
        <v>-</v>
      </c>
      <c r="AB82" s="2380">
        <f t="shared" si="52"/>
        <v>500</v>
      </c>
      <c r="AC82" s="2381" t="str">
        <f>IFERROR(S82*100/M82,"-")</f>
        <v>-</v>
      </c>
      <c r="AD82" s="2382">
        <f>IFERROR(ABS(AC82-100),500)</f>
        <v>500</v>
      </c>
    </row>
    <row r="83" spans="1:31" ht="21.75" thickBot="1"/>
    <row r="84" spans="1:31" ht="25.5">
      <c r="A84" s="3054" t="s">
        <v>446</v>
      </c>
      <c r="B84" s="3055"/>
      <c r="C84" s="3055"/>
      <c r="D84" s="3055"/>
      <c r="E84" s="3055"/>
      <c r="F84" s="3055"/>
      <c r="G84" s="3055"/>
      <c r="H84" s="3055"/>
      <c r="I84" s="3055"/>
      <c r="J84" s="3055"/>
      <c r="K84" s="3055"/>
      <c r="L84" s="3055"/>
      <c r="M84" s="3055"/>
      <c r="N84" s="3055"/>
      <c r="O84" s="3055"/>
      <c r="P84" s="3055"/>
      <c r="Q84" s="3055"/>
      <c r="R84" s="3055"/>
      <c r="S84" s="3056"/>
    </row>
    <row r="85" spans="1:31">
      <c r="A85" s="3057"/>
      <c r="B85" s="3058"/>
      <c r="C85" s="3058"/>
      <c r="D85" s="3058"/>
      <c r="E85" s="3058"/>
      <c r="F85" s="3058"/>
      <c r="G85" s="3058"/>
      <c r="H85" s="3058"/>
      <c r="I85" s="3058"/>
      <c r="J85" s="3058"/>
      <c r="K85" s="3058"/>
      <c r="L85" s="3058"/>
      <c r="M85" s="3058"/>
      <c r="N85" s="3058"/>
      <c r="O85" s="3058"/>
      <c r="P85" s="3058"/>
      <c r="Q85" s="3058"/>
      <c r="R85" s="3058"/>
      <c r="S85" s="3059"/>
    </row>
    <row r="86" spans="1:31">
      <c r="A86" s="3057"/>
      <c r="B86" s="3058"/>
      <c r="C86" s="3058"/>
      <c r="D86" s="3058"/>
      <c r="E86" s="3058"/>
      <c r="F86" s="3058"/>
      <c r="G86" s="3058"/>
      <c r="H86" s="3058"/>
      <c r="I86" s="3058"/>
      <c r="J86" s="3058"/>
      <c r="K86" s="3058"/>
      <c r="L86" s="3058"/>
      <c r="M86" s="3058"/>
      <c r="N86" s="3058"/>
      <c r="O86" s="3058"/>
      <c r="P86" s="3058"/>
      <c r="Q86" s="3058"/>
      <c r="R86" s="3058"/>
      <c r="S86" s="3059"/>
    </row>
    <row r="87" spans="1:31">
      <c r="A87" s="3057"/>
      <c r="B87" s="3058"/>
      <c r="C87" s="3058"/>
      <c r="D87" s="3058"/>
      <c r="E87" s="3058"/>
      <c r="F87" s="3058"/>
      <c r="G87" s="3058"/>
      <c r="H87" s="3058"/>
      <c r="I87" s="3058"/>
      <c r="J87" s="3058"/>
      <c r="K87" s="3058"/>
      <c r="L87" s="3058"/>
      <c r="M87" s="3058"/>
      <c r="N87" s="3058"/>
      <c r="O87" s="3058"/>
      <c r="P87" s="3058"/>
      <c r="Q87" s="3058"/>
      <c r="R87" s="3058"/>
      <c r="S87" s="3059"/>
    </row>
    <row r="88" spans="1:31">
      <c r="A88" s="3057"/>
      <c r="B88" s="3058"/>
      <c r="C88" s="3058"/>
      <c r="D88" s="3058"/>
      <c r="E88" s="3058"/>
      <c r="F88" s="3058"/>
      <c r="G88" s="3058"/>
      <c r="H88" s="3058"/>
      <c r="I88" s="3058"/>
      <c r="J88" s="3058"/>
      <c r="K88" s="3058"/>
      <c r="L88" s="3058"/>
      <c r="M88" s="3058"/>
      <c r="N88" s="3058"/>
      <c r="O88" s="3058"/>
      <c r="P88" s="3058"/>
      <c r="Q88" s="3058"/>
      <c r="R88" s="3058"/>
      <c r="S88" s="3059"/>
    </row>
    <row r="89" spans="1:31" ht="21.75" thickBot="1">
      <c r="A89" s="3060"/>
      <c r="B89" s="3061"/>
      <c r="C89" s="3061"/>
      <c r="D89" s="3061"/>
      <c r="E89" s="3061"/>
      <c r="F89" s="3061"/>
      <c r="G89" s="3061"/>
      <c r="H89" s="3061"/>
      <c r="I89" s="3061"/>
      <c r="J89" s="3061"/>
      <c r="K89" s="3061"/>
      <c r="L89" s="3061"/>
      <c r="M89" s="3061"/>
      <c r="N89" s="3061"/>
      <c r="O89" s="3061"/>
      <c r="P89" s="3061"/>
      <c r="Q89" s="3061"/>
      <c r="R89" s="3061"/>
      <c r="S89" s="3062"/>
    </row>
    <row r="91" spans="1:31" ht="29.25" thickBot="1">
      <c r="A91" s="3034" t="str">
        <f>"گزارش تعداد پرسنل و سرانه هزینه پرسنلی به تفکیک نوع قرارداد در دوره " &amp; روکش!$F$9 &amp; " سال " &amp; روکش!$D$9&amp;"- مجتمع خراسان/ شعبه "&amp;AE91</f>
        <v>گزارش تعداد پرسنل و سرانه هزینه پرسنلی به تفکیک نوع قرارداد در دوره شش ماهه سال 1405- مجتمع خراسان/ شعبه نیشابور</v>
      </c>
      <c r="B91" s="3034"/>
      <c r="C91" s="3034"/>
      <c r="D91" s="3034"/>
      <c r="E91" s="3034"/>
      <c r="F91" s="3034"/>
      <c r="G91" s="3034"/>
      <c r="H91" s="3034"/>
      <c r="I91" s="3034"/>
      <c r="J91" s="3034"/>
      <c r="K91" s="3034"/>
      <c r="L91" s="3034"/>
      <c r="M91" s="3034"/>
      <c r="N91" s="3034"/>
      <c r="O91" s="3034"/>
      <c r="P91" s="3034"/>
      <c r="Q91" s="3034"/>
      <c r="R91" s="3034"/>
      <c r="S91" s="3034"/>
      <c r="T91" s="3034"/>
      <c r="U91" s="3034"/>
      <c r="V91" s="3034"/>
      <c r="W91" s="3034"/>
      <c r="X91" s="3034"/>
      <c r="Y91" s="3034"/>
      <c r="Z91" s="3034"/>
      <c r="AA91" s="3034"/>
      <c r="AB91" s="3034"/>
      <c r="AC91" s="3034"/>
      <c r="AD91" s="3034"/>
      <c r="AE91" s="2561" t="str">
        <f>واردات!$AA$46</f>
        <v>نیشابور</v>
      </c>
    </row>
    <row r="92" spans="1:31" ht="24.75" thickBot="1">
      <c r="A92" s="3052" t="s">
        <v>21</v>
      </c>
      <c r="B92" s="3035" t="s">
        <v>716</v>
      </c>
      <c r="C92" s="3036"/>
      <c r="D92" s="3036"/>
      <c r="E92" s="3036"/>
      <c r="F92" s="3036"/>
      <c r="G92" s="3037"/>
      <c r="H92" s="3035" t="s">
        <v>674</v>
      </c>
      <c r="I92" s="3036"/>
      <c r="J92" s="3036"/>
      <c r="K92" s="3036"/>
      <c r="L92" s="3036"/>
      <c r="M92" s="3037"/>
      <c r="N92" s="3035" t="s">
        <v>675</v>
      </c>
      <c r="O92" s="3036"/>
      <c r="P92" s="3036"/>
      <c r="Q92" s="3036"/>
      <c r="R92" s="3036"/>
      <c r="S92" s="3037"/>
      <c r="T92" s="3035" t="s">
        <v>717</v>
      </c>
      <c r="U92" s="3036"/>
      <c r="V92" s="3036"/>
      <c r="W92" s="3036"/>
      <c r="X92" s="3036"/>
      <c r="Y92" s="3036"/>
      <c r="Z92" s="3036"/>
      <c r="AA92" s="3036"/>
      <c r="AB92" s="3036"/>
      <c r="AC92" s="3036"/>
      <c r="AD92" s="3037"/>
    </row>
    <row r="93" spans="1:31" ht="63.75" thickBot="1">
      <c r="A93" s="3053"/>
      <c r="B93" s="2335" t="s">
        <v>60</v>
      </c>
      <c r="C93" s="2336" t="s">
        <v>61</v>
      </c>
      <c r="D93" s="2337" t="s">
        <v>62</v>
      </c>
      <c r="E93" s="2338" t="s">
        <v>1</v>
      </c>
      <c r="F93" s="2335" t="s">
        <v>1403</v>
      </c>
      <c r="G93" s="2337" t="s">
        <v>1404</v>
      </c>
      <c r="H93" s="2335" t="s">
        <v>60</v>
      </c>
      <c r="I93" s="2336" t="s">
        <v>61</v>
      </c>
      <c r="J93" s="2337" t="s">
        <v>62</v>
      </c>
      <c r="K93" s="2339" t="s">
        <v>1</v>
      </c>
      <c r="L93" s="2335" t="s">
        <v>1403</v>
      </c>
      <c r="M93" s="2337" t="s">
        <v>1404</v>
      </c>
      <c r="N93" s="2335" t="s">
        <v>60</v>
      </c>
      <c r="O93" s="2336" t="s">
        <v>61</v>
      </c>
      <c r="P93" s="2337" t="s">
        <v>62</v>
      </c>
      <c r="Q93" s="2339" t="s">
        <v>1</v>
      </c>
      <c r="R93" s="2335" t="s">
        <v>1403</v>
      </c>
      <c r="S93" s="2337" t="s">
        <v>1404</v>
      </c>
      <c r="T93" s="3044" t="s">
        <v>60</v>
      </c>
      <c r="U93" s="3045"/>
      <c r="V93" s="3046" t="s">
        <v>61</v>
      </c>
      <c r="W93" s="3045"/>
      <c r="X93" s="3046" t="s">
        <v>62</v>
      </c>
      <c r="Y93" s="3047"/>
      <c r="Z93" s="2339" t="s">
        <v>1</v>
      </c>
      <c r="AA93" s="3044" t="s">
        <v>1403</v>
      </c>
      <c r="AB93" s="3045"/>
      <c r="AC93" s="3046" t="s">
        <v>1404</v>
      </c>
      <c r="AD93" s="3047"/>
    </row>
    <row r="94" spans="1:31" hidden="1">
      <c r="A94" s="2555" t="s">
        <v>1278</v>
      </c>
      <c r="B94" s="172"/>
      <c r="C94" s="173"/>
      <c r="D94" s="174"/>
      <c r="E94" s="2340">
        <f>SUM(B94:D94)</f>
        <v>0</v>
      </c>
      <c r="F94" s="2341">
        <f>IF($A$1="صنایع شیر ایران",IFERROR(('هزینه پرسنلی مستقیم تولید'!$B$31/(C94+B94+D94))/$AH$5,0),IFERROR(('هزینه پرسنلی مستقیم تولید'!$B$31/(C94+B94))/$AH$5,0))</f>
        <v>0</v>
      </c>
      <c r="G94" s="3048">
        <f ca="1">IFERROR((VLOOKUP($AH$6,'هزینه سربار تولید'!$A:$F,2,FALSE)/(D94+D95))/$AH$5,0)</f>
        <v>0</v>
      </c>
      <c r="H94" s="2342">
        <v>0</v>
      </c>
      <c r="I94" s="2343">
        <v>0</v>
      </c>
      <c r="J94" s="2344">
        <v>0</v>
      </c>
      <c r="K94" s="2340">
        <f>SUM(H94:J94)</f>
        <v>0</v>
      </c>
      <c r="L94" s="2341">
        <f ca="1">IF($A$1="صنایع شیر ایران",IFERROR(('هزینه پرسنلی مستقیم تولید'!$C$31/(I94+H94+J94))/$AH$5,0),IFERROR(('هزینه پرسنلی مستقیم تولید'!$C$31/(I94+H94))/$AH$5,0))</f>
        <v>0</v>
      </c>
      <c r="M94" s="3048">
        <f ca="1">IFERROR((VLOOKUP($AH$6,'هزینه سربار تولید'!$A:$F,3,FALSE)/(J94+J95))/$AH$5,0)</f>
        <v>0</v>
      </c>
      <c r="N94" s="172"/>
      <c r="O94" s="173"/>
      <c r="P94" s="174"/>
      <c r="Q94" s="2340">
        <f>SUM(N94:P94)</f>
        <v>0</v>
      </c>
      <c r="R94" s="2341">
        <f>IF($A$1="صنایع شیر ایران",IFERROR(('هزینه پرسنلی مستقیم تولید'!$D$31/(O94+N94+P94))/$AH$5,0),IFERROR(('هزینه پرسنلی مستقیم تولید'!$D$31/(O94+N94))/$AH$5,0))</f>
        <v>0</v>
      </c>
      <c r="S94" s="3048">
        <f ca="1">IFERROR((VLOOKUP($AH$6,'هزینه سربار تولید'!$A:$F,4,FALSE)/(P94+P95))/$AH$5,0)</f>
        <v>0</v>
      </c>
      <c r="T94" s="2345" t="str">
        <f t="shared" ref="T94:T100" si="53">IFERROR(N94*100/H94,"-")</f>
        <v>-</v>
      </c>
      <c r="U94" s="2346">
        <f t="shared" ref="U94:U100" si="54">IFERROR(ABS(T94-100),500)</f>
        <v>500</v>
      </c>
      <c r="V94" s="2347" t="str">
        <f t="shared" ref="V94:V100" si="55">IFERROR(O94*100/I94,"-")</f>
        <v>-</v>
      </c>
      <c r="W94" s="2346">
        <f t="shared" ref="W94:W100" si="56">IFERROR(ABS(V94-100),500)</f>
        <v>500</v>
      </c>
      <c r="X94" s="2347" t="str">
        <f t="shared" ref="X94:X100" si="57">IFERROR(P94*100/J94,"-")</f>
        <v>-</v>
      </c>
      <c r="Y94" s="2348">
        <f t="shared" ref="Y94:Y100" si="58">IFERROR(ABS(X94-100),500)</f>
        <v>500</v>
      </c>
      <c r="Z94" s="2346" t="str">
        <f t="shared" ref="Z94:Z100" si="59">IFERROR(Q94*100/K94,"-")</f>
        <v>-</v>
      </c>
      <c r="AA94" s="2345" t="str">
        <f t="shared" ref="AA94:AA100" ca="1" si="60">IFERROR(R94*100/L94,"-")</f>
        <v>-</v>
      </c>
      <c r="AB94" s="2346">
        <f t="shared" ref="AB94:AB100" ca="1" si="61">IFERROR(ABS(AA94-100),500)</f>
        <v>500</v>
      </c>
      <c r="AC94" s="3049" t="str">
        <f ca="1">IFERROR(S94*100/M94,"-")</f>
        <v>-</v>
      </c>
      <c r="AD94" s="3050">
        <f ca="1">IFERROR(ABS(AC94-100),500)</f>
        <v>500</v>
      </c>
    </row>
    <row r="95" spans="1:31" hidden="1">
      <c r="A95" s="2556" t="s">
        <v>1279</v>
      </c>
      <c r="B95" s="175"/>
      <c r="C95" s="176"/>
      <c r="D95" s="177"/>
      <c r="E95" s="2349">
        <f>SUM(B95:D95)</f>
        <v>0</v>
      </c>
      <c r="F95" s="2350">
        <f>IF($A$1="صنایع شیر ایران",IFERROR(('هزینه پرسنلی غیرمستقیم تولید'!$B$31/(C95+B95+D95))/$AH$5,0),IFERROR(('هزینه پرسنلی غیرمستقیم تولید'!$B$31/(C95+B95))/$AH$5,0))</f>
        <v>0</v>
      </c>
      <c r="G95" s="3039"/>
      <c r="H95" s="2351">
        <v>0</v>
      </c>
      <c r="I95" s="2352">
        <v>0</v>
      </c>
      <c r="J95" s="2353">
        <v>0</v>
      </c>
      <c r="K95" s="2349">
        <f>SUM(H95:J95)</f>
        <v>0</v>
      </c>
      <c r="L95" s="2350">
        <f ca="1">IF($A$1="صنایع شیر ایران",IFERROR(('هزینه پرسنلی غیرمستقیم تولید'!$C$31/(I95+H95+J95))/$AH$5,0),IFERROR(('هزینه پرسنلی غیرمستقیم تولید'!$C$31/(I95+H95))/$AH$5,0))</f>
        <v>0</v>
      </c>
      <c r="M95" s="3039"/>
      <c r="N95" s="175"/>
      <c r="O95" s="176"/>
      <c r="P95" s="177"/>
      <c r="Q95" s="2349">
        <f>SUM(N95:P95)</f>
        <v>0</v>
      </c>
      <c r="R95" s="2350">
        <f>IF($A$1="صنایع شیر ایران",IFERROR(('هزینه پرسنلی غیرمستقیم تولید'!$D$31/(O95+N95+P95))/$AH$5,0),IFERROR(('هزینه پرسنلی غیرمستقیم تولید'!$D$31/(O95+N95))/$AH$5,0))</f>
        <v>0</v>
      </c>
      <c r="S95" s="3039"/>
      <c r="T95" s="2354" t="str">
        <f t="shared" si="53"/>
        <v>-</v>
      </c>
      <c r="U95" s="2355">
        <f t="shared" si="54"/>
        <v>500</v>
      </c>
      <c r="V95" s="2356" t="str">
        <f t="shared" si="55"/>
        <v>-</v>
      </c>
      <c r="W95" s="2355">
        <f t="shared" si="56"/>
        <v>500</v>
      </c>
      <c r="X95" s="2356" t="str">
        <f t="shared" si="57"/>
        <v>-</v>
      </c>
      <c r="Y95" s="2357">
        <f t="shared" si="58"/>
        <v>500</v>
      </c>
      <c r="Z95" s="2355" t="str">
        <f t="shared" si="59"/>
        <v>-</v>
      </c>
      <c r="AA95" s="2354" t="str">
        <f t="shared" ca="1" si="60"/>
        <v>-</v>
      </c>
      <c r="AB95" s="2355">
        <f t="shared" ca="1" si="61"/>
        <v>500</v>
      </c>
      <c r="AC95" s="3041"/>
      <c r="AD95" s="3051"/>
    </row>
    <row r="96" spans="1:31" ht="35.1" customHeight="1">
      <c r="A96" s="2556" t="s">
        <v>1280</v>
      </c>
      <c r="B96" s="175"/>
      <c r="C96" s="176">
        <v>2</v>
      </c>
      <c r="D96" s="177"/>
      <c r="E96" s="2349">
        <f>SUM(B96:D96)</f>
        <v>2</v>
      </c>
      <c r="F96" s="2350">
        <f>IFERROR(('هزینه پرسنلی مستقیم خدمات'!$B$31/(C96+B96))/$AH$5,0)</f>
        <v>63250.833333333336</v>
      </c>
      <c r="G96" s="3038">
        <f ca="1">IFERROR((VLOOKUP($AH$6,'هزینه سربار خدمات'!$A:$F,2,FALSE)/(D96+D97))/$AH$5,0)</f>
        <v>0</v>
      </c>
      <c r="H96" s="175"/>
      <c r="I96" s="176">
        <v>2</v>
      </c>
      <c r="J96" s="177">
        <v>1</v>
      </c>
      <c r="K96" s="2349">
        <f>SUM(H96:J96)</f>
        <v>3</v>
      </c>
      <c r="L96" s="2350">
        <f ca="1">IFERROR(('هزینه پرسنلی مستقیم خدمات'!$C$31/(I96+H96))/$AH$5,0)</f>
        <v>97196.5</v>
      </c>
      <c r="M96" s="3038">
        <f ca="1">IFERROR((VLOOKUP($AH$6,'هزینه سربار خدمات'!$A:$F,3,FALSE)/(J96+J97))/$AH$5,0)</f>
        <v>20629.333333333332</v>
      </c>
      <c r="N96" s="175"/>
      <c r="O96" s="176">
        <v>2</v>
      </c>
      <c r="P96" s="177"/>
      <c r="Q96" s="2349">
        <f>SUM(N96:P96)</f>
        <v>2</v>
      </c>
      <c r="R96" s="2350">
        <f>IFERROR(('هزینه پرسنلی مستقیم خدمات'!$D$31/(O96+N96))/$AH$5,0)</f>
        <v>103503.75</v>
      </c>
      <c r="S96" s="3038">
        <f ca="1">IFERROR((VLOOKUP($AH$6,'هزینه سربار خدمات'!$A:$F,4,FALSE)/(P96+P97))/$AH$5,0)</f>
        <v>0</v>
      </c>
      <c r="T96" s="2358" t="str">
        <f t="shared" si="53"/>
        <v>-</v>
      </c>
      <c r="U96" s="2359">
        <f t="shared" si="54"/>
        <v>500</v>
      </c>
      <c r="V96" s="2360">
        <f t="shared" si="55"/>
        <v>100</v>
      </c>
      <c r="W96" s="2359">
        <f t="shared" si="56"/>
        <v>0</v>
      </c>
      <c r="X96" s="2360">
        <f t="shared" si="57"/>
        <v>0</v>
      </c>
      <c r="Y96" s="2361">
        <f t="shared" si="58"/>
        <v>100</v>
      </c>
      <c r="Z96" s="2361">
        <f t="shared" si="59"/>
        <v>66.666666666666671</v>
      </c>
      <c r="AA96" s="2358">
        <f t="shared" ca="1" si="60"/>
        <v>106.48917399289068</v>
      </c>
      <c r="AB96" s="2359">
        <f t="shared" ca="1" si="61"/>
        <v>6.4891739928906844</v>
      </c>
      <c r="AC96" s="3040">
        <f ca="1">IFERROR(S96*100/M96,"-")</f>
        <v>0</v>
      </c>
      <c r="AD96" s="3042">
        <f ca="1">IFERROR(ABS(AC96-100),500)</f>
        <v>100</v>
      </c>
    </row>
    <row r="97" spans="1:31" ht="35.1" customHeight="1">
      <c r="A97" s="2556" t="s">
        <v>1281</v>
      </c>
      <c r="B97" s="175"/>
      <c r="C97" s="176"/>
      <c r="D97" s="177"/>
      <c r="E97" s="2349">
        <f>SUM(B97:D97)</f>
        <v>0</v>
      </c>
      <c r="F97" s="2350">
        <f>IFERROR(('هزینه پرسنلی غیرمستقیم خدمات'!$B$31/(C97+B97))/$AH$5,0)</f>
        <v>0</v>
      </c>
      <c r="G97" s="3039"/>
      <c r="H97" s="175"/>
      <c r="I97" s="176"/>
      <c r="J97" s="177"/>
      <c r="K97" s="2349">
        <f>SUM(H97:J97)</f>
        <v>0</v>
      </c>
      <c r="L97" s="2350">
        <f ca="1">IFERROR(('هزینه پرسنلی غیرمستقیم خدمات'!$C$31/(I97+H97))/$AH$5,0)</f>
        <v>0</v>
      </c>
      <c r="M97" s="3039"/>
      <c r="N97" s="175"/>
      <c r="O97" s="176"/>
      <c r="P97" s="177"/>
      <c r="Q97" s="2349">
        <f>SUM(N97:P97)</f>
        <v>0</v>
      </c>
      <c r="R97" s="2350">
        <f>IFERROR(('هزینه پرسنلی غیرمستقیم خدمات'!$D$31/(O97+N97))/$AH$5,0)</f>
        <v>0</v>
      </c>
      <c r="S97" s="3039"/>
      <c r="T97" s="2358" t="str">
        <f t="shared" si="53"/>
        <v>-</v>
      </c>
      <c r="U97" s="2359">
        <f t="shared" si="54"/>
        <v>500</v>
      </c>
      <c r="V97" s="2360" t="str">
        <f t="shared" si="55"/>
        <v>-</v>
      </c>
      <c r="W97" s="2359">
        <f t="shared" si="56"/>
        <v>500</v>
      </c>
      <c r="X97" s="2360" t="str">
        <f t="shared" si="57"/>
        <v>-</v>
      </c>
      <c r="Y97" s="2361">
        <f t="shared" si="58"/>
        <v>500</v>
      </c>
      <c r="Z97" s="2361" t="str">
        <f t="shared" si="59"/>
        <v>-</v>
      </c>
      <c r="AA97" s="2358" t="str">
        <f t="shared" ca="1" si="60"/>
        <v>-</v>
      </c>
      <c r="AB97" s="2359">
        <f t="shared" ca="1" si="61"/>
        <v>500</v>
      </c>
      <c r="AC97" s="3041"/>
      <c r="AD97" s="3043"/>
    </row>
    <row r="98" spans="1:31" ht="35.1" customHeight="1" thickBot="1">
      <c r="A98" s="2557" t="s">
        <v>277</v>
      </c>
      <c r="B98" s="178"/>
      <c r="C98" s="179"/>
      <c r="D98" s="180"/>
      <c r="E98" s="2362">
        <f>SUM(B98:D98)</f>
        <v>0</v>
      </c>
      <c r="F98" s="2350">
        <f>IF($A$1="صنایع شیر ایران",IFERROR(('هزینه اداری عمومی'!$B$26/(C98+B98+D98))/$AH$5,0),IFERROR(('هزینه اداری عمومی'!$B$26/(C98+B98))/$AH$5,0))</f>
        <v>0</v>
      </c>
      <c r="G98" s="2363">
        <f ca="1">IFERROR((VLOOKUP($AH$6,'هزینه اداری عمومی'!$A:$F,2,FALSE)/D98)/$AH$5,0)</f>
        <v>0</v>
      </c>
      <c r="H98" s="178"/>
      <c r="I98" s="179"/>
      <c r="J98" s="180"/>
      <c r="K98" s="2362">
        <f>SUM(H98:J98)</f>
        <v>0</v>
      </c>
      <c r="L98" s="2350">
        <f>IF($A$1="صنایع شیر ایران",IFERROR(('هزینه اداری عمومی'!$C$26/(I98+H98+J98))/$AH$5,0),IFERROR(('هزینه اداری عمومی'!$C$26/(I98+H98))/$AH$5,0))</f>
        <v>0</v>
      </c>
      <c r="M98" s="2363">
        <f ca="1">IFERROR((VLOOKUP($AH$6,'هزینه اداری عمومی'!$A:$F,3,FALSE)/J98)/$AH$5,0)</f>
        <v>0</v>
      </c>
      <c r="N98" s="178"/>
      <c r="O98" s="179"/>
      <c r="P98" s="180"/>
      <c r="Q98" s="2362">
        <f>SUM(N98:P98)</f>
        <v>0</v>
      </c>
      <c r="R98" s="2350">
        <f>IF($A$1="صنایع شیر ایران",IFERROR(('هزینه اداری عمومی'!$D$26/(O98+N98+P98))/$AH$5,0),IFERROR(('هزینه اداری عمومی'!$D$26/(O98+N98))/$AH$5,0))</f>
        <v>0</v>
      </c>
      <c r="S98" s="2363">
        <f ca="1">IFERROR((VLOOKUP($AH$6,'هزینه اداری عمومی'!$A:$F,4,FALSE)/P98)/$AH$5,0)</f>
        <v>0</v>
      </c>
      <c r="T98" s="2364" t="str">
        <f t="shared" si="53"/>
        <v>-</v>
      </c>
      <c r="U98" s="2365">
        <f t="shared" si="54"/>
        <v>500</v>
      </c>
      <c r="V98" s="2366" t="str">
        <f t="shared" si="55"/>
        <v>-</v>
      </c>
      <c r="W98" s="2365">
        <f t="shared" si="56"/>
        <v>500</v>
      </c>
      <c r="X98" s="2366" t="str">
        <f t="shared" si="57"/>
        <v>-</v>
      </c>
      <c r="Y98" s="2367">
        <f t="shared" si="58"/>
        <v>500</v>
      </c>
      <c r="Z98" s="2367" t="str">
        <f t="shared" si="59"/>
        <v>-</v>
      </c>
      <c r="AA98" s="2358" t="str">
        <f t="shared" si="60"/>
        <v>-</v>
      </c>
      <c r="AB98" s="2365">
        <f t="shared" si="61"/>
        <v>500</v>
      </c>
      <c r="AC98" s="2360" t="str">
        <f ca="1">IFERROR(S98*100/M98,"-")</f>
        <v>-</v>
      </c>
      <c r="AD98" s="2367">
        <f ca="1">IFERROR(ABS(AC98-100),500)</f>
        <v>500</v>
      </c>
    </row>
    <row r="99" spans="1:31" ht="35.1" customHeight="1" thickBot="1">
      <c r="A99" s="2558" t="s">
        <v>448</v>
      </c>
      <c r="B99" s="2368">
        <f>SUM(B94:B98)</f>
        <v>0</v>
      </c>
      <c r="C99" s="2369">
        <f>SUM(C94:C98)</f>
        <v>2</v>
      </c>
      <c r="D99" s="2370">
        <f>SUM(D94:D98)</f>
        <v>0</v>
      </c>
      <c r="E99" s="2371">
        <f>SUM(E94:E98)</f>
        <v>2</v>
      </c>
      <c r="F99" s="2372">
        <f>IF($A$1="صنایع شیر ایران",IFERROR(((SUM(F95*(C95+B95+D95),F98*(C98+B98+D98),F94*(C94+B94+D94)))/(C99+B99+D99)),0),IFERROR(((SUM(F95*(C95+B95),F96*(C96+B96),F97*(C97+B97),F98*(C98+B98),F94*(C94+B94)))/(C99+B99)),0))</f>
        <v>63250.833333333336</v>
      </c>
      <c r="G99" s="2373">
        <f ca="1">IFERROR((G94*(D95+D94)+G96*(D97+D96)+G98*D98)/(D99),0)</f>
        <v>0</v>
      </c>
      <c r="H99" s="2368">
        <f>SUM(H94:H98)</f>
        <v>0</v>
      </c>
      <c r="I99" s="2369">
        <f>SUM(I94:I98)</f>
        <v>2</v>
      </c>
      <c r="J99" s="2370">
        <f>SUM(J94:J98)</f>
        <v>1</v>
      </c>
      <c r="K99" s="2371">
        <f>SUM(K94:K98)</f>
        <v>3</v>
      </c>
      <c r="L99" s="2372">
        <f ca="1">IF($A$1="صنایع شیر ایران",IFERROR(((SUM(L95*(I95+H95+J95),L98*(I98+H98+J98),L94*(I94+H94+J94)))/(I99+H99+J99)),0),IFERROR(((SUM(L95*(I95+H95),L96*(I96+H96),L97*(I97+H97),L98*(I98+H98),L94*(I94+H94)))/(I99+H99)),0))</f>
        <v>97196.5</v>
      </c>
      <c r="M99" s="2373">
        <f ca="1">IFERROR((M94*(J95+J94)+M96*(J97+J96)+M98*J98)/(J99),0)</f>
        <v>20629.333333333332</v>
      </c>
      <c r="N99" s="2368">
        <f>SUM(N94:N98)</f>
        <v>0</v>
      </c>
      <c r="O99" s="2369">
        <f>SUM(O94:O98)</f>
        <v>2</v>
      </c>
      <c r="P99" s="2370">
        <f>SUM(P94:P98)</f>
        <v>0</v>
      </c>
      <c r="Q99" s="2371">
        <f>SUM(Q94:Q98)</f>
        <v>2</v>
      </c>
      <c r="R99" s="2372">
        <f>IF($A$1="صنایع شیر ایران",IFERROR(((SUM(R95*(O95+N95+P95),R98*(O98+N98+P98),R94*(O94+N94+P94)))/(O99+N99+P99)),0),IFERROR(((SUM(R95*(O95+N95),R96*(O96+N96),R97*(O97+N97),R98*(O98+N98),R94*(O94+N94)))/(O99+N99)),0))</f>
        <v>103503.75</v>
      </c>
      <c r="S99" s="2373">
        <f ca="1">IFERROR((S94*(P95+P94)+S96*(P97+P96)+S98*P98)/(P99),0)</f>
        <v>0</v>
      </c>
      <c r="T99" s="2374" t="str">
        <f t="shared" si="53"/>
        <v>-</v>
      </c>
      <c r="U99" s="2375">
        <f t="shared" si="54"/>
        <v>500</v>
      </c>
      <c r="V99" s="2376">
        <f t="shared" si="55"/>
        <v>100</v>
      </c>
      <c r="W99" s="2375">
        <f t="shared" si="56"/>
        <v>0</v>
      </c>
      <c r="X99" s="2376">
        <f t="shared" si="57"/>
        <v>0</v>
      </c>
      <c r="Y99" s="2377">
        <f t="shared" si="58"/>
        <v>100</v>
      </c>
      <c r="Z99" s="2377">
        <f t="shared" si="59"/>
        <v>66.666666666666671</v>
      </c>
      <c r="AA99" s="2374">
        <f t="shared" ca="1" si="60"/>
        <v>106.48917399289068</v>
      </c>
      <c r="AB99" s="2375">
        <f t="shared" ca="1" si="61"/>
        <v>6.4891739928906844</v>
      </c>
      <c r="AC99" s="2376">
        <f ca="1">IFERROR(S99*100/M99,"-")</f>
        <v>0</v>
      </c>
      <c r="AD99" s="2377">
        <f ca="1">IFERROR(ABS(AC99-100),500)</f>
        <v>100</v>
      </c>
    </row>
    <row r="100" spans="1:31" ht="35.1" customHeight="1" thickTop="1" thickBot="1">
      <c r="A100" s="2559" t="s">
        <v>449</v>
      </c>
      <c r="B100" s="689"/>
      <c r="C100" s="690"/>
      <c r="D100" s="691"/>
      <c r="E100" s="2378">
        <f>SUM(B100:D100)</f>
        <v>0</v>
      </c>
      <c r="F100" s="1559"/>
      <c r="G100" s="1560"/>
      <c r="H100" s="689"/>
      <c r="I100" s="690"/>
      <c r="J100" s="691"/>
      <c r="K100" s="2378">
        <f>SUM(H100:J100)</f>
        <v>0</v>
      </c>
      <c r="L100" s="1559"/>
      <c r="M100" s="1560"/>
      <c r="N100" s="689"/>
      <c r="O100" s="690"/>
      <c r="P100" s="691"/>
      <c r="Q100" s="2378">
        <f>SUM(N100:P100)</f>
        <v>0</v>
      </c>
      <c r="R100" s="1559"/>
      <c r="S100" s="1560"/>
      <c r="T100" s="2379" t="str">
        <f t="shared" si="53"/>
        <v>-</v>
      </c>
      <c r="U100" s="2380">
        <f t="shared" si="54"/>
        <v>500</v>
      </c>
      <c r="V100" s="2381" t="str">
        <f t="shared" si="55"/>
        <v>-</v>
      </c>
      <c r="W100" s="2380">
        <f t="shared" si="56"/>
        <v>500</v>
      </c>
      <c r="X100" s="2381" t="str">
        <f t="shared" si="57"/>
        <v>-</v>
      </c>
      <c r="Y100" s="2382">
        <f t="shared" si="58"/>
        <v>500</v>
      </c>
      <c r="Z100" s="2382" t="str">
        <f t="shared" si="59"/>
        <v>-</v>
      </c>
      <c r="AA100" s="2379" t="str">
        <f t="shared" si="60"/>
        <v>-</v>
      </c>
      <c r="AB100" s="2380">
        <f t="shared" si="61"/>
        <v>500</v>
      </c>
      <c r="AC100" s="2381" t="str">
        <f>IFERROR(S100*100/M100,"-")</f>
        <v>-</v>
      </c>
      <c r="AD100" s="2382">
        <f>IFERROR(ABS(AC100-100),500)</f>
        <v>500</v>
      </c>
    </row>
    <row r="101" spans="1:31" ht="21.75" thickBot="1"/>
    <row r="102" spans="1:31" ht="25.5">
      <c r="A102" s="3054" t="s">
        <v>446</v>
      </c>
      <c r="B102" s="3055"/>
      <c r="C102" s="3055"/>
      <c r="D102" s="3055"/>
      <c r="E102" s="3055"/>
      <c r="F102" s="3055"/>
      <c r="G102" s="3055"/>
      <c r="H102" s="3055"/>
      <c r="I102" s="3055"/>
      <c r="J102" s="3055"/>
      <c r="K102" s="3055"/>
      <c r="L102" s="3055"/>
      <c r="M102" s="3055"/>
      <c r="N102" s="3055"/>
      <c r="O102" s="3055"/>
      <c r="P102" s="3055"/>
      <c r="Q102" s="3055"/>
      <c r="R102" s="3055"/>
      <c r="S102" s="3056"/>
    </row>
    <row r="103" spans="1:31">
      <c r="A103" s="3057"/>
      <c r="B103" s="3058"/>
      <c r="C103" s="3058"/>
      <c r="D103" s="3058"/>
      <c r="E103" s="3058"/>
      <c r="F103" s="3058"/>
      <c r="G103" s="3058"/>
      <c r="H103" s="3058"/>
      <c r="I103" s="3058"/>
      <c r="J103" s="3058"/>
      <c r="K103" s="3058"/>
      <c r="L103" s="3058"/>
      <c r="M103" s="3058"/>
      <c r="N103" s="3058"/>
      <c r="O103" s="3058"/>
      <c r="P103" s="3058"/>
      <c r="Q103" s="3058"/>
      <c r="R103" s="3058"/>
      <c r="S103" s="3059"/>
    </row>
    <row r="104" spans="1:31">
      <c r="A104" s="3057"/>
      <c r="B104" s="3058"/>
      <c r="C104" s="3058"/>
      <c r="D104" s="3058"/>
      <c r="E104" s="3058"/>
      <c r="F104" s="3058"/>
      <c r="G104" s="3058"/>
      <c r="H104" s="3058"/>
      <c r="I104" s="3058"/>
      <c r="J104" s="3058"/>
      <c r="K104" s="3058"/>
      <c r="L104" s="3058"/>
      <c r="M104" s="3058"/>
      <c r="N104" s="3058"/>
      <c r="O104" s="3058"/>
      <c r="P104" s="3058"/>
      <c r="Q104" s="3058"/>
      <c r="R104" s="3058"/>
      <c r="S104" s="3059"/>
    </row>
    <row r="105" spans="1:31">
      <c r="A105" s="3057"/>
      <c r="B105" s="3058"/>
      <c r="C105" s="3058"/>
      <c r="D105" s="3058"/>
      <c r="E105" s="3058"/>
      <c r="F105" s="3058"/>
      <c r="G105" s="3058"/>
      <c r="H105" s="3058"/>
      <c r="I105" s="3058"/>
      <c r="J105" s="3058"/>
      <c r="K105" s="3058"/>
      <c r="L105" s="3058"/>
      <c r="M105" s="3058"/>
      <c r="N105" s="3058"/>
      <c r="O105" s="3058"/>
      <c r="P105" s="3058"/>
      <c r="Q105" s="3058"/>
      <c r="R105" s="3058"/>
      <c r="S105" s="3059"/>
    </row>
    <row r="106" spans="1:31">
      <c r="A106" s="3057"/>
      <c r="B106" s="3058"/>
      <c r="C106" s="3058"/>
      <c r="D106" s="3058"/>
      <c r="E106" s="3058"/>
      <c r="F106" s="3058"/>
      <c r="G106" s="3058"/>
      <c r="H106" s="3058"/>
      <c r="I106" s="3058"/>
      <c r="J106" s="3058"/>
      <c r="K106" s="3058"/>
      <c r="L106" s="3058"/>
      <c r="M106" s="3058"/>
      <c r="N106" s="3058"/>
      <c r="O106" s="3058"/>
      <c r="P106" s="3058"/>
      <c r="Q106" s="3058"/>
      <c r="R106" s="3058"/>
      <c r="S106" s="3059"/>
    </row>
    <row r="107" spans="1:31" ht="21.75" thickBot="1">
      <c r="A107" s="3060"/>
      <c r="B107" s="3061"/>
      <c r="C107" s="3061"/>
      <c r="D107" s="3061"/>
      <c r="E107" s="3061"/>
      <c r="F107" s="3061"/>
      <c r="G107" s="3061"/>
      <c r="H107" s="3061"/>
      <c r="I107" s="3061"/>
      <c r="J107" s="3061"/>
      <c r="K107" s="3061"/>
      <c r="L107" s="3061"/>
      <c r="M107" s="3061"/>
      <c r="N107" s="3061"/>
      <c r="O107" s="3061"/>
      <c r="P107" s="3061"/>
      <c r="Q107" s="3061"/>
      <c r="R107" s="3061"/>
      <c r="S107" s="3062"/>
    </row>
    <row r="109" spans="1:31" ht="29.25" thickBot="1">
      <c r="A109" s="3034" t="str">
        <f>"گزارش تعداد پرسنل و سرانه هزینه پرسنلی به تفکیک نوع قرارداد در دوره " &amp; روکش!$F$9 &amp; " سال " &amp; روکش!$D$9&amp;"- مجتمع خراسان/ شعبه "&amp;AE109</f>
        <v>گزارش تعداد پرسنل و سرانه هزینه پرسنلی به تفکیک نوع قرارداد در دوره شش ماهه سال 1405- مجتمع خراسان/ شعبه ماهیرود</v>
      </c>
      <c r="B109" s="3034"/>
      <c r="C109" s="3034"/>
      <c r="D109" s="3034"/>
      <c r="E109" s="3034"/>
      <c r="F109" s="3034"/>
      <c r="G109" s="3034"/>
      <c r="H109" s="3034"/>
      <c r="I109" s="3034"/>
      <c r="J109" s="3034"/>
      <c r="K109" s="3034"/>
      <c r="L109" s="3034"/>
      <c r="M109" s="3034"/>
      <c r="N109" s="3034"/>
      <c r="O109" s="3034"/>
      <c r="P109" s="3034"/>
      <c r="Q109" s="3034"/>
      <c r="R109" s="3034"/>
      <c r="S109" s="3034"/>
      <c r="T109" s="3034"/>
      <c r="U109" s="3034"/>
      <c r="V109" s="3034"/>
      <c r="W109" s="3034"/>
      <c r="X109" s="3034"/>
      <c r="Y109" s="3034"/>
      <c r="Z109" s="3034"/>
      <c r="AA109" s="3034"/>
      <c r="AB109" s="3034"/>
      <c r="AC109" s="3034"/>
      <c r="AD109" s="3034"/>
      <c r="AE109" s="2561" t="str">
        <f>واردات!$AA$47</f>
        <v>ماهیرود</v>
      </c>
    </row>
    <row r="110" spans="1:31" ht="24.75" thickBot="1">
      <c r="A110" s="3052" t="s">
        <v>21</v>
      </c>
      <c r="B110" s="3035" t="s">
        <v>716</v>
      </c>
      <c r="C110" s="3036"/>
      <c r="D110" s="3036"/>
      <c r="E110" s="3036"/>
      <c r="F110" s="3036"/>
      <c r="G110" s="3037"/>
      <c r="H110" s="3035" t="s">
        <v>674</v>
      </c>
      <c r="I110" s="3036"/>
      <c r="J110" s="3036"/>
      <c r="K110" s="3036"/>
      <c r="L110" s="3036"/>
      <c r="M110" s="3037"/>
      <c r="N110" s="3035" t="s">
        <v>675</v>
      </c>
      <c r="O110" s="3036"/>
      <c r="P110" s="3036"/>
      <c r="Q110" s="3036"/>
      <c r="R110" s="3036"/>
      <c r="S110" s="3037"/>
      <c r="T110" s="3035" t="s">
        <v>717</v>
      </c>
      <c r="U110" s="3036"/>
      <c r="V110" s="3036"/>
      <c r="W110" s="3036"/>
      <c r="X110" s="3036"/>
      <c r="Y110" s="3036"/>
      <c r="Z110" s="3036"/>
      <c r="AA110" s="3036"/>
      <c r="AB110" s="3036"/>
      <c r="AC110" s="3036"/>
      <c r="AD110" s="3037"/>
    </row>
    <row r="111" spans="1:31" ht="63.75" thickBot="1">
      <c r="A111" s="3053"/>
      <c r="B111" s="2335" t="s">
        <v>60</v>
      </c>
      <c r="C111" s="2336" t="s">
        <v>61</v>
      </c>
      <c r="D111" s="2337" t="s">
        <v>62</v>
      </c>
      <c r="E111" s="2338" t="s">
        <v>1</v>
      </c>
      <c r="F111" s="2335" t="s">
        <v>1403</v>
      </c>
      <c r="G111" s="2337" t="s">
        <v>1404</v>
      </c>
      <c r="H111" s="2335" t="s">
        <v>60</v>
      </c>
      <c r="I111" s="2336" t="s">
        <v>61</v>
      </c>
      <c r="J111" s="2337" t="s">
        <v>62</v>
      </c>
      <c r="K111" s="2339" t="s">
        <v>1</v>
      </c>
      <c r="L111" s="2335" t="s">
        <v>1403</v>
      </c>
      <c r="M111" s="2337" t="s">
        <v>1404</v>
      </c>
      <c r="N111" s="2335" t="s">
        <v>60</v>
      </c>
      <c r="O111" s="2336" t="s">
        <v>61</v>
      </c>
      <c r="P111" s="2337" t="s">
        <v>62</v>
      </c>
      <c r="Q111" s="2339" t="s">
        <v>1</v>
      </c>
      <c r="R111" s="2335" t="s">
        <v>1403</v>
      </c>
      <c r="S111" s="2337" t="s">
        <v>1404</v>
      </c>
      <c r="T111" s="3044" t="s">
        <v>60</v>
      </c>
      <c r="U111" s="3045"/>
      <c r="V111" s="3046" t="s">
        <v>61</v>
      </c>
      <c r="W111" s="3045"/>
      <c r="X111" s="3046" t="s">
        <v>62</v>
      </c>
      <c r="Y111" s="3047"/>
      <c r="Z111" s="2339" t="s">
        <v>1</v>
      </c>
      <c r="AA111" s="3044" t="s">
        <v>1403</v>
      </c>
      <c r="AB111" s="3045"/>
      <c r="AC111" s="3046" t="s">
        <v>1404</v>
      </c>
      <c r="AD111" s="3047"/>
    </row>
    <row r="112" spans="1:31" hidden="1">
      <c r="A112" s="2555" t="s">
        <v>1278</v>
      </c>
      <c r="B112" s="172"/>
      <c r="C112" s="173"/>
      <c r="D112" s="174"/>
      <c r="E112" s="2340">
        <f>SUM(B112:D112)</f>
        <v>0</v>
      </c>
      <c r="F112" s="2341">
        <f>IF($A$1="صنایع شیر ایران",IFERROR(('هزینه پرسنلی مستقیم تولید'!$B$31/(C112+B112+D112))/$AH$5,0),IFERROR(('هزینه پرسنلی مستقیم تولید'!$B$31/(C112+B112))/$AH$5,0))</f>
        <v>0</v>
      </c>
      <c r="G112" s="3048">
        <f ca="1">IFERROR((VLOOKUP($AH$6,'هزینه سربار تولید'!$A:$F,2,FALSE)/(D112+D113))/$AH$5,0)</f>
        <v>0</v>
      </c>
      <c r="H112" s="2342">
        <v>0</v>
      </c>
      <c r="I112" s="2343">
        <v>0</v>
      </c>
      <c r="J112" s="2344">
        <v>0</v>
      </c>
      <c r="K112" s="2340">
        <f>SUM(H112:J112)</f>
        <v>0</v>
      </c>
      <c r="L112" s="2341">
        <f ca="1">IF($A$1="صنایع شیر ایران",IFERROR(('هزینه پرسنلی مستقیم تولید'!$C$31/(I112+H112+J112))/$AH$5,0),IFERROR(('هزینه پرسنلی مستقیم تولید'!$C$31/(I112+H112))/$AH$5,0))</f>
        <v>0</v>
      </c>
      <c r="M112" s="3048">
        <f ca="1">IFERROR((VLOOKUP($AH$6,'هزینه سربار تولید'!$A:$F,3,FALSE)/(J112+J113))/$AH$5,0)</f>
        <v>0</v>
      </c>
      <c r="N112" s="172"/>
      <c r="O112" s="173"/>
      <c r="P112" s="174"/>
      <c r="Q112" s="2340">
        <f>SUM(N112:P112)</f>
        <v>0</v>
      </c>
      <c r="R112" s="2341">
        <f>IF($A$1="صنایع شیر ایران",IFERROR(('هزینه پرسنلی مستقیم تولید'!$D$31/(O112+N112+P112))/$AH$5,0),IFERROR(('هزینه پرسنلی مستقیم تولید'!$D$31/(O112+N112))/$AH$5,0))</f>
        <v>0</v>
      </c>
      <c r="S112" s="3048">
        <f ca="1">IFERROR((VLOOKUP($AH$6,'هزینه سربار تولید'!$A:$F,4,FALSE)/(P112+P113))/$AH$5,0)</f>
        <v>0</v>
      </c>
      <c r="T112" s="2345" t="str">
        <f t="shared" ref="T112:T118" si="62">IFERROR(N112*100/H112,"-")</f>
        <v>-</v>
      </c>
      <c r="U112" s="2346">
        <f t="shared" ref="U112:U118" si="63">IFERROR(ABS(T112-100),500)</f>
        <v>500</v>
      </c>
      <c r="V112" s="2347" t="str">
        <f t="shared" ref="V112:V118" si="64">IFERROR(O112*100/I112,"-")</f>
        <v>-</v>
      </c>
      <c r="W112" s="2346">
        <f t="shared" ref="W112:W118" si="65">IFERROR(ABS(V112-100),500)</f>
        <v>500</v>
      </c>
      <c r="X112" s="2347" t="str">
        <f t="shared" ref="X112:X118" si="66">IFERROR(P112*100/J112,"-")</f>
        <v>-</v>
      </c>
      <c r="Y112" s="2348">
        <f t="shared" ref="Y112:Y118" si="67">IFERROR(ABS(X112-100),500)</f>
        <v>500</v>
      </c>
      <c r="Z112" s="2346" t="str">
        <f t="shared" ref="Z112:Z118" si="68">IFERROR(Q112*100/K112,"-")</f>
        <v>-</v>
      </c>
      <c r="AA112" s="2345" t="str">
        <f t="shared" ref="AA112:AA118" ca="1" si="69">IFERROR(R112*100/L112,"-")</f>
        <v>-</v>
      </c>
      <c r="AB112" s="2346">
        <f t="shared" ref="AB112:AB118" ca="1" si="70">IFERROR(ABS(AA112-100),500)</f>
        <v>500</v>
      </c>
      <c r="AC112" s="3049" t="str">
        <f ca="1">IFERROR(S112*100/M112,"-")</f>
        <v>-</v>
      </c>
      <c r="AD112" s="3050">
        <f ca="1">IFERROR(ABS(AC112-100),500)</f>
        <v>500</v>
      </c>
    </row>
    <row r="113" spans="1:31" hidden="1">
      <c r="A113" s="2556" t="s">
        <v>1279</v>
      </c>
      <c r="B113" s="175"/>
      <c r="C113" s="176"/>
      <c r="D113" s="177"/>
      <c r="E113" s="2349">
        <f>SUM(B113:D113)</f>
        <v>0</v>
      </c>
      <c r="F113" s="2350">
        <f>IF($A$1="صنایع شیر ایران",IFERROR(('هزینه پرسنلی غیرمستقیم تولید'!$B$31/(C113+B113+D113))/$AH$5,0),IFERROR(('هزینه پرسنلی غیرمستقیم تولید'!$B$31/(C113+B113))/$AH$5,0))</f>
        <v>0</v>
      </c>
      <c r="G113" s="3039"/>
      <c r="H113" s="2351">
        <v>0</v>
      </c>
      <c r="I113" s="2352">
        <v>0</v>
      </c>
      <c r="J113" s="2353">
        <v>0</v>
      </c>
      <c r="K113" s="2349">
        <f>SUM(H113:J113)</f>
        <v>0</v>
      </c>
      <c r="L113" s="2350">
        <f ca="1">IF($A$1="صنایع شیر ایران",IFERROR(('هزینه پرسنلی غیرمستقیم تولید'!$C$31/(I113+H113+J113))/$AH$5,0),IFERROR(('هزینه پرسنلی غیرمستقیم تولید'!$C$31/(I113+H113))/$AH$5,0))</f>
        <v>0</v>
      </c>
      <c r="M113" s="3039"/>
      <c r="N113" s="175"/>
      <c r="O113" s="176"/>
      <c r="P113" s="177"/>
      <c r="Q113" s="2349">
        <f>SUM(N113:P113)</f>
        <v>0</v>
      </c>
      <c r="R113" s="2350">
        <f>IF($A$1="صنایع شیر ایران",IFERROR(('هزینه پرسنلی غیرمستقیم تولید'!$D$31/(O113+N113+P113))/$AH$5,0),IFERROR(('هزینه پرسنلی غیرمستقیم تولید'!$D$31/(O113+N113))/$AH$5,0))</f>
        <v>0</v>
      </c>
      <c r="S113" s="3039"/>
      <c r="T113" s="2354" t="str">
        <f t="shared" si="62"/>
        <v>-</v>
      </c>
      <c r="U113" s="2355">
        <f t="shared" si="63"/>
        <v>500</v>
      </c>
      <c r="V113" s="2356" t="str">
        <f t="shared" si="64"/>
        <v>-</v>
      </c>
      <c r="W113" s="2355">
        <f t="shared" si="65"/>
        <v>500</v>
      </c>
      <c r="X113" s="2356" t="str">
        <f t="shared" si="66"/>
        <v>-</v>
      </c>
      <c r="Y113" s="2357">
        <f t="shared" si="67"/>
        <v>500</v>
      </c>
      <c r="Z113" s="2355" t="str">
        <f t="shared" si="68"/>
        <v>-</v>
      </c>
      <c r="AA113" s="2354" t="str">
        <f t="shared" ca="1" si="69"/>
        <v>-</v>
      </c>
      <c r="AB113" s="2355">
        <f t="shared" ca="1" si="70"/>
        <v>500</v>
      </c>
      <c r="AC113" s="3041"/>
      <c r="AD113" s="3051"/>
    </row>
    <row r="114" spans="1:31" ht="35.1" customHeight="1">
      <c r="A114" s="2556" t="s">
        <v>1280</v>
      </c>
      <c r="B114" s="175"/>
      <c r="C114" s="176">
        <v>10</v>
      </c>
      <c r="D114" s="177">
        <v>0</v>
      </c>
      <c r="E114" s="2349">
        <f>SUM(B114:D114)</f>
        <v>10</v>
      </c>
      <c r="F114" s="2350">
        <f>IFERROR(('هزینه پرسنلی مستقیم خدمات'!$B$31/(C114+B114))/$AH$5,0)</f>
        <v>12650.166666666666</v>
      </c>
      <c r="G114" s="3038">
        <f ca="1">IFERROR((VLOOKUP($AH$6,'هزینه سربار خدمات'!$A:$F,2,FALSE)/(D114+D115))/$AH$5,0)</f>
        <v>0</v>
      </c>
      <c r="H114" s="175"/>
      <c r="I114" s="176">
        <v>10</v>
      </c>
      <c r="J114" s="177">
        <v>4</v>
      </c>
      <c r="K114" s="2349">
        <f>SUM(H114:J114)</f>
        <v>14</v>
      </c>
      <c r="L114" s="2350">
        <f ca="1">IFERROR(('هزینه پرسنلی مستقیم خدمات'!$C$31/(I114+H114))/$AH$5,0)</f>
        <v>19439.3</v>
      </c>
      <c r="M114" s="3038">
        <f ca="1">IFERROR((VLOOKUP($AH$6,'هزینه سربار خدمات'!$A:$F,3,FALSE)/(J114+J115))/$AH$5,0)</f>
        <v>5157.333333333333</v>
      </c>
      <c r="N114" s="175"/>
      <c r="O114" s="176">
        <v>9</v>
      </c>
      <c r="P114" s="177">
        <v>0</v>
      </c>
      <c r="Q114" s="2349">
        <f>SUM(N114:P114)</f>
        <v>9</v>
      </c>
      <c r="R114" s="2350">
        <f>IFERROR(('هزینه پرسنلی مستقیم خدمات'!$D$31/(O114+N114))/$AH$5,0)</f>
        <v>23000.833333333332</v>
      </c>
      <c r="S114" s="3038">
        <f ca="1">IFERROR((VLOOKUP($AH$6,'هزینه سربار خدمات'!$A:$F,4,FALSE)/(P114+P115))/$AH$5,0)</f>
        <v>0</v>
      </c>
      <c r="T114" s="2358" t="str">
        <f t="shared" si="62"/>
        <v>-</v>
      </c>
      <c r="U114" s="2359">
        <f t="shared" si="63"/>
        <v>500</v>
      </c>
      <c r="V114" s="2360">
        <f t="shared" si="64"/>
        <v>90</v>
      </c>
      <c r="W114" s="2359">
        <f t="shared" si="65"/>
        <v>10</v>
      </c>
      <c r="X114" s="2360">
        <f t="shared" si="66"/>
        <v>0</v>
      </c>
      <c r="Y114" s="2361">
        <f t="shared" si="67"/>
        <v>100</v>
      </c>
      <c r="Z114" s="2361">
        <f t="shared" si="68"/>
        <v>64.285714285714292</v>
      </c>
      <c r="AA114" s="2358">
        <f t="shared" ca="1" si="69"/>
        <v>118.3213044365452</v>
      </c>
      <c r="AB114" s="2359">
        <f t="shared" ca="1" si="70"/>
        <v>18.321304436545205</v>
      </c>
      <c r="AC114" s="3040">
        <f ca="1">IFERROR(S114*100/M114,"-")</f>
        <v>0</v>
      </c>
      <c r="AD114" s="3042">
        <f ca="1">IFERROR(ABS(AC114-100),500)</f>
        <v>100</v>
      </c>
    </row>
    <row r="115" spans="1:31" ht="35.1" customHeight="1">
      <c r="A115" s="2556" t="s">
        <v>1281</v>
      </c>
      <c r="B115" s="175"/>
      <c r="C115" s="176"/>
      <c r="D115" s="177"/>
      <c r="E115" s="2349">
        <f>SUM(B115:D115)</f>
        <v>0</v>
      </c>
      <c r="F115" s="2350">
        <f>IFERROR(('هزینه پرسنلی غیرمستقیم خدمات'!$B$31/(C115+B115))/$AH$5,0)</f>
        <v>0</v>
      </c>
      <c r="G115" s="3039"/>
      <c r="H115" s="175"/>
      <c r="I115" s="176"/>
      <c r="J115" s="177"/>
      <c r="K115" s="2349">
        <f>SUM(H115:J115)</f>
        <v>0</v>
      </c>
      <c r="L115" s="2350">
        <f ca="1">IFERROR(('هزینه پرسنلی غیرمستقیم خدمات'!$C$31/(I115+H115))/$AH$5,0)</f>
        <v>0</v>
      </c>
      <c r="M115" s="3039"/>
      <c r="N115" s="175"/>
      <c r="O115" s="176"/>
      <c r="P115" s="177"/>
      <c r="Q115" s="2349">
        <f>SUM(N115:P115)</f>
        <v>0</v>
      </c>
      <c r="R115" s="2350">
        <f>IFERROR(('هزینه پرسنلی غیرمستقیم خدمات'!$D$31/(O115+N115))/$AH$5,0)</f>
        <v>0</v>
      </c>
      <c r="S115" s="3039"/>
      <c r="T115" s="2358" t="str">
        <f t="shared" si="62"/>
        <v>-</v>
      </c>
      <c r="U115" s="2359">
        <f t="shared" si="63"/>
        <v>500</v>
      </c>
      <c r="V115" s="2360" t="str">
        <f t="shared" si="64"/>
        <v>-</v>
      </c>
      <c r="W115" s="2359">
        <f t="shared" si="65"/>
        <v>500</v>
      </c>
      <c r="X115" s="2360" t="str">
        <f t="shared" si="66"/>
        <v>-</v>
      </c>
      <c r="Y115" s="2361">
        <f t="shared" si="67"/>
        <v>500</v>
      </c>
      <c r="Z115" s="2361" t="str">
        <f t="shared" si="68"/>
        <v>-</v>
      </c>
      <c r="AA115" s="2358" t="str">
        <f t="shared" ca="1" si="69"/>
        <v>-</v>
      </c>
      <c r="AB115" s="2359">
        <f t="shared" ca="1" si="70"/>
        <v>500</v>
      </c>
      <c r="AC115" s="3041"/>
      <c r="AD115" s="3043"/>
    </row>
    <row r="116" spans="1:31" ht="35.1" customHeight="1" thickBot="1">
      <c r="A116" s="2557" t="s">
        <v>277</v>
      </c>
      <c r="B116" s="178"/>
      <c r="C116" s="179">
        <v>0</v>
      </c>
      <c r="D116" s="180">
        <v>1</v>
      </c>
      <c r="E116" s="2362">
        <f>SUM(B116:D116)</f>
        <v>1</v>
      </c>
      <c r="F116" s="2350">
        <f>IF($A$1="صنایع شیر ایران",IFERROR(('هزینه اداری عمومی'!$B$26/(C116+B116+D116))/$AH$5,0),IFERROR(('هزینه اداری عمومی'!$B$26/(C116+B116))/$AH$5,0))</f>
        <v>0</v>
      </c>
      <c r="G116" s="2363">
        <f ca="1">IFERROR((VLOOKUP($AH$6,'هزینه اداری عمومی'!$A:$F,2,FALSE)/D116)/$AH$5,0)</f>
        <v>0</v>
      </c>
      <c r="H116" s="178"/>
      <c r="I116" s="179">
        <v>0</v>
      </c>
      <c r="J116" s="180">
        <v>2</v>
      </c>
      <c r="K116" s="2362">
        <f>SUM(H116:J116)</f>
        <v>2</v>
      </c>
      <c r="L116" s="2350">
        <f>IF($A$1="صنایع شیر ایران",IFERROR(('هزینه اداری عمومی'!$C$26/(I116+H116+J116))/$AH$5,0),IFERROR(('هزینه اداری عمومی'!$C$26/(I116+H116))/$AH$5,0))</f>
        <v>0</v>
      </c>
      <c r="M116" s="2363">
        <f ca="1">IFERROR((VLOOKUP($AH$6,'هزینه اداری عمومی'!$A:$F,3,FALSE)/J116)/$AH$5,0)</f>
        <v>2394.25</v>
      </c>
      <c r="N116" s="178"/>
      <c r="O116" s="179"/>
      <c r="P116" s="180">
        <v>0</v>
      </c>
      <c r="Q116" s="2362">
        <f>SUM(N116:P116)</f>
        <v>0</v>
      </c>
      <c r="R116" s="2350">
        <f>IF($A$1="صنایع شیر ایران",IFERROR(('هزینه اداری عمومی'!$D$26/(O116+N116+P116))/$AH$5,0),IFERROR(('هزینه اداری عمومی'!$D$26/(O116+N116))/$AH$5,0))</f>
        <v>0</v>
      </c>
      <c r="S116" s="2363">
        <f ca="1">IFERROR((VLOOKUP($AH$6,'هزینه اداری عمومی'!$A:$F,4,FALSE)/P116)/$AH$5,0)</f>
        <v>0</v>
      </c>
      <c r="T116" s="2364" t="str">
        <f t="shared" si="62"/>
        <v>-</v>
      </c>
      <c r="U116" s="2365">
        <f t="shared" si="63"/>
        <v>500</v>
      </c>
      <c r="V116" s="2366" t="str">
        <f t="shared" si="64"/>
        <v>-</v>
      </c>
      <c r="W116" s="2365">
        <f t="shared" si="65"/>
        <v>500</v>
      </c>
      <c r="X116" s="2366">
        <f t="shared" si="66"/>
        <v>0</v>
      </c>
      <c r="Y116" s="2367">
        <f t="shared" si="67"/>
        <v>100</v>
      </c>
      <c r="Z116" s="2367">
        <f t="shared" si="68"/>
        <v>0</v>
      </c>
      <c r="AA116" s="2358" t="str">
        <f t="shared" si="69"/>
        <v>-</v>
      </c>
      <c r="AB116" s="2365">
        <f t="shared" si="70"/>
        <v>500</v>
      </c>
      <c r="AC116" s="2360">
        <f ca="1">IFERROR(S116*100/M116,"-")</f>
        <v>0</v>
      </c>
      <c r="AD116" s="2367">
        <f ca="1">IFERROR(ABS(AC116-100),500)</f>
        <v>100</v>
      </c>
    </row>
    <row r="117" spans="1:31" ht="35.1" customHeight="1" thickBot="1">
      <c r="A117" s="2558" t="s">
        <v>448</v>
      </c>
      <c r="B117" s="2368">
        <f>SUM(B112:B116)</f>
        <v>0</v>
      </c>
      <c r="C117" s="2369">
        <f>SUM(C112:C116)</f>
        <v>10</v>
      </c>
      <c r="D117" s="2370">
        <f>SUM(D112:D116)</f>
        <v>1</v>
      </c>
      <c r="E117" s="2371">
        <f>SUM(E112:E116)</f>
        <v>11</v>
      </c>
      <c r="F117" s="2372">
        <f>IF($A$1="صنایع شیر ایران",IFERROR(((SUM(F113*(C113+B113+D113),F116*(C116+B116+D116),F112*(C112+B112+D112)))/(C117+B117+D117)),0),IFERROR(((SUM(F113*(C113+B113),F114*(C114+B114),F115*(C115+B115),F116*(C116+B116),F112*(C112+B112)))/(C117+B117)),0))</f>
        <v>12650.166666666666</v>
      </c>
      <c r="G117" s="2373">
        <f ca="1">IFERROR((G112*(D113+D112)+G114*(D115+D114)+G116*D116)/(D117),0)</f>
        <v>0</v>
      </c>
      <c r="H117" s="2368">
        <f>SUM(H112:H116)</f>
        <v>0</v>
      </c>
      <c r="I117" s="2369">
        <f>SUM(I112:I116)</f>
        <v>10</v>
      </c>
      <c r="J117" s="2370">
        <f>SUM(J112:J116)</f>
        <v>6</v>
      </c>
      <c r="K117" s="2371">
        <f>SUM(K112:K116)</f>
        <v>16</v>
      </c>
      <c r="L117" s="2372">
        <f ca="1">IF($A$1="صنایع شیر ایران",IFERROR(((SUM(L113*(I113+H113+J113),L116*(I116+H116+J116),L112*(I112+H112+J112)))/(I117+H117+J117)),0),IFERROR(((SUM(L113*(I113+H113),L114*(I114+H114),L115*(I115+H115),L116*(I116+H116),L112*(I112+H112)))/(I117+H117)),0))</f>
        <v>19439.3</v>
      </c>
      <c r="M117" s="2373">
        <f ca="1">IFERROR((M112*(J113+J112)+M114*(J115+J114)+M116*J116)/(J117),0)</f>
        <v>4236.3055555555557</v>
      </c>
      <c r="N117" s="2368">
        <f>SUM(N112:N116)</f>
        <v>0</v>
      </c>
      <c r="O117" s="2369">
        <f>SUM(O112:O116)</f>
        <v>9</v>
      </c>
      <c r="P117" s="2370">
        <f>SUM(P112:P116)</f>
        <v>0</v>
      </c>
      <c r="Q117" s="2371">
        <f>SUM(Q112:Q116)</f>
        <v>9</v>
      </c>
      <c r="R117" s="2372">
        <f>IF($A$1="صنایع شیر ایران",IFERROR(((SUM(R113*(O113+N113+P113),R116*(O116+N116+P116),R112*(O112+N112+P112)))/(O117+N117+P117)),0),IFERROR(((SUM(R113*(O113+N113),R114*(O114+N114),R115*(O115+N115),R116*(O116+N116),R112*(O112+N112)))/(O117+N117)),0))</f>
        <v>23000.833333333332</v>
      </c>
      <c r="S117" s="2373">
        <f ca="1">IFERROR((S112*(P113+P112)+S114*(P115+P114)+S116*P116)/(P117),0)</f>
        <v>0</v>
      </c>
      <c r="T117" s="2374" t="str">
        <f t="shared" si="62"/>
        <v>-</v>
      </c>
      <c r="U117" s="2375">
        <f t="shared" si="63"/>
        <v>500</v>
      </c>
      <c r="V117" s="2376">
        <f t="shared" si="64"/>
        <v>90</v>
      </c>
      <c r="W117" s="2375">
        <f t="shared" si="65"/>
        <v>10</v>
      </c>
      <c r="X117" s="2376">
        <f t="shared" si="66"/>
        <v>0</v>
      </c>
      <c r="Y117" s="2377">
        <f t="shared" si="67"/>
        <v>100</v>
      </c>
      <c r="Z117" s="2377">
        <f t="shared" si="68"/>
        <v>56.25</v>
      </c>
      <c r="AA117" s="2374">
        <f t="shared" ca="1" si="69"/>
        <v>118.3213044365452</v>
      </c>
      <c r="AB117" s="2375">
        <f t="shared" ca="1" si="70"/>
        <v>18.321304436545205</v>
      </c>
      <c r="AC117" s="2376">
        <f ca="1">IFERROR(S117*100/M117,"-")</f>
        <v>0</v>
      </c>
      <c r="AD117" s="2377">
        <f ca="1">IFERROR(ABS(AC117-100),500)</f>
        <v>100</v>
      </c>
    </row>
    <row r="118" spans="1:31" ht="35.1" customHeight="1" thickTop="1" thickBot="1">
      <c r="A118" s="2559" t="s">
        <v>449</v>
      </c>
      <c r="B118" s="689"/>
      <c r="C118" s="690"/>
      <c r="D118" s="691"/>
      <c r="E118" s="2378">
        <f>SUM(B118:D118)</f>
        <v>0</v>
      </c>
      <c r="F118" s="1559"/>
      <c r="G118" s="1560"/>
      <c r="H118" s="689"/>
      <c r="I118" s="690"/>
      <c r="J118" s="691"/>
      <c r="K118" s="2378">
        <f>SUM(H118:J118)</f>
        <v>0</v>
      </c>
      <c r="L118" s="1559"/>
      <c r="M118" s="1560"/>
      <c r="N118" s="689"/>
      <c r="O118" s="690"/>
      <c r="P118" s="691"/>
      <c r="Q118" s="2378">
        <f>SUM(N118:P118)</f>
        <v>0</v>
      </c>
      <c r="R118" s="1559"/>
      <c r="S118" s="1560"/>
      <c r="T118" s="2379" t="str">
        <f t="shared" si="62"/>
        <v>-</v>
      </c>
      <c r="U118" s="2380">
        <f t="shared" si="63"/>
        <v>500</v>
      </c>
      <c r="V118" s="2381" t="str">
        <f t="shared" si="64"/>
        <v>-</v>
      </c>
      <c r="W118" s="2380">
        <f t="shared" si="65"/>
        <v>500</v>
      </c>
      <c r="X118" s="2381" t="str">
        <f t="shared" si="66"/>
        <v>-</v>
      </c>
      <c r="Y118" s="2382">
        <f t="shared" si="67"/>
        <v>500</v>
      </c>
      <c r="Z118" s="2382" t="str">
        <f t="shared" si="68"/>
        <v>-</v>
      </c>
      <c r="AA118" s="2379" t="str">
        <f t="shared" si="69"/>
        <v>-</v>
      </c>
      <c r="AB118" s="2380">
        <f t="shared" si="70"/>
        <v>500</v>
      </c>
      <c r="AC118" s="2381" t="str">
        <f>IFERROR(S118*100/M118,"-")</f>
        <v>-</v>
      </c>
      <c r="AD118" s="2382">
        <f>IFERROR(ABS(AC118-100),500)</f>
        <v>500</v>
      </c>
    </row>
    <row r="119" spans="1:31" ht="21.75" thickBot="1"/>
    <row r="120" spans="1:31" ht="25.5">
      <c r="A120" s="3054" t="s">
        <v>446</v>
      </c>
      <c r="B120" s="3055"/>
      <c r="C120" s="3055"/>
      <c r="D120" s="3055"/>
      <c r="E120" s="3055"/>
      <c r="F120" s="3055"/>
      <c r="G120" s="3055"/>
      <c r="H120" s="3055"/>
      <c r="I120" s="3055"/>
      <c r="J120" s="3055"/>
      <c r="K120" s="3055"/>
      <c r="L120" s="3055"/>
      <c r="M120" s="3055"/>
      <c r="N120" s="3055"/>
      <c r="O120" s="3055"/>
      <c r="P120" s="3055"/>
      <c r="Q120" s="3055"/>
      <c r="R120" s="3055"/>
      <c r="S120" s="3056"/>
    </row>
    <row r="121" spans="1:31">
      <c r="A121" s="3057"/>
      <c r="B121" s="3058"/>
      <c r="C121" s="3058"/>
      <c r="D121" s="3058"/>
      <c r="E121" s="3058"/>
      <c r="F121" s="3058"/>
      <c r="G121" s="3058"/>
      <c r="H121" s="3058"/>
      <c r="I121" s="3058"/>
      <c r="J121" s="3058"/>
      <c r="K121" s="3058"/>
      <c r="L121" s="3058"/>
      <c r="M121" s="3058"/>
      <c r="N121" s="3058"/>
      <c r="O121" s="3058"/>
      <c r="P121" s="3058"/>
      <c r="Q121" s="3058"/>
      <c r="R121" s="3058"/>
      <c r="S121" s="3059"/>
    </row>
    <row r="122" spans="1:31">
      <c r="A122" s="3057"/>
      <c r="B122" s="3058"/>
      <c r="C122" s="3058"/>
      <c r="D122" s="3058"/>
      <c r="E122" s="3058"/>
      <c r="F122" s="3058"/>
      <c r="G122" s="3058"/>
      <c r="H122" s="3058"/>
      <c r="I122" s="3058"/>
      <c r="J122" s="3058"/>
      <c r="K122" s="3058"/>
      <c r="L122" s="3058"/>
      <c r="M122" s="3058"/>
      <c r="N122" s="3058"/>
      <c r="O122" s="3058"/>
      <c r="P122" s="3058"/>
      <c r="Q122" s="3058"/>
      <c r="R122" s="3058"/>
      <c r="S122" s="3059"/>
    </row>
    <row r="123" spans="1:31">
      <c r="A123" s="3057"/>
      <c r="B123" s="3058"/>
      <c r="C123" s="3058"/>
      <c r="D123" s="3058"/>
      <c r="E123" s="3058"/>
      <c r="F123" s="3058"/>
      <c r="G123" s="3058"/>
      <c r="H123" s="3058"/>
      <c r="I123" s="3058"/>
      <c r="J123" s="3058"/>
      <c r="K123" s="3058"/>
      <c r="L123" s="3058"/>
      <c r="M123" s="3058"/>
      <c r="N123" s="3058"/>
      <c r="O123" s="3058"/>
      <c r="P123" s="3058"/>
      <c r="Q123" s="3058"/>
      <c r="R123" s="3058"/>
      <c r="S123" s="3059"/>
    </row>
    <row r="124" spans="1:31">
      <c r="A124" s="3057"/>
      <c r="B124" s="3058"/>
      <c r="C124" s="3058"/>
      <c r="D124" s="3058"/>
      <c r="E124" s="3058"/>
      <c r="F124" s="3058"/>
      <c r="G124" s="3058"/>
      <c r="H124" s="3058"/>
      <c r="I124" s="3058"/>
      <c r="J124" s="3058"/>
      <c r="K124" s="3058"/>
      <c r="L124" s="3058"/>
      <c r="M124" s="3058"/>
      <c r="N124" s="3058"/>
      <c r="O124" s="3058"/>
      <c r="P124" s="3058"/>
      <c r="Q124" s="3058"/>
      <c r="R124" s="3058"/>
      <c r="S124" s="3059"/>
    </row>
    <row r="125" spans="1:31" ht="21.75" thickBot="1">
      <c r="A125" s="3060"/>
      <c r="B125" s="3061"/>
      <c r="C125" s="3061"/>
      <c r="D125" s="3061"/>
      <c r="E125" s="3061"/>
      <c r="F125" s="3061"/>
      <c r="G125" s="3061"/>
      <c r="H125" s="3061"/>
      <c r="I125" s="3061"/>
      <c r="J125" s="3061"/>
      <c r="K125" s="3061"/>
      <c r="L125" s="3061"/>
      <c r="M125" s="3061"/>
      <c r="N125" s="3061"/>
      <c r="O125" s="3061"/>
      <c r="P125" s="3061"/>
      <c r="Q125" s="3061"/>
      <c r="R125" s="3061"/>
      <c r="S125" s="3062"/>
    </row>
    <row r="127" spans="1:31" ht="29.25" thickBot="1">
      <c r="A127" s="3034" t="str">
        <f>"گزارش تعداد پرسنل و سرانه هزینه پرسنلی به تفکیک نوع قرارداد در دوره " &amp; روکش!$F$9 &amp; " سال " &amp; روکش!$D$9&amp;"- مجتمع خراسان/ شعبه "&amp;AE127</f>
        <v>گزارش تعداد پرسنل و سرانه هزینه پرسنلی به تفکیک نوع قرارداد در دوره شش ماهه سال 1405- مجتمع خراسان/ شعبه دوغارون</v>
      </c>
      <c r="B127" s="3034"/>
      <c r="C127" s="3034"/>
      <c r="D127" s="3034"/>
      <c r="E127" s="3034"/>
      <c r="F127" s="3034"/>
      <c r="G127" s="3034"/>
      <c r="H127" s="3034"/>
      <c r="I127" s="3034"/>
      <c r="J127" s="3034"/>
      <c r="K127" s="3034"/>
      <c r="L127" s="3034"/>
      <c r="M127" s="3034"/>
      <c r="N127" s="3034"/>
      <c r="O127" s="3034"/>
      <c r="P127" s="3034"/>
      <c r="Q127" s="3034"/>
      <c r="R127" s="3034"/>
      <c r="S127" s="3034"/>
      <c r="T127" s="3034"/>
      <c r="U127" s="3034"/>
      <c r="V127" s="3034"/>
      <c r="W127" s="3034"/>
      <c r="X127" s="3034"/>
      <c r="Y127" s="3034"/>
      <c r="Z127" s="3034"/>
      <c r="AA127" s="3034"/>
      <c r="AB127" s="3034"/>
      <c r="AC127" s="3034"/>
      <c r="AD127" s="3034"/>
      <c r="AE127" s="2561" t="str">
        <f>واردات!$AA$48</f>
        <v>دوغارون</v>
      </c>
    </row>
    <row r="128" spans="1:31" ht="24.75" thickBot="1">
      <c r="A128" s="3052" t="s">
        <v>21</v>
      </c>
      <c r="B128" s="3035" t="s">
        <v>716</v>
      </c>
      <c r="C128" s="3036"/>
      <c r="D128" s="3036"/>
      <c r="E128" s="3036"/>
      <c r="F128" s="3036"/>
      <c r="G128" s="3037"/>
      <c r="H128" s="3035" t="s">
        <v>674</v>
      </c>
      <c r="I128" s="3036"/>
      <c r="J128" s="3036"/>
      <c r="K128" s="3036"/>
      <c r="L128" s="3036"/>
      <c r="M128" s="3037"/>
      <c r="N128" s="3035" t="s">
        <v>675</v>
      </c>
      <c r="O128" s="3036"/>
      <c r="P128" s="3036"/>
      <c r="Q128" s="3036"/>
      <c r="R128" s="3036"/>
      <c r="S128" s="3037"/>
      <c r="T128" s="3035" t="s">
        <v>717</v>
      </c>
      <c r="U128" s="3036"/>
      <c r="V128" s="3036"/>
      <c r="W128" s="3036"/>
      <c r="X128" s="3036"/>
      <c r="Y128" s="3036"/>
      <c r="Z128" s="3036"/>
      <c r="AA128" s="3036"/>
      <c r="AB128" s="3036"/>
      <c r="AC128" s="3036"/>
      <c r="AD128" s="3037"/>
    </row>
    <row r="129" spans="1:30" ht="63.75" thickBot="1">
      <c r="A129" s="3053"/>
      <c r="B129" s="2335" t="s">
        <v>60</v>
      </c>
      <c r="C129" s="2336" t="s">
        <v>61</v>
      </c>
      <c r="D129" s="2337" t="s">
        <v>62</v>
      </c>
      <c r="E129" s="2338" t="s">
        <v>1</v>
      </c>
      <c r="F129" s="2335" t="s">
        <v>1403</v>
      </c>
      <c r="G129" s="2337" t="s">
        <v>1404</v>
      </c>
      <c r="H129" s="2335" t="s">
        <v>60</v>
      </c>
      <c r="I129" s="2336" t="s">
        <v>61</v>
      </c>
      <c r="J129" s="2337" t="s">
        <v>62</v>
      </c>
      <c r="K129" s="2339" t="s">
        <v>1</v>
      </c>
      <c r="L129" s="2335" t="s">
        <v>1403</v>
      </c>
      <c r="M129" s="2337" t="s">
        <v>1404</v>
      </c>
      <c r="N129" s="2335" t="s">
        <v>60</v>
      </c>
      <c r="O129" s="2336" t="s">
        <v>61</v>
      </c>
      <c r="P129" s="2337" t="s">
        <v>62</v>
      </c>
      <c r="Q129" s="2339" t="s">
        <v>1</v>
      </c>
      <c r="R129" s="2335" t="s">
        <v>1403</v>
      </c>
      <c r="S129" s="2337" t="s">
        <v>1404</v>
      </c>
      <c r="T129" s="3044" t="s">
        <v>60</v>
      </c>
      <c r="U129" s="3045"/>
      <c r="V129" s="3046" t="s">
        <v>61</v>
      </c>
      <c r="W129" s="3045"/>
      <c r="X129" s="3046" t="s">
        <v>62</v>
      </c>
      <c r="Y129" s="3047"/>
      <c r="Z129" s="2339" t="s">
        <v>1</v>
      </c>
      <c r="AA129" s="3044" t="s">
        <v>1403</v>
      </c>
      <c r="AB129" s="3045"/>
      <c r="AC129" s="3046" t="s">
        <v>1404</v>
      </c>
      <c r="AD129" s="3047"/>
    </row>
    <row r="130" spans="1:30" hidden="1">
      <c r="A130" s="2555" t="s">
        <v>1278</v>
      </c>
      <c r="B130" s="172"/>
      <c r="C130" s="173"/>
      <c r="D130" s="174"/>
      <c r="E130" s="2340">
        <f>SUM(B130:D130)</f>
        <v>0</v>
      </c>
      <c r="F130" s="2341">
        <f>IF($A$1="صنایع شیر ایران",IFERROR(('هزینه پرسنلی مستقیم تولید'!$B$31/(C130+B130+D130))/$AH$5,0),IFERROR(('هزینه پرسنلی مستقیم تولید'!$B$31/(C130+B130))/$AH$5,0))</f>
        <v>0</v>
      </c>
      <c r="G130" s="3048">
        <f ca="1">IFERROR((VLOOKUP($AH$6,'هزینه سربار تولید'!$A:$F,2,FALSE)/(D130+D131))/$AH$5,0)</f>
        <v>0</v>
      </c>
      <c r="H130" s="2342">
        <v>0</v>
      </c>
      <c r="I130" s="2343">
        <v>0</v>
      </c>
      <c r="J130" s="2344">
        <v>0</v>
      </c>
      <c r="K130" s="2340">
        <f>SUM(H130:J130)</f>
        <v>0</v>
      </c>
      <c r="L130" s="2341">
        <f ca="1">IF($A$1="صنایع شیر ایران",IFERROR(('هزینه پرسنلی مستقیم تولید'!$C$31/(I130+H130+J130))/$AH$5,0),IFERROR(('هزینه پرسنلی مستقیم تولید'!$C$31/(I130+H130))/$AH$5,0))</f>
        <v>0</v>
      </c>
      <c r="M130" s="3048">
        <f ca="1">IFERROR((VLOOKUP($AH$6,'هزینه سربار تولید'!$A:$F,3,FALSE)/(J130+J131))/$AH$5,0)</f>
        <v>0</v>
      </c>
      <c r="N130" s="172"/>
      <c r="O130" s="173"/>
      <c r="P130" s="174"/>
      <c r="Q130" s="2340">
        <f>SUM(N130:P130)</f>
        <v>0</v>
      </c>
      <c r="R130" s="2341">
        <f>IF($A$1="صنایع شیر ایران",IFERROR(('هزینه پرسنلی مستقیم تولید'!$D$31/(O130+N130+P130))/$AH$5,0),IFERROR(('هزینه پرسنلی مستقیم تولید'!$D$31/(O130+N130))/$AH$5,0))</f>
        <v>0</v>
      </c>
      <c r="S130" s="3048">
        <f ca="1">IFERROR((VLOOKUP($AH$6,'هزینه سربار تولید'!$A:$F,4,FALSE)/(P130+P131))/$AH$5,0)</f>
        <v>0</v>
      </c>
      <c r="T130" s="2345" t="str">
        <f t="shared" ref="T130:T136" si="71">IFERROR(N130*100/H130,"-")</f>
        <v>-</v>
      </c>
      <c r="U130" s="2346">
        <f t="shared" ref="U130:U136" si="72">IFERROR(ABS(T130-100),500)</f>
        <v>500</v>
      </c>
      <c r="V130" s="2347" t="str">
        <f t="shared" ref="V130:V136" si="73">IFERROR(O130*100/I130,"-")</f>
        <v>-</v>
      </c>
      <c r="W130" s="2346">
        <f t="shared" ref="W130:W136" si="74">IFERROR(ABS(V130-100),500)</f>
        <v>500</v>
      </c>
      <c r="X130" s="2347" t="str">
        <f t="shared" ref="X130:X136" si="75">IFERROR(P130*100/J130,"-")</f>
        <v>-</v>
      </c>
      <c r="Y130" s="2348">
        <f t="shared" ref="Y130:Y136" si="76">IFERROR(ABS(X130-100),500)</f>
        <v>500</v>
      </c>
      <c r="Z130" s="2346" t="str">
        <f t="shared" ref="Z130:Z136" si="77">IFERROR(Q130*100/K130,"-")</f>
        <v>-</v>
      </c>
      <c r="AA130" s="2345" t="str">
        <f t="shared" ref="AA130:AA136" ca="1" si="78">IFERROR(R130*100/L130,"-")</f>
        <v>-</v>
      </c>
      <c r="AB130" s="2346">
        <f t="shared" ref="AB130:AB136" ca="1" si="79">IFERROR(ABS(AA130-100),500)</f>
        <v>500</v>
      </c>
      <c r="AC130" s="3049" t="str">
        <f ca="1">IFERROR(S130*100/M130,"-")</f>
        <v>-</v>
      </c>
      <c r="AD130" s="3050">
        <f ca="1">IFERROR(ABS(AC130-100),500)</f>
        <v>500</v>
      </c>
    </row>
    <row r="131" spans="1:30" hidden="1">
      <c r="A131" s="2556" t="s">
        <v>1279</v>
      </c>
      <c r="B131" s="175"/>
      <c r="C131" s="176"/>
      <c r="D131" s="177"/>
      <c r="E131" s="2349">
        <f>SUM(B131:D131)</f>
        <v>0</v>
      </c>
      <c r="F131" s="2350">
        <f>IF($A$1="صنایع شیر ایران",IFERROR(('هزینه پرسنلی غیرمستقیم تولید'!$B$31/(C131+B131+D131))/$AH$5,0),IFERROR(('هزینه پرسنلی غیرمستقیم تولید'!$B$31/(C131+B131))/$AH$5,0))</f>
        <v>0</v>
      </c>
      <c r="G131" s="3039"/>
      <c r="H131" s="2351">
        <v>0</v>
      </c>
      <c r="I131" s="2352">
        <v>0</v>
      </c>
      <c r="J131" s="2353">
        <v>0</v>
      </c>
      <c r="K131" s="2349">
        <f>SUM(H131:J131)</f>
        <v>0</v>
      </c>
      <c r="L131" s="2350">
        <f ca="1">IF($A$1="صنایع شیر ایران",IFERROR(('هزینه پرسنلی غیرمستقیم تولید'!$C$31/(I131+H131+J131))/$AH$5,0),IFERROR(('هزینه پرسنلی غیرمستقیم تولید'!$C$31/(I131+H131))/$AH$5,0))</f>
        <v>0</v>
      </c>
      <c r="M131" s="3039"/>
      <c r="N131" s="175"/>
      <c r="O131" s="176"/>
      <c r="P131" s="177"/>
      <c r="Q131" s="2349">
        <f>SUM(N131:P131)</f>
        <v>0</v>
      </c>
      <c r="R131" s="2350">
        <f>IF($A$1="صنایع شیر ایران",IFERROR(('هزینه پرسنلی غیرمستقیم تولید'!$D$31/(O131+N131+P131))/$AH$5,0),IFERROR(('هزینه پرسنلی غیرمستقیم تولید'!$D$31/(O131+N131))/$AH$5,0))</f>
        <v>0</v>
      </c>
      <c r="S131" s="3039"/>
      <c r="T131" s="2354" t="str">
        <f t="shared" si="71"/>
        <v>-</v>
      </c>
      <c r="U131" s="2355">
        <f t="shared" si="72"/>
        <v>500</v>
      </c>
      <c r="V131" s="2356" t="str">
        <f t="shared" si="73"/>
        <v>-</v>
      </c>
      <c r="W131" s="2355">
        <f t="shared" si="74"/>
        <v>500</v>
      </c>
      <c r="X131" s="2356" t="str">
        <f t="shared" si="75"/>
        <v>-</v>
      </c>
      <c r="Y131" s="2357">
        <f t="shared" si="76"/>
        <v>500</v>
      </c>
      <c r="Z131" s="2355" t="str">
        <f t="shared" si="77"/>
        <v>-</v>
      </c>
      <c r="AA131" s="2354" t="str">
        <f t="shared" ca="1" si="78"/>
        <v>-</v>
      </c>
      <c r="AB131" s="2355">
        <f t="shared" ca="1" si="79"/>
        <v>500</v>
      </c>
      <c r="AC131" s="3041"/>
      <c r="AD131" s="3051"/>
    </row>
    <row r="132" spans="1:30" ht="35.1" customHeight="1">
      <c r="A132" s="2556" t="s">
        <v>1280</v>
      </c>
      <c r="B132" s="175"/>
      <c r="C132" s="176">
        <v>59</v>
      </c>
      <c r="D132" s="177">
        <v>8</v>
      </c>
      <c r="E132" s="2349">
        <f>SUM(B132:D132)</f>
        <v>67</v>
      </c>
      <c r="F132" s="2350">
        <f>IFERROR(('هزینه پرسنلی مستقیم خدمات'!$B$31/(C132+B132))/$AH$5,0)</f>
        <v>2144.0960451977403</v>
      </c>
      <c r="G132" s="3038">
        <f ca="1">IFERROR((VLOOKUP($AH$6,'هزینه سربار خدمات'!$A:$F,2,FALSE)/(D132+D133))/$AH$5,0)</f>
        <v>802.1875</v>
      </c>
      <c r="H132" s="175"/>
      <c r="I132" s="176">
        <v>59</v>
      </c>
      <c r="J132" s="177">
        <v>24</v>
      </c>
      <c r="K132" s="2349">
        <f>SUM(H132:J132)</f>
        <v>83</v>
      </c>
      <c r="L132" s="2350">
        <f ca="1">IFERROR(('هزینه پرسنلی مستقیم خدمات'!$C$31/(I132+H132))/$AH$5,0)</f>
        <v>3294.7966101694915</v>
      </c>
      <c r="M132" s="3038">
        <f ca="1">IFERROR((VLOOKUP($AH$6,'هزینه سربار خدمات'!$A:$F,3,FALSE)/(J132+J133))/$AH$5,0)</f>
        <v>859.55555555555554</v>
      </c>
      <c r="N132" s="175"/>
      <c r="O132" s="176">
        <v>57</v>
      </c>
      <c r="P132" s="177">
        <v>11</v>
      </c>
      <c r="Q132" s="2349">
        <f>SUM(N132:P132)</f>
        <v>68</v>
      </c>
      <c r="R132" s="2350">
        <f>IFERROR(('هزینه پرسنلی مستقیم خدمات'!$D$31/(O132+N132))/$AH$5,0)</f>
        <v>3631.7105263157896</v>
      </c>
      <c r="S132" s="3038">
        <f ca="1">IFERROR((VLOOKUP($AH$6,'هزینه سربار خدمات'!$A:$F,4,FALSE)/(P132+P133))/$AH$5,0)</f>
        <v>4294.727272727273</v>
      </c>
      <c r="T132" s="2358" t="str">
        <f t="shared" si="71"/>
        <v>-</v>
      </c>
      <c r="U132" s="2359">
        <f t="shared" si="72"/>
        <v>500</v>
      </c>
      <c r="V132" s="2360">
        <f t="shared" si="73"/>
        <v>96.610169491525426</v>
      </c>
      <c r="W132" s="2359">
        <f t="shared" si="74"/>
        <v>3.3898305084745743</v>
      </c>
      <c r="X132" s="2360">
        <f t="shared" si="75"/>
        <v>45.833333333333336</v>
      </c>
      <c r="Y132" s="2361">
        <f t="shared" si="76"/>
        <v>54.166666666666664</v>
      </c>
      <c r="Z132" s="2361">
        <f t="shared" si="77"/>
        <v>81.92771084337349</v>
      </c>
      <c r="AA132" s="2358">
        <f t="shared" ca="1" si="78"/>
        <v>110.22563623825528</v>
      </c>
      <c r="AB132" s="2359">
        <f t="shared" ca="1" si="79"/>
        <v>10.225636238255277</v>
      </c>
      <c r="AC132" s="3040">
        <f ca="1">IFERROR(S132*100/M132,"-")</f>
        <v>499.6451067030178</v>
      </c>
      <c r="AD132" s="3042">
        <f ca="1">IFERROR(ABS(AC132-100),500)</f>
        <v>399.6451067030178</v>
      </c>
    </row>
    <row r="133" spans="1:30" ht="35.1" customHeight="1">
      <c r="A133" s="2556" t="s">
        <v>1281</v>
      </c>
      <c r="B133" s="175"/>
      <c r="C133" s="176"/>
      <c r="D133" s="177"/>
      <c r="E133" s="2349">
        <f>SUM(B133:D133)</f>
        <v>0</v>
      </c>
      <c r="F133" s="2350">
        <f>IFERROR(('هزینه پرسنلی غیرمستقیم خدمات'!$B$31/(C133+B133))/$AH$5,0)</f>
        <v>0</v>
      </c>
      <c r="G133" s="3039"/>
      <c r="H133" s="175"/>
      <c r="I133" s="176"/>
      <c r="J133" s="177"/>
      <c r="K133" s="2349">
        <f>SUM(H133:J133)</f>
        <v>0</v>
      </c>
      <c r="L133" s="2350">
        <f ca="1">IFERROR(('هزینه پرسنلی غیرمستقیم خدمات'!$C$31/(I133+H133))/$AH$5,0)</f>
        <v>0</v>
      </c>
      <c r="M133" s="3039"/>
      <c r="N133" s="175"/>
      <c r="O133" s="176"/>
      <c r="P133" s="177"/>
      <c r="Q133" s="2349">
        <f>SUM(N133:P133)</f>
        <v>0</v>
      </c>
      <c r="R133" s="2350">
        <f>IFERROR(('هزینه پرسنلی غیرمستقیم خدمات'!$D$31/(O133+N133))/$AH$5,0)</f>
        <v>0</v>
      </c>
      <c r="S133" s="3039"/>
      <c r="T133" s="2358" t="str">
        <f t="shared" si="71"/>
        <v>-</v>
      </c>
      <c r="U133" s="2359">
        <f t="shared" si="72"/>
        <v>500</v>
      </c>
      <c r="V133" s="2360" t="str">
        <f t="shared" si="73"/>
        <v>-</v>
      </c>
      <c r="W133" s="2359">
        <f t="shared" si="74"/>
        <v>500</v>
      </c>
      <c r="X133" s="2360" t="str">
        <f t="shared" si="75"/>
        <v>-</v>
      </c>
      <c r="Y133" s="2361">
        <f t="shared" si="76"/>
        <v>500</v>
      </c>
      <c r="Z133" s="2361" t="str">
        <f t="shared" si="77"/>
        <v>-</v>
      </c>
      <c r="AA133" s="2358" t="str">
        <f t="shared" ca="1" si="78"/>
        <v>-</v>
      </c>
      <c r="AB133" s="2359">
        <f t="shared" ca="1" si="79"/>
        <v>500</v>
      </c>
      <c r="AC133" s="3041"/>
      <c r="AD133" s="3043"/>
    </row>
    <row r="134" spans="1:30" ht="35.1" customHeight="1" thickBot="1">
      <c r="A134" s="2557" t="s">
        <v>277</v>
      </c>
      <c r="B134" s="178"/>
      <c r="C134" s="179">
        <v>3</v>
      </c>
      <c r="D134" s="180">
        <v>0</v>
      </c>
      <c r="E134" s="2362">
        <f>SUM(B134:D134)</f>
        <v>3</v>
      </c>
      <c r="F134" s="2350">
        <f>IF($A$1="صنایع شیر ایران",IFERROR(('هزینه اداری عمومی'!$B$26/(C134+B134+D134))/$AH$5,0),IFERROR(('هزینه اداری عمومی'!$B$26/(C134+B134))/$AH$5,0))</f>
        <v>7854</v>
      </c>
      <c r="G134" s="2363">
        <f ca="1">IFERROR((VLOOKUP($AH$6,'هزینه اداری عمومی'!$A:$F,2,FALSE)/D134)/$AH$5,0)</f>
        <v>0</v>
      </c>
      <c r="H134" s="178"/>
      <c r="I134" s="179">
        <v>3</v>
      </c>
      <c r="J134" s="180">
        <v>0</v>
      </c>
      <c r="K134" s="2362">
        <f>SUM(H134:J134)</f>
        <v>3</v>
      </c>
      <c r="L134" s="2350">
        <f>IF($A$1="صنایع شیر ایران",IFERROR(('هزینه اداری عمومی'!$C$26/(I134+H134+J134))/$AH$5,0),IFERROR(('هزینه اداری عمومی'!$C$26/(I134+H134))/$AH$5,0))</f>
        <v>10551.666666666666</v>
      </c>
      <c r="M134" s="2363">
        <f ca="1">IFERROR((VLOOKUP($AH$6,'هزینه اداری عمومی'!$A:$F,3,FALSE)/J134)/$AH$5,0)</f>
        <v>0</v>
      </c>
      <c r="N134" s="178"/>
      <c r="O134" s="179">
        <v>3</v>
      </c>
      <c r="P134" s="180">
        <v>0</v>
      </c>
      <c r="Q134" s="2362">
        <f>SUM(N134:P134)</f>
        <v>3</v>
      </c>
      <c r="R134" s="2350">
        <f>IF($A$1="صنایع شیر ایران",IFERROR(('هزینه اداری عمومی'!$D$26/(O134+N134+P134))/$AH$5,0),IFERROR(('هزینه اداری عمومی'!$D$26/(O134+N134))/$AH$5,0))</f>
        <v>12468.555555555555</v>
      </c>
      <c r="S134" s="2363">
        <f ca="1">IFERROR((VLOOKUP($AH$6,'هزینه اداری عمومی'!$A:$F,4,FALSE)/P134)/$AH$5,0)</f>
        <v>0</v>
      </c>
      <c r="T134" s="2364" t="str">
        <f t="shared" si="71"/>
        <v>-</v>
      </c>
      <c r="U134" s="2365">
        <f t="shared" si="72"/>
        <v>500</v>
      </c>
      <c r="V134" s="2366">
        <f t="shared" si="73"/>
        <v>100</v>
      </c>
      <c r="W134" s="2365">
        <f t="shared" si="74"/>
        <v>0</v>
      </c>
      <c r="X134" s="2366" t="str">
        <f t="shared" si="75"/>
        <v>-</v>
      </c>
      <c r="Y134" s="2367">
        <f t="shared" si="76"/>
        <v>500</v>
      </c>
      <c r="Z134" s="2367">
        <f t="shared" si="77"/>
        <v>100</v>
      </c>
      <c r="AA134" s="2358">
        <f t="shared" si="78"/>
        <v>118.16669299215501</v>
      </c>
      <c r="AB134" s="2365">
        <f t="shared" si="79"/>
        <v>18.166692992155006</v>
      </c>
      <c r="AC134" s="2360" t="str">
        <f ca="1">IFERROR(S134*100/M134,"-")</f>
        <v>-</v>
      </c>
      <c r="AD134" s="2367">
        <f ca="1">IFERROR(ABS(AC134-100),500)</f>
        <v>500</v>
      </c>
    </row>
    <row r="135" spans="1:30" ht="35.1" customHeight="1" thickBot="1">
      <c r="A135" s="2558" t="s">
        <v>448</v>
      </c>
      <c r="B135" s="2368">
        <f>SUM(B130:B134)</f>
        <v>0</v>
      </c>
      <c r="C135" s="2369">
        <f>SUM(C130:C134)</f>
        <v>62</v>
      </c>
      <c r="D135" s="2370">
        <f>SUM(D130:D134)</f>
        <v>8</v>
      </c>
      <c r="E135" s="2371">
        <f>SUM(E130:E134)</f>
        <v>70</v>
      </c>
      <c r="F135" s="2372">
        <f>IF($A$1="صنایع شیر ایران",IFERROR(((SUM(F131*(C131+B131+D131),F134*(C134+B134+D134),F130*(C130+B130+D130)))/(C135+B135+D135)),0),IFERROR(((SUM(F131*(C131+B131),F132*(C132+B132),F133*(C133+B133),F134*(C134+B134),F130*(C130+B130)))/(C135+B135)),0))</f>
        <v>2420.3817204301076</v>
      </c>
      <c r="G135" s="2373">
        <f ca="1">IFERROR((G130*(D131+D130)+G132*(D133+D132)+G134*D134)/(D135),0)</f>
        <v>802.1875</v>
      </c>
      <c r="H135" s="2368">
        <f>SUM(H130:H134)</f>
        <v>0</v>
      </c>
      <c r="I135" s="2369">
        <f>SUM(I130:I134)</f>
        <v>62</v>
      </c>
      <c r="J135" s="2370">
        <f>SUM(J130:J134)</f>
        <v>24</v>
      </c>
      <c r="K135" s="2371">
        <f>SUM(K130:K134)</f>
        <v>86</v>
      </c>
      <c r="L135" s="2372">
        <f ca="1">IF($A$1="صنایع شیر ایران",IFERROR(((SUM(L131*(I131+H131+J131),L134*(I134+H134+J134),L130*(I130+H130+J130)))/(I135+H135+J135)),0),IFERROR(((SUM(L131*(I131+H131),L132*(I132+H132),L133*(I133+H133),L134*(I134+H134),L130*(I130+H130)))/(I135+H135)),0))</f>
        <v>3645.9354838709678</v>
      </c>
      <c r="M135" s="2373">
        <f ca="1">IFERROR((M130*(J131+J130)+M132*(J133+J132)+M134*J134)/(J135),0)</f>
        <v>859.55555555555554</v>
      </c>
      <c r="N135" s="2368">
        <f>SUM(N130:N134)</f>
        <v>0</v>
      </c>
      <c r="O135" s="2369">
        <f>SUM(O130:O134)</f>
        <v>60</v>
      </c>
      <c r="P135" s="2370">
        <f>SUM(P130:P134)</f>
        <v>11</v>
      </c>
      <c r="Q135" s="2371">
        <f>SUM(Q130:Q134)</f>
        <v>71</v>
      </c>
      <c r="R135" s="2372">
        <f>IF($A$1="صنایع شیر ایران",IFERROR(((SUM(R131*(O131+N131+P131),R134*(O134+N134+P134),R130*(O130+N130+P130)))/(O135+N135+P135)),0),IFERROR(((SUM(R131*(O131+N131),R132*(O132+N132),R133*(O133+N133),R134*(O134+N134),R130*(O130+N130)))/(O135+N135)),0))</f>
        <v>4073.5527777777775</v>
      </c>
      <c r="S135" s="2373">
        <f ca="1">IFERROR((S130*(P131+P130)+S132*(P133+P132)+S134*P134)/(P135),0)</f>
        <v>4294.727272727273</v>
      </c>
      <c r="T135" s="2374" t="str">
        <f t="shared" si="71"/>
        <v>-</v>
      </c>
      <c r="U135" s="2375">
        <f t="shared" si="72"/>
        <v>500</v>
      </c>
      <c r="V135" s="2376">
        <f t="shared" si="73"/>
        <v>96.774193548387103</v>
      </c>
      <c r="W135" s="2375">
        <f t="shared" si="74"/>
        <v>3.2258064516128968</v>
      </c>
      <c r="X135" s="2376">
        <f t="shared" si="75"/>
        <v>45.833333333333336</v>
      </c>
      <c r="Y135" s="2377">
        <f t="shared" si="76"/>
        <v>54.166666666666664</v>
      </c>
      <c r="Z135" s="2377">
        <f t="shared" si="77"/>
        <v>82.558139534883722</v>
      </c>
      <c r="AA135" s="2374">
        <f t="shared" ca="1" si="78"/>
        <v>111.72860287293946</v>
      </c>
      <c r="AB135" s="2375">
        <f t="shared" ca="1" si="79"/>
        <v>11.728602872939462</v>
      </c>
      <c r="AC135" s="2376">
        <f ca="1">IFERROR(S135*100/M135,"-")</f>
        <v>499.6451067030178</v>
      </c>
      <c r="AD135" s="2377">
        <f ca="1">IFERROR(ABS(AC135-100),500)</f>
        <v>399.6451067030178</v>
      </c>
    </row>
    <row r="136" spans="1:30" ht="35.1" customHeight="1" thickTop="1" thickBot="1">
      <c r="A136" s="2559" t="s">
        <v>449</v>
      </c>
      <c r="B136" s="689"/>
      <c r="C136" s="690"/>
      <c r="D136" s="691"/>
      <c r="E136" s="2378">
        <f>SUM(B136:D136)</f>
        <v>0</v>
      </c>
      <c r="F136" s="1559"/>
      <c r="G136" s="1560"/>
      <c r="H136" s="689"/>
      <c r="I136" s="690"/>
      <c r="J136" s="691"/>
      <c r="K136" s="2378">
        <f>SUM(H136:J136)</f>
        <v>0</v>
      </c>
      <c r="L136" s="1559"/>
      <c r="M136" s="1560"/>
      <c r="N136" s="689"/>
      <c r="O136" s="690"/>
      <c r="P136" s="691"/>
      <c r="Q136" s="2378">
        <f>SUM(N136:P136)</f>
        <v>0</v>
      </c>
      <c r="R136" s="1559"/>
      <c r="S136" s="1560"/>
      <c r="T136" s="2379" t="str">
        <f t="shared" si="71"/>
        <v>-</v>
      </c>
      <c r="U136" s="2380">
        <f t="shared" si="72"/>
        <v>500</v>
      </c>
      <c r="V136" s="2381" t="str">
        <f t="shared" si="73"/>
        <v>-</v>
      </c>
      <c r="W136" s="2380">
        <f t="shared" si="74"/>
        <v>500</v>
      </c>
      <c r="X136" s="2381" t="str">
        <f t="shared" si="75"/>
        <v>-</v>
      </c>
      <c r="Y136" s="2382">
        <f t="shared" si="76"/>
        <v>500</v>
      </c>
      <c r="Z136" s="2382" t="str">
        <f t="shared" si="77"/>
        <v>-</v>
      </c>
      <c r="AA136" s="2379" t="str">
        <f t="shared" si="78"/>
        <v>-</v>
      </c>
      <c r="AB136" s="2380">
        <f t="shared" si="79"/>
        <v>500</v>
      </c>
      <c r="AC136" s="2381" t="str">
        <f>IFERROR(S136*100/M136,"-")</f>
        <v>-</v>
      </c>
      <c r="AD136" s="2382">
        <f>IFERROR(ABS(AC136-100),500)</f>
        <v>500</v>
      </c>
    </row>
    <row r="137" spans="1:30" ht="21.75" thickBot="1"/>
    <row r="138" spans="1:30" ht="25.5">
      <c r="A138" s="3054" t="s">
        <v>446</v>
      </c>
      <c r="B138" s="3055"/>
      <c r="C138" s="3055"/>
      <c r="D138" s="3055"/>
      <c r="E138" s="3055"/>
      <c r="F138" s="3055"/>
      <c r="G138" s="3055"/>
      <c r="H138" s="3055"/>
      <c r="I138" s="3055"/>
      <c r="J138" s="3055"/>
      <c r="K138" s="3055"/>
      <c r="L138" s="3055"/>
      <c r="M138" s="3055"/>
      <c r="N138" s="3055"/>
      <c r="O138" s="3055"/>
      <c r="P138" s="3055"/>
      <c r="Q138" s="3055"/>
      <c r="R138" s="3055"/>
      <c r="S138" s="3056"/>
    </row>
    <row r="139" spans="1:30">
      <c r="A139" s="3057"/>
      <c r="B139" s="3058"/>
      <c r="C139" s="3058"/>
      <c r="D139" s="3058"/>
      <c r="E139" s="3058"/>
      <c r="F139" s="3058"/>
      <c r="G139" s="3058"/>
      <c r="H139" s="3058"/>
      <c r="I139" s="3058"/>
      <c r="J139" s="3058"/>
      <c r="K139" s="3058"/>
      <c r="L139" s="3058"/>
      <c r="M139" s="3058"/>
      <c r="N139" s="3058"/>
      <c r="O139" s="3058"/>
      <c r="P139" s="3058"/>
      <c r="Q139" s="3058"/>
      <c r="R139" s="3058"/>
      <c r="S139" s="3059"/>
    </row>
    <row r="140" spans="1:30">
      <c r="A140" s="3057"/>
      <c r="B140" s="3058"/>
      <c r="C140" s="3058"/>
      <c r="D140" s="3058"/>
      <c r="E140" s="3058"/>
      <c r="F140" s="3058"/>
      <c r="G140" s="3058"/>
      <c r="H140" s="3058"/>
      <c r="I140" s="3058"/>
      <c r="J140" s="3058"/>
      <c r="K140" s="3058"/>
      <c r="L140" s="3058"/>
      <c r="M140" s="3058"/>
      <c r="N140" s="3058"/>
      <c r="O140" s="3058"/>
      <c r="P140" s="3058"/>
      <c r="Q140" s="3058"/>
      <c r="R140" s="3058"/>
      <c r="S140" s="3059"/>
    </row>
    <row r="141" spans="1:30">
      <c r="A141" s="3057"/>
      <c r="B141" s="3058"/>
      <c r="C141" s="3058"/>
      <c r="D141" s="3058"/>
      <c r="E141" s="3058"/>
      <c r="F141" s="3058"/>
      <c r="G141" s="3058"/>
      <c r="H141" s="3058"/>
      <c r="I141" s="3058"/>
      <c r="J141" s="3058"/>
      <c r="K141" s="3058"/>
      <c r="L141" s="3058"/>
      <c r="M141" s="3058"/>
      <c r="N141" s="3058"/>
      <c r="O141" s="3058"/>
      <c r="P141" s="3058"/>
      <c r="Q141" s="3058"/>
      <c r="R141" s="3058"/>
      <c r="S141" s="3059"/>
    </row>
    <row r="142" spans="1:30">
      <c r="A142" s="3057"/>
      <c r="B142" s="3058"/>
      <c r="C142" s="3058"/>
      <c r="D142" s="3058"/>
      <c r="E142" s="3058"/>
      <c r="F142" s="3058"/>
      <c r="G142" s="3058"/>
      <c r="H142" s="3058"/>
      <c r="I142" s="3058"/>
      <c r="J142" s="3058"/>
      <c r="K142" s="3058"/>
      <c r="L142" s="3058"/>
      <c r="M142" s="3058"/>
      <c r="N142" s="3058"/>
      <c r="O142" s="3058"/>
      <c r="P142" s="3058"/>
      <c r="Q142" s="3058"/>
      <c r="R142" s="3058"/>
      <c r="S142" s="3059"/>
    </row>
    <row r="143" spans="1:30" ht="21.75" thickBot="1">
      <c r="A143" s="3060"/>
      <c r="B143" s="3061"/>
      <c r="C143" s="3061"/>
      <c r="D143" s="3061"/>
      <c r="E143" s="3061"/>
      <c r="F143" s="3061"/>
      <c r="G143" s="3061"/>
      <c r="H143" s="3061"/>
      <c r="I143" s="3061"/>
      <c r="J143" s="3061"/>
      <c r="K143" s="3061"/>
      <c r="L143" s="3061"/>
      <c r="M143" s="3061"/>
      <c r="N143" s="3061"/>
      <c r="O143" s="3061"/>
      <c r="P143" s="3061"/>
      <c r="Q143" s="3061"/>
      <c r="R143" s="3061"/>
      <c r="S143" s="3062"/>
    </row>
    <row r="145" spans="1:31" ht="29.25" thickBot="1">
      <c r="A145" s="3034" t="str">
        <f>"گزارش تعداد پرسنل و سرانه هزینه پرسنلی به تفکیک نوع قرارداد در دوره " &amp; روکش!$F$9 &amp; " سال " &amp; روکش!$D$9&amp;"- مجتمع خراسان/ شعبه "&amp;AE145</f>
        <v>گزارش تعداد پرسنل و سرانه هزینه پرسنلی به تفکیک نوع قرارداد در دوره شش ماهه سال 1405- مجتمع خراسان/ شعبه بجنورد</v>
      </c>
      <c r="B145" s="3034"/>
      <c r="C145" s="3034"/>
      <c r="D145" s="3034"/>
      <c r="E145" s="3034"/>
      <c r="F145" s="3034"/>
      <c r="G145" s="3034"/>
      <c r="H145" s="3034"/>
      <c r="I145" s="3034"/>
      <c r="J145" s="3034"/>
      <c r="K145" s="3034"/>
      <c r="L145" s="3034"/>
      <c r="M145" s="3034"/>
      <c r="N145" s="3034"/>
      <c r="O145" s="3034"/>
      <c r="P145" s="3034"/>
      <c r="Q145" s="3034"/>
      <c r="R145" s="3034"/>
      <c r="S145" s="3034"/>
      <c r="T145" s="3034"/>
      <c r="U145" s="3034"/>
      <c r="V145" s="3034"/>
      <c r="W145" s="3034"/>
      <c r="X145" s="3034"/>
      <c r="Y145" s="3034"/>
      <c r="Z145" s="3034"/>
      <c r="AA145" s="3034"/>
      <c r="AB145" s="3034"/>
      <c r="AC145" s="3034"/>
      <c r="AD145" s="3034"/>
      <c r="AE145" s="2561" t="str">
        <f>واردات!$AA$49</f>
        <v>بجنورد</v>
      </c>
    </row>
    <row r="146" spans="1:31" ht="24.75" thickBot="1">
      <c r="A146" s="3052" t="s">
        <v>21</v>
      </c>
      <c r="B146" s="3035" t="s">
        <v>716</v>
      </c>
      <c r="C146" s="3036"/>
      <c r="D146" s="3036"/>
      <c r="E146" s="3036"/>
      <c r="F146" s="3036"/>
      <c r="G146" s="3037"/>
      <c r="H146" s="3035" t="s">
        <v>674</v>
      </c>
      <c r="I146" s="3036"/>
      <c r="J146" s="3036"/>
      <c r="K146" s="3036"/>
      <c r="L146" s="3036"/>
      <c r="M146" s="3037"/>
      <c r="N146" s="3035" t="s">
        <v>675</v>
      </c>
      <c r="O146" s="3036"/>
      <c r="P146" s="3036"/>
      <c r="Q146" s="3036"/>
      <c r="R146" s="3036"/>
      <c r="S146" s="3037"/>
      <c r="T146" s="3035" t="s">
        <v>717</v>
      </c>
      <c r="U146" s="3036"/>
      <c r="V146" s="3036"/>
      <c r="W146" s="3036"/>
      <c r="X146" s="3036"/>
      <c r="Y146" s="3036"/>
      <c r="Z146" s="3036"/>
      <c r="AA146" s="3036"/>
      <c r="AB146" s="3036"/>
      <c r="AC146" s="3036"/>
      <c r="AD146" s="3037"/>
    </row>
    <row r="147" spans="1:31" ht="63.75" thickBot="1">
      <c r="A147" s="3053"/>
      <c r="B147" s="2335" t="s">
        <v>60</v>
      </c>
      <c r="C147" s="2336" t="s">
        <v>61</v>
      </c>
      <c r="D147" s="2337" t="s">
        <v>62</v>
      </c>
      <c r="E147" s="2338" t="s">
        <v>1</v>
      </c>
      <c r="F147" s="2335" t="s">
        <v>1403</v>
      </c>
      <c r="G147" s="2337" t="s">
        <v>1404</v>
      </c>
      <c r="H147" s="2335" t="s">
        <v>60</v>
      </c>
      <c r="I147" s="2336" t="s">
        <v>61</v>
      </c>
      <c r="J147" s="2337" t="s">
        <v>62</v>
      </c>
      <c r="K147" s="2339" t="s">
        <v>1</v>
      </c>
      <c r="L147" s="2335" t="s">
        <v>1403</v>
      </c>
      <c r="M147" s="2337" t="s">
        <v>1404</v>
      </c>
      <c r="N147" s="2335" t="s">
        <v>60</v>
      </c>
      <c r="O147" s="2336" t="s">
        <v>61</v>
      </c>
      <c r="P147" s="2337" t="s">
        <v>62</v>
      </c>
      <c r="Q147" s="2339" t="s">
        <v>1</v>
      </c>
      <c r="R147" s="2335" t="s">
        <v>1403</v>
      </c>
      <c r="S147" s="2337" t="s">
        <v>1404</v>
      </c>
      <c r="T147" s="3044" t="s">
        <v>60</v>
      </c>
      <c r="U147" s="3045"/>
      <c r="V147" s="3046" t="s">
        <v>61</v>
      </c>
      <c r="W147" s="3045"/>
      <c r="X147" s="3046" t="s">
        <v>62</v>
      </c>
      <c r="Y147" s="3047"/>
      <c r="Z147" s="2339" t="s">
        <v>1</v>
      </c>
      <c r="AA147" s="3044" t="s">
        <v>1403</v>
      </c>
      <c r="AB147" s="3045"/>
      <c r="AC147" s="3046" t="s">
        <v>1404</v>
      </c>
      <c r="AD147" s="3047"/>
    </row>
    <row r="148" spans="1:31" hidden="1">
      <c r="A148" s="2555" t="s">
        <v>1278</v>
      </c>
      <c r="B148" s="172"/>
      <c r="C148" s="173"/>
      <c r="D148" s="174"/>
      <c r="E148" s="2340">
        <f>SUM(B148:D148)</f>
        <v>0</v>
      </c>
      <c r="F148" s="2341">
        <f>IF($A$1="صنایع شیر ایران",IFERROR(('هزینه پرسنلی مستقیم تولید'!$B$31/(C148+B148+D148))/$AH$5,0),IFERROR(('هزینه پرسنلی مستقیم تولید'!$B$31/(C148+B148))/$AH$5,0))</f>
        <v>0</v>
      </c>
      <c r="G148" s="3048">
        <f ca="1">IFERROR((VLOOKUP($AH$6,'هزینه سربار تولید'!$A:$F,2,FALSE)/(D148+D149))/$AH$5,0)</f>
        <v>0</v>
      </c>
      <c r="H148" s="2342">
        <v>0</v>
      </c>
      <c r="I148" s="2343">
        <v>0</v>
      </c>
      <c r="J148" s="2344">
        <v>0</v>
      </c>
      <c r="K148" s="2340">
        <f>SUM(H148:J148)</f>
        <v>0</v>
      </c>
      <c r="L148" s="2341">
        <f ca="1">IF($A$1="صنایع شیر ایران",IFERROR(('هزینه پرسنلی مستقیم تولید'!$C$31/(I148+H148+J148))/$AH$5,0),IFERROR(('هزینه پرسنلی مستقیم تولید'!$C$31/(I148+H148))/$AH$5,0))</f>
        <v>0</v>
      </c>
      <c r="M148" s="3048">
        <f ca="1">IFERROR((VLOOKUP($AH$6,'هزینه سربار تولید'!$A:$F,3,FALSE)/(J148+J149))/$AH$5,0)</f>
        <v>0</v>
      </c>
      <c r="N148" s="172"/>
      <c r="O148" s="173"/>
      <c r="P148" s="174"/>
      <c r="Q148" s="2340">
        <f>SUM(N148:P148)</f>
        <v>0</v>
      </c>
      <c r="R148" s="2341">
        <f>IF($A$1="صنایع شیر ایران",IFERROR(('هزینه پرسنلی مستقیم تولید'!$D$31/(O148+N148+P148))/$AH$5,0),IFERROR(('هزینه پرسنلی مستقیم تولید'!$D$31/(O148+N148))/$AH$5,0))</f>
        <v>0</v>
      </c>
      <c r="S148" s="3048">
        <f ca="1">IFERROR((VLOOKUP($AH$6,'هزینه سربار تولید'!$A:$F,4,FALSE)/(P148+P149))/$AH$5,0)</f>
        <v>0</v>
      </c>
      <c r="T148" s="2345" t="str">
        <f t="shared" ref="T148:T154" si="80">IFERROR(N148*100/H148,"-")</f>
        <v>-</v>
      </c>
      <c r="U148" s="2346">
        <f t="shared" ref="U148:U154" si="81">IFERROR(ABS(T148-100),500)</f>
        <v>500</v>
      </c>
      <c r="V148" s="2347" t="str">
        <f t="shared" ref="V148:V154" si="82">IFERROR(O148*100/I148,"-")</f>
        <v>-</v>
      </c>
      <c r="W148" s="2346">
        <f t="shared" ref="W148:W154" si="83">IFERROR(ABS(V148-100),500)</f>
        <v>500</v>
      </c>
      <c r="X148" s="2347" t="str">
        <f t="shared" ref="X148:X154" si="84">IFERROR(P148*100/J148,"-")</f>
        <v>-</v>
      </c>
      <c r="Y148" s="2348">
        <f t="shared" ref="Y148:Y154" si="85">IFERROR(ABS(X148-100),500)</f>
        <v>500</v>
      </c>
      <c r="Z148" s="2346" t="str">
        <f t="shared" ref="Z148:Z154" si="86">IFERROR(Q148*100/K148,"-")</f>
        <v>-</v>
      </c>
      <c r="AA148" s="2345" t="str">
        <f t="shared" ref="AA148:AA154" ca="1" si="87">IFERROR(R148*100/L148,"-")</f>
        <v>-</v>
      </c>
      <c r="AB148" s="2346">
        <f t="shared" ref="AB148:AB154" ca="1" si="88">IFERROR(ABS(AA148-100),500)</f>
        <v>500</v>
      </c>
      <c r="AC148" s="3049" t="str">
        <f ca="1">IFERROR(S148*100/M148,"-")</f>
        <v>-</v>
      </c>
      <c r="AD148" s="3050">
        <f ca="1">IFERROR(ABS(AC148-100),500)</f>
        <v>500</v>
      </c>
    </row>
    <row r="149" spans="1:31" hidden="1">
      <c r="A149" s="2556" t="s">
        <v>1279</v>
      </c>
      <c r="B149" s="175"/>
      <c r="C149" s="176"/>
      <c r="D149" s="177"/>
      <c r="E149" s="2349">
        <f>SUM(B149:D149)</f>
        <v>0</v>
      </c>
      <c r="F149" s="2350">
        <f>IF($A$1="صنایع شیر ایران",IFERROR(('هزینه پرسنلی غیرمستقیم تولید'!$B$31/(C149+B149+D149))/$AH$5,0),IFERROR(('هزینه پرسنلی غیرمستقیم تولید'!$B$31/(C149+B149))/$AH$5,0))</f>
        <v>0</v>
      </c>
      <c r="G149" s="3039"/>
      <c r="H149" s="2351">
        <v>0</v>
      </c>
      <c r="I149" s="2352">
        <v>0</v>
      </c>
      <c r="J149" s="2353">
        <v>0</v>
      </c>
      <c r="K149" s="2349">
        <f>SUM(H149:J149)</f>
        <v>0</v>
      </c>
      <c r="L149" s="2350">
        <f ca="1">IF($A$1="صنایع شیر ایران",IFERROR(('هزینه پرسنلی غیرمستقیم تولید'!$C$31/(I149+H149+J149))/$AH$5,0),IFERROR(('هزینه پرسنلی غیرمستقیم تولید'!$C$31/(I149+H149))/$AH$5,0))</f>
        <v>0</v>
      </c>
      <c r="M149" s="3039"/>
      <c r="N149" s="175"/>
      <c r="O149" s="176"/>
      <c r="P149" s="177"/>
      <c r="Q149" s="2349">
        <f>SUM(N149:P149)</f>
        <v>0</v>
      </c>
      <c r="R149" s="2350">
        <f>IF($A$1="صنایع شیر ایران",IFERROR(('هزینه پرسنلی غیرمستقیم تولید'!$D$31/(O149+N149+P149))/$AH$5,0),IFERROR(('هزینه پرسنلی غیرمستقیم تولید'!$D$31/(O149+N149))/$AH$5,0))</f>
        <v>0</v>
      </c>
      <c r="S149" s="3039"/>
      <c r="T149" s="2354" t="str">
        <f t="shared" si="80"/>
        <v>-</v>
      </c>
      <c r="U149" s="2355">
        <f t="shared" si="81"/>
        <v>500</v>
      </c>
      <c r="V149" s="2356" t="str">
        <f t="shared" si="82"/>
        <v>-</v>
      </c>
      <c r="W149" s="2355">
        <f t="shared" si="83"/>
        <v>500</v>
      </c>
      <c r="X149" s="2356" t="str">
        <f t="shared" si="84"/>
        <v>-</v>
      </c>
      <c r="Y149" s="2357">
        <f t="shared" si="85"/>
        <v>500</v>
      </c>
      <c r="Z149" s="2355" t="str">
        <f t="shared" si="86"/>
        <v>-</v>
      </c>
      <c r="AA149" s="2354" t="str">
        <f t="shared" ca="1" si="87"/>
        <v>-</v>
      </c>
      <c r="AB149" s="2355">
        <f t="shared" ca="1" si="88"/>
        <v>500</v>
      </c>
      <c r="AC149" s="3041"/>
      <c r="AD149" s="3051"/>
    </row>
    <row r="150" spans="1:31" ht="35.1" customHeight="1">
      <c r="A150" s="2556" t="s">
        <v>1280</v>
      </c>
      <c r="B150" s="175"/>
      <c r="C150" s="176">
        <v>4</v>
      </c>
      <c r="D150" s="177">
        <v>0</v>
      </c>
      <c r="E150" s="2349">
        <f>SUM(B150:D150)</f>
        <v>4</v>
      </c>
      <c r="F150" s="2350">
        <f>IFERROR(('هزینه پرسنلی مستقیم خدمات'!$B$31/(C150+B150))/$AH$5,0)</f>
        <v>31625.416666666668</v>
      </c>
      <c r="G150" s="3038">
        <f ca="1">IFERROR((VLOOKUP($AH$6,'هزینه سربار خدمات'!$A:$F,2,FALSE)/(D150+D151))/$AH$5,0)</f>
        <v>0</v>
      </c>
      <c r="H150" s="175"/>
      <c r="I150" s="176">
        <v>4</v>
      </c>
      <c r="J150" s="177">
        <v>0</v>
      </c>
      <c r="K150" s="2349">
        <f>SUM(H150:J150)</f>
        <v>4</v>
      </c>
      <c r="L150" s="2350">
        <f ca="1">IFERROR(('هزینه پرسنلی مستقیم خدمات'!$C$31/(I150+H150))/$AH$5,0)</f>
        <v>48598.25</v>
      </c>
      <c r="M150" s="3038">
        <f ca="1">IFERROR((VLOOKUP($AH$6,'هزینه سربار خدمات'!$A:$F,3,FALSE)/(J150+J151))/$AH$5,0)</f>
        <v>0</v>
      </c>
      <c r="N150" s="175"/>
      <c r="O150" s="176">
        <v>4</v>
      </c>
      <c r="P150" s="177">
        <v>0</v>
      </c>
      <c r="Q150" s="2349">
        <f>SUM(N150:P150)</f>
        <v>4</v>
      </c>
      <c r="R150" s="2350">
        <f>IFERROR(('هزینه پرسنلی مستقیم خدمات'!$D$31/(O150+N150))/$AH$5,0)</f>
        <v>51751.875</v>
      </c>
      <c r="S150" s="3038">
        <f ca="1">IFERROR((VLOOKUP($AH$6,'هزینه سربار خدمات'!$A:$F,4,FALSE)/(P150+P151))/$AH$5,0)</f>
        <v>0</v>
      </c>
      <c r="T150" s="2358" t="str">
        <f t="shared" si="80"/>
        <v>-</v>
      </c>
      <c r="U150" s="2359">
        <f t="shared" si="81"/>
        <v>500</v>
      </c>
      <c r="V150" s="2360">
        <f t="shared" si="82"/>
        <v>100</v>
      </c>
      <c r="W150" s="2359">
        <f t="shared" si="83"/>
        <v>0</v>
      </c>
      <c r="X150" s="2360" t="str">
        <f t="shared" si="84"/>
        <v>-</v>
      </c>
      <c r="Y150" s="2361">
        <f t="shared" si="85"/>
        <v>500</v>
      </c>
      <c r="Z150" s="2361">
        <f t="shared" si="86"/>
        <v>100</v>
      </c>
      <c r="AA150" s="2358">
        <f t="shared" ca="1" si="87"/>
        <v>106.48917399289068</v>
      </c>
      <c r="AB150" s="2359">
        <f t="shared" ca="1" si="88"/>
        <v>6.4891739928906844</v>
      </c>
      <c r="AC150" s="3040" t="str">
        <f ca="1">IFERROR(S150*100/M150,"-")</f>
        <v>-</v>
      </c>
      <c r="AD150" s="3042">
        <f ca="1">IFERROR(ABS(AC150-100),500)</f>
        <v>500</v>
      </c>
    </row>
    <row r="151" spans="1:31" ht="35.1" customHeight="1">
      <c r="A151" s="2556" t="s">
        <v>1281</v>
      </c>
      <c r="B151" s="175"/>
      <c r="C151" s="176"/>
      <c r="D151" s="177"/>
      <c r="E151" s="2349">
        <f>SUM(B151:D151)</f>
        <v>0</v>
      </c>
      <c r="F151" s="2350">
        <f>IFERROR(('هزینه پرسنلی غیرمستقیم خدمات'!$B$31/(C151+B151))/$AH$5,0)</f>
        <v>0</v>
      </c>
      <c r="G151" s="3039"/>
      <c r="H151" s="175"/>
      <c r="I151" s="176"/>
      <c r="J151" s="177"/>
      <c r="K151" s="2349">
        <f>SUM(H151:J151)</f>
        <v>0</v>
      </c>
      <c r="L151" s="2350">
        <f ca="1">IFERROR(('هزینه پرسنلی غیرمستقیم خدمات'!$C$31/(I151+H151))/$AH$5,0)</f>
        <v>0</v>
      </c>
      <c r="M151" s="3039"/>
      <c r="N151" s="175"/>
      <c r="O151" s="176"/>
      <c r="P151" s="177"/>
      <c r="Q151" s="2349">
        <f>SUM(N151:P151)</f>
        <v>0</v>
      </c>
      <c r="R151" s="2350">
        <f>IFERROR(('هزینه پرسنلی غیرمستقیم خدمات'!$D$31/(O151+N151))/$AH$5,0)</f>
        <v>0</v>
      </c>
      <c r="S151" s="3039"/>
      <c r="T151" s="2358" t="str">
        <f t="shared" si="80"/>
        <v>-</v>
      </c>
      <c r="U151" s="2359">
        <f t="shared" si="81"/>
        <v>500</v>
      </c>
      <c r="V151" s="2360" t="str">
        <f t="shared" si="82"/>
        <v>-</v>
      </c>
      <c r="W151" s="2359">
        <f t="shared" si="83"/>
        <v>500</v>
      </c>
      <c r="X151" s="2360" t="str">
        <f t="shared" si="84"/>
        <v>-</v>
      </c>
      <c r="Y151" s="2361">
        <f t="shared" si="85"/>
        <v>500</v>
      </c>
      <c r="Z151" s="2361" t="str">
        <f t="shared" si="86"/>
        <v>-</v>
      </c>
      <c r="AA151" s="2358" t="str">
        <f t="shared" ca="1" si="87"/>
        <v>-</v>
      </c>
      <c r="AB151" s="2359">
        <f t="shared" ca="1" si="88"/>
        <v>500</v>
      </c>
      <c r="AC151" s="3041"/>
      <c r="AD151" s="3043"/>
    </row>
    <row r="152" spans="1:31" ht="35.1" customHeight="1" thickBot="1">
      <c r="A152" s="2557" t="s">
        <v>277</v>
      </c>
      <c r="B152" s="178"/>
      <c r="C152" s="179">
        <v>0</v>
      </c>
      <c r="D152" s="180">
        <v>0</v>
      </c>
      <c r="E152" s="2362">
        <f>SUM(B152:D152)</f>
        <v>0</v>
      </c>
      <c r="F152" s="2350">
        <f>IF($A$1="صنایع شیر ایران",IFERROR(('هزینه اداری عمومی'!$B$26/(C152+B152+D152))/$AH$5,0),IFERROR(('هزینه اداری عمومی'!$B$26/(C152+B152))/$AH$5,0))</f>
        <v>0</v>
      </c>
      <c r="G152" s="2363">
        <f ca="1">IFERROR((VLOOKUP($AH$6,'هزینه اداری عمومی'!$A:$F,2,FALSE)/D152)/$AH$5,0)</f>
        <v>0</v>
      </c>
      <c r="H152" s="178"/>
      <c r="I152" s="179">
        <v>0</v>
      </c>
      <c r="J152" s="180">
        <v>0</v>
      </c>
      <c r="K152" s="2362">
        <f>SUM(H152:J152)</f>
        <v>0</v>
      </c>
      <c r="L152" s="2350">
        <f>IF($A$1="صنایع شیر ایران",IFERROR(('هزینه اداری عمومی'!$C$26/(I152+H152+J152))/$AH$5,0),IFERROR(('هزینه اداری عمومی'!$C$26/(I152+H152))/$AH$5,0))</f>
        <v>0</v>
      </c>
      <c r="M152" s="2363">
        <f ca="1">IFERROR((VLOOKUP($AH$6,'هزینه اداری عمومی'!$A:$F,3,FALSE)/J152)/$AH$5,0)</f>
        <v>0</v>
      </c>
      <c r="N152" s="178"/>
      <c r="O152" s="179">
        <v>0</v>
      </c>
      <c r="P152" s="180">
        <v>0</v>
      </c>
      <c r="Q152" s="2362">
        <f>SUM(N152:P152)</f>
        <v>0</v>
      </c>
      <c r="R152" s="2350">
        <f>IF($A$1="صنایع شیر ایران",IFERROR(('هزینه اداری عمومی'!$D$26/(O152+N152+P152))/$AH$5,0),IFERROR(('هزینه اداری عمومی'!$D$26/(O152+N152))/$AH$5,0))</f>
        <v>0</v>
      </c>
      <c r="S152" s="2363">
        <f ca="1">IFERROR((VLOOKUP($AH$6,'هزینه اداری عمومی'!$A:$F,4,FALSE)/P152)/$AH$5,0)</f>
        <v>0</v>
      </c>
      <c r="T152" s="2364" t="str">
        <f t="shared" si="80"/>
        <v>-</v>
      </c>
      <c r="U152" s="2365">
        <f t="shared" si="81"/>
        <v>500</v>
      </c>
      <c r="V152" s="2366" t="str">
        <f t="shared" si="82"/>
        <v>-</v>
      </c>
      <c r="W152" s="2365">
        <f t="shared" si="83"/>
        <v>500</v>
      </c>
      <c r="X152" s="2366" t="str">
        <f t="shared" si="84"/>
        <v>-</v>
      </c>
      <c r="Y152" s="2367">
        <f t="shared" si="85"/>
        <v>500</v>
      </c>
      <c r="Z152" s="2367" t="str">
        <f t="shared" si="86"/>
        <v>-</v>
      </c>
      <c r="AA152" s="2358" t="str">
        <f t="shared" si="87"/>
        <v>-</v>
      </c>
      <c r="AB152" s="2365">
        <f t="shared" si="88"/>
        <v>500</v>
      </c>
      <c r="AC152" s="2360" t="str">
        <f ca="1">IFERROR(S152*100/M152,"-")</f>
        <v>-</v>
      </c>
      <c r="AD152" s="2367">
        <f ca="1">IFERROR(ABS(AC152-100),500)</f>
        <v>500</v>
      </c>
    </row>
    <row r="153" spans="1:31" ht="35.1" customHeight="1" thickBot="1">
      <c r="A153" s="2558" t="s">
        <v>448</v>
      </c>
      <c r="B153" s="2368">
        <f>SUM(B148:B152)</f>
        <v>0</v>
      </c>
      <c r="C153" s="2369">
        <f>SUM(C148:C152)</f>
        <v>4</v>
      </c>
      <c r="D153" s="2370">
        <f>SUM(D148:D152)</f>
        <v>0</v>
      </c>
      <c r="E153" s="2371">
        <f>SUM(E148:E152)</f>
        <v>4</v>
      </c>
      <c r="F153" s="2372">
        <f>IF($A$1="صنایع شیر ایران",IFERROR(((SUM(F149*(C149+B149+D149),F152*(C152+B152+D152),F148*(C148+B148+D148)))/(C153+B153+D153)),0),IFERROR(((SUM(F149*(C149+B149),F150*(C150+B150),F151*(C151+B151),F152*(C152+B152),F148*(C148+B148)))/(C153+B153)),0))</f>
        <v>31625.416666666668</v>
      </c>
      <c r="G153" s="2373">
        <f ca="1">IFERROR((G148*(D149+D148)+G150*(D151+D150)+G152*D152)/(D153),0)</f>
        <v>0</v>
      </c>
      <c r="H153" s="2368">
        <f>SUM(H148:H152)</f>
        <v>0</v>
      </c>
      <c r="I153" s="2369">
        <f>SUM(I148:I152)</f>
        <v>4</v>
      </c>
      <c r="J153" s="2370">
        <f>SUM(J148:J152)</f>
        <v>0</v>
      </c>
      <c r="K153" s="2371">
        <f>SUM(K148:K152)</f>
        <v>4</v>
      </c>
      <c r="L153" s="2372">
        <f ca="1">IF($A$1="صنایع شیر ایران",IFERROR(((SUM(L149*(I149+H149+J149),L152*(I152+H152+J152),L148*(I148+H148+J148)))/(I153+H153+J153)),0),IFERROR(((SUM(L149*(I149+H149),L150*(I150+H150),L151*(I151+H151),L152*(I152+H152),L148*(I148+H148)))/(I153+H153)),0))</f>
        <v>48598.25</v>
      </c>
      <c r="M153" s="2373">
        <f ca="1">IFERROR((M148*(J149+J148)+M150*(J151+J150)+M152*J152)/(J153),0)</f>
        <v>0</v>
      </c>
      <c r="N153" s="2368">
        <f>SUM(N148:N152)</f>
        <v>0</v>
      </c>
      <c r="O153" s="2369">
        <f>SUM(O148:O152)</f>
        <v>4</v>
      </c>
      <c r="P153" s="2370">
        <f>SUM(P148:P152)</f>
        <v>0</v>
      </c>
      <c r="Q153" s="2371">
        <f>SUM(Q148:Q152)</f>
        <v>4</v>
      </c>
      <c r="R153" s="2372">
        <f>IF($A$1="صنایع شیر ایران",IFERROR(((SUM(R149*(O149+N149+P149),R152*(O152+N152+P152),R148*(O148+N148+P148)))/(O153+N153+P153)),0),IFERROR(((SUM(R149*(O149+N149),R150*(O150+N150),R151*(O151+N151),R152*(O152+N152),R148*(O148+N148)))/(O153+N153)),0))</f>
        <v>51751.875</v>
      </c>
      <c r="S153" s="2373">
        <f ca="1">IFERROR((S148*(P149+P148)+S150*(P151+P150)+S152*P152)/(P153),0)</f>
        <v>0</v>
      </c>
      <c r="T153" s="2374" t="str">
        <f t="shared" si="80"/>
        <v>-</v>
      </c>
      <c r="U153" s="2375">
        <f t="shared" si="81"/>
        <v>500</v>
      </c>
      <c r="V153" s="2376">
        <f t="shared" si="82"/>
        <v>100</v>
      </c>
      <c r="W153" s="2375">
        <f t="shared" si="83"/>
        <v>0</v>
      </c>
      <c r="X153" s="2376" t="str">
        <f t="shared" si="84"/>
        <v>-</v>
      </c>
      <c r="Y153" s="2377">
        <f t="shared" si="85"/>
        <v>500</v>
      </c>
      <c r="Z153" s="2377">
        <f t="shared" si="86"/>
        <v>100</v>
      </c>
      <c r="AA153" s="2374">
        <f t="shared" ca="1" si="87"/>
        <v>106.48917399289068</v>
      </c>
      <c r="AB153" s="2375">
        <f t="shared" ca="1" si="88"/>
        <v>6.4891739928906844</v>
      </c>
      <c r="AC153" s="2376" t="str">
        <f ca="1">IFERROR(S153*100/M153,"-")</f>
        <v>-</v>
      </c>
      <c r="AD153" s="2377">
        <f ca="1">IFERROR(ABS(AC153-100),500)</f>
        <v>500</v>
      </c>
    </row>
    <row r="154" spans="1:31" ht="35.1" customHeight="1" thickTop="1" thickBot="1">
      <c r="A154" s="2559" t="s">
        <v>449</v>
      </c>
      <c r="B154" s="689"/>
      <c r="C154" s="690"/>
      <c r="D154" s="691"/>
      <c r="E154" s="2378">
        <f>SUM(B154:D154)</f>
        <v>0</v>
      </c>
      <c r="F154" s="1559"/>
      <c r="G154" s="1560"/>
      <c r="H154" s="689"/>
      <c r="I154" s="690"/>
      <c r="J154" s="691"/>
      <c r="K154" s="2378">
        <f>SUM(H154:J154)</f>
        <v>0</v>
      </c>
      <c r="L154" s="1559"/>
      <c r="M154" s="1560"/>
      <c r="N154" s="689"/>
      <c r="O154" s="690"/>
      <c r="P154" s="691"/>
      <c r="Q154" s="2378">
        <f>SUM(N154:P154)</f>
        <v>0</v>
      </c>
      <c r="R154" s="1559"/>
      <c r="S154" s="1560"/>
      <c r="T154" s="2379" t="str">
        <f t="shared" si="80"/>
        <v>-</v>
      </c>
      <c r="U154" s="2380">
        <f t="shared" si="81"/>
        <v>500</v>
      </c>
      <c r="V154" s="2381" t="str">
        <f t="shared" si="82"/>
        <v>-</v>
      </c>
      <c r="W154" s="2380">
        <f t="shared" si="83"/>
        <v>500</v>
      </c>
      <c r="X154" s="2381" t="str">
        <f t="shared" si="84"/>
        <v>-</v>
      </c>
      <c r="Y154" s="2382">
        <f t="shared" si="85"/>
        <v>500</v>
      </c>
      <c r="Z154" s="2382" t="str">
        <f t="shared" si="86"/>
        <v>-</v>
      </c>
      <c r="AA154" s="2379" t="str">
        <f t="shared" si="87"/>
        <v>-</v>
      </c>
      <c r="AB154" s="2380">
        <f t="shared" si="88"/>
        <v>500</v>
      </c>
      <c r="AC154" s="2381" t="str">
        <f>IFERROR(S154*100/M154,"-")</f>
        <v>-</v>
      </c>
      <c r="AD154" s="2382">
        <f>IFERROR(ABS(AC154-100),500)</f>
        <v>500</v>
      </c>
    </row>
    <row r="155" spans="1:31" ht="21.75" thickBot="1"/>
    <row r="156" spans="1:31" ht="25.5">
      <c r="A156" s="3054" t="s">
        <v>446</v>
      </c>
      <c r="B156" s="3055"/>
      <c r="C156" s="3055"/>
      <c r="D156" s="3055"/>
      <c r="E156" s="3055"/>
      <c r="F156" s="3055"/>
      <c r="G156" s="3055"/>
      <c r="H156" s="3055"/>
      <c r="I156" s="3055"/>
      <c r="J156" s="3055"/>
      <c r="K156" s="3055"/>
      <c r="L156" s="3055"/>
      <c r="M156" s="3055"/>
      <c r="N156" s="3055"/>
      <c r="O156" s="3055"/>
      <c r="P156" s="3055"/>
      <c r="Q156" s="3055"/>
      <c r="R156" s="3055"/>
      <c r="S156" s="3056"/>
    </row>
    <row r="157" spans="1:31">
      <c r="A157" s="3057"/>
      <c r="B157" s="3058"/>
      <c r="C157" s="3058"/>
      <c r="D157" s="3058"/>
      <c r="E157" s="3058"/>
      <c r="F157" s="3058"/>
      <c r="G157" s="3058"/>
      <c r="H157" s="3058"/>
      <c r="I157" s="3058"/>
      <c r="J157" s="3058"/>
      <c r="K157" s="3058"/>
      <c r="L157" s="3058"/>
      <c r="M157" s="3058"/>
      <c r="N157" s="3058"/>
      <c r="O157" s="3058"/>
      <c r="P157" s="3058"/>
      <c r="Q157" s="3058"/>
      <c r="R157" s="3058"/>
      <c r="S157" s="3059"/>
    </row>
    <row r="158" spans="1:31">
      <c r="A158" s="3057"/>
      <c r="B158" s="3058"/>
      <c r="C158" s="3058"/>
      <c r="D158" s="3058"/>
      <c r="E158" s="3058"/>
      <c r="F158" s="3058"/>
      <c r="G158" s="3058"/>
      <c r="H158" s="3058"/>
      <c r="I158" s="3058"/>
      <c r="J158" s="3058"/>
      <c r="K158" s="3058"/>
      <c r="L158" s="3058"/>
      <c r="M158" s="3058"/>
      <c r="N158" s="3058"/>
      <c r="O158" s="3058"/>
      <c r="P158" s="3058"/>
      <c r="Q158" s="3058"/>
      <c r="R158" s="3058"/>
      <c r="S158" s="3059"/>
    </row>
    <row r="159" spans="1:31">
      <c r="A159" s="3057"/>
      <c r="B159" s="3058"/>
      <c r="C159" s="3058"/>
      <c r="D159" s="3058"/>
      <c r="E159" s="3058"/>
      <c r="F159" s="3058"/>
      <c r="G159" s="3058"/>
      <c r="H159" s="3058"/>
      <c r="I159" s="3058"/>
      <c r="J159" s="3058"/>
      <c r="K159" s="3058"/>
      <c r="L159" s="3058"/>
      <c r="M159" s="3058"/>
      <c r="N159" s="3058"/>
      <c r="O159" s="3058"/>
      <c r="P159" s="3058"/>
      <c r="Q159" s="3058"/>
      <c r="R159" s="3058"/>
      <c r="S159" s="3059"/>
    </row>
    <row r="160" spans="1:31">
      <c r="A160" s="3057"/>
      <c r="B160" s="3058"/>
      <c r="C160" s="3058"/>
      <c r="D160" s="3058"/>
      <c r="E160" s="3058"/>
      <c r="F160" s="3058"/>
      <c r="G160" s="3058"/>
      <c r="H160" s="3058"/>
      <c r="I160" s="3058"/>
      <c r="J160" s="3058"/>
      <c r="K160" s="3058"/>
      <c r="L160" s="3058"/>
      <c r="M160" s="3058"/>
      <c r="N160" s="3058"/>
      <c r="O160" s="3058"/>
      <c r="P160" s="3058"/>
      <c r="Q160" s="3058"/>
      <c r="R160" s="3058"/>
      <c r="S160" s="3059"/>
    </row>
    <row r="161" spans="1:31" ht="21.75" thickBot="1">
      <c r="A161" s="3060"/>
      <c r="B161" s="3061"/>
      <c r="C161" s="3061"/>
      <c r="D161" s="3061"/>
      <c r="E161" s="3061"/>
      <c r="F161" s="3061"/>
      <c r="G161" s="3061"/>
      <c r="H161" s="3061"/>
      <c r="I161" s="3061"/>
      <c r="J161" s="3061"/>
      <c r="K161" s="3061"/>
      <c r="L161" s="3061"/>
      <c r="M161" s="3061"/>
      <c r="N161" s="3061"/>
      <c r="O161" s="3061"/>
      <c r="P161" s="3061"/>
      <c r="Q161" s="3061"/>
      <c r="R161" s="3061"/>
      <c r="S161" s="3062"/>
    </row>
    <row r="163" spans="1:31" ht="29.25" thickBot="1">
      <c r="A163" s="3034" t="str">
        <f>"گزارش تعداد پرسنل و سرانه هزینه پرسنلی به تفکیک نوع قرارداد در دوره " &amp; روکش!$F$9 &amp; " سال " &amp; روکش!$D$9&amp;"- مجتمع خراسان/ شعبه "&amp;AE163</f>
        <v>گزارش تعداد پرسنل و سرانه هزینه پرسنلی به تفکیک نوع قرارداد در دوره شش ماهه سال 1405- مجتمع خراسان/ شعبه بیرجند</v>
      </c>
      <c r="B163" s="3034"/>
      <c r="C163" s="3034"/>
      <c r="D163" s="3034"/>
      <c r="E163" s="3034"/>
      <c r="F163" s="3034"/>
      <c r="G163" s="3034"/>
      <c r="H163" s="3034"/>
      <c r="I163" s="3034"/>
      <c r="J163" s="3034"/>
      <c r="K163" s="3034"/>
      <c r="L163" s="3034"/>
      <c r="M163" s="3034"/>
      <c r="N163" s="3034"/>
      <c r="O163" s="3034"/>
      <c r="P163" s="3034"/>
      <c r="Q163" s="3034"/>
      <c r="R163" s="3034"/>
      <c r="S163" s="3034"/>
      <c r="T163" s="3034"/>
      <c r="U163" s="3034"/>
      <c r="V163" s="3034"/>
      <c r="W163" s="3034"/>
      <c r="X163" s="3034"/>
      <c r="Y163" s="3034"/>
      <c r="Z163" s="3034"/>
      <c r="AA163" s="3034"/>
      <c r="AB163" s="3034"/>
      <c r="AC163" s="3034"/>
      <c r="AD163" s="3034"/>
      <c r="AE163" s="2561" t="str">
        <f>واردات!$AA$50</f>
        <v>بیرجند</v>
      </c>
    </row>
    <row r="164" spans="1:31" ht="24.75" thickBot="1">
      <c r="A164" s="3052" t="s">
        <v>21</v>
      </c>
      <c r="B164" s="3035" t="s">
        <v>716</v>
      </c>
      <c r="C164" s="3036"/>
      <c r="D164" s="3036"/>
      <c r="E164" s="3036"/>
      <c r="F164" s="3036"/>
      <c r="G164" s="3037"/>
      <c r="H164" s="3035" t="s">
        <v>674</v>
      </c>
      <c r="I164" s="3036"/>
      <c r="J164" s="3036"/>
      <c r="K164" s="3036"/>
      <c r="L164" s="3036"/>
      <c r="M164" s="3037"/>
      <c r="N164" s="3035" t="s">
        <v>675</v>
      </c>
      <c r="O164" s="3036"/>
      <c r="P164" s="3036"/>
      <c r="Q164" s="3036"/>
      <c r="R164" s="3036"/>
      <c r="S164" s="3037"/>
      <c r="T164" s="3035" t="s">
        <v>717</v>
      </c>
      <c r="U164" s="3036"/>
      <c r="V164" s="3036"/>
      <c r="W164" s="3036"/>
      <c r="X164" s="3036"/>
      <c r="Y164" s="3036"/>
      <c r="Z164" s="3036"/>
      <c r="AA164" s="3036"/>
      <c r="AB164" s="3036"/>
      <c r="AC164" s="3036"/>
      <c r="AD164" s="3037"/>
    </row>
    <row r="165" spans="1:31" ht="63.75" thickBot="1">
      <c r="A165" s="3053"/>
      <c r="B165" s="2335" t="s">
        <v>60</v>
      </c>
      <c r="C165" s="2336" t="s">
        <v>61</v>
      </c>
      <c r="D165" s="2337" t="s">
        <v>62</v>
      </c>
      <c r="E165" s="2338" t="s">
        <v>1</v>
      </c>
      <c r="F165" s="2335" t="s">
        <v>1403</v>
      </c>
      <c r="G165" s="2337" t="s">
        <v>1404</v>
      </c>
      <c r="H165" s="2335" t="s">
        <v>60</v>
      </c>
      <c r="I165" s="2336" t="s">
        <v>61</v>
      </c>
      <c r="J165" s="2337" t="s">
        <v>62</v>
      </c>
      <c r="K165" s="2339" t="s">
        <v>1</v>
      </c>
      <c r="L165" s="2335" t="s">
        <v>1403</v>
      </c>
      <c r="M165" s="2337" t="s">
        <v>1404</v>
      </c>
      <c r="N165" s="2335" t="s">
        <v>60</v>
      </c>
      <c r="O165" s="2336" t="s">
        <v>61</v>
      </c>
      <c r="P165" s="2337" t="s">
        <v>62</v>
      </c>
      <c r="Q165" s="2339" t="s">
        <v>1</v>
      </c>
      <c r="R165" s="2335" t="s">
        <v>1403</v>
      </c>
      <c r="S165" s="2337" t="s">
        <v>1404</v>
      </c>
      <c r="T165" s="3044" t="s">
        <v>60</v>
      </c>
      <c r="U165" s="3045"/>
      <c r="V165" s="3046" t="s">
        <v>61</v>
      </c>
      <c r="W165" s="3045"/>
      <c r="X165" s="3046" t="s">
        <v>62</v>
      </c>
      <c r="Y165" s="3047"/>
      <c r="Z165" s="2339" t="s">
        <v>1</v>
      </c>
      <c r="AA165" s="3044" t="s">
        <v>1403</v>
      </c>
      <c r="AB165" s="3045"/>
      <c r="AC165" s="3046" t="s">
        <v>1404</v>
      </c>
      <c r="AD165" s="3047"/>
    </row>
    <row r="166" spans="1:31" hidden="1">
      <c r="A166" s="2555" t="s">
        <v>1278</v>
      </c>
      <c r="B166" s="172"/>
      <c r="C166" s="173"/>
      <c r="D166" s="174"/>
      <c r="E166" s="2340">
        <f>SUM(B166:D166)</f>
        <v>0</v>
      </c>
      <c r="F166" s="2341">
        <f>IF($A$1="صنایع شیر ایران",IFERROR(('هزینه پرسنلی مستقیم تولید'!$B$31/(C166+B166+D166))/$AH$5,0),IFERROR(('هزینه پرسنلی مستقیم تولید'!$B$31/(C166+B166))/$AH$5,0))</f>
        <v>0</v>
      </c>
      <c r="G166" s="3048">
        <f ca="1">IFERROR((VLOOKUP($AH$6,'هزینه سربار تولید'!$A:$F,2,FALSE)/(D166+D167))/$AH$5,0)</f>
        <v>0</v>
      </c>
      <c r="H166" s="2342">
        <v>0</v>
      </c>
      <c r="I166" s="2343">
        <v>0</v>
      </c>
      <c r="J166" s="2344">
        <v>0</v>
      </c>
      <c r="K166" s="2340">
        <f>SUM(H166:J166)</f>
        <v>0</v>
      </c>
      <c r="L166" s="2341">
        <f ca="1">IF($A$1="صنایع شیر ایران",IFERROR(('هزینه پرسنلی مستقیم تولید'!$C$31/(I166+H166+J166))/$AH$5,0),IFERROR(('هزینه پرسنلی مستقیم تولید'!$C$31/(I166+H166))/$AH$5,0))</f>
        <v>0</v>
      </c>
      <c r="M166" s="3048">
        <f ca="1">IFERROR((VLOOKUP($AH$6,'هزینه سربار تولید'!$A:$F,3,FALSE)/(J166+J167))/$AH$5,0)</f>
        <v>0</v>
      </c>
      <c r="N166" s="172"/>
      <c r="O166" s="173"/>
      <c r="P166" s="174"/>
      <c r="Q166" s="2340">
        <f>SUM(N166:P166)</f>
        <v>0</v>
      </c>
      <c r="R166" s="2341">
        <f>IF($A$1="صنایع شیر ایران",IFERROR(('هزینه پرسنلی مستقیم تولید'!$D$31/(O166+N166+P166))/$AH$5,0),IFERROR(('هزینه پرسنلی مستقیم تولید'!$D$31/(O166+N166))/$AH$5,0))</f>
        <v>0</v>
      </c>
      <c r="S166" s="3048">
        <f ca="1">IFERROR((VLOOKUP($AH$6,'هزینه سربار تولید'!$A:$F,4,FALSE)/(P166+P167))/$AH$5,0)</f>
        <v>0</v>
      </c>
      <c r="T166" s="2345" t="str">
        <f t="shared" ref="T166:T172" si="89">IFERROR(N166*100/H166,"-")</f>
        <v>-</v>
      </c>
      <c r="U166" s="2346">
        <f t="shared" ref="U166:U172" si="90">IFERROR(ABS(T166-100),500)</f>
        <v>500</v>
      </c>
      <c r="V166" s="2347" t="str">
        <f t="shared" ref="V166:V172" si="91">IFERROR(O166*100/I166,"-")</f>
        <v>-</v>
      </c>
      <c r="W166" s="2346">
        <f t="shared" ref="W166:W172" si="92">IFERROR(ABS(V166-100),500)</f>
        <v>500</v>
      </c>
      <c r="X166" s="2347" t="str">
        <f t="shared" ref="X166:X172" si="93">IFERROR(P166*100/J166,"-")</f>
        <v>-</v>
      </c>
      <c r="Y166" s="2348">
        <f t="shared" ref="Y166:Y172" si="94">IFERROR(ABS(X166-100),500)</f>
        <v>500</v>
      </c>
      <c r="Z166" s="2346" t="str">
        <f t="shared" ref="Z166:Z172" si="95">IFERROR(Q166*100/K166,"-")</f>
        <v>-</v>
      </c>
      <c r="AA166" s="2345" t="str">
        <f t="shared" ref="AA166:AA172" ca="1" si="96">IFERROR(R166*100/L166,"-")</f>
        <v>-</v>
      </c>
      <c r="AB166" s="2346">
        <f t="shared" ref="AB166:AB172" ca="1" si="97">IFERROR(ABS(AA166-100),500)</f>
        <v>500</v>
      </c>
      <c r="AC166" s="3049" t="str">
        <f ca="1">IFERROR(S166*100/M166,"-")</f>
        <v>-</v>
      </c>
      <c r="AD166" s="3050">
        <f ca="1">IFERROR(ABS(AC166-100),500)</f>
        <v>500</v>
      </c>
    </row>
    <row r="167" spans="1:31" hidden="1">
      <c r="A167" s="2556" t="s">
        <v>1279</v>
      </c>
      <c r="B167" s="175"/>
      <c r="C167" s="176"/>
      <c r="D167" s="177"/>
      <c r="E167" s="2349">
        <f>SUM(B167:D167)</f>
        <v>0</v>
      </c>
      <c r="F167" s="2350">
        <f>IF($A$1="صنایع شیر ایران",IFERROR(('هزینه پرسنلی غیرمستقیم تولید'!$B$31/(C167+B167+D167))/$AH$5,0),IFERROR(('هزینه پرسنلی غیرمستقیم تولید'!$B$31/(C167+B167))/$AH$5,0))</f>
        <v>0</v>
      </c>
      <c r="G167" s="3039"/>
      <c r="H167" s="2351">
        <v>0</v>
      </c>
      <c r="I167" s="2352">
        <v>0</v>
      </c>
      <c r="J167" s="2353">
        <v>0</v>
      </c>
      <c r="K167" s="2349">
        <f>SUM(H167:J167)</f>
        <v>0</v>
      </c>
      <c r="L167" s="2350">
        <f ca="1">IF($A$1="صنایع شیر ایران",IFERROR(('هزینه پرسنلی غیرمستقیم تولید'!$C$31/(I167+H167+J167))/$AH$5,0),IFERROR(('هزینه پرسنلی غیرمستقیم تولید'!$C$31/(I167+H167))/$AH$5,0))</f>
        <v>0</v>
      </c>
      <c r="M167" s="3039"/>
      <c r="N167" s="175"/>
      <c r="O167" s="176"/>
      <c r="P167" s="177"/>
      <c r="Q167" s="2349">
        <f>SUM(N167:P167)</f>
        <v>0</v>
      </c>
      <c r="R167" s="2350">
        <f>IF($A$1="صنایع شیر ایران",IFERROR(('هزینه پرسنلی غیرمستقیم تولید'!$D$31/(O167+N167+P167))/$AH$5,0),IFERROR(('هزینه پرسنلی غیرمستقیم تولید'!$D$31/(O167+N167))/$AH$5,0))</f>
        <v>0</v>
      </c>
      <c r="S167" s="3039"/>
      <c r="T167" s="2354" t="str">
        <f t="shared" si="89"/>
        <v>-</v>
      </c>
      <c r="U167" s="2355">
        <f t="shared" si="90"/>
        <v>500</v>
      </c>
      <c r="V167" s="2356" t="str">
        <f t="shared" si="91"/>
        <v>-</v>
      </c>
      <c r="W167" s="2355">
        <f t="shared" si="92"/>
        <v>500</v>
      </c>
      <c r="X167" s="2356" t="str">
        <f t="shared" si="93"/>
        <v>-</v>
      </c>
      <c r="Y167" s="2357">
        <f t="shared" si="94"/>
        <v>500</v>
      </c>
      <c r="Z167" s="2355" t="str">
        <f t="shared" si="95"/>
        <v>-</v>
      </c>
      <c r="AA167" s="2354" t="str">
        <f t="shared" ca="1" si="96"/>
        <v>-</v>
      </c>
      <c r="AB167" s="2355">
        <f t="shared" ca="1" si="97"/>
        <v>500</v>
      </c>
      <c r="AC167" s="3041"/>
      <c r="AD167" s="3051"/>
    </row>
    <row r="168" spans="1:31" ht="35.1" customHeight="1">
      <c r="A168" s="2556" t="s">
        <v>1280</v>
      </c>
      <c r="B168" s="175"/>
      <c r="C168" s="176"/>
      <c r="D168" s="177"/>
      <c r="E168" s="2349">
        <f>SUM(B168:D168)</f>
        <v>0</v>
      </c>
      <c r="F168" s="2350">
        <f>IFERROR(('هزینه پرسنلی مستقیم خدمات'!$B$31/(C168+B168))/$AH$5,0)</f>
        <v>0</v>
      </c>
      <c r="G168" s="3038">
        <f ca="1">IFERROR((VLOOKUP($AH$6,'هزینه سربار خدمات'!$A:$F,2,FALSE)/(D168+D169))/$AH$5,0)</f>
        <v>0</v>
      </c>
      <c r="H168" s="175"/>
      <c r="I168" s="176">
        <v>0</v>
      </c>
      <c r="J168" s="177">
        <v>3</v>
      </c>
      <c r="K168" s="2349">
        <f>SUM(H168:J168)</f>
        <v>3</v>
      </c>
      <c r="L168" s="2350">
        <f ca="1">IFERROR(('هزینه پرسنلی مستقیم خدمات'!$C$31/(I168+H168))/$AH$5,0)</f>
        <v>0</v>
      </c>
      <c r="M168" s="3038">
        <f ca="1">IFERROR((VLOOKUP($AH$6,'هزینه سربار خدمات'!$A:$F,3,FALSE)/(J168+J169))/$AH$5,0)</f>
        <v>6876.4444444444443</v>
      </c>
      <c r="N168" s="175"/>
      <c r="O168" s="176">
        <v>0</v>
      </c>
      <c r="P168" s="177">
        <v>3</v>
      </c>
      <c r="Q168" s="2349">
        <f>SUM(N168:P168)</f>
        <v>3</v>
      </c>
      <c r="R168" s="2350">
        <f>IFERROR(('هزینه پرسنلی مستقیم خدمات'!$D$31/(O168+N168))/$AH$5,0)</f>
        <v>0</v>
      </c>
      <c r="S168" s="3038">
        <f ca="1">IFERROR((VLOOKUP($AH$6,'هزینه سربار خدمات'!$A:$F,4,FALSE)/(P168+P169))/$AH$5,0)</f>
        <v>15747.333333333334</v>
      </c>
      <c r="T168" s="2358" t="str">
        <f t="shared" si="89"/>
        <v>-</v>
      </c>
      <c r="U168" s="2359">
        <f t="shared" si="90"/>
        <v>500</v>
      </c>
      <c r="V168" s="2360" t="str">
        <f t="shared" si="91"/>
        <v>-</v>
      </c>
      <c r="W168" s="2359">
        <f t="shared" si="92"/>
        <v>500</v>
      </c>
      <c r="X168" s="2360">
        <f t="shared" si="93"/>
        <v>100</v>
      </c>
      <c r="Y168" s="2361">
        <f t="shared" si="94"/>
        <v>0</v>
      </c>
      <c r="Z168" s="2361">
        <f t="shared" si="95"/>
        <v>100</v>
      </c>
      <c r="AA168" s="2358" t="str">
        <f t="shared" ca="1" si="96"/>
        <v>-</v>
      </c>
      <c r="AB168" s="2359">
        <f t="shared" ca="1" si="97"/>
        <v>500</v>
      </c>
      <c r="AC168" s="3040">
        <f ca="1">IFERROR(S168*100/M168,"-")</f>
        <v>229.00400723888316</v>
      </c>
      <c r="AD168" s="3042">
        <f ca="1">IFERROR(ABS(AC168-100),500)</f>
        <v>129.00400723888316</v>
      </c>
    </row>
    <row r="169" spans="1:31" ht="35.1" customHeight="1">
      <c r="A169" s="2556" t="s">
        <v>1281</v>
      </c>
      <c r="B169" s="175"/>
      <c r="C169" s="176"/>
      <c r="D169" s="177"/>
      <c r="E169" s="2349">
        <f>SUM(B169:D169)</f>
        <v>0</v>
      </c>
      <c r="F169" s="2350">
        <f>IFERROR(('هزینه پرسنلی غیرمستقیم خدمات'!$B$31/(C169+B169))/$AH$5,0)</f>
        <v>0</v>
      </c>
      <c r="G169" s="3039"/>
      <c r="H169" s="175"/>
      <c r="I169" s="176"/>
      <c r="J169" s="177"/>
      <c r="K169" s="2349">
        <f>SUM(H169:J169)</f>
        <v>0</v>
      </c>
      <c r="L169" s="2350">
        <f ca="1">IFERROR(('هزینه پرسنلی غیرمستقیم خدمات'!$C$31/(I169+H169))/$AH$5,0)</f>
        <v>0</v>
      </c>
      <c r="M169" s="3039"/>
      <c r="N169" s="175"/>
      <c r="O169" s="176"/>
      <c r="P169" s="177"/>
      <c r="Q169" s="2349">
        <f>SUM(N169:P169)</f>
        <v>0</v>
      </c>
      <c r="R169" s="2350">
        <f>IFERROR(('هزینه پرسنلی غیرمستقیم خدمات'!$D$31/(O169+N169))/$AH$5,0)</f>
        <v>0</v>
      </c>
      <c r="S169" s="3039"/>
      <c r="T169" s="2358" t="str">
        <f t="shared" si="89"/>
        <v>-</v>
      </c>
      <c r="U169" s="2359">
        <f t="shared" si="90"/>
        <v>500</v>
      </c>
      <c r="V169" s="2360" t="str">
        <f t="shared" si="91"/>
        <v>-</v>
      </c>
      <c r="W169" s="2359">
        <f t="shared" si="92"/>
        <v>500</v>
      </c>
      <c r="X169" s="2360" t="str">
        <f t="shared" si="93"/>
        <v>-</v>
      </c>
      <c r="Y169" s="2361">
        <f t="shared" si="94"/>
        <v>500</v>
      </c>
      <c r="Z169" s="2361" t="str">
        <f t="shared" si="95"/>
        <v>-</v>
      </c>
      <c r="AA169" s="2358" t="str">
        <f t="shared" ca="1" si="96"/>
        <v>-</v>
      </c>
      <c r="AB169" s="2359">
        <f t="shared" ca="1" si="97"/>
        <v>500</v>
      </c>
      <c r="AC169" s="3041"/>
      <c r="AD169" s="3043"/>
    </row>
    <row r="170" spans="1:31" ht="35.1" customHeight="1" thickBot="1">
      <c r="A170" s="2557" t="s">
        <v>277</v>
      </c>
      <c r="B170" s="178"/>
      <c r="C170" s="179">
        <v>1</v>
      </c>
      <c r="D170" s="180"/>
      <c r="E170" s="2362">
        <f>SUM(B170:D170)</f>
        <v>1</v>
      </c>
      <c r="F170" s="2350">
        <f>IF($A$1="صنایع شیر ایران",IFERROR(('هزینه اداری عمومی'!$B$26/(C170+B170+D170))/$AH$5,0),IFERROR(('هزینه اداری عمومی'!$B$26/(C170+B170))/$AH$5,0))</f>
        <v>23562</v>
      </c>
      <c r="G170" s="2363">
        <f ca="1">IFERROR((VLOOKUP($AH$6,'هزینه اداری عمومی'!$A:$F,2,FALSE)/D170)/$AH$5,0)</f>
        <v>0</v>
      </c>
      <c r="H170" s="178"/>
      <c r="I170" s="179">
        <v>1</v>
      </c>
      <c r="J170" s="180"/>
      <c r="K170" s="2362">
        <f>SUM(H170:J170)</f>
        <v>1</v>
      </c>
      <c r="L170" s="2350">
        <f>IF($A$1="صنایع شیر ایران",IFERROR(('هزینه اداری عمومی'!$C$26/(I170+H170+J170))/$AH$5,0),IFERROR(('هزینه اداری عمومی'!$C$26/(I170+H170))/$AH$5,0))</f>
        <v>31655</v>
      </c>
      <c r="M170" s="2363">
        <f ca="1">IFERROR((VLOOKUP($AH$6,'هزینه اداری عمومی'!$A:$F,3,FALSE)/J170)/$AH$5,0)</f>
        <v>0</v>
      </c>
      <c r="N170" s="178"/>
      <c r="O170" s="179">
        <v>2</v>
      </c>
      <c r="P170" s="180"/>
      <c r="Q170" s="2362">
        <f>SUM(N170:P170)</f>
        <v>2</v>
      </c>
      <c r="R170" s="2350">
        <f>IF($A$1="صنایع شیر ایران",IFERROR(('هزینه اداری عمومی'!$D$26/(O170+N170+P170))/$AH$5,0),IFERROR(('هزینه اداری عمومی'!$D$26/(O170+N170))/$AH$5,0))</f>
        <v>18702.833333333332</v>
      </c>
      <c r="S170" s="2363">
        <f ca="1">IFERROR((VLOOKUP($AH$6,'هزینه اداری عمومی'!$A:$F,4,FALSE)/P170)/$AH$5,0)</f>
        <v>0</v>
      </c>
      <c r="T170" s="2364" t="str">
        <f t="shared" si="89"/>
        <v>-</v>
      </c>
      <c r="U170" s="2365">
        <f t="shared" si="90"/>
        <v>500</v>
      </c>
      <c r="V170" s="2366">
        <f t="shared" si="91"/>
        <v>200</v>
      </c>
      <c r="W170" s="2365">
        <f t="shared" si="92"/>
        <v>100</v>
      </c>
      <c r="X170" s="2366" t="str">
        <f t="shared" si="93"/>
        <v>-</v>
      </c>
      <c r="Y170" s="2367">
        <f t="shared" si="94"/>
        <v>500</v>
      </c>
      <c r="Z170" s="2367">
        <f t="shared" si="95"/>
        <v>200</v>
      </c>
      <c r="AA170" s="2358">
        <f t="shared" si="96"/>
        <v>59.083346496077503</v>
      </c>
      <c r="AB170" s="2365">
        <f t="shared" si="97"/>
        <v>40.916653503922497</v>
      </c>
      <c r="AC170" s="2360" t="str">
        <f ca="1">IFERROR(S170*100/M170,"-")</f>
        <v>-</v>
      </c>
      <c r="AD170" s="2367">
        <f ca="1">IFERROR(ABS(AC170-100),500)</f>
        <v>500</v>
      </c>
    </row>
    <row r="171" spans="1:31" ht="35.1" customHeight="1" thickBot="1">
      <c r="A171" s="2558" t="s">
        <v>448</v>
      </c>
      <c r="B171" s="2368">
        <f>SUM(B166:B170)</f>
        <v>0</v>
      </c>
      <c r="C171" s="2369">
        <f>SUM(C166:C170)</f>
        <v>1</v>
      </c>
      <c r="D171" s="2370">
        <f>SUM(D166:D170)</f>
        <v>0</v>
      </c>
      <c r="E171" s="2371">
        <f>SUM(E166:E170)</f>
        <v>1</v>
      </c>
      <c r="F171" s="2372">
        <f>IF($A$1="صنایع شیر ایران",IFERROR(((SUM(F167*(C167+B167+D167),F170*(C170+B170+D170),F166*(C166+B166+D166)))/(C171+B171+D171)),0),IFERROR(((SUM(F167*(C167+B167),F168*(C168+B168),F169*(C169+B169),F170*(C170+B170),F166*(C166+B166)))/(C171+B171)),0))</f>
        <v>23562</v>
      </c>
      <c r="G171" s="2373">
        <f ca="1">IFERROR((G166*(D167+D166)+G168*(D169+D168)+G170*D170)/(D171),0)</f>
        <v>0</v>
      </c>
      <c r="H171" s="2368">
        <f>SUM(H166:H170)</f>
        <v>0</v>
      </c>
      <c r="I171" s="2369">
        <f>SUM(I166:I170)</f>
        <v>1</v>
      </c>
      <c r="J171" s="2370">
        <f>SUM(J166:J170)</f>
        <v>3</v>
      </c>
      <c r="K171" s="2371">
        <f>SUM(K166:K170)</f>
        <v>4</v>
      </c>
      <c r="L171" s="2372">
        <f ca="1">IF($A$1="صنایع شیر ایران",IFERROR(((SUM(L167*(I167+H167+J167),L170*(I170+H170+J170),L166*(I166+H166+J166)))/(I171+H171+J171)),0),IFERROR(((SUM(L167*(I167+H167),L168*(I168+H168),L169*(I169+H169),L170*(I170+H170),L166*(I166+H166)))/(I171+H171)),0))</f>
        <v>31655</v>
      </c>
      <c r="M171" s="2373">
        <f ca="1">IFERROR((M166*(J167+J166)+M168*(J169+J168)+M170*J170)/(J171),0)</f>
        <v>6876.4444444444443</v>
      </c>
      <c r="N171" s="2368">
        <f>SUM(N166:N170)</f>
        <v>0</v>
      </c>
      <c r="O171" s="2369">
        <f>SUM(O166:O170)</f>
        <v>2</v>
      </c>
      <c r="P171" s="2370">
        <f>SUM(P166:P170)</f>
        <v>3</v>
      </c>
      <c r="Q171" s="2371">
        <f>SUM(Q166:Q170)</f>
        <v>5</v>
      </c>
      <c r="R171" s="2372">
        <f>IF($A$1="صنایع شیر ایران",IFERROR(((SUM(R167*(O167+N167+P167),R170*(O170+N170+P170),R166*(O166+N166+P166)))/(O171+N171+P171)),0),IFERROR(((SUM(R167*(O167+N167),R168*(O168+N168),R169*(O169+N169),R170*(O170+N170),R166*(O166+N166)))/(O171+N171)),0))</f>
        <v>18702.833333333332</v>
      </c>
      <c r="S171" s="2373">
        <f ca="1">IFERROR((S166*(P167+P166)+S168*(P169+P168)+S170*P170)/(P171),0)</f>
        <v>15747.333333333334</v>
      </c>
      <c r="T171" s="2374" t="str">
        <f t="shared" si="89"/>
        <v>-</v>
      </c>
      <c r="U171" s="2375">
        <f t="shared" si="90"/>
        <v>500</v>
      </c>
      <c r="V171" s="2376">
        <f t="shared" si="91"/>
        <v>200</v>
      </c>
      <c r="W171" s="2375">
        <f t="shared" si="92"/>
        <v>100</v>
      </c>
      <c r="X171" s="2376">
        <f t="shared" si="93"/>
        <v>100</v>
      </c>
      <c r="Y171" s="2377">
        <f t="shared" si="94"/>
        <v>0</v>
      </c>
      <c r="Z171" s="2377">
        <f t="shared" si="95"/>
        <v>125</v>
      </c>
      <c r="AA171" s="2374">
        <f t="shared" ca="1" si="96"/>
        <v>59.083346496077503</v>
      </c>
      <c r="AB171" s="2375">
        <f t="shared" ca="1" si="97"/>
        <v>40.916653503922497</v>
      </c>
      <c r="AC171" s="2376">
        <f ca="1">IFERROR(S171*100/M171,"-")</f>
        <v>229.00400723888316</v>
      </c>
      <c r="AD171" s="2377">
        <f ca="1">IFERROR(ABS(AC171-100),500)</f>
        <v>129.00400723888316</v>
      </c>
    </row>
    <row r="172" spans="1:31" ht="35.1" customHeight="1" thickTop="1" thickBot="1">
      <c r="A172" s="2559" t="s">
        <v>449</v>
      </c>
      <c r="B172" s="689"/>
      <c r="C172" s="690"/>
      <c r="D172" s="691"/>
      <c r="E172" s="2378">
        <f>SUM(B172:D172)</f>
        <v>0</v>
      </c>
      <c r="F172" s="1559"/>
      <c r="G172" s="1560"/>
      <c r="H172" s="689"/>
      <c r="I172" s="690"/>
      <c r="J172" s="691"/>
      <c r="K172" s="2378">
        <f>SUM(H172:J172)</f>
        <v>0</v>
      </c>
      <c r="L172" s="1559"/>
      <c r="M172" s="1560"/>
      <c r="N172" s="689"/>
      <c r="O172" s="690"/>
      <c r="P172" s="691"/>
      <c r="Q172" s="2378">
        <f>SUM(N172:P172)</f>
        <v>0</v>
      </c>
      <c r="R172" s="1559"/>
      <c r="S172" s="1560"/>
      <c r="T172" s="2379" t="str">
        <f t="shared" si="89"/>
        <v>-</v>
      </c>
      <c r="U172" s="2380">
        <f t="shared" si="90"/>
        <v>500</v>
      </c>
      <c r="V172" s="2381" t="str">
        <f t="shared" si="91"/>
        <v>-</v>
      </c>
      <c r="W172" s="2380">
        <f t="shared" si="92"/>
        <v>500</v>
      </c>
      <c r="X172" s="2381" t="str">
        <f t="shared" si="93"/>
        <v>-</v>
      </c>
      <c r="Y172" s="2382">
        <f t="shared" si="94"/>
        <v>500</v>
      </c>
      <c r="Z172" s="2382" t="str">
        <f t="shared" si="95"/>
        <v>-</v>
      </c>
      <c r="AA172" s="2379" t="str">
        <f t="shared" si="96"/>
        <v>-</v>
      </c>
      <c r="AB172" s="2380">
        <f t="shared" si="97"/>
        <v>500</v>
      </c>
      <c r="AC172" s="2381" t="str">
        <f>IFERROR(S172*100/M172,"-")</f>
        <v>-</v>
      </c>
      <c r="AD172" s="2382">
        <f>IFERROR(ABS(AC172-100),500)</f>
        <v>500</v>
      </c>
    </row>
    <row r="173" spans="1:31" ht="21.75" thickBot="1"/>
    <row r="174" spans="1:31" ht="25.5">
      <c r="A174" s="3054" t="s">
        <v>446</v>
      </c>
      <c r="B174" s="3055"/>
      <c r="C174" s="3055"/>
      <c r="D174" s="3055"/>
      <c r="E174" s="3055"/>
      <c r="F174" s="3055"/>
      <c r="G174" s="3055"/>
      <c r="H174" s="3055"/>
      <c r="I174" s="3055"/>
      <c r="J174" s="3055"/>
      <c r="K174" s="3055"/>
      <c r="L174" s="3055"/>
      <c r="M174" s="3055"/>
      <c r="N174" s="3055"/>
      <c r="O174" s="3055"/>
      <c r="P174" s="3055"/>
      <c r="Q174" s="3055"/>
      <c r="R174" s="3055"/>
      <c r="S174" s="3056"/>
    </row>
    <row r="175" spans="1:31">
      <c r="A175" s="3057"/>
      <c r="B175" s="3058"/>
      <c r="C175" s="3058"/>
      <c r="D175" s="3058"/>
      <c r="E175" s="3058"/>
      <c r="F175" s="3058"/>
      <c r="G175" s="3058"/>
      <c r="H175" s="3058"/>
      <c r="I175" s="3058"/>
      <c r="J175" s="3058"/>
      <c r="K175" s="3058"/>
      <c r="L175" s="3058"/>
      <c r="M175" s="3058"/>
      <c r="N175" s="3058"/>
      <c r="O175" s="3058"/>
      <c r="P175" s="3058"/>
      <c r="Q175" s="3058"/>
      <c r="R175" s="3058"/>
      <c r="S175" s="3059"/>
    </row>
    <row r="176" spans="1:31">
      <c r="A176" s="3057"/>
      <c r="B176" s="3058"/>
      <c r="C176" s="3058"/>
      <c r="D176" s="3058"/>
      <c r="E176" s="3058"/>
      <c r="F176" s="3058"/>
      <c r="G176" s="3058"/>
      <c r="H176" s="3058"/>
      <c r="I176" s="3058"/>
      <c r="J176" s="3058"/>
      <c r="K176" s="3058"/>
      <c r="L176" s="3058"/>
      <c r="M176" s="3058"/>
      <c r="N176" s="3058"/>
      <c r="O176" s="3058"/>
      <c r="P176" s="3058"/>
      <c r="Q176" s="3058"/>
      <c r="R176" s="3058"/>
      <c r="S176" s="3059"/>
    </row>
    <row r="177" spans="1:31">
      <c r="A177" s="3057"/>
      <c r="B177" s="3058"/>
      <c r="C177" s="3058"/>
      <c r="D177" s="3058"/>
      <c r="E177" s="3058"/>
      <c r="F177" s="3058"/>
      <c r="G177" s="3058"/>
      <c r="H177" s="3058"/>
      <c r="I177" s="3058"/>
      <c r="J177" s="3058"/>
      <c r="K177" s="3058"/>
      <c r="L177" s="3058"/>
      <c r="M177" s="3058"/>
      <c r="N177" s="3058"/>
      <c r="O177" s="3058"/>
      <c r="P177" s="3058"/>
      <c r="Q177" s="3058"/>
      <c r="R177" s="3058"/>
      <c r="S177" s="3059"/>
    </row>
    <row r="178" spans="1:31">
      <c r="A178" s="3057"/>
      <c r="B178" s="3058"/>
      <c r="C178" s="3058"/>
      <c r="D178" s="3058"/>
      <c r="E178" s="3058"/>
      <c r="F178" s="3058"/>
      <c r="G178" s="3058"/>
      <c r="H178" s="3058"/>
      <c r="I178" s="3058"/>
      <c r="J178" s="3058"/>
      <c r="K178" s="3058"/>
      <c r="L178" s="3058"/>
      <c r="M178" s="3058"/>
      <c r="N178" s="3058"/>
      <c r="O178" s="3058"/>
      <c r="P178" s="3058"/>
      <c r="Q178" s="3058"/>
      <c r="R178" s="3058"/>
      <c r="S178" s="3059"/>
    </row>
    <row r="179" spans="1:31" ht="21.75" thickBot="1">
      <c r="A179" s="3060"/>
      <c r="B179" s="3061"/>
      <c r="C179" s="3061"/>
      <c r="D179" s="3061"/>
      <c r="E179" s="3061"/>
      <c r="F179" s="3061"/>
      <c r="G179" s="3061"/>
      <c r="H179" s="3061"/>
      <c r="I179" s="3061"/>
      <c r="J179" s="3061"/>
      <c r="K179" s="3061"/>
      <c r="L179" s="3061"/>
      <c r="M179" s="3061"/>
      <c r="N179" s="3061"/>
      <c r="O179" s="3061"/>
      <c r="P179" s="3061"/>
      <c r="Q179" s="3061"/>
      <c r="R179" s="3061"/>
      <c r="S179" s="3062"/>
    </row>
    <row r="181" spans="1:31" ht="29.25" thickBot="1">
      <c r="A181" s="3034" t="str">
        <f>"گزارش تعداد پرسنل و سرانه هزینه پرسنلی به تفکیک نوع قرارداد در دوره " &amp; روکش!$F$9 &amp; " سال " &amp; روکش!$D$9&amp;"- مجتمع خراسان/ شعبه "&amp;AE181</f>
        <v>گزارش تعداد پرسنل و سرانه هزینه پرسنلی به تفکیک نوع قرارداد در دوره شش ماهه سال 1405- مجتمع خراسان/ شعبه باجگیران</v>
      </c>
      <c r="B181" s="3034"/>
      <c r="C181" s="3034"/>
      <c r="D181" s="3034"/>
      <c r="E181" s="3034"/>
      <c r="F181" s="3034"/>
      <c r="G181" s="3034"/>
      <c r="H181" s="3034"/>
      <c r="I181" s="3034"/>
      <c r="J181" s="3034"/>
      <c r="K181" s="3034"/>
      <c r="L181" s="3034"/>
      <c r="M181" s="3034"/>
      <c r="N181" s="3034"/>
      <c r="O181" s="3034"/>
      <c r="P181" s="3034"/>
      <c r="Q181" s="3034"/>
      <c r="R181" s="3034"/>
      <c r="S181" s="3034"/>
      <c r="T181" s="3034"/>
      <c r="U181" s="3034"/>
      <c r="V181" s="3034"/>
      <c r="W181" s="3034"/>
      <c r="X181" s="3034"/>
      <c r="Y181" s="3034"/>
      <c r="Z181" s="3034"/>
      <c r="AA181" s="3034"/>
      <c r="AB181" s="3034"/>
      <c r="AC181" s="3034"/>
      <c r="AD181" s="3034"/>
      <c r="AE181" s="2561" t="str">
        <f>واردات!$AA$51</f>
        <v>باجگیران</v>
      </c>
    </row>
    <row r="182" spans="1:31" ht="24.75" thickBot="1">
      <c r="A182" s="3052" t="s">
        <v>21</v>
      </c>
      <c r="B182" s="3035" t="s">
        <v>716</v>
      </c>
      <c r="C182" s="3036"/>
      <c r="D182" s="3036"/>
      <c r="E182" s="3036"/>
      <c r="F182" s="3036"/>
      <c r="G182" s="3037"/>
      <c r="H182" s="3035" t="s">
        <v>674</v>
      </c>
      <c r="I182" s="3036"/>
      <c r="J182" s="3036"/>
      <c r="K182" s="3036"/>
      <c r="L182" s="3036"/>
      <c r="M182" s="3037"/>
      <c r="N182" s="3035" t="s">
        <v>675</v>
      </c>
      <c r="O182" s="3036"/>
      <c r="P182" s="3036"/>
      <c r="Q182" s="3036"/>
      <c r="R182" s="3036"/>
      <c r="S182" s="3037"/>
      <c r="T182" s="3035" t="s">
        <v>717</v>
      </c>
      <c r="U182" s="3036"/>
      <c r="V182" s="3036"/>
      <c r="W182" s="3036"/>
      <c r="X182" s="3036"/>
      <c r="Y182" s="3036"/>
      <c r="Z182" s="3036"/>
      <c r="AA182" s="3036"/>
      <c r="AB182" s="3036"/>
      <c r="AC182" s="3036"/>
      <c r="AD182" s="3037"/>
    </row>
    <row r="183" spans="1:31" ht="63.75" thickBot="1">
      <c r="A183" s="3053"/>
      <c r="B183" s="2335" t="s">
        <v>60</v>
      </c>
      <c r="C183" s="2336" t="s">
        <v>61</v>
      </c>
      <c r="D183" s="2337" t="s">
        <v>62</v>
      </c>
      <c r="E183" s="2338" t="s">
        <v>1</v>
      </c>
      <c r="F183" s="2335" t="s">
        <v>1403</v>
      </c>
      <c r="G183" s="2337" t="s">
        <v>1404</v>
      </c>
      <c r="H183" s="2335" t="s">
        <v>60</v>
      </c>
      <c r="I183" s="2336" t="s">
        <v>61</v>
      </c>
      <c r="J183" s="2337" t="s">
        <v>62</v>
      </c>
      <c r="K183" s="2339" t="s">
        <v>1</v>
      </c>
      <c r="L183" s="2335" t="s">
        <v>1403</v>
      </c>
      <c r="M183" s="2337" t="s">
        <v>1404</v>
      </c>
      <c r="N183" s="2335" t="s">
        <v>60</v>
      </c>
      <c r="O183" s="2336" t="s">
        <v>61</v>
      </c>
      <c r="P183" s="2337" t="s">
        <v>62</v>
      </c>
      <c r="Q183" s="2339" t="s">
        <v>1</v>
      </c>
      <c r="R183" s="2335" t="s">
        <v>1403</v>
      </c>
      <c r="S183" s="2337" t="s">
        <v>1404</v>
      </c>
      <c r="T183" s="3044" t="s">
        <v>60</v>
      </c>
      <c r="U183" s="3045"/>
      <c r="V183" s="3046" t="s">
        <v>61</v>
      </c>
      <c r="W183" s="3045"/>
      <c r="X183" s="3046" t="s">
        <v>62</v>
      </c>
      <c r="Y183" s="3047"/>
      <c r="Z183" s="2339" t="s">
        <v>1</v>
      </c>
      <c r="AA183" s="3044" t="s">
        <v>1403</v>
      </c>
      <c r="AB183" s="3045"/>
      <c r="AC183" s="3046" t="s">
        <v>1404</v>
      </c>
      <c r="AD183" s="3047"/>
    </row>
    <row r="184" spans="1:31" hidden="1">
      <c r="A184" s="2555" t="s">
        <v>1278</v>
      </c>
      <c r="B184" s="172"/>
      <c r="C184" s="173"/>
      <c r="D184" s="174"/>
      <c r="E184" s="2340">
        <f>SUM(B184:D184)</f>
        <v>0</v>
      </c>
      <c r="F184" s="2341">
        <f>IF($A$1="صنایع شیر ایران",IFERROR(('هزینه پرسنلی مستقیم تولید'!$B$31/(C184+B184+D184))/$AH$5,0),IFERROR(('هزینه پرسنلی مستقیم تولید'!$B$31/(C184+B184))/$AH$5,0))</f>
        <v>0</v>
      </c>
      <c r="G184" s="3048">
        <f ca="1">IFERROR((VLOOKUP($AH$6,'هزینه سربار تولید'!$A:$F,2,FALSE)/(D184+D185))/$AH$5,0)</f>
        <v>0</v>
      </c>
      <c r="H184" s="2342">
        <v>0</v>
      </c>
      <c r="I184" s="2343">
        <v>0</v>
      </c>
      <c r="J184" s="2344">
        <v>0</v>
      </c>
      <c r="K184" s="2340">
        <f>SUM(H184:J184)</f>
        <v>0</v>
      </c>
      <c r="L184" s="2341">
        <f ca="1">IF($A$1="صنایع شیر ایران",IFERROR(('هزینه پرسنلی مستقیم تولید'!$C$31/(I184+H184+J184))/$AH$5,0),IFERROR(('هزینه پرسنلی مستقیم تولید'!$C$31/(I184+H184))/$AH$5,0))</f>
        <v>0</v>
      </c>
      <c r="M184" s="3048">
        <f ca="1">IFERROR((VLOOKUP($AH$6,'هزینه سربار تولید'!$A:$F,3,FALSE)/(J184+J185))/$AH$5,0)</f>
        <v>0</v>
      </c>
      <c r="N184" s="172"/>
      <c r="O184" s="173"/>
      <c r="P184" s="174"/>
      <c r="Q184" s="2340">
        <f>SUM(N184:P184)</f>
        <v>0</v>
      </c>
      <c r="R184" s="2341">
        <f>IF($A$1="صنایع شیر ایران",IFERROR(('هزینه پرسنلی مستقیم تولید'!$D$31/(O184+N184+P184))/$AH$5,0),IFERROR(('هزینه پرسنلی مستقیم تولید'!$D$31/(O184+N184))/$AH$5,0))</f>
        <v>0</v>
      </c>
      <c r="S184" s="3048">
        <f ca="1">IFERROR((VLOOKUP($AH$6,'هزینه سربار تولید'!$A:$F,4,FALSE)/(P184+P185))/$AH$5,0)</f>
        <v>0</v>
      </c>
      <c r="T184" s="2345" t="str">
        <f t="shared" ref="T184:T190" si="98">IFERROR(N184*100/H184,"-")</f>
        <v>-</v>
      </c>
      <c r="U184" s="2346">
        <f t="shared" ref="U184:U190" si="99">IFERROR(ABS(T184-100),500)</f>
        <v>500</v>
      </c>
      <c r="V184" s="2347" t="str">
        <f t="shared" ref="V184:V190" si="100">IFERROR(O184*100/I184,"-")</f>
        <v>-</v>
      </c>
      <c r="W184" s="2346">
        <f t="shared" ref="W184:W190" si="101">IFERROR(ABS(V184-100),500)</f>
        <v>500</v>
      </c>
      <c r="X184" s="2347" t="str">
        <f t="shared" ref="X184:X190" si="102">IFERROR(P184*100/J184,"-")</f>
        <v>-</v>
      </c>
      <c r="Y184" s="2348">
        <f t="shared" ref="Y184:Y190" si="103">IFERROR(ABS(X184-100),500)</f>
        <v>500</v>
      </c>
      <c r="Z184" s="2346" t="str">
        <f t="shared" ref="Z184:Z190" si="104">IFERROR(Q184*100/K184,"-")</f>
        <v>-</v>
      </c>
      <c r="AA184" s="2345" t="str">
        <f t="shared" ref="AA184:AA190" ca="1" si="105">IFERROR(R184*100/L184,"-")</f>
        <v>-</v>
      </c>
      <c r="AB184" s="2346">
        <f t="shared" ref="AB184:AB190" ca="1" si="106">IFERROR(ABS(AA184-100),500)</f>
        <v>500</v>
      </c>
      <c r="AC184" s="3049" t="str">
        <f ca="1">IFERROR(S184*100/M184,"-")</f>
        <v>-</v>
      </c>
      <c r="AD184" s="3050">
        <f ca="1">IFERROR(ABS(AC184-100),500)</f>
        <v>500</v>
      </c>
    </row>
    <row r="185" spans="1:31" hidden="1">
      <c r="A185" s="2556" t="s">
        <v>1279</v>
      </c>
      <c r="B185" s="175"/>
      <c r="C185" s="176"/>
      <c r="D185" s="177"/>
      <c r="E185" s="2349">
        <f>SUM(B185:D185)</f>
        <v>0</v>
      </c>
      <c r="F185" s="2350">
        <f>IF($A$1="صنایع شیر ایران",IFERROR(('هزینه پرسنلی غیرمستقیم تولید'!$B$31/(C185+B185+D185))/$AH$5,0),IFERROR(('هزینه پرسنلی غیرمستقیم تولید'!$B$31/(C185+B185))/$AH$5,0))</f>
        <v>0</v>
      </c>
      <c r="G185" s="3039"/>
      <c r="H185" s="2351">
        <v>0</v>
      </c>
      <c r="I185" s="2352">
        <v>0</v>
      </c>
      <c r="J185" s="2353">
        <v>0</v>
      </c>
      <c r="K185" s="2349">
        <f>SUM(H185:J185)</f>
        <v>0</v>
      </c>
      <c r="L185" s="2350">
        <f ca="1">IF($A$1="صنایع شیر ایران",IFERROR(('هزینه پرسنلی غیرمستقیم تولید'!$C$31/(I185+H185+J185))/$AH$5,0),IFERROR(('هزینه پرسنلی غیرمستقیم تولید'!$C$31/(I185+H185))/$AH$5,0))</f>
        <v>0</v>
      </c>
      <c r="M185" s="3039"/>
      <c r="N185" s="175"/>
      <c r="O185" s="176"/>
      <c r="P185" s="177"/>
      <c r="Q185" s="2349">
        <f>SUM(N185:P185)</f>
        <v>0</v>
      </c>
      <c r="R185" s="2350">
        <f>IF($A$1="صنایع شیر ایران",IFERROR(('هزینه پرسنلی غیرمستقیم تولید'!$D$31/(O185+N185+P185))/$AH$5,0),IFERROR(('هزینه پرسنلی غیرمستقیم تولید'!$D$31/(O185+N185))/$AH$5,0))</f>
        <v>0</v>
      </c>
      <c r="S185" s="3039"/>
      <c r="T185" s="2354" t="str">
        <f t="shared" si="98"/>
        <v>-</v>
      </c>
      <c r="U185" s="2355">
        <f t="shared" si="99"/>
        <v>500</v>
      </c>
      <c r="V185" s="2356" t="str">
        <f t="shared" si="100"/>
        <v>-</v>
      </c>
      <c r="W185" s="2355">
        <f t="shared" si="101"/>
        <v>500</v>
      </c>
      <c r="X185" s="2356" t="str">
        <f t="shared" si="102"/>
        <v>-</v>
      </c>
      <c r="Y185" s="2357">
        <f t="shared" si="103"/>
        <v>500</v>
      </c>
      <c r="Z185" s="2355" t="str">
        <f t="shared" si="104"/>
        <v>-</v>
      </c>
      <c r="AA185" s="2354" t="str">
        <f t="shared" ca="1" si="105"/>
        <v>-</v>
      </c>
      <c r="AB185" s="2355">
        <f t="shared" ca="1" si="106"/>
        <v>500</v>
      </c>
      <c r="AC185" s="3041"/>
      <c r="AD185" s="3051"/>
    </row>
    <row r="186" spans="1:31" ht="35.1" customHeight="1">
      <c r="A186" s="2556" t="s">
        <v>1280</v>
      </c>
      <c r="B186" s="175"/>
      <c r="C186" s="176">
        <v>0</v>
      </c>
      <c r="D186" s="177">
        <v>0</v>
      </c>
      <c r="E186" s="2349">
        <f>SUM(B186:D186)</f>
        <v>0</v>
      </c>
      <c r="F186" s="2350">
        <f>IFERROR(('هزینه پرسنلی مستقیم خدمات'!$B$31/(C186+B186))/$AH$5,0)</f>
        <v>0</v>
      </c>
      <c r="G186" s="3038">
        <f ca="1">IFERROR((VLOOKUP($AH$6,'هزینه سربار خدمات'!$A:$F,2,FALSE)/(D186+D187))/$AH$5,0)</f>
        <v>0</v>
      </c>
      <c r="H186" s="175"/>
      <c r="I186" s="176"/>
      <c r="J186" s="177">
        <v>3</v>
      </c>
      <c r="K186" s="2349">
        <f>SUM(H186:J186)</f>
        <v>3</v>
      </c>
      <c r="L186" s="2350">
        <f ca="1">IFERROR(('هزینه پرسنلی مستقیم خدمات'!$C$31/(I186+H186))/$AH$5,0)</f>
        <v>0</v>
      </c>
      <c r="M186" s="3038">
        <f ca="1">IFERROR((VLOOKUP($AH$6,'هزینه سربار خدمات'!$A:$F,3,FALSE)/(J186+J187))/$AH$5,0)</f>
        <v>6876.4444444444443</v>
      </c>
      <c r="N186" s="175"/>
      <c r="O186" s="176"/>
      <c r="P186" s="177">
        <v>1</v>
      </c>
      <c r="Q186" s="2349">
        <f>SUM(N186:P186)</f>
        <v>1</v>
      </c>
      <c r="R186" s="2350">
        <f>IFERROR(('هزینه پرسنلی مستقیم خدمات'!$D$31/(O186+N186))/$AH$5,0)</f>
        <v>0</v>
      </c>
      <c r="S186" s="3038">
        <f ca="1">IFERROR((VLOOKUP($AH$6,'هزینه سربار خدمات'!$A:$F,4,FALSE)/(P186+P187))/$AH$5,0)</f>
        <v>47242</v>
      </c>
      <c r="T186" s="2358" t="str">
        <f t="shared" si="98"/>
        <v>-</v>
      </c>
      <c r="U186" s="2359">
        <f t="shared" si="99"/>
        <v>500</v>
      </c>
      <c r="V186" s="2360" t="str">
        <f t="shared" si="100"/>
        <v>-</v>
      </c>
      <c r="W186" s="2359">
        <f t="shared" si="101"/>
        <v>500</v>
      </c>
      <c r="X186" s="2360">
        <f t="shared" si="102"/>
        <v>33.333333333333336</v>
      </c>
      <c r="Y186" s="2361">
        <f t="shared" si="103"/>
        <v>66.666666666666657</v>
      </c>
      <c r="Z186" s="2361">
        <f t="shared" si="104"/>
        <v>33.333333333333336</v>
      </c>
      <c r="AA186" s="2358" t="str">
        <f t="shared" ca="1" si="105"/>
        <v>-</v>
      </c>
      <c r="AB186" s="2359">
        <f t="shared" ca="1" si="106"/>
        <v>500</v>
      </c>
      <c r="AC186" s="3040">
        <f ca="1">IFERROR(S186*100/M186,"-")</f>
        <v>687.01202171664943</v>
      </c>
      <c r="AD186" s="3042">
        <f ca="1">IFERROR(ABS(AC186-100),500)</f>
        <v>587.01202171664943</v>
      </c>
    </row>
    <row r="187" spans="1:31" ht="35.1" customHeight="1">
      <c r="A187" s="2556" t="s">
        <v>1281</v>
      </c>
      <c r="B187" s="175"/>
      <c r="C187" s="176"/>
      <c r="D187" s="177"/>
      <c r="E187" s="2349">
        <f>SUM(B187:D187)</f>
        <v>0</v>
      </c>
      <c r="F187" s="2350">
        <f>IFERROR(('هزینه پرسنلی غیرمستقیم خدمات'!$B$31/(C187+B187))/$AH$5,0)</f>
        <v>0</v>
      </c>
      <c r="G187" s="3039"/>
      <c r="H187" s="175"/>
      <c r="I187" s="176"/>
      <c r="J187" s="177"/>
      <c r="K187" s="2349">
        <f>SUM(H187:J187)</f>
        <v>0</v>
      </c>
      <c r="L187" s="2350">
        <f ca="1">IFERROR(('هزینه پرسنلی غیرمستقیم خدمات'!$C$31/(I187+H187))/$AH$5,0)</f>
        <v>0</v>
      </c>
      <c r="M187" s="3039"/>
      <c r="N187" s="175"/>
      <c r="O187" s="176"/>
      <c r="P187" s="177"/>
      <c r="Q187" s="2349">
        <f>SUM(N187:P187)</f>
        <v>0</v>
      </c>
      <c r="R187" s="2350">
        <f>IFERROR(('هزینه پرسنلی غیرمستقیم خدمات'!$D$31/(O187+N187))/$AH$5,0)</f>
        <v>0</v>
      </c>
      <c r="S187" s="3039"/>
      <c r="T187" s="2358" t="str">
        <f t="shared" si="98"/>
        <v>-</v>
      </c>
      <c r="U187" s="2359">
        <f t="shared" si="99"/>
        <v>500</v>
      </c>
      <c r="V187" s="2360" t="str">
        <f t="shared" si="100"/>
        <v>-</v>
      </c>
      <c r="W187" s="2359">
        <f t="shared" si="101"/>
        <v>500</v>
      </c>
      <c r="X187" s="2360" t="str">
        <f t="shared" si="102"/>
        <v>-</v>
      </c>
      <c r="Y187" s="2361">
        <f t="shared" si="103"/>
        <v>500</v>
      </c>
      <c r="Z187" s="2361" t="str">
        <f t="shared" si="104"/>
        <v>-</v>
      </c>
      <c r="AA187" s="2358" t="str">
        <f t="shared" ca="1" si="105"/>
        <v>-</v>
      </c>
      <c r="AB187" s="2359">
        <f t="shared" ca="1" si="106"/>
        <v>500</v>
      </c>
      <c r="AC187" s="3041"/>
      <c r="AD187" s="3043"/>
    </row>
    <row r="188" spans="1:31" ht="35.1" customHeight="1" thickBot="1">
      <c r="A188" s="2557" t="s">
        <v>277</v>
      </c>
      <c r="B188" s="178"/>
      <c r="C188" s="179">
        <v>0</v>
      </c>
      <c r="D188" s="180">
        <v>0</v>
      </c>
      <c r="E188" s="2362">
        <f>SUM(B188:D188)</f>
        <v>0</v>
      </c>
      <c r="F188" s="2350">
        <f>IF($A$1="صنایع شیر ایران",IFERROR(('هزینه اداری عمومی'!$B$26/(C188+B188+D188))/$AH$5,0),IFERROR(('هزینه اداری عمومی'!$B$26/(C188+B188))/$AH$5,0))</f>
        <v>0</v>
      </c>
      <c r="G188" s="2363">
        <f ca="1">IFERROR((VLOOKUP($AH$6,'هزینه اداری عمومی'!$A:$F,2,FALSE)/D188)/$AH$5,0)</f>
        <v>0</v>
      </c>
      <c r="H188" s="178"/>
      <c r="I188" s="179"/>
      <c r="J188" s="180">
        <v>1</v>
      </c>
      <c r="K188" s="2362">
        <f>SUM(H188:J188)</f>
        <v>1</v>
      </c>
      <c r="L188" s="2350">
        <f>IF($A$1="صنایع شیر ایران",IFERROR(('هزینه اداری عمومی'!$C$26/(I188+H188+J188))/$AH$5,0),IFERROR(('هزینه اداری عمومی'!$C$26/(I188+H188))/$AH$5,0))</f>
        <v>0</v>
      </c>
      <c r="M188" s="2363">
        <f ca="1">IFERROR((VLOOKUP($AH$6,'هزینه اداری عمومی'!$A:$F,3,FALSE)/J188)/$AH$5,0)</f>
        <v>4788.5</v>
      </c>
      <c r="N188" s="178"/>
      <c r="O188" s="179"/>
      <c r="P188" s="180"/>
      <c r="Q188" s="2362">
        <f>SUM(N188:P188)</f>
        <v>0</v>
      </c>
      <c r="R188" s="2350">
        <f>IF($A$1="صنایع شیر ایران",IFERROR(('هزینه اداری عمومی'!$D$26/(O188+N188+P188))/$AH$5,0),IFERROR(('هزینه اداری عمومی'!$D$26/(O188+N188))/$AH$5,0))</f>
        <v>0</v>
      </c>
      <c r="S188" s="2363">
        <f ca="1">IFERROR((VLOOKUP($AH$6,'هزینه اداری عمومی'!$A:$F,4,FALSE)/P188)/$AH$5,0)</f>
        <v>0</v>
      </c>
      <c r="T188" s="2364" t="str">
        <f t="shared" si="98"/>
        <v>-</v>
      </c>
      <c r="U188" s="2365">
        <f t="shared" si="99"/>
        <v>500</v>
      </c>
      <c r="V188" s="2366" t="str">
        <f t="shared" si="100"/>
        <v>-</v>
      </c>
      <c r="W188" s="2365">
        <f t="shared" si="101"/>
        <v>500</v>
      </c>
      <c r="X188" s="2366">
        <f t="shared" si="102"/>
        <v>0</v>
      </c>
      <c r="Y188" s="2367">
        <f t="shared" si="103"/>
        <v>100</v>
      </c>
      <c r="Z188" s="2367">
        <f t="shared" si="104"/>
        <v>0</v>
      </c>
      <c r="AA188" s="2358" t="str">
        <f t="shared" si="105"/>
        <v>-</v>
      </c>
      <c r="AB188" s="2365">
        <f t="shared" si="106"/>
        <v>500</v>
      </c>
      <c r="AC188" s="2360">
        <f ca="1">IFERROR(S188*100/M188,"-")</f>
        <v>0</v>
      </c>
      <c r="AD188" s="2367">
        <f ca="1">IFERROR(ABS(AC188-100),500)</f>
        <v>100</v>
      </c>
    </row>
    <row r="189" spans="1:31" ht="35.1" customHeight="1" thickBot="1">
      <c r="A189" s="2558" t="s">
        <v>448</v>
      </c>
      <c r="B189" s="2368">
        <f>SUM(B184:B188)</f>
        <v>0</v>
      </c>
      <c r="C189" s="2369">
        <f>SUM(C184:C188)</f>
        <v>0</v>
      </c>
      <c r="D189" s="2370">
        <f>SUM(D184:D188)</f>
        <v>0</v>
      </c>
      <c r="E189" s="2371">
        <f>SUM(E184:E188)</f>
        <v>0</v>
      </c>
      <c r="F189" s="2372">
        <f>IF($A$1="صنایع شیر ایران",IFERROR(((SUM(F185*(C185+B185+D185),F188*(C188+B188+D188),F184*(C184+B184+D184)))/(C189+B189+D189)),0),IFERROR(((SUM(F185*(C185+B185),F186*(C186+B186),F187*(C187+B187),F188*(C188+B188),F184*(C184+B184)))/(C189+B189)),0))</f>
        <v>0</v>
      </c>
      <c r="G189" s="2373">
        <f ca="1">IFERROR((G184*(D185+D184)+G186*(D187+D186)+G188*D188)/(D189),0)</f>
        <v>0</v>
      </c>
      <c r="H189" s="2368">
        <f>SUM(H184:H188)</f>
        <v>0</v>
      </c>
      <c r="I189" s="2369">
        <f>SUM(I184:I188)</f>
        <v>0</v>
      </c>
      <c r="J189" s="2370">
        <f>SUM(J184:J188)</f>
        <v>4</v>
      </c>
      <c r="K189" s="2371">
        <f>SUM(K184:K188)</f>
        <v>4</v>
      </c>
      <c r="L189" s="2372">
        <f ca="1">IF($A$1="صنایع شیر ایران",IFERROR(((SUM(L185*(I185+H185+J185),L188*(I188+H188+J188),L184*(I184+H184+J184)))/(I189+H189+J189)),0),IFERROR(((SUM(L185*(I185+H185),L186*(I186+H186),L187*(I187+H187),L188*(I188+H188),L184*(I184+H184)))/(I189+H189)),0))</f>
        <v>0</v>
      </c>
      <c r="M189" s="2373">
        <f ca="1">IFERROR((M184*(J185+J184)+M186*(J187+J186)+M188*J188)/(J189),0)</f>
        <v>6354.458333333333</v>
      </c>
      <c r="N189" s="2368">
        <f>SUM(N184:N188)</f>
        <v>0</v>
      </c>
      <c r="O189" s="2369">
        <f>SUM(O184:O188)</f>
        <v>0</v>
      </c>
      <c r="P189" s="2370">
        <f>SUM(P184:P188)</f>
        <v>1</v>
      </c>
      <c r="Q189" s="2371">
        <f>SUM(Q184:Q188)</f>
        <v>1</v>
      </c>
      <c r="R189" s="2372">
        <f>IF($A$1="صنایع شیر ایران",IFERROR(((SUM(R185*(O185+N185+P185),R188*(O188+N188+P188),R184*(O184+N184+P184)))/(O189+N189+P189)),0),IFERROR(((SUM(R185*(O185+N185),R186*(O186+N186),R187*(O187+N187),R188*(O188+N188),R184*(O184+N184)))/(O189+N189)),0))</f>
        <v>0</v>
      </c>
      <c r="S189" s="2373">
        <f ca="1">IFERROR((S184*(P185+P184)+S186*(P187+P186)+S188*P188)/(P189),0)</f>
        <v>47242</v>
      </c>
      <c r="T189" s="2374" t="str">
        <f t="shared" si="98"/>
        <v>-</v>
      </c>
      <c r="U189" s="2375">
        <f t="shared" si="99"/>
        <v>500</v>
      </c>
      <c r="V189" s="2376" t="str">
        <f t="shared" si="100"/>
        <v>-</v>
      </c>
      <c r="W189" s="2375">
        <f t="shared" si="101"/>
        <v>500</v>
      </c>
      <c r="X189" s="2376">
        <f t="shared" si="102"/>
        <v>25</v>
      </c>
      <c r="Y189" s="2377">
        <f t="shared" si="103"/>
        <v>75</v>
      </c>
      <c r="Z189" s="2377">
        <f t="shared" si="104"/>
        <v>25</v>
      </c>
      <c r="AA189" s="2374" t="str">
        <f t="shared" ca="1" si="105"/>
        <v>-</v>
      </c>
      <c r="AB189" s="2375">
        <f t="shared" ca="1" si="106"/>
        <v>500</v>
      </c>
      <c r="AC189" s="2376">
        <f ca="1">IFERROR(S189*100/M189,"-")</f>
        <v>743.44653032319832</v>
      </c>
      <c r="AD189" s="2377">
        <f ca="1">IFERROR(ABS(AC189-100),500)</f>
        <v>643.44653032319832</v>
      </c>
    </row>
    <row r="190" spans="1:31" ht="35.1" customHeight="1" thickTop="1" thickBot="1">
      <c r="A190" s="2559" t="s">
        <v>449</v>
      </c>
      <c r="B190" s="689"/>
      <c r="C190" s="690"/>
      <c r="D190" s="691"/>
      <c r="E190" s="2378">
        <f>SUM(B190:D190)</f>
        <v>0</v>
      </c>
      <c r="F190" s="1559"/>
      <c r="G190" s="1560"/>
      <c r="H190" s="689"/>
      <c r="I190" s="690"/>
      <c r="J190" s="691"/>
      <c r="K190" s="2378">
        <f>SUM(H190:J190)</f>
        <v>0</v>
      </c>
      <c r="L190" s="1559"/>
      <c r="M190" s="1560"/>
      <c r="N190" s="689"/>
      <c r="O190" s="690"/>
      <c r="P190" s="691"/>
      <c r="Q190" s="2378">
        <f>SUM(N190:P190)</f>
        <v>0</v>
      </c>
      <c r="R190" s="1559"/>
      <c r="S190" s="1560"/>
      <c r="T190" s="2379" t="str">
        <f t="shared" si="98"/>
        <v>-</v>
      </c>
      <c r="U190" s="2380">
        <f t="shared" si="99"/>
        <v>500</v>
      </c>
      <c r="V190" s="2381" t="str">
        <f t="shared" si="100"/>
        <v>-</v>
      </c>
      <c r="W190" s="2380">
        <f t="shared" si="101"/>
        <v>500</v>
      </c>
      <c r="X190" s="2381" t="str">
        <f t="shared" si="102"/>
        <v>-</v>
      </c>
      <c r="Y190" s="2382">
        <f t="shared" si="103"/>
        <v>500</v>
      </c>
      <c r="Z190" s="2382" t="str">
        <f t="shared" si="104"/>
        <v>-</v>
      </c>
      <c r="AA190" s="2379" t="str">
        <f t="shared" si="105"/>
        <v>-</v>
      </c>
      <c r="AB190" s="2380">
        <f t="shared" si="106"/>
        <v>500</v>
      </c>
      <c r="AC190" s="2381" t="str">
        <f>IFERROR(S190*100/M190,"-")</f>
        <v>-</v>
      </c>
      <c r="AD190" s="2382">
        <f>IFERROR(ABS(AC190-100),500)</f>
        <v>500</v>
      </c>
    </row>
    <row r="191" spans="1:31" ht="21.75" thickBot="1"/>
    <row r="192" spans="1:31" ht="25.5">
      <c r="A192" s="3054" t="s">
        <v>446</v>
      </c>
      <c r="B192" s="3055"/>
      <c r="C192" s="3055"/>
      <c r="D192" s="3055"/>
      <c r="E192" s="3055"/>
      <c r="F192" s="3055"/>
      <c r="G192" s="3055"/>
      <c r="H192" s="3055"/>
      <c r="I192" s="3055"/>
      <c r="J192" s="3055"/>
      <c r="K192" s="3055"/>
      <c r="L192" s="3055"/>
      <c r="M192" s="3055"/>
      <c r="N192" s="3055"/>
      <c r="O192" s="3055"/>
      <c r="P192" s="3055"/>
      <c r="Q192" s="3055"/>
      <c r="R192" s="3055"/>
      <c r="S192" s="3056"/>
    </row>
    <row r="193" spans="1:19">
      <c r="A193" s="3057"/>
      <c r="B193" s="3058"/>
      <c r="C193" s="3058"/>
      <c r="D193" s="3058"/>
      <c r="E193" s="3058"/>
      <c r="F193" s="3058"/>
      <c r="G193" s="3058"/>
      <c r="H193" s="3058"/>
      <c r="I193" s="3058"/>
      <c r="J193" s="3058"/>
      <c r="K193" s="3058"/>
      <c r="L193" s="3058"/>
      <c r="M193" s="3058"/>
      <c r="N193" s="3058"/>
      <c r="O193" s="3058"/>
      <c r="P193" s="3058"/>
      <c r="Q193" s="3058"/>
      <c r="R193" s="3058"/>
      <c r="S193" s="3059"/>
    </row>
    <row r="194" spans="1:19">
      <c r="A194" s="3057"/>
      <c r="B194" s="3058"/>
      <c r="C194" s="3058"/>
      <c r="D194" s="3058"/>
      <c r="E194" s="3058"/>
      <c r="F194" s="3058"/>
      <c r="G194" s="3058"/>
      <c r="H194" s="3058"/>
      <c r="I194" s="3058"/>
      <c r="J194" s="3058"/>
      <c r="K194" s="3058"/>
      <c r="L194" s="3058"/>
      <c r="M194" s="3058"/>
      <c r="N194" s="3058"/>
      <c r="O194" s="3058"/>
      <c r="P194" s="3058"/>
      <c r="Q194" s="3058"/>
      <c r="R194" s="3058"/>
      <c r="S194" s="3059"/>
    </row>
    <row r="195" spans="1:19">
      <c r="A195" s="3057"/>
      <c r="B195" s="3058"/>
      <c r="C195" s="3058"/>
      <c r="D195" s="3058"/>
      <c r="E195" s="3058"/>
      <c r="F195" s="3058"/>
      <c r="G195" s="3058"/>
      <c r="H195" s="3058"/>
      <c r="I195" s="3058"/>
      <c r="J195" s="3058"/>
      <c r="K195" s="3058"/>
      <c r="L195" s="3058"/>
      <c r="M195" s="3058"/>
      <c r="N195" s="3058"/>
      <c r="O195" s="3058"/>
      <c r="P195" s="3058"/>
      <c r="Q195" s="3058"/>
      <c r="R195" s="3058"/>
      <c r="S195" s="3059"/>
    </row>
    <row r="196" spans="1:19">
      <c r="A196" s="3057"/>
      <c r="B196" s="3058"/>
      <c r="C196" s="3058"/>
      <c r="D196" s="3058"/>
      <c r="E196" s="3058"/>
      <c r="F196" s="3058"/>
      <c r="G196" s="3058"/>
      <c r="H196" s="3058"/>
      <c r="I196" s="3058"/>
      <c r="J196" s="3058"/>
      <c r="K196" s="3058"/>
      <c r="L196" s="3058"/>
      <c r="M196" s="3058"/>
      <c r="N196" s="3058"/>
      <c r="O196" s="3058"/>
      <c r="P196" s="3058"/>
      <c r="Q196" s="3058"/>
      <c r="R196" s="3058"/>
      <c r="S196" s="3059"/>
    </row>
    <row r="197" spans="1:19" ht="21.75" thickBot="1">
      <c r="A197" s="3060"/>
      <c r="B197" s="3061"/>
      <c r="C197" s="3061"/>
      <c r="D197" s="3061"/>
      <c r="E197" s="3061"/>
      <c r="F197" s="3061"/>
      <c r="G197" s="3061"/>
      <c r="H197" s="3061"/>
      <c r="I197" s="3061"/>
      <c r="J197" s="3061"/>
      <c r="K197" s="3061"/>
      <c r="L197" s="3061"/>
      <c r="M197" s="3061"/>
      <c r="N197" s="3061"/>
      <c r="O197" s="3061"/>
      <c r="P197" s="3061"/>
      <c r="Q197" s="3061"/>
      <c r="R197" s="3061"/>
      <c r="S197" s="3062"/>
    </row>
  </sheetData>
  <mergeCells count="252">
    <mergeCell ref="A192:S192"/>
    <mergeCell ref="A193:S197"/>
    <mergeCell ref="G186:G187"/>
    <mergeCell ref="M186:M187"/>
    <mergeCell ref="S186:S187"/>
    <mergeCell ref="AC186:AC187"/>
    <mergeCell ref="AD186:AD187"/>
    <mergeCell ref="G184:G185"/>
    <mergeCell ref="M184:M185"/>
    <mergeCell ref="S184:S185"/>
    <mergeCell ref="AC184:AC185"/>
    <mergeCell ref="AD184:AD185"/>
    <mergeCell ref="A174:S174"/>
    <mergeCell ref="A175:S179"/>
    <mergeCell ref="A181:AD181"/>
    <mergeCell ref="A182:A183"/>
    <mergeCell ref="B182:G182"/>
    <mergeCell ref="H182:M182"/>
    <mergeCell ref="N182:S182"/>
    <mergeCell ref="T182:AD182"/>
    <mergeCell ref="T183:U183"/>
    <mergeCell ref="V183:W183"/>
    <mergeCell ref="X183:Y183"/>
    <mergeCell ref="AA183:AB183"/>
    <mergeCell ref="AC183:AD183"/>
    <mergeCell ref="G168:G169"/>
    <mergeCell ref="M168:M169"/>
    <mergeCell ref="S168:S169"/>
    <mergeCell ref="AC168:AC169"/>
    <mergeCell ref="AD168:AD169"/>
    <mergeCell ref="G166:G167"/>
    <mergeCell ref="M166:M167"/>
    <mergeCell ref="S166:S167"/>
    <mergeCell ref="AC166:AC167"/>
    <mergeCell ref="AD166:AD167"/>
    <mergeCell ref="A156:S156"/>
    <mergeCell ref="A157:S161"/>
    <mergeCell ref="A163:AD163"/>
    <mergeCell ref="A164:A165"/>
    <mergeCell ref="B164:G164"/>
    <mergeCell ref="H164:M164"/>
    <mergeCell ref="N164:S164"/>
    <mergeCell ref="T164:AD164"/>
    <mergeCell ref="T165:U165"/>
    <mergeCell ref="V165:W165"/>
    <mergeCell ref="X165:Y165"/>
    <mergeCell ref="AA165:AB165"/>
    <mergeCell ref="AC165:AD165"/>
    <mergeCell ref="G150:G151"/>
    <mergeCell ref="M150:M151"/>
    <mergeCell ref="S150:S151"/>
    <mergeCell ref="AC150:AC151"/>
    <mergeCell ref="AD150:AD151"/>
    <mergeCell ref="G148:G149"/>
    <mergeCell ref="M148:M149"/>
    <mergeCell ref="S148:S149"/>
    <mergeCell ref="AC148:AC149"/>
    <mergeCell ref="AD148:AD149"/>
    <mergeCell ref="A138:S138"/>
    <mergeCell ref="A139:S143"/>
    <mergeCell ref="A145:AD145"/>
    <mergeCell ref="A146:A147"/>
    <mergeCell ref="B146:G146"/>
    <mergeCell ref="H146:M146"/>
    <mergeCell ref="N146:S146"/>
    <mergeCell ref="T146:AD146"/>
    <mergeCell ref="T147:U147"/>
    <mergeCell ref="V147:W147"/>
    <mergeCell ref="X147:Y147"/>
    <mergeCell ref="AA147:AB147"/>
    <mergeCell ref="AC147:AD147"/>
    <mergeCell ref="G132:G133"/>
    <mergeCell ref="M132:M133"/>
    <mergeCell ref="S132:S133"/>
    <mergeCell ref="AC132:AC133"/>
    <mergeCell ref="AD132:AD133"/>
    <mergeCell ref="G130:G131"/>
    <mergeCell ref="M130:M131"/>
    <mergeCell ref="S130:S131"/>
    <mergeCell ref="AC130:AC131"/>
    <mergeCell ref="AD130:AD131"/>
    <mergeCell ref="A120:S120"/>
    <mergeCell ref="A121:S125"/>
    <mergeCell ref="A127:AD127"/>
    <mergeCell ref="A128:A129"/>
    <mergeCell ref="B128:G128"/>
    <mergeCell ref="H128:M128"/>
    <mergeCell ref="N128:S128"/>
    <mergeCell ref="T128:AD128"/>
    <mergeCell ref="T129:U129"/>
    <mergeCell ref="V129:W129"/>
    <mergeCell ref="X129:Y129"/>
    <mergeCell ref="AA129:AB129"/>
    <mergeCell ref="AC129:AD129"/>
    <mergeCell ref="G114:G115"/>
    <mergeCell ref="M114:M115"/>
    <mergeCell ref="S114:S115"/>
    <mergeCell ref="AC114:AC115"/>
    <mergeCell ref="AD114:AD115"/>
    <mergeCell ref="G112:G113"/>
    <mergeCell ref="M112:M113"/>
    <mergeCell ref="S112:S113"/>
    <mergeCell ref="AC112:AC113"/>
    <mergeCell ref="AD112:AD113"/>
    <mergeCell ref="A102:S102"/>
    <mergeCell ref="A103:S107"/>
    <mergeCell ref="A109:AD109"/>
    <mergeCell ref="A110:A111"/>
    <mergeCell ref="B110:G110"/>
    <mergeCell ref="H110:M110"/>
    <mergeCell ref="N110:S110"/>
    <mergeCell ref="T110:AD110"/>
    <mergeCell ref="T111:U111"/>
    <mergeCell ref="V111:W111"/>
    <mergeCell ref="X111:Y111"/>
    <mergeCell ref="AA111:AB111"/>
    <mergeCell ref="AC111:AD111"/>
    <mergeCell ref="G96:G97"/>
    <mergeCell ref="M96:M97"/>
    <mergeCell ref="S96:S97"/>
    <mergeCell ref="AC96:AC97"/>
    <mergeCell ref="AD96:AD97"/>
    <mergeCell ref="G94:G95"/>
    <mergeCell ref="M94:M95"/>
    <mergeCell ref="S94:S95"/>
    <mergeCell ref="AC94:AC95"/>
    <mergeCell ref="AD94:AD95"/>
    <mergeCell ref="A84:S84"/>
    <mergeCell ref="A85:S89"/>
    <mergeCell ref="A91:AD91"/>
    <mergeCell ref="A92:A93"/>
    <mergeCell ref="B92:G92"/>
    <mergeCell ref="H92:M92"/>
    <mergeCell ref="N92:S92"/>
    <mergeCell ref="T92:AD92"/>
    <mergeCell ref="T93:U93"/>
    <mergeCell ref="V93:W93"/>
    <mergeCell ref="X93:Y93"/>
    <mergeCell ref="AA93:AB93"/>
    <mergeCell ref="AC93:AD93"/>
    <mergeCell ref="G78:G79"/>
    <mergeCell ref="M78:M79"/>
    <mergeCell ref="S78:S79"/>
    <mergeCell ref="AC78:AC79"/>
    <mergeCell ref="AD78:AD79"/>
    <mergeCell ref="G76:G77"/>
    <mergeCell ref="M76:M77"/>
    <mergeCell ref="S76:S77"/>
    <mergeCell ref="AC76:AC77"/>
    <mergeCell ref="AD76:AD77"/>
    <mergeCell ref="A66:S66"/>
    <mergeCell ref="A67:S71"/>
    <mergeCell ref="A73:AD73"/>
    <mergeCell ref="A74:A75"/>
    <mergeCell ref="B74:G74"/>
    <mergeCell ref="H74:M74"/>
    <mergeCell ref="N74:S74"/>
    <mergeCell ref="T74:AD74"/>
    <mergeCell ref="T75:U75"/>
    <mergeCell ref="V75:W75"/>
    <mergeCell ref="X75:Y75"/>
    <mergeCell ref="AA75:AB75"/>
    <mergeCell ref="AC75:AD75"/>
    <mergeCell ref="G60:G61"/>
    <mergeCell ref="M60:M61"/>
    <mergeCell ref="S60:S61"/>
    <mergeCell ref="AC60:AC61"/>
    <mergeCell ref="AD60:AD61"/>
    <mergeCell ref="G58:G59"/>
    <mergeCell ref="M58:M59"/>
    <mergeCell ref="S58:S59"/>
    <mergeCell ref="AC58:AC59"/>
    <mergeCell ref="AD58:AD59"/>
    <mergeCell ref="A48:S48"/>
    <mergeCell ref="A49:S53"/>
    <mergeCell ref="A55:AD55"/>
    <mergeCell ref="A56:A57"/>
    <mergeCell ref="B56:G56"/>
    <mergeCell ref="H56:M56"/>
    <mergeCell ref="N56:S56"/>
    <mergeCell ref="T56:AD56"/>
    <mergeCell ref="T57:U57"/>
    <mergeCell ref="V57:W57"/>
    <mergeCell ref="X57:Y57"/>
    <mergeCell ref="AA57:AB57"/>
    <mergeCell ref="AC57:AD57"/>
    <mergeCell ref="G42:G43"/>
    <mergeCell ref="M42:M43"/>
    <mergeCell ref="S42:S43"/>
    <mergeCell ref="AC42:AC43"/>
    <mergeCell ref="AD42:AD43"/>
    <mergeCell ref="G40:G41"/>
    <mergeCell ref="M40:M41"/>
    <mergeCell ref="S40:S41"/>
    <mergeCell ref="AC40:AC41"/>
    <mergeCell ref="AD40:AD41"/>
    <mergeCell ref="A30:S30"/>
    <mergeCell ref="A31:S35"/>
    <mergeCell ref="A37:AD37"/>
    <mergeCell ref="A38:A39"/>
    <mergeCell ref="B38:G38"/>
    <mergeCell ref="H38:M38"/>
    <mergeCell ref="N38:S38"/>
    <mergeCell ref="T38:AD38"/>
    <mergeCell ref="T39:U39"/>
    <mergeCell ref="V39:W39"/>
    <mergeCell ref="X39:Y39"/>
    <mergeCell ref="AA39:AB39"/>
    <mergeCell ref="AC39:AD39"/>
    <mergeCell ref="A19:AD19"/>
    <mergeCell ref="T20:AD20"/>
    <mergeCell ref="N20:S20"/>
    <mergeCell ref="H20:M20"/>
    <mergeCell ref="B20:G20"/>
    <mergeCell ref="G24:G25"/>
    <mergeCell ref="M24:M25"/>
    <mergeCell ref="S24:S25"/>
    <mergeCell ref="AC24:AC25"/>
    <mergeCell ref="AD24:AD25"/>
    <mergeCell ref="AA21:AB21"/>
    <mergeCell ref="AC21:AD21"/>
    <mergeCell ref="G22:G23"/>
    <mergeCell ref="M22:M23"/>
    <mergeCell ref="S22:S23"/>
    <mergeCell ref="AC22:AC23"/>
    <mergeCell ref="AD22:AD23"/>
    <mergeCell ref="A20:A21"/>
    <mergeCell ref="T21:U21"/>
    <mergeCell ref="V21:W21"/>
    <mergeCell ref="X21:Y21"/>
    <mergeCell ref="H3:M3"/>
    <mergeCell ref="N3:S3"/>
    <mergeCell ref="T3:AD3"/>
    <mergeCell ref="A1:AC1"/>
    <mergeCell ref="G5:G6"/>
    <mergeCell ref="AC5:AC6"/>
    <mergeCell ref="G7:G8"/>
    <mergeCell ref="S5:S6"/>
    <mergeCell ref="S7:S8"/>
    <mergeCell ref="M5:M6"/>
    <mergeCell ref="M7:M8"/>
    <mergeCell ref="AC7:AC8"/>
    <mergeCell ref="AC4:AD4"/>
    <mergeCell ref="T4:U4"/>
    <mergeCell ref="AD5:AD6"/>
    <mergeCell ref="AD7:AD8"/>
    <mergeCell ref="AA4:AB4"/>
    <mergeCell ref="X4:Y4"/>
    <mergeCell ref="V4:W4"/>
    <mergeCell ref="A2:AD2"/>
    <mergeCell ref="A3:A4"/>
    <mergeCell ref="B3:G3"/>
  </mergeCells>
  <conditionalFormatting sqref="U5:U11">
    <cfRule type="iconSet" priority="57">
      <iconSet iconSet="3Symbols" showValue="0" reverse="1">
        <cfvo type="percent" val="0"/>
        <cfvo type="num" val="10" gte="0"/>
        <cfvo type="num" val="40"/>
      </iconSet>
    </cfRule>
  </conditionalFormatting>
  <conditionalFormatting sqref="Y5:Y11 W5:W11">
    <cfRule type="iconSet" priority="49">
      <iconSet iconSet="3Symbols" showValue="0" reverse="1">
        <cfvo type="percent" val="0"/>
        <cfvo type="num" val="10" gte="0"/>
        <cfvo type="num" val="40"/>
      </iconSet>
    </cfRule>
  </conditionalFormatting>
  <conditionalFormatting sqref="AB5:AB11">
    <cfRule type="iconSet" priority="45">
      <iconSet iconSet="3Symbols" showValue="0" reverse="1">
        <cfvo type="percent" val="0"/>
        <cfvo type="num" val="10" gte="0"/>
        <cfvo type="num" val="40"/>
      </iconSet>
    </cfRule>
  </conditionalFormatting>
  <conditionalFormatting sqref="AD5 AD7 AD9:AD11">
    <cfRule type="iconSet" priority="41">
      <iconSet iconSet="3Symbols" showValue="0" reverse="1">
        <cfvo type="percent" val="0"/>
        <cfvo type="num" val="10" gte="0"/>
        <cfvo type="num" val="40"/>
      </iconSet>
    </cfRule>
  </conditionalFormatting>
  <conditionalFormatting sqref="U22:U28">
    <cfRule type="iconSet" priority="40">
      <iconSet iconSet="3Symbols" showValue="0" reverse="1">
        <cfvo type="percent" val="0"/>
        <cfvo type="num" val="10" gte="0"/>
        <cfvo type="num" val="40"/>
      </iconSet>
    </cfRule>
  </conditionalFormatting>
  <conditionalFormatting sqref="Y22:Y28 W22:W28">
    <cfRule type="iconSet" priority="39">
      <iconSet iconSet="3Symbols" showValue="0" reverse="1">
        <cfvo type="percent" val="0"/>
        <cfvo type="num" val="10" gte="0"/>
        <cfvo type="num" val="40"/>
      </iconSet>
    </cfRule>
  </conditionalFormatting>
  <conditionalFormatting sqref="AB22:AB28">
    <cfRule type="iconSet" priority="38">
      <iconSet iconSet="3Symbols" showValue="0" reverse="1">
        <cfvo type="percent" val="0"/>
        <cfvo type="num" val="10" gte="0"/>
        <cfvo type="num" val="40"/>
      </iconSet>
    </cfRule>
  </conditionalFormatting>
  <conditionalFormatting sqref="AD22 AD24 AD26:AD28">
    <cfRule type="iconSet" priority="37">
      <iconSet iconSet="3Symbols" showValue="0" reverse="1">
        <cfvo type="percent" val="0"/>
        <cfvo type="num" val="10" gte="0"/>
        <cfvo type="num" val="40"/>
      </iconSet>
    </cfRule>
  </conditionalFormatting>
  <conditionalFormatting sqref="U40:U46">
    <cfRule type="iconSet" priority="36">
      <iconSet iconSet="3Symbols" showValue="0" reverse="1">
        <cfvo type="percent" val="0"/>
        <cfvo type="num" val="10" gte="0"/>
        <cfvo type="num" val="40"/>
      </iconSet>
    </cfRule>
  </conditionalFormatting>
  <conditionalFormatting sqref="Y40:Y46 W40:W46">
    <cfRule type="iconSet" priority="35">
      <iconSet iconSet="3Symbols" showValue="0" reverse="1">
        <cfvo type="percent" val="0"/>
        <cfvo type="num" val="10" gte="0"/>
        <cfvo type="num" val="40"/>
      </iconSet>
    </cfRule>
  </conditionalFormatting>
  <conditionalFormatting sqref="AB40:AB46">
    <cfRule type="iconSet" priority="34">
      <iconSet iconSet="3Symbols" showValue="0" reverse="1">
        <cfvo type="percent" val="0"/>
        <cfvo type="num" val="10" gte="0"/>
        <cfvo type="num" val="40"/>
      </iconSet>
    </cfRule>
  </conditionalFormatting>
  <conditionalFormatting sqref="AD40 AD42 AD44:AD46">
    <cfRule type="iconSet" priority="33">
      <iconSet iconSet="3Symbols" showValue="0" reverse="1">
        <cfvo type="percent" val="0"/>
        <cfvo type="num" val="10" gte="0"/>
        <cfvo type="num" val="40"/>
      </iconSet>
    </cfRule>
  </conditionalFormatting>
  <conditionalFormatting sqref="U58:U64">
    <cfRule type="iconSet" priority="32">
      <iconSet iconSet="3Symbols" showValue="0" reverse="1">
        <cfvo type="percent" val="0"/>
        <cfvo type="num" val="10" gte="0"/>
        <cfvo type="num" val="40"/>
      </iconSet>
    </cfRule>
  </conditionalFormatting>
  <conditionalFormatting sqref="Y58:Y64 W58:W64">
    <cfRule type="iconSet" priority="31">
      <iconSet iconSet="3Symbols" showValue="0" reverse="1">
        <cfvo type="percent" val="0"/>
        <cfvo type="num" val="10" gte="0"/>
        <cfvo type="num" val="40"/>
      </iconSet>
    </cfRule>
  </conditionalFormatting>
  <conditionalFormatting sqref="AB58:AB64">
    <cfRule type="iconSet" priority="30">
      <iconSet iconSet="3Symbols" showValue="0" reverse="1">
        <cfvo type="percent" val="0"/>
        <cfvo type="num" val="10" gte="0"/>
        <cfvo type="num" val="40"/>
      </iconSet>
    </cfRule>
  </conditionalFormatting>
  <conditionalFormatting sqref="AD58 AD60 AD62:AD64">
    <cfRule type="iconSet" priority="29">
      <iconSet iconSet="3Symbols" showValue="0" reverse="1">
        <cfvo type="percent" val="0"/>
        <cfvo type="num" val="10" gte="0"/>
        <cfvo type="num" val="40"/>
      </iconSet>
    </cfRule>
  </conditionalFormatting>
  <conditionalFormatting sqref="U76:U82">
    <cfRule type="iconSet" priority="28">
      <iconSet iconSet="3Symbols" showValue="0" reverse="1">
        <cfvo type="percent" val="0"/>
        <cfvo type="num" val="10" gte="0"/>
        <cfvo type="num" val="40"/>
      </iconSet>
    </cfRule>
  </conditionalFormatting>
  <conditionalFormatting sqref="Y76:Y82 W76:W82">
    <cfRule type="iconSet" priority="27">
      <iconSet iconSet="3Symbols" showValue="0" reverse="1">
        <cfvo type="percent" val="0"/>
        <cfvo type="num" val="10" gte="0"/>
        <cfvo type="num" val="40"/>
      </iconSet>
    </cfRule>
  </conditionalFormatting>
  <conditionalFormatting sqref="AB76:AB82">
    <cfRule type="iconSet" priority="26">
      <iconSet iconSet="3Symbols" showValue="0" reverse="1">
        <cfvo type="percent" val="0"/>
        <cfvo type="num" val="10" gte="0"/>
        <cfvo type="num" val="40"/>
      </iconSet>
    </cfRule>
  </conditionalFormatting>
  <conditionalFormatting sqref="AD76 AD78 AD80:AD82">
    <cfRule type="iconSet" priority="25">
      <iconSet iconSet="3Symbols" showValue="0" reverse="1">
        <cfvo type="percent" val="0"/>
        <cfvo type="num" val="10" gte="0"/>
        <cfvo type="num" val="40"/>
      </iconSet>
    </cfRule>
  </conditionalFormatting>
  <conditionalFormatting sqref="U94:U100">
    <cfRule type="iconSet" priority="24">
      <iconSet iconSet="3Symbols" showValue="0" reverse="1">
        <cfvo type="percent" val="0"/>
        <cfvo type="num" val="10" gte="0"/>
        <cfvo type="num" val="40"/>
      </iconSet>
    </cfRule>
  </conditionalFormatting>
  <conditionalFormatting sqref="Y94:Y100 W94:W100">
    <cfRule type="iconSet" priority="23">
      <iconSet iconSet="3Symbols" showValue="0" reverse="1">
        <cfvo type="percent" val="0"/>
        <cfvo type="num" val="10" gte="0"/>
        <cfvo type="num" val="40"/>
      </iconSet>
    </cfRule>
  </conditionalFormatting>
  <conditionalFormatting sqref="AB94:AB100">
    <cfRule type="iconSet" priority="22">
      <iconSet iconSet="3Symbols" showValue="0" reverse="1">
        <cfvo type="percent" val="0"/>
        <cfvo type="num" val="10" gte="0"/>
        <cfvo type="num" val="40"/>
      </iconSet>
    </cfRule>
  </conditionalFormatting>
  <conditionalFormatting sqref="AD94 AD96 AD98:AD100">
    <cfRule type="iconSet" priority="21">
      <iconSet iconSet="3Symbols" showValue="0" reverse="1">
        <cfvo type="percent" val="0"/>
        <cfvo type="num" val="10" gte="0"/>
        <cfvo type="num" val="40"/>
      </iconSet>
    </cfRule>
  </conditionalFormatting>
  <conditionalFormatting sqref="U112:U118">
    <cfRule type="iconSet" priority="20">
      <iconSet iconSet="3Symbols" showValue="0" reverse="1">
        <cfvo type="percent" val="0"/>
        <cfvo type="num" val="10" gte="0"/>
        <cfvo type="num" val="40"/>
      </iconSet>
    </cfRule>
  </conditionalFormatting>
  <conditionalFormatting sqref="Y112:Y118 W112:W118">
    <cfRule type="iconSet" priority="19">
      <iconSet iconSet="3Symbols" showValue="0" reverse="1">
        <cfvo type="percent" val="0"/>
        <cfvo type="num" val="10" gte="0"/>
        <cfvo type="num" val="40"/>
      </iconSet>
    </cfRule>
  </conditionalFormatting>
  <conditionalFormatting sqref="AB112:AB118">
    <cfRule type="iconSet" priority="18">
      <iconSet iconSet="3Symbols" showValue="0" reverse="1">
        <cfvo type="percent" val="0"/>
        <cfvo type="num" val="10" gte="0"/>
        <cfvo type="num" val="40"/>
      </iconSet>
    </cfRule>
  </conditionalFormatting>
  <conditionalFormatting sqref="AD112 AD114 AD116:AD118">
    <cfRule type="iconSet" priority="17">
      <iconSet iconSet="3Symbols" showValue="0" reverse="1">
        <cfvo type="percent" val="0"/>
        <cfvo type="num" val="10" gte="0"/>
        <cfvo type="num" val="40"/>
      </iconSet>
    </cfRule>
  </conditionalFormatting>
  <conditionalFormatting sqref="U130:U136">
    <cfRule type="iconSet" priority="16">
      <iconSet iconSet="3Symbols" showValue="0" reverse="1">
        <cfvo type="percent" val="0"/>
        <cfvo type="num" val="10" gte="0"/>
        <cfvo type="num" val="40"/>
      </iconSet>
    </cfRule>
  </conditionalFormatting>
  <conditionalFormatting sqref="Y130:Y136 W130:W136">
    <cfRule type="iconSet" priority="15">
      <iconSet iconSet="3Symbols" showValue="0" reverse="1">
        <cfvo type="percent" val="0"/>
        <cfvo type="num" val="10" gte="0"/>
        <cfvo type="num" val="40"/>
      </iconSet>
    </cfRule>
  </conditionalFormatting>
  <conditionalFormatting sqref="AB130:AB136">
    <cfRule type="iconSet" priority="14">
      <iconSet iconSet="3Symbols" showValue="0" reverse="1">
        <cfvo type="percent" val="0"/>
        <cfvo type="num" val="10" gte="0"/>
        <cfvo type="num" val="40"/>
      </iconSet>
    </cfRule>
  </conditionalFormatting>
  <conditionalFormatting sqref="AD130 AD132 AD134:AD136">
    <cfRule type="iconSet" priority="13">
      <iconSet iconSet="3Symbols" showValue="0" reverse="1">
        <cfvo type="percent" val="0"/>
        <cfvo type="num" val="10" gte="0"/>
        <cfvo type="num" val="40"/>
      </iconSet>
    </cfRule>
  </conditionalFormatting>
  <conditionalFormatting sqref="U148:U154">
    <cfRule type="iconSet" priority="12">
      <iconSet iconSet="3Symbols" showValue="0" reverse="1">
        <cfvo type="percent" val="0"/>
        <cfvo type="num" val="10" gte="0"/>
        <cfvo type="num" val="40"/>
      </iconSet>
    </cfRule>
  </conditionalFormatting>
  <conditionalFormatting sqref="Y148:Y154 W148:W154">
    <cfRule type="iconSet" priority="11">
      <iconSet iconSet="3Symbols" showValue="0" reverse="1">
        <cfvo type="percent" val="0"/>
        <cfvo type="num" val="10" gte="0"/>
        <cfvo type="num" val="40"/>
      </iconSet>
    </cfRule>
  </conditionalFormatting>
  <conditionalFormatting sqref="AB148:AB154">
    <cfRule type="iconSet" priority="10">
      <iconSet iconSet="3Symbols" showValue="0" reverse="1">
        <cfvo type="percent" val="0"/>
        <cfvo type="num" val="10" gte="0"/>
        <cfvo type="num" val="40"/>
      </iconSet>
    </cfRule>
  </conditionalFormatting>
  <conditionalFormatting sqref="AD148 AD150 AD152:AD154">
    <cfRule type="iconSet" priority="9">
      <iconSet iconSet="3Symbols" showValue="0" reverse="1">
        <cfvo type="percent" val="0"/>
        <cfvo type="num" val="10" gte="0"/>
        <cfvo type="num" val="40"/>
      </iconSet>
    </cfRule>
  </conditionalFormatting>
  <conditionalFormatting sqref="U166:U172">
    <cfRule type="iconSet" priority="8">
      <iconSet iconSet="3Symbols" showValue="0" reverse="1">
        <cfvo type="percent" val="0"/>
        <cfvo type="num" val="10" gte="0"/>
        <cfvo type="num" val="40"/>
      </iconSet>
    </cfRule>
  </conditionalFormatting>
  <conditionalFormatting sqref="Y166:Y172 W166:W172">
    <cfRule type="iconSet" priority="7">
      <iconSet iconSet="3Symbols" showValue="0" reverse="1">
        <cfvo type="percent" val="0"/>
        <cfvo type="num" val="10" gte="0"/>
        <cfvo type="num" val="40"/>
      </iconSet>
    </cfRule>
  </conditionalFormatting>
  <conditionalFormatting sqref="AB166:AB172">
    <cfRule type="iconSet" priority="6">
      <iconSet iconSet="3Symbols" showValue="0" reverse="1">
        <cfvo type="percent" val="0"/>
        <cfvo type="num" val="10" gte="0"/>
        <cfvo type="num" val="40"/>
      </iconSet>
    </cfRule>
  </conditionalFormatting>
  <conditionalFormatting sqref="AD166 AD168 AD170:AD172">
    <cfRule type="iconSet" priority="5">
      <iconSet iconSet="3Symbols" showValue="0" reverse="1">
        <cfvo type="percent" val="0"/>
        <cfvo type="num" val="10" gte="0"/>
        <cfvo type="num" val="40"/>
      </iconSet>
    </cfRule>
  </conditionalFormatting>
  <conditionalFormatting sqref="U184:U190">
    <cfRule type="iconSet" priority="4">
      <iconSet iconSet="3Symbols" showValue="0" reverse="1">
        <cfvo type="percent" val="0"/>
        <cfvo type="num" val="10" gte="0"/>
        <cfvo type="num" val="40"/>
      </iconSet>
    </cfRule>
  </conditionalFormatting>
  <conditionalFormatting sqref="Y184:Y190 W184:W190">
    <cfRule type="iconSet" priority="3">
      <iconSet iconSet="3Symbols" showValue="0" reverse="1">
        <cfvo type="percent" val="0"/>
        <cfvo type="num" val="10" gte="0"/>
        <cfvo type="num" val="40"/>
      </iconSet>
    </cfRule>
  </conditionalFormatting>
  <conditionalFormatting sqref="AB184:AB190">
    <cfRule type="iconSet" priority="2">
      <iconSet iconSet="3Symbols" showValue="0" reverse="1">
        <cfvo type="percent" val="0"/>
        <cfvo type="num" val="10" gte="0"/>
        <cfvo type="num" val="40"/>
      </iconSet>
    </cfRule>
  </conditionalFormatting>
  <conditionalFormatting sqref="AD184 AD186 AD188:AD190">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53"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6">
    <tabColor rgb="FFC00000"/>
    <pageSetUpPr fitToPage="1"/>
  </sheetPr>
  <dimension ref="A1:O41"/>
  <sheetViews>
    <sheetView showGridLines="0" rightToLeft="1" view="pageBreakPreview" topLeftCell="A4" zoomScale="80" zoomScaleNormal="100" zoomScaleSheetLayoutView="80" workbookViewId="0">
      <selection activeCell="B6" sqref="B6:D30"/>
    </sheetView>
  </sheetViews>
  <sheetFormatPr defaultColWidth="9" defaultRowHeight="15"/>
  <cols>
    <col min="1" max="1" width="36.28515625" style="5" bestFit="1" customWidth="1"/>
    <col min="2" max="4" width="18.5703125" style="5" customWidth="1"/>
    <col min="5" max="5" width="15.7109375" style="5" customWidth="1"/>
    <col min="6" max="6" width="13.5703125" style="5" customWidth="1"/>
    <col min="7" max="7" width="3.7109375" style="79" customWidth="1"/>
    <col min="8" max="8" width="9" style="79" customWidth="1"/>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customWidth="1"/>
    <col min="16" max="16384" width="9" style="5"/>
  </cols>
  <sheetData>
    <row r="1" spans="1:14" ht="24" customHeight="1">
      <c r="A1" s="2685" t="str">
        <f>روکش!D4</f>
        <v>انبارهای عمومی و خدمات گمرکی ایران</v>
      </c>
      <c r="B1" s="2685"/>
      <c r="C1" s="2685"/>
      <c r="D1" s="2685"/>
      <c r="E1" s="2685"/>
      <c r="F1" s="2685"/>
      <c r="G1" s="2685"/>
    </row>
    <row r="2" spans="1:14" ht="28.5" customHeight="1">
      <c r="A2" s="1206" t="str">
        <f>"صورت ريز هزينه‌هاي پرسنلي مستقیم ارائه خدمات در دوره " &amp; روکش!F9 &amp; " سال " &amp; روکش!D9</f>
        <v>صورت ريز هزينه‌هاي پرسنلي مستقیم ارائه خدمات در دوره شش ماهه سال 1405</v>
      </c>
      <c r="B2" s="1206"/>
      <c r="C2" s="1203"/>
      <c r="D2" s="1203"/>
      <c r="E2" s="1203"/>
      <c r="F2" s="1203"/>
      <c r="G2" s="2211"/>
      <c r="H2" s="832"/>
    </row>
    <row r="3" spans="1:14" ht="20.100000000000001" customHeight="1" thickBot="1">
      <c r="A3" s="2723"/>
      <c r="B3" s="2723"/>
      <c r="C3" s="2723"/>
      <c r="D3" s="527"/>
      <c r="E3" s="527"/>
      <c r="F3" s="1208" t="s">
        <v>30</v>
      </c>
    </row>
    <row r="4" spans="1:14" ht="35.1" customHeight="1">
      <c r="A4" s="2907" t="s">
        <v>21</v>
      </c>
      <c r="B4" s="2907" t="s">
        <v>693</v>
      </c>
      <c r="C4" s="1223" t="s">
        <v>642</v>
      </c>
      <c r="D4" s="1223"/>
      <c r="E4" s="1223"/>
      <c r="F4" s="1224"/>
      <c r="G4" s="1224"/>
    </row>
    <row r="5" spans="1:14" ht="58.5" customHeight="1" thickBot="1">
      <c r="A5" s="2908"/>
      <c r="B5" s="2909"/>
      <c r="C5" s="2562" t="s">
        <v>53</v>
      </c>
      <c r="D5" s="714" t="s">
        <v>216</v>
      </c>
      <c r="E5" s="714" t="s">
        <v>793</v>
      </c>
      <c r="F5" s="2875" t="s">
        <v>230</v>
      </c>
      <c r="G5" s="2876"/>
      <c r="I5" s="1081" t="s">
        <v>784</v>
      </c>
      <c r="J5" s="208"/>
      <c r="K5" s="208"/>
      <c r="L5" s="1081" t="s">
        <v>792</v>
      </c>
    </row>
    <row r="6" spans="1:14" ht="21.75" customHeight="1">
      <c r="A6" s="1424" t="str">
        <f ca="1">IF(ROW()-ROW($A$6)&lt;'الف-ب-ج'!$L$9,INDIRECT("BudgetDB!DN"&amp;('الف-ب-ج'!$M$9+ROW()-ROW($A$6))),"")</f>
        <v xml:space="preserve">حقوق و دستمزد </v>
      </c>
      <c r="B6" s="2565">
        <v>140765</v>
      </c>
      <c r="C6" s="2131">
        <v>245350</v>
      </c>
      <c r="D6" s="2131">
        <v>226961</v>
      </c>
      <c r="E6" s="486">
        <f t="shared" ref="E6:E30" si="0">IFERROR((D6-B6)*100/B6,"-")</f>
        <v>61.233971512805027</v>
      </c>
      <c r="F6" s="2199">
        <f t="shared" ref="F6:F33" si="1">IFERROR(D6*100/C6,"-")</f>
        <v>92.504992867332376</v>
      </c>
      <c r="G6" s="415">
        <f>IFERROR(ABS(F6-100),500)</f>
        <v>7.4950071326676238</v>
      </c>
      <c r="I6" s="1360">
        <f>IF(AND(C6=0,D6&gt;0),100,IFERROR(ABS(F6-100),"-"))</f>
        <v>7.4950071326676238</v>
      </c>
      <c r="J6" s="208"/>
      <c r="K6" s="208"/>
      <c r="L6" s="1423">
        <f>IFERROR(B6+C6+D6,0)</f>
        <v>613076</v>
      </c>
      <c r="M6" s="208" t="b">
        <f ca="1">AND(COUNTIF($A6,"*سایر*")=1,$B6/$B$31&gt;0.2)</f>
        <v>0</v>
      </c>
      <c r="N6" s="208" t="b">
        <f ca="1">AND(COUNTIF($A6,"*سایر*")=1,$D6/$D$31&gt;0.2)</f>
        <v>0</v>
      </c>
    </row>
    <row r="7" spans="1:14" ht="21">
      <c r="A7" s="963" t="str">
        <f ca="1">IF(ROW()-ROW($A$6)&lt;'الف-ب-ج'!$L$9,INDIRECT("BudgetDB!DN"&amp;('الف-ب-ج'!$M$9+ROW()-ROW($A$6))),"")</f>
        <v xml:space="preserve">اضافه كار </v>
      </c>
      <c r="B7" s="2566">
        <v>81506</v>
      </c>
      <c r="C7" s="2127">
        <v>109679</v>
      </c>
      <c r="D7" s="2127">
        <v>143774</v>
      </c>
      <c r="E7" s="488">
        <f t="shared" si="0"/>
        <v>76.396829681250466</v>
      </c>
      <c r="F7" s="2201">
        <f t="shared" si="1"/>
        <v>131.08616964049637</v>
      </c>
      <c r="G7" s="418">
        <f t="shared" ref="G7:G33" si="2">IFERROR(ABS(F7-100),500)</f>
        <v>31.086169640496365</v>
      </c>
      <c r="I7" s="1360">
        <f t="shared" ref="I7:I30" si="3">IF(AND(C7=0,D7&gt;0),100,IFERROR(ABS(F7-100),"-"))</f>
        <v>31.086169640496365</v>
      </c>
      <c r="J7" s="208"/>
      <c r="K7" s="208"/>
      <c r="L7" s="1423">
        <f t="shared" ref="L7:L30" si="4">IFERROR(B7+C7+D7,0)</f>
        <v>334959</v>
      </c>
      <c r="M7" s="208" t="b">
        <f t="shared" ref="M7:M30" ca="1" si="5">AND(COUNTIF($A7,"*سایر*")=1,$B7/$B$31&gt;0.2)</f>
        <v>0</v>
      </c>
      <c r="N7" s="208" t="b">
        <f t="shared" ref="N7:N30" ca="1" si="6">AND(COUNTIF($A7,"*سایر*")=1,$D7/$D$31&gt;0.2)</f>
        <v>0</v>
      </c>
    </row>
    <row r="8" spans="1:14" ht="21">
      <c r="A8" s="963" t="str">
        <f ca="1">IF(ROW()-ROW($A$6)&lt;'الف-ب-ج'!$L$9,INDIRECT("BudgetDB!DN"&amp;('الف-ب-ج'!$M$9+ROW()-ROW($A$6))),"")</f>
        <v xml:space="preserve">عيدي و پاداش و بهره‌وري </v>
      </c>
      <c r="B8" s="2566">
        <v>91365</v>
      </c>
      <c r="C8" s="2127">
        <v>161384</v>
      </c>
      <c r="D8" s="2127">
        <v>36713</v>
      </c>
      <c r="E8" s="488">
        <f t="shared" si="0"/>
        <v>-59.817216658457831</v>
      </c>
      <c r="F8" s="2201">
        <f t="shared" si="1"/>
        <v>22.74884746938978</v>
      </c>
      <c r="G8" s="418">
        <f t="shared" si="2"/>
        <v>77.251152530610227</v>
      </c>
      <c r="I8" s="1360">
        <f t="shared" si="3"/>
        <v>77.251152530610227</v>
      </c>
      <c r="J8" s="208"/>
      <c r="K8" s="208"/>
      <c r="L8" s="1423">
        <f t="shared" si="4"/>
        <v>289462</v>
      </c>
      <c r="M8" s="208" t="b">
        <f t="shared" ca="1" si="5"/>
        <v>0</v>
      </c>
      <c r="N8" s="208" t="b">
        <f t="shared" ca="1" si="6"/>
        <v>0</v>
      </c>
    </row>
    <row r="9" spans="1:14" ht="21">
      <c r="A9" s="963" t="str">
        <f ca="1">IF(ROW()-ROW($A$6)&lt;'الف-ب-ج'!$L$9,INDIRECT("BudgetDB!DN"&amp;('الف-ب-ج'!$M$9+ROW()-ROW($A$6))),"")</f>
        <v xml:space="preserve">كمك‌هاي غيرنقدي </v>
      </c>
      <c r="B9" s="2566">
        <v>99616</v>
      </c>
      <c r="C9" s="2127">
        <v>194485</v>
      </c>
      <c r="D9" s="2127">
        <v>288045</v>
      </c>
      <c r="E9" s="488">
        <f t="shared" si="0"/>
        <v>189.15535656922583</v>
      </c>
      <c r="F9" s="2201">
        <f t="shared" si="1"/>
        <v>148.10653777926319</v>
      </c>
      <c r="G9" s="418">
        <f t="shared" si="2"/>
        <v>48.106537779263192</v>
      </c>
      <c r="I9" s="1360">
        <f t="shared" si="3"/>
        <v>48.106537779263192</v>
      </c>
      <c r="J9" s="208"/>
      <c r="K9" s="208"/>
      <c r="L9" s="1423">
        <f t="shared" si="4"/>
        <v>582146</v>
      </c>
      <c r="M9" s="208" t="b">
        <f t="shared" ca="1" si="5"/>
        <v>0</v>
      </c>
      <c r="N9" s="208" t="b">
        <f t="shared" ca="1" si="6"/>
        <v>0</v>
      </c>
    </row>
    <row r="10" spans="1:14" ht="21">
      <c r="A10" s="963" t="str">
        <f ca="1">IF(ROW()-ROW($A$6)&lt;'الف-ب-ج'!$L$9,INDIRECT("BudgetDB!DN"&amp;('الف-ب-ج'!$M$9+ROW()-ROW($A$6))),"")</f>
        <v xml:space="preserve">حق بيمه سهم شركت </v>
      </c>
      <c r="B10" s="2566">
        <v>109320</v>
      </c>
      <c r="C10" s="2127">
        <v>122442</v>
      </c>
      <c r="D10" s="2127">
        <v>137188</v>
      </c>
      <c r="E10" s="488">
        <f t="shared" si="0"/>
        <v>25.492133186974023</v>
      </c>
      <c r="F10" s="2201">
        <f t="shared" si="1"/>
        <v>112.0432531320952</v>
      </c>
      <c r="G10" s="498">
        <f t="shared" si="2"/>
        <v>12.043253132095202</v>
      </c>
      <c r="I10" s="1360">
        <f t="shared" si="3"/>
        <v>12.043253132095202</v>
      </c>
      <c r="J10" s="208"/>
      <c r="K10" s="208"/>
      <c r="L10" s="1423">
        <f t="shared" si="4"/>
        <v>368950</v>
      </c>
      <c r="M10" s="208" t="b">
        <f ca="1">AND(COUNTIF($A10,"*سایر*")=1,$B10/$B$31&gt;0.2)</f>
        <v>0</v>
      </c>
      <c r="N10" s="208" t="b">
        <f t="shared" ca="1" si="6"/>
        <v>0</v>
      </c>
    </row>
    <row r="11" spans="1:14" ht="21">
      <c r="A11" s="963" t="str">
        <f ca="1">IF(ROW()-ROW($A$6)&lt;'الف-ب-ج'!$L$9,INDIRECT("BudgetDB!DN"&amp;('الف-ب-ج'!$M$9+ROW()-ROW($A$6))),"")</f>
        <v>کمک مسکن و حق اولاد</v>
      </c>
      <c r="B11" s="2566">
        <v>21272</v>
      </c>
      <c r="C11" s="2127">
        <v>55985</v>
      </c>
      <c r="D11" s="2127">
        <v>50965</v>
      </c>
      <c r="E11" s="488">
        <f t="shared" si="0"/>
        <v>139.58725084618277</v>
      </c>
      <c r="F11" s="2201">
        <f t="shared" si="1"/>
        <v>91.033312494418141</v>
      </c>
      <c r="G11" s="498">
        <f t="shared" si="2"/>
        <v>8.9666875055818593</v>
      </c>
      <c r="I11" s="1360">
        <f t="shared" si="3"/>
        <v>8.9666875055818593</v>
      </c>
      <c r="J11" s="208"/>
      <c r="K11" s="208"/>
      <c r="L11" s="1423">
        <f t="shared" si="4"/>
        <v>128222</v>
      </c>
      <c r="M11" s="208" t="b">
        <f ca="1">AND(COUNTIF($A11,"*سایر*")=1,$B11/$B$31&gt;0.2)</f>
        <v>0</v>
      </c>
      <c r="N11" s="208" t="b">
        <f t="shared" ca="1" si="6"/>
        <v>0</v>
      </c>
    </row>
    <row r="12" spans="1:14" ht="21">
      <c r="A12" s="963" t="str">
        <f ca="1">IF(ROW()-ROW($A$6)&lt;'الف-ب-ج'!$L$9,INDIRECT("BudgetDB!DN"&amp;('الف-ب-ج'!$M$9+ROW()-ROW($A$6))),"")</f>
        <v xml:space="preserve">اياب و ذهاب </v>
      </c>
      <c r="B12" s="2566">
        <v>6943</v>
      </c>
      <c r="C12" s="2127">
        <v>8985</v>
      </c>
      <c r="D12" s="2127">
        <v>8602</v>
      </c>
      <c r="E12" s="488">
        <f t="shared" si="0"/>
        <v>23.89457007057468</v>
      </c>
      <c r="F12" s="2201">
        <f t="shared" si="1"/>
        <v>95.73734001112966</v>
      </c>
      <c r="G12" s="498">
        <f t="shared" si="2"/>
        <v>4.2626599888703396</v>
      </c>
      <c r="I12" s="1360">
        <f t="shared" si="3"/>
        <v>4.2626599888703396</v>
      </c>
      <c r="J12" s="208"/>
      <c r="K12" s="208"/>
      <c r="L12" s="1423">
        <f t="shared" si="4"/>
        <v>24530</v>
      </c>
      <c r="M12" s="208" t="b">
        <f t="shared" ca="1" si="5"/>
        <v>0</v>
      </c>
      <c r="N12" s="208" t="b">
        <f t="shared" ca="1" si="6"/>
        <v>0</v>
      </c>
    </row>
    <row r="13" spans="1:14" ht="21">
      <c r="A13" s="963" t="str">
        <f ca="1">IF(ROW()-ROW($A$6)&lt;'الف-ب-ج'!$L$9,INDIRECT("BudgetDB!DN"&amp;('الف-ب-ج'!$M$9+ROW()-ROW($A$6))),"")</f>
        <v xml:space="preserve">شبكاري و نوبتكاري </v>
      </c>
      <c r="B13" s="2566">
        <v>5876</v>
      </c>
      <c r="C13" s="2127">
        <v>7772</v>
      </c>
      <c r="D13" s="2127">
        <v>8677</v>
      </c>
      <c r="E13" s="488">
        <f t="shared" si="0"/>
        <v>47.668481960517362</v>
      </c>
      <c r="F13" s="2201">
        <f t="shared" si="1"/>
        <v>111.64436438497169</v>
      </c>
      <c r="G13" s="498">
        <f t="shared" si="2"/>
        <v>11.644364384971695</v>
      </c>
      <c r="I13" s="1360">
        <f t="shared" si="3"/>
        <v>11.644364384971695</v>
      </c>
      <c r="J13" s="208"/>
      <c r="K13" s="208"/>
      <c r="L13" s="1423">
        <f t="shared" si="4"/>
        <v>22325</v>
      </c>
      <c r="M13" s="208" t="b">
        <f t="shared" ca="1" si="5"/>
        <v>0</v>
      </c>
      <c r="N13" s="208" t="b">
        <f t="shared" ca="1" si="6"/>
        <v>0</v>
      </c>
    </row>
    <row r="14" spans="1:14" ht="21">
      <c r="A14" s="963" t="str">
        <f ca="1">IF(ROW()-ROW($A$6)&lt;'الف-ب-ج'!$L$9,INDIRECT("BudgetDB!DN"&amp;('الف-ب-ج'!$M$9+ROW()-ROW($A$6))),"")</f>
        <v xml:space="preserve">بازخريد خدمت كاركنان </v>
      </c>
      <c r="B14" s="2566">
        <v>43098</v>
      </c>
      <c r="C14" s="2127">
        <v>38788</v>
      </c>
      <c r="D14" s="2127">
        <v>96757</v>
      </c>
      <c r="E14" s="488">
        <f t="shared" si="0"/>
        <v>124.5046173836373</v>
      </c>
      <c r="F14" s="2201">
        <f t="shared" si="1"/>
        <v>249.4508610910591</v>
      </c>
      <c r="G14" s="498">
        <f t="shared" si="2"/>
        <v>149.4508610910591</v>
      </c>
      <c r="I14" s="1360">
        <f t="shared" si="3"/>
        <v>149.4508610910591</v>
      </c>
      <c r="J14" s="208"/>
      <c r="K14" s="208"/>
      <c r="L14" s="1423">
        <f t="shared" si="4"/>
        <v>178643</v>
      </c>
      <c r="M14" s="208" t="b">
        <f t="shared" ca="1" si="5"/>
        <v>0</v>
      </c>
      <c r="N14" s="208" t="b">
        <f t="shared" ca="1" si="6"/>
        <v>0</v>
      </c>
    </row>
    <row r="15" spans="1:14" ht="21">
      <c r="A15" s="963" t="str">
        <f ca="1">IF(ROW()-ROW($A$6)&lt;'الف-ب-ج'!$L$9,INDIRECT("BudgetDB!DN"&amp;('الف-ب-ج'!$M$9+ROW()-ROW($A$6))),"")</f>
        <v xml:space="preserve">بازخريد مرخصي كاركنان </v>
      </c>
      <c r="B15" s="2566">
        <v>26</v>
      </c>
      <c r="C15" s="2127">
        <v>23</v>
      </c>
      <c r="D15" s="2127"/>
      <c r="E15" s="488">
        <f t="shared" si="0"/>
        <v>-100</v>
      </c>
      <c r="F15" s="2201">
        <f t="shared" si="1"/>
        <v>0</v>
      </c>
      <c r="G15" s="498">
        <f t="shared" si="2"/>
        <v>100</v>
      </c>
      <c r="I15" s="1360">
        <f t="shared" si="3"/>
        <v>100</v>
      </c>
      <c r="J15" s="208"/>
      <c r="K15" s="208"/>
      <c r="L15" s="1423">
        <f t="shared" si="4"/>
        <v>49</v>
      </c>
      <c r="M15" s="208" t="b">
        <f t="shared" ca="1" si="5"/>
        <v>0</v>
      </c>
      <c r="N15" s="208" t="b">
        <f t="shared" ca="1" si="6"/>
        <v>0</v>
      </c>
    </row>
    <row r="16" spans="1:14" ht="21">
      <c r="A16" s="963" t="str">
        <f ca="1">IF(ROW()-ROW($A$6)&lt;'الف-ب-ج'!$L$9,INDIRECT("BudgetDB!DN"&amp;('الف-ب-ج'!$M$9+ROW()-ROW($A$6))),"")</f>
        <v xml:space="preserve">حق جذب و حق پست </v>
      </c>
      <c r="B16" s="2566">
        <v>58611</v>
      </c>
      <c r="C16" s="2127">
        <v>78298</v>
      </c>
      <c r="D16" s="2127">
        <v>92436</v>
      </c>
      <c r="E16" s="488">
        <f t="shared" si="0"/>
        <v>57.711009878691712</v>
      </c>
      <c r="F16" s="2201">
        <f t="shared" si="1"/>
        <v>118.05665534240977</v>
      </c>
      <c r="G16" s="498">
        <f t="shared" si="2"/>
        <v>18.056655342409769</v>
      </c>
      <c r="I16" s="1360">
        <f t="shared" si="3"/>
        <v>18.056655342409769</v>
      </c>
      <c r="J16" s="208"/>
      <c r="K16" s="208"/>
      <c r="L16" s="1423">
        <f t="shared" si="4"/>
        <v>229345</v>
      </c>
      <c r="M16" s="208" t="b">
        <f t="shared" ca="1" si="5"/>
        <v>0</v>
      </c>
      <c r="N16" s="208" t="b">
        <f t="shared" ca="1" si="6"/>
        <v>0</v>
      </c>
    </row>
    <row r="17" spans="1:14" ht="21">
      <c r="A17" s="963" t="str">
        <f ca="1">IF(ROW()-ROW($A$6)&lt;'الف-ب-ج'!$L$9,INDIRECT("BudgetDB!DN"&amp;('الف-ب-ج'!$M$9+ROW()-ROW($A$6))),"")</f>
        <v xml:space="preserve">فوق‌العاده سفر و ماموریت </v>
      </c>
      <c r="B17" s="2566">
        <v>3464</v>
      </c>
      <c r="C17" s="2127">
        <v>5158</v>
      </c>
      <c r="D17" s="2127">
        <v>5660</v>
      </c>
      <c r="E17" s="488">
        <f t="shared" si="0"/>
        <v>63.394919168591223</v>
      </c>
      <c r="F17" s="2201">
        <f t="shared" si="1"/>
        <v>109.73245443970531</v>
      </c>
      <c r="G17" s="498">
        <f t="shared" si="2"/>
        <v>9.7324544397053074</v>
      </c>
      <c r="I17" s="1360">
        <f t="shared" si="3"/>
        <v>9.7324544397053074</v>
      </c>
      <c r="J17" s="208"/>
      <c r="K17" s="208"/>
      <c r="L17" s="1423">
        <f t="shared" si="4"/>
        <v>14282</v>
      </c>
      <c r="M17" s="208" t="b">
        <f t="shared" ca="1" si="5"/>
        <v>0</v>
      </c>
      <c r="N17" s="208" t="b">
        <f t="shared" ca="1" si="6"/>
        <v>0</v>
      </c>
    </row>
    <row r="18" spans="1:14" ht="21">
      <c r="A18" s="963" t="str">
        <f ca="1">IF(ROW()-ROW($A$6)&lt;'الف-ب-ج'!$L$9,INDIRECT("BudgetDB!DN"&amp;('الف-ب-ج'!$M$9+ROW()-ROW($A$6))),"")</f>
        <v xml:space="preserve">آموزش و سوادآموزي </v>
      </c>
      <c r="B18" s="2566"/>
      <c r="C18" s="2127">
        <v>167</v>
      </c>
      <c r="D18" s="2127"/>
      <c r="E18" s="488" t="str">
        <f t="shared" si="0"/>
        <v>-</v>
      </c>
      <c r="F18" s="2201">
        <f t="shared" si="1"/>
        <v>0</v>
      </c>
      <c r="G18" s="498">
        <f t="shared" si="2"/>
        <v>100</v>
      </c>
      <c r="I18" s="1360">
        <f t="shared" si="3"/>
        <v>100</v>
      </c>
      <c r="J18" s="208"/>
      <c r="K18" s="208"/>
      <c r="L18" s="1423">
        <f t="shared" si="4"/>
        <v>167</v>
      </c>
      <c r="M18" s="208" t="b">
        <f t="shared" ca="1" si="5"/>
        <v>0</v>
      </c>
      <c r="N18" s="208" t="b">
        <f t="shared" ca="1" si="6"/>
        <v>0</v>
      </c>
    </row>
    <row r="19" spans="1:14" ht="21">
      <c r="A19" s="963" t="str">
        <f ca="1">IF(ROW()-ROW($A$6)&lt;'الف-ب-ج'!$L$9,INDIRECT("BudgetDB!DN"&amp;('الف-ب-ج'!$M$9+ROW()-ROW($A$6))),"")</f>
        <v>سلف سرويس (رستوران)</v>
      </c>
      <c r="B19" s="2566">
        <v>53441</v>
      </c>
      <c r="C19" s="2127">
        <v>0</v>
      </c>
      <c r="D19" s="2127">
        <v>31944</v>
      </c>
      <c r="E19" s="488">
        <f t="shared" si="0"/>
        <v>-40.225669429838511</v>
      </c>
      <c r="F19" s="2201" t="str">
        <f t="shared" si="1"/>
        <v>-</v>
      </c>
      <c r="G19" s="498">
        <f t="shared" si="2"/>
        <v>500</v>
      </c>
      <c r="I19" s="1360">
        <f t="shared" si="3"/>
        <v>100</v>
      </c>
      <c r="J19" s="208"/>
      <c r="K19" s="208"/>
      <c r="L19" s="1423">
        <f t="shared" si="4"/>
        <v>85385</v>
      </c>
      <c r="M19" s="208" t="b">
        <f t="shared" ca="1" si="5"/>
        <v>0</v>
      </c>
      <c r="N19" s="208" t="b">
        <f t="shared" ca="1" si="6"/>
        <v>0</v>
      </c>
    </row>
    <row r="20" spans="1:14" ht="21">
      <c r="A20" s="963" t="str">
        <f ca="1">IF(ROW()-ROW($A$6)&lt;'الف-ب-ج'!$L$9,INDIRECT("BudgetDB!DN"&amp;('الف-ب-ج'!$M$9+ROW()-ROW($A$6))),"")</f>
        <v>شیر و لباس</v>
      </c>
      <c r="B20" s="2566">
        <v>1887</v>
      </c>
      <c r="C20" s="2127">
        <v>9445</v>
      </c>
      <c r="D20" s="2127">
        <v>5536</v>
      </c>
      <c r="E20" s="488">
        <f t="shared" si="0"/>
        <v>193.37572866984632</v>
      </c>
      <c r="F20" s="2201">
        <f t="shared" si="1"/>
        <v>58.613022763366864</v>
      </c>
      <c r="G20" s="498">
        <f t="shared" si="2"/>
        <v>41.386977236633136</v>
      </c>
      <c r="I20" s="1360">
        <f t="shared" si="3"/>
        <v>41.386977236633136</v>
      </c>
      <c r="J20" s="208"/>
      <c r="K20" s="208"/>
      <c r="L20" s="1423">
        <f t="shared" si="4"/>
        <v>16868</v>
      </c>
      <c r="M20" s="208" t="b">
        <f t="shared" ca="1" si="5"/>
        <v>0</v>
      </c>
      <c r="N20" s="208" t="b">
        <f t="shared" ca="1" si="6"/>
        <v>0</v>
      </c>
    </row>
    <row r="21" spans="1:14" ht="21">
      <c r="A21" s="963" t="str">
        <f ca="1">IF(ROW()-ROW($A$6)&lt;'الف-ب-ج'!$L$9,INDIRECT("BudgetDB!DN"&amp;('الف-ب-ج'!$M$9+ROW()-ROW($A$6))),"")</f>
        <v xml:space="preserve">بهداشت و درمان </v>
      </c>
      <c r="B21" s="2566">
        <v>12545</v>
      </c>
      <c r="C21" s="2127">
        <v>40747</v>
      </c>
      <c r="D21" s="2127">
        <v>6532</v>
      </c>
      <c r="E21" s="488">
        <f t="shared" si="0"/>
        <v>-47.931446791550421</v>
      </c>
      <c r="F21" s="2201">
        <f t="shared" si="1"/>
        <v>16.030628021694849</v>
      </c>
      <c r="G21" s="498">
        <f t="shared" si="2"/>
        <v>83.969371978305148</v>
      </c>
      <c r="I21" s="1360">
        <f t="shared" si="3"/>
        <v>83.969371978305148</v>
      </c>
      <c r="J21" s="208"/>
      <c r="K21" s="208"/>
      <c r="L21" s="1423">
        <f t="shared" si="4"/>
        <v>59824</v>
      </c>
      <c r="M21" s="208" t="b">
        <f t="shared" ca="1" si="5"/>
        <v>0</v>
      </c>
      <c r="N21" s="208" t="b">
        <f t="shared" ca="1" si="6"/>
        <v>0</v>
      </c>
    </row>
    <row r="22" spans="1:14" ht="21">
      <c r="A22" s="963" t="str">
        <f ca="1">IF(ROW()-ROW($A$6)&lt;'الف-ب-ج'!$L$9,INDIRECT("BudgetDB!DN"&amp;('الف-ب-ج'!$M$9+ROW()-ROW($A$6))),"")</f>
        <v xml:space="preserve">ورزش </v>
      </c>
      <c r="B22" s="2566"/>
      <c r="C22" s="2127">
        <v>548</v>
      </c>
      <c r="D22" s="2127">
        <v>40</v>
      </c>
      <c r="E22" s="488" t="str">
        <f t="shared" si="0"/>
        <v>-</v>
      </c>
      <c r="F22" s="2201">
        <f t="shared" si="1"/>
        <v>7.2992700729927007</v>
      </c>
      <c r="G22" s="498">
        <f t="shared" si="2"/>
        <v>92.700729927007302</v>
      </c>
      <c r="I22" s="1360">
        <f t="shared" si="3"/>
        <v>92.700729927007302</v>
      </c>
      <c r="J22" s="208"/>
      <c r="K22" s="208"/>
      <c r="L22" s="1423">
        <f t="shared" si="4"/>
        <v>588</v>
      </c>
      <c r="M22" s="208" t="b">
        <f t="shared" ca="1" si="5"/>
        <v>0</v>
      </c>
      <c r="N22" s="208" t="b">
        <f t="shared" ca="1" si="6"/>
        <v>0</v>
      </c>
    </row>
    <row r="23" spans="1:14" ht="21">
      <c r="A23" s="963" t="str">
        <f ca="1">IF(ROW()-ROW($A$6)&lt;'الف-ب-ج'!$L$9,INDIRECT("BudgetDB!DN"&amp;('الف-ب-ج'!$M$9+ROW()-ROW($A$6))),"")</f>
        <v>عائله‌مندی و بن و و خواربار</v>
      </c>
      <c r="B23" s="2566">
        <v>20377</v>
      </c>
      <c r="C23" s="2127">
        <v>0</v>
      </c>
      <c r="D23" s="2127">
        <v>20630</v>
      </c>
      <c r="E23" s="488">
        <f t="shared" si="0"/>
        <v>1.2415959169652058</v>
      </c>
      <c r="F23" s="2201" t="str">
        <f t="shared" si="1"/>
        <v>-</v>
      </c>
      <c r="G23" s="498">
        <f t="shared" si="2"/>
        <v>500</v>
      </c>
      <c r="I23" s="1360">
        <f t="shared" si="3"/>
        <v>100</v>
      </c>
      <c r="J23" s="208"/>
      <c r="K23" s="208"/>
      <c r="L23" s="1423">
        <f t="shared" si="4"/>
        <v>41007</v>
      </c>
      <c r="M23" s="208" t="b">
        <f t="shared" ca="1" si="5"/>
        <v>0</v>
      </c>
      <c r="N23" s="208" t="b">
        <f t="shared" ca="1" si="6"/>
        <v>0</v>
      </c>
    </row>
    <row r="24" spans="1:14" ht="21">
      <c r="A24" s="496" t="s">
        <v>3222</v>
      </c>
      <c r="B24" s="2566">
        <v>7214</v>
      </c>
      <c r="C24" s="2127">
        <v>9759</v>
      </c>
      <c r="D24" s="2127">
        <v>11633</v>
      </c>
      <c r="E24" s="488">
        <f t="shared" si="0"/>
        <v>61.25589132242861</v>
      </c>
      <c r="F24" s="2201">
        <f t="shared" si="1"/>
        <v>119.20278717081668</v>
      </c>
      <c r="G24" s="498">
        <f t="shared" si="2"/>
        <v>19.202787170816677</v>
      </c>
      <c r="I24" s="1360">
        <f t="shared" si="3"/>
        <v>19.202787170816677</v>
      </c>
      <c r="J24" s="208"/>
      <c r="K24" s="208"/>
      <c r="L24" s="1423">
        <f t="shared" si="4"/>
        <v>28606</v>
      </c>
      <c r="M24" s="208" t="b">
        <f t="shared" si="5"/>
        <v>0</v>
      </c>
      <c r="N24" s="208" t="b">
        <f t="shared" si="6"/>
        <v>0</v>
      </c>
    </row>
    <row r="25" spans="1:14" ht="21">
      <c r="A25" s="496" t="s">
        <v>333</v>
      </c>
      <c r="B25" s="2566">
        <v>1684</v>
      </c>
      <c r="C25" s="2127">
        <v>77343</v>
      </c>
      <c r="D25" s="2127">
        <v>69952</v>
      </c>
      <c r="E25" s="488">
        <f t="shared" si="0"/>
        <v>4053.919239904988</v>
      </c>
      <c r="F25" s="2201">
        <f t="shared" si="1"/>
        <v>90.443866930426793</v>
      </c>
      <c r="G25" s="498">
        <f t="shared" si="2"/>
        <v>9.5561330695732067</v>
      </c>
      <c r="I25" s="1360">
        <f t="shared" si="3"/>
        <v>9.5561330695732067</v>
      </c>
      <c r="J25" s="208"/>
      <c r="K25" s="208"/>
      <c r="L25" s="1423">
        <f t="shared" si="4"/>
        <v>148979</v>
      </c>
      <c r="M25" s="208" t="b">
        <f t="shared" si="5"/>
        <v>0</v>
      </c>
      <c r="N25" s="208" t="b">
        <f t="shared" si="6"/>
        <v>0</v>
      </c>
    </row>
    <row r="26" spans="1:14" ht="21">
      <c r="A26" s="496"/>
      <c r="B26" s="2566"/>
      <c r="C26" s="2127">
        <v>0</v>
      </c>
      <c r="D26" s="2127"/>
      <c r="E26" s="488" t="str">
        <f t="shared" si="0"/>
        <v>-</v>
      </c>
      <c r="F26" s="2201" t="str">
        <f t="shared" si="1"/>
        <v>-</v>
      </c>
      <c r="G26" s="498">
        <f t="shared" si="2"/>
        <v>500</v>
      </c>
      <c r="I26" s="1360" t="str">
        <f t="shared" si="3"/>
        <v>-</v>
      </c>
      <c r="J26" s="208"/>
      <c r="K26" s="208"/>
      <c r="L26" s="1423">
        <f t="shared" si="4"/>
        <v>0</v>
      </c>
      <c r="M26" s="208" t="b">
        <f t="shared" si="5"/>
        <v>0</v>
      </c>
      <c r="N26" s="208" t="b">
        <f t="shared" si="6"/>
        <v>0</v>
      </c>
    </row>
    <row r="27" spans="1:14" ht="21">
      <c r="A27" s="496"/>
      <c r="B27" s="2566"/>
      <c r="C27" s="2127" cm="1">
        <f t="array" aca="1" ref="C27" ca="1">IF(ROW()-ROW($A$6)&lt;'[9]الف-ب-ج'!$L$9,IF([9]روکش!$F$9="سه ماهه",INDIRECT("BudgetDB!DO"&amp;('[9]الف-ب-ج'!$M$9+ROW()-ROW($A$6))),INDIRECT("BudgetDB!DP"&amp;('[9]الف-ب-ج'!$M$9+ROW()-ROW($A$6)))),"")</f>
        <v>0</v>
      </c>
      <c r="D27" s="2127"/>
      <c r="E27" s="488" t="str">
        <f t="shared" si="0"/>
        <v>-</v>
      </c>
      <c r="F27" s="2201" t="str">
        <f ca="1">IFERROR(D27*100/C27,"-")</f>
        <v>-</v>
      </c>
      <c r="G27" s="498">
        <f t="shared" ca="1" si="2"/>
        <v>500</v>
      </c>
      <c r="I27" s="1360" t="str">
        <f t="shared" ca="1" si="3"/>
        <v>-</v>
      </c>
      <c r="J27" s="208"/>
      <c r="K27" s="208"/>
      <c r="L27" s="1423">
        <f t="shared" ca="1" si="4"/>
        <v>0</v>
      </c>
      <c r="M27" s="208" t="b">
        <f t="shared" si="5"/>
        <v>0</v>
      </c>
      <c r="N27" s="208" t="b">
        <f t="shared" si="6"/>
        <v>0</v>
      </c>
    </row>
    <row r="28" spans="1:14" ht="21">
      <c r="A28" s="496">
        <f ca="1">IF(ROW()-ROW($A$6)&lt;'الف-ب-ج'!$L$9,INDIRECT("BudgetDB!DN"&amp;('الف-ب-ج'!$M$9+ROW()-ROW($A$6))),"")</f>
        <v>0</v>
      </c>
      <c r="B28" s="2566"/>
      <c r="C28" s="2127" cm="1">
        <f t="array" aca="1" ref="C28" ca="1">IF(ROW()-ROW($A$6)&lt;'[9]الف-ب-ج'!$L$9,IF([9]روکش!$F$9="سه ماهه",INDIRECT("BudgetDB!DO"&amp;('[9]الف-ب-ج'!$M$9+ROW()-ROW($A$6))),INDIRECT("BudgetDB!DP"&amp;('[9]الف-ب-ج'!$M$9+ROW()-ROW($A$6)))),"")</f>
        <v>0</v>
      </c>
      <c r="D28" s="2127"/>
      <c r="E28" s="488" t="str">
        <f t="shared" si="0"/>
        <v>-</v>
      </c>
      <c r="F28" s="2201" t="str">
        <f t="shared" ca="1" si="1"/>
        <v>-</v>
      </c>
      <c r="G28" s="498">
        <f t="shared" ca="1" si="2"/>
        <v>500</v>
      </c>
      <c r="I28" s="1360" t="str">
        <f t="shared" ca="1" si="3"/>
        <v>-</v>
      </c>
      <c r="J28" s="208"/>
      <c r="K28" s="208"/>
      <c r="L28" s="1423">
        <f t="shared" ca="1" si="4"/>
        <v>0</v>
      </c>
      <c r="M28" s="208" t="b">
        <f t="shared" ca="1" si="5"/>
        <v>0</v>
      </c>
      <c r="N28" s="208" t="b">
        <f t="shared" ca="1" si="6"/>
        <v>0</v>
      </c>
    </row>
    <row r="29" spans="1:14" ht="21">
      <c r="A29" s="496">
        <f ca="1">IF(ROW()-ROW($A$6)&lt;'الف-ب-ج'!$L$9,INDIRECT("BudgetDB!DN"&amp;('الف-ب-ج'!$M$9+ROW()-ROW($A$6))),"")</f>
        <v>0</v>
      </c>
      <c r="B29" s="2566"/>
      <c r="C29" s="2127" cm="1">
        <f t="array" aca="1" ref="C29" ca="1">IF(ROW()-ROW($A$6)&lt;'[9]الف-ب-ج'!$L$9,IF([9]روکش!$F$9="سه ماهه",INDIRECT("BudgetDB!DO"&amp;('[9]الف-ب-ج'!$M$9+ROW()-ROW($A$6))),INDIRECT("BudgetDB!DP"&amp;('[9]الف-ب-ج'!$M$9+ROW()-ROW($A$6)))),"")</f>
        <v>0</v>
      </c>
      <c r="D29" s="2127"/>
      <c r="E29" s="488" t="str">
        <f t="shared" si="0"/>
        <v>-</v>
      </c>
      <c r="F29" s="2201" t="str">
        <f t="shared" ca="1" si="1"/>
        <v>-</v>
      </c>
      <c r="G29" s="498">
        <f t="shared" ca="1" si="2"/>
        <v>500</v>
      </c>
      <c r="I29" s="1360" t="str">
        <f t="shared" ca="1" si="3"/>
        <v>-</v>
      </c>
      <c r="J29" s="208"/>
      <c r="K29" s="208"/>
      <c r="L29" s="1423">
        <f t="shared" ca="1" si="4"/>
        <v>0</v>
      </c>
      <c r="M29" s="208" t="b">
        <f t="shared" ca="1" si="5"/>
        <v>0</v>
      </c>
      <c r="N29" s="208" t="b">
        <f t="shared" ca="1" si="6"/>
        <v>0</v>
      </c>
    </row>
    <row r="30" spans="1:14" ht="21.75" thickBot="1">
      <c r="A30" s="496">
        <f ca="1">IF(ROW()-ROW($A$6)&lt;'الف-ب-ج'!$L$9,INDIRECT("BudgetDB!DN"&amp;('الف-ب-ج'!$M$9+ROW()-ROW($A$6))),"")</f>
        <v>0</v>
      </c>
      <c r="B30" s="2566"/>
      <c r="C30" s="2127" cm="1">
        <f t="array" aca="1" ref="C30" ca="1">IF(ROW()-ROW($A$6)&lt;'[9]الف-ب-ج'!$L$9,IF([9]روکش!$F$9="سه ماهه",INDIRECT("BudgetDB!DO"&amp;('[9]الف-ب-ج'!$M$9+ROW()-ROW($A$6))),INDIRECT("BudgetDB!DP"&amp;('[9]الف-ب-ج'!$M$9+ROW()-ROW($A$6)))),"")</f>
        <v>0</v>
      </c>
      <c r="D30" s="2127"/>
      <c r="E30" s="488" t="str">
        <f t="shared" si="0"/>
        <v>-</v>
      </c>
      <c r="F30" s="2202" t="str">
        <f t="shared" ca="1" si="1"/>
        <v>-</v>
      </c>
      <c r="G30" s="2203">
        <f t="shared" ca="1" si="2"/>
        <v>500</v>
      </c>
      <c r="I30" s="1360" t="str">
        <f t="shared" ca="1" si="3"/>
        <v>-</v>
      </c>
      <c r="J30" s="208"/>
      <c r="K30" s="208"/>
      <c r="L30" s="1423">
        <f t="shared" ca="1" si="4"/>
        <v>0</v>
      </c>
      <c r="M30" s="208" t="b">
        <f t="shared" ca="1" si="5"/>
        <v>0</v>
      </c>
      <c r="N30" s="208" t="b">
        <f t="shared" ca="1" si="6"/>
        <v>0</v>
      </c>
    </row>
    <row r="31" spans="1:14" ht="21.75" thickBot="1">
      <c r="A31" s="492" t="s">
        <v>1505</v>
      </c>
      <c r="B31" s="2279">
        <f>SUM(B6:B30)</f>
        <v>759010</v>
      </c>
      <c r="C31" s="2563">
        <f ca="1">SUM(C6:C30)</f>
        <v>1166358</v>
      </c>
      <c r="D31" s="494">
        <f>SUM(D6:D30)</f>
        <v>1242045</v>
      </c>
      <c r="E31" s="490">
        <f>IFERROR((D31-B31)*100/B31,"-")</f>
        <v>63.640136493590333</v>
      </c>
      <c r="F31" s="2204">
        <f t="shared" ca="1" si="1"/>
        <v>106.48917399289068</v>
      </c>
      <c r="G31" s="2205">
        <f t="shared" ca="1" si="2"/>
        <v>6.4891739928906844</v>
      </c>
      <c r="I31" s="1360" t="s">
        <v>206</v>
      </c>
      <c r="J31" s="208"/>
      <c r="K31" s="208"/>
      <c r="L31" s="1423" t="s">
        <v>206</v>
      </c>
    </row>
    <row r="32" spans="1:14" ht="21.75" thickBot="1">
      <c r="A32" s="495" t="s">
        <v>1555</v>
      </c>
      <c r="B32" s="2280"/>
      <c r="C32" s="2564" cm="1">
        <f t="array" aca="1" ref="C32" ca="1">IF(روکش!$F$9="سه ماهه",INDIRECT("BudgetDB!DQ"&amp;('الف-ب-ج'!$M$9+ROW()-ROW($A$32))),INDIRECT("BudgetDB!DR"&amp;('الف-ب-ج'!$M$9+ROW()-ROW($A$32))))</f>
        <v>0</v>
      </c>
      <c r="D32" s="244"/>
      <c r="E32" s="490" t="str">
        <f>IFERROR((D32-B32)*100/B32,"-")</f>
        <v>-</v>
      </c>
      <c r="F32" s="2204" t="str">
        <f t="shared" ca="1" si="1"/>
        <v>-</v>
      </c>
      <c r="G32" s="2205">
        <f t="shared" ca="1" si="2"/>
        <v>500</v>
      </c>
      <c r="I32" s="1360" t="str">
        <f ca="1">IF(AND(C32=0,D32&gt;0),100,IFERROR(ABS(F32-100),"-"))</f>
        <v>-</v>
      </c>
      <c r="J32" s="208"/>
      <c r="K32" s="208"/>
      <c r="L32" s="1423" t="s">
        <v>206</v>
      </c>
    </row>
    <row r="33" spans="1:12" ht="21.75" thickBot="1">
      <c r="A33" s="492" t="s">
        <v>853</v>
      </c>
      <c r="B33" s="2279">
        <f>B31+B32</f>
        <v>759010</v>
      </c>
      <c r="C33" s="2563">
        <f ca="1">C31+C32</f>
        <v>1166358</v>
      </c>
      <c r="D33" s="494">
        <f>D31+D32</f>
        <v>1242045</v>
      </c>
      <c r="E33" s="490">
        <f>IFERROR((D33-B33)*100/B33,"-")</f>
        <v>63.640136493590333</v>
      </c>
      <c r="F33" s="2204">
        <f t="shared" ca="1" si="1"/>
        <v>106.48917399289068</v>
      </c>
      <c r="G33" s="2205">
        <f t="shared" ca="1" si="2"/>
        <v>6.4891739928906844</v>
      </c>
      <c r="I33" s="1360" t="s">
        <v>206</v>
      </c>
      <c r="J33" s="208"/>
      <c r="K33" s="208"/>
      <c r="L33" s="1423" t="s">
        <v>206</v>
      </c>
    </row>
    <row r="34" spans="1:12" ht="21">
      <c r="A34" s="2906"/>
      <c r="B34" s="2906"/>
      <c r="C34" s="2906"/>
      <c r="D34" s="2906"/>
      <c r="E34" s="2906"/>
      <c r="F34" s="857"/>
      <c r="I34" s="1360" t="s">
        <v>206</v>
      </c>
      <c r="J34" s="208"/>
      <c r="K34" s="208"/>
      <c r="L34" s="1423" t="s">
        <v>206</v>
      </c>
    </row>
    <row r="35" spans="1:12">
      <c r="L35" s="212" t="s">
        <v>206</v>
      </c>
    </row>
    <row r="36" spans="1:12" ht="21">
      <c r="A36" s="8"/>
      <c r="B36" s="8"/>
      <c r="C36" s="720"/>
      <c r="E36" s="8"/>
      <c r="L36" s="212" t="s">
        <v>206</v>
      </c>
    </row>
    <row r="37" spans="1:12">
      <c r="L37" s="212" t="s">
        <v>206</v>
      </c>
    </row>
    <row r="38" spans="1:12">
      <c r="L38" s="212" t="s">
        <v>206</v>
      </c>
    </row>
    <row r="39" spans="1:12">
      <c r="L39" s="212" t="s">
        <v>206</v>
      </c>
    </row>
    <row r="40" spans="1:12">
      <c r="L40" s="212" t="s">
        <v>206</v>
      </c>
    </row>
    <row r="41" spans="1:12">
      <c r="L41" s="212" t="s">
        <v>206</v>
      </c>
    </row>
  </sheetData>
  <sheetProtection algorithmName="SHA-512" hashValue="zyqu+w6tFY7g62Lm04k9psAK4jFBPhvs+Se9WF7nEcOv2GNvOvH4TIvcPAKYHKzeYDuJq3c7iyVNo6soF13TuQ==" saltValue="oNqkNjiyb2ZAOZx7RUV2/g==" spinCount="100000" sheet="1" objects="1" scenarios="1"/>
  <mergeCells count="6">
    <mergeCell ref="A1:G1"/>
    <mergeCell ref="A4:A5"/>
    <mergeCell ref="B4:B5"/>
    <mergeCell ref="A34:E34"/>
    <mergeCell ref="A3:C3"/>
    <mergeCell ref="F5:G5"/>
  </mergeCells>
  <conditionalFormatting sqref="A6:A30">
    <cfRule type="expression" dxfId="414" priority="11">
      <formula>AND($A6=0,OR($B6&lt;&gt;0,$D6&lt;&gt;0))</formula>
    </cfRule>
  </conditionalFormatting>
  <conditionalFormatting sqref="G6:G33">
    <cfRule type="iconSet" priority="7">
      <iconSet iconSet="3Symbols" showValue="0" reverse="1">
        <cfvo type="percent" val="0"/>
        <cfvo type="num" val="10" gte="0"/>
        <cfvo type="num" val="40"/>
      </iconSet>
    </cfRule>
  </conditionalFormatting>
  <conditionalFormatting sqref="B6:B30">
    <cfRule type="expression" dxfId="413" priority="4">
      <formula>$M6=TRUE</formula>
    </cfRule>
  </conditionalFormatting>
  <conditionalFormatting sqref="D6:D30">
    <cfRule type="expression" dxfId="412" priority="3">
      <formula>$N6=TRUE</formula>
    </cfRule>
  </conditionalFormatting>
  <conditionalFormatting sqref="C6:C25">
    <cfRule type="expression" dxfId="411" priority="2">
      <formula>$N6=TRUE</formula>
    </cfRule>
  </conditionalFormatting>
  <conditionalFormatting sqref="C26:C30">
    <cfRule type="expression" dxfId="410" priority="1">
      <formula>$N26=TRUE</formula>
    </cfRule>
  </conditionalFormatting>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B44FAB8C-CBE3-48B2-B546-7BB7F77356A9}">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7">
    <tabColor rgb="FFC00000"/>
    <pageSetUpPr fitToPage="1"/>
  </sheetPr>
  <dimension ref="A1:O45"/>
  <sheetViews>
    <sheetView rightToLeft="1" view="pageBreakPreview" zoomScale="85" zoomScaleNormal="100" zoomScaleSheetLayoutView="85" workbookViewId="0">
      <selection activeCell="A6" sqref="A6"/>
    </sheetView>
  </sheetViews>
  <sheetFormatPr defaultColWidth="9" defaultRowHeight="15"/>
  <cols>
    <col min="1" max="1" width="35.5703125" style="5" bestFit="1" customWidth="1"/>
    <col min="2" max="2" width="18.5703125" style="5" customWidth="1"/>
    <col min="3" max="6" width="17.7109375" style="5" customWidth="1"/>
    <col min="7" max="7" width="3.7109375" style="79" customWidth="1"/>
    <col min="8" max="8" width="9" style="79"/>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hidden="1" customWidth="1"/>
    <col min="16" max="16384" width="9" style="5"/>
  </cols>
  <sheetData>
    <row r="1" spans="1:14" ht="24" customHeight="1">
      <c r="A1" s="2685" t="str">
        <f>روکش!D4</f>
        <v>انبارهای عمومی و خدمات گمرکی ایران</v>
      </c>
      <c r="B1" s="2685"/>
      <c r="C1" s="2685"/>
      <c r="D1" s="2685"/>
      <c r="E1" s="2685"/>
      <c r="F1" s="2685"/>
      <c r="G1" s="2685"/>
    </row>
    <row r="2" spans="1:14" ht="28.5" customHeight="1">
      <c r="A2" s="1206" t="str">
        <f>"صورت ريز هزينه‌هاي پرسنلي غیرمستقیم ارائه خدمات در دوره " &amp; روکش!F9 &amp; " سال " &amp; روکش!D9</f>
        <v>صورت ريز هزينه‌هاي پرسنلي غیرمستقیم ارائه خدمات در دوره شش ماهه سال 1405</v>
      </c>
      <c r="B2" s="1205"/>
      <c r="C2" s="1202"/>
      <c r="D2" s="1202"/>
      <c r="E2" s="1202"/>
      <c r="F2" s="1202"/>
      <c r="G2" s="2211"/>
      <c r="H2" s="832"/>
    </row>
    <row r="3" spans="1:14" ht="20.100000000000001" customHeight="1" thickBot="1">
      <c r="A3" s="2723"/>
      <c r="B3" s="2723"/>
      <c r="C3" s="2723"/>
      <c r="D3" s="527"/>
      <c r="E3" s="527"/>
      <c r="F3" s="1208" t="s">
        <v>30</v>
      </c>
    </row>
    <row r="4" spans="1:14" ht="35.1" customHeight="1">
      <c r="A4" s="2907" t="s">
        <v>21</v>
      </c>
      <c r="B4" s="2907" t="s">
        <v>693</v>
      </c>
      <c r="C4" s="1222" t="s">
        <v>642</v>
      </c>
      <c r="D4" s="1223"/>
      <c r="E4" s="1223"/>
      <c r="F4" s="1224"/>
      <c r="G4" s="1224"/>
    </row>
    <row r="5" spans="1:14" ht="42.75" thickBot="1">
      <c r="A5" s="2908"/>
      <c r="B5" s="2909"/>
      <c r="C5" s="713" t="s">
        <v>53</v>
      </c>
      <c r="D5" s="714" t="s">
        <v>216</v>
      </c>
      <c r="E5" s="714" t="s">
        <v>793</v>
      </c>
      <c r="F5" s="2875" t="s">
        <v>230</v>
      </c>
      <c r="G5" s="2876"/>
      <c r="I5" s="1081" t="s">
        <v>784</v>
      </c>
      <c r="J5" s="208"/>
      <c r="K5" s="208"/>
      <c r="L5" s="1081" t="s">
        <v>792</v>
      </c>
    </row>
    <row r="6" spans="1:14" ht="21.75" customHeight="1">
      <c r="A6" s="1424">
        <f ca="1">IF(ROW()-ROW($A$6)&lt;'الف-ب-ج'!$L$9,INDIRECT("BudgetDB!DS"&amp;('الف-ب-ج'!$M$9+ROW()-ROW($A$6))),"")</f>
        <v>0</v>
      </c>
      <c r="B6" s="215"/>
      <c r="C6" s="1426" cm="1">
        <f t="array" aca="1" ref="C6" ca="1">IF(ROW()-ROW($A$6)&lt;'الف-ب-ج'!$L$9,IF(روکش!$F$9="سه ماهه",INDIRECT("BudgetDB!DT"&amp;('الف-ب-ج'!$M$9+ROW()-ROW($A$6))),INDIRECT("BudgetDB!DU"&amp;('الف-ب-ج'!$M$9+ROW()-ROW($A$6)))),"")</f>
        <v>0</v>
      </c>
      <c r="D6" s="2131"/>
      <c r="E6" s="486" t="str">
        <f t="shared" ref="E6:E30" si="0">IFERROR((D6-B6)*100/B6,"-")</f>
        <v>-</v>
      </c>
      <c r="F6" s="2199" t="str">
        <f t="shared" ref="F6:F33" ca="1" si="1">IFERROR(D6*100/C6,"-")</f>
        <v>-</v>
      </c>
      <c r="G6" s="415">
        <f ca="1">IFERROR(ABS(F6-100),500)</f>
        <v>500</v>
      </c>
      <c r="I6" s="1360" t="str">
        <f ca="1">IF(AND(C6=0,D6&gt;0),100,IFERROR(ABS(F6-100),"-"))</f>
        <v>-</v>
      </c>
      <c r="J6" s="208"/>
      <c r="K6" s="208"/>
      <c r="L6" s="1423">
        <f ca="1">IFERROR(B6+C6+D6,0)</f>
        <v>0</v>
      </c>
      <c r="M6" s="208" t="e">
        <f ca="1">AND(COUNTIF($A6,"*سایر*")=1,$B6/$B$31&gt;0.2)</f>
        <v>#DIV/0!</v>
      </c>
      <c r="N6" s="208" t="e">
        <f ca="1">AND(COUNTIF($A6,"*سایر*")=1,$D6/$D$31&gt;0.2)</f>
        <v>#DIV/0!</v>
      </c>
    </row>
    <row r="7" spans="1:14" ht="21">
      <c r="A7" s="963">
        <f ca="1">IF(ROW()-ROW($A$6)&lt;'الف-ب-ج'!$L$9,INDIRECT("BudgetDB!DS"&amp;('الف-ب-ج'!$M$9+ROW()-ROW($A$6))),"")</f>
        <v>0</v>
      </c>
      <c r="B7" s="217"/>
      <c r="C7" s="1427" cm="1">
        <f t="array" aca="1" ref="C7" ca="1">IF(ROW()-ROW($A$6)&lt;'الف-ب-ج'!$L$9,IF(روکش!$F$9="سه ماهه",INDIRECT("BudgetDB!DT"&amp;('الف-ب-ج'!$M$9+ROW()-ROW($A$6))),INDIRECT("BudgetDB!DU"&amp;('الف-ب-ج'!$M$9+ROW()-ROW($A$6)))),"")</f>
        <v>0</v>
      </c>
      <c r="D7" s="2127"/>
      <c r="E7" s="488" t="str">
        <f t="shared" si="0"/>
        <v>-</v>
      </c>
      <c r="F7" s="2201" t="str">
        <f t="shared" ca="1" si="1"/>
        <v>-</v>
      </c>
      <c r="G7" s="418">
        <f t="shared" ref="G7:G33" ca="1" si="2">IFERROR(ABS(F7-100),500)</f>
        <v>500</v>
      </c>
      <c r="I7" s="1360" t="str">
        <f t="shared" ref="I7:I30" ca="1" si="3">IF(AND(C7=0,D7&gt;0),100,IFERROR(ABS(F7-100),"-"))</f>
        <v>-</v>
      </c>
      <c r="J7" s="208"/>
      <c r="K7" s="208"/>
      <c r="L7" s="1423">
        <f t="shared" ref="L7:L30" ca="1" si="4">IFERROR(B7+C7+D7,0)</f>
        <v>0</v>
      </c>
      <c r="M7" s="208" t="e">
        <f t="shared" ref="M7:M30" ca="1" si="5">AND(COUNTIF($A7,"*سایر*")=1,$B7/$B$31&gt;0.2)</f>
        <v>#DIV/0!</v>
      </c>
      <c r="N7" s="208" t="e">
        <f t="shared" ref="N7:N30" ca="1" si="6">AND(COUNTIF($A7,"*سایر*")=1,$D7/$D$31&gt;0.2)</f>
        <v>#DIV/0!</v>
      </c>
    </row>
    <row r="8" spans="1:14" ht="21">
      <c r="A8" s="963">
        <f ca="1">IF(ROW()-ROW($A$6)&lt;'الف-ب-ج'!$L$9,INDIRECT("BudgetDB!DS"&amp;('الف-ب-ج'!$M$9+ROW()-ROW($A$6))),"")</f>
        <v>0</v>
      </c>
      <c r="B8" s="217"/>
      <c r="C8" s="1427" cm="1">
        <f t="array" aca="1" ref="C8" ca="1">IF(ROW()-ROW($A$6)&lt;'الف-ب-ج'!$L$9,IF(روکش!$F$9="سه ماهه",INDIRECT("BudgetDB!DT"&amp;('الف-ب-ج'!$M$9+ROW()-ROW($A$6))),INDIRECT("BudgetDB!DU"&amp;('الف-ب-ج'!$M$9+ROW()-ROW($A$6)))),"")</f>
        <v>0</v>
      </c>
      <c r="D8" s="2127"/>
      <c r="E8" s="488" t="str">
        <f t="shared" si="0"/>
        <v>-</v>
      </c>
      <c r="F8" s="2201" t="str">
        <f t="shared" ca="1" si="1"/>
        <v>-</v>
      </c>
      <c r="G8" s="418">
        <f t="shared" ca="1" si="2"/>
        <v>500</v>
      </c>
      <c r="I8" s="1360" t="str">
        <f t="shared" ca="1" si="3"/>
        <v>-</v>
      </c>
      <c r="J8" s="208"/>
      <c r="K8" s="208"/>
      <c r="L8" s="1423">
        <f t="shared" ca="1" si="4"/>
        <v>0</v>
      </c>
      <c r="M8" s="208" t="e">
        <f t="shared" ca="1" si="5"/>
        <v>#DIV/0!</v>
      </c>
      <c r="N8" s="208" t="e">
        <f t="shared" ca="1" si="6"/>
        <v>#DIV/0!</v>
      </c>
    </row>
    <row r="9" spans="1:14" ht="21">
      <c r="A9" s="963">
        <f ca="1">IF(ROW()-ROW($A$6)&lt;'الف-ب-ج'!$L$9,INDIRECT("BudgetDB!DS"&amp;('الف-ب-ج'!$M$9+ROW()-ROW($A$6))),"")</f>
        <v>0</v>
      </c>
      <c r="B9" s="217"/>
      <c r="C9" s="1427" cm="1">
        <f t="array" aca="1" ref="C9" ca="1">IF(ROW()-ROW($A$6)&lt;'الف-ب-ج'!$L$9,IF(روکش!$F$9="سه ماهه",INDIRECT("BudgetDB!DT"&amp;('الف-ب-ج'!$M$9+ROW()-ROW($A$6))),INDIRECT("BudgetDB!DU"&amp;('الف-ب-ج'!$M$9+ROW()-ROW($A$6)))),"")</f>
        <v>0</v>
      </c>
      <c r="D9" s="2127"/>
      <c r="E9" s="488" t="str">
        <f t="shared" si="0"/>
        <v>-</v>
      </c>
      <c r="F9" s="2201" t="str">
        <f t="shared" ca="1" si="1"/>
        <v>-</v>
      </c>
      <c r="G9" s="418">
        <f t="shared" ca="1" si="2"/>
        <v>500</v>
      </c>
      <c r="I9" s="1360" t="str">
        <f t="shared" ca="1" si="3"/>
        <v>-</v>
      </c>
      <c r="J9" s="208"/>
      <c r="K9" s="208"/>
      <c r="L9" s="1423">
        <f t="shared" ca="1" si="4"/>
        <v>0</v>
      </c>
      <c r="M9" s="208" t="e">
        <f t="shared" ca="1" si="5"/>
        <v>#DIV/0!</v>
      </c>
      <c r="N9" s="208" t="e">
        <f t="shared" ca="1" si="6"/>
        <v>#DIV/0!</v>
      </c>
    </row>
    <row r="10" spans="1:14" ht="21">
      <c r="A10" s="963">
        <f ca="1">IF(ROW()-ROW($A$6)&lt;'الف-ب-ج'!$L$9,INDIRECT("BudgetDB!DS"&amp;('الف-ب-ج'!$M$9+ROW()-ROW($A$6))),"")</f>
        <v>0</v>
      </c>
      <c r="B10" s="217"/>
      <c r="C10" s="1427" cm="1">
        <f t="array" aca="1" ref="C10" ca="1">IF(ROW()-ROW($A$6)&lt;'الف-ب-ج'!$L$9,IF(روکش!$F$9="سه ماهه",INDIRECT("BudgetDB!DT"&amp;('الف-ب-ج'!$M$9+ROW()-ROW($A$6))),INDIRECT("BudgetDB!DU"&amp;('الف-ب-ج'!$M$9+ROW()-ROW($A$6)))),"")</f>
        <v>0</v>
      </c>
      <c r="D10" s="2127"/>
      <c r="E10" s="488" t="str">
        <f t="shared" si="0"/>
        <v>-</v>
      </c>
      <c r="F10" s="2201" t="str">
        <f t="shared" ca="1" si="1"/>
        <v>-</v>
      </c>
      <c r="G10" s="498">
        <f t="shared" ca="1" si="2"/>
        <v>500</v>
      </c>
      <c r="I10" s="1360" t="str">
        <f t="shared" ca="1" si="3"/>
        <v>-</v>
      </c>
      <c r="J10" s="208"/>
      <c r="K10" s="208"/>
      <c r="L10" s="1423">
        <f t="shared" ca="1" si="4"/>
        <v>0</v>
      </c>
      <c r="M10" s="208" t="e">
        <f ca="1">AND(COUNTIF($A10,"*سایر*")=1,$B10/$B$31&gt;0.2)</f>
        <v>#DIV/0!</v>
      </c>
      <c r="N10" s="208" t="e">
        <f t="shared" ca="1" si="6"/>
        <v>#DIV/0!</v>
      </c>
    </row>
    <row r="11" spans="1:14" ht="21">
      <c r="A11" s="963">
        <f ca="1">IF(ROW()-ROW($A$6)&lt;'الف-ب-ج'!$L$9,INDIRECT("BudgetDB!DS"&amp;('الف-ب-ج'!$M$9+ROW()-ROW($A$6))),"")</f>
        <v>0</v>
      </c>
      <c r="B11" s="217"/>
      <c r="C11" s="1427" cm="1">
        <f t="array" aca="1" ref="C11" ca="1">IF(ROW()-ROW($A$6)&lt;'الف-ب-ج'!$L$9,IF(روکش!$F$9="سه ماهه",INDIRECT("BudgetDB!DT"&amp;('الف-ب-ج'!$M$9+ROW()-ROW($A$6))),INDIRECT("BudgetDB!DU"&amp;('الف-ب-ج'!$M$9+ROW()-ROW($A$6)))),"")</f>
        <v>0</v>
      </c>
      <c r="D11" s="2127"/>
      <c r="E11" s="488" t="str">
        <f t="shared" si="0"/>
        <v>-</v>
      </c>
      <c r="F11" s="2201" t="str">
        <f t="shared" ca="1" si="1"/>
        <v>-</v>
      </c>
      <c r="G11" s="498">
        <f t="shared" ca="1" si="2"/>
        <v>500</v>
      </c>
      <c r="I11" s="1360" t="str">
        <f t="shared" ca="1" si="3"/>
        <v>-</v>
      </c>
      <c r="J11" s="208"/>
      <c r="K11" s="208"/>
      <c r="L11" s="1423">
        <f t="shared" ca="1" si="4"/>
        <v>0</v>
      </c>
      <c r="M11" s="208" t="e">
        <f ca="1">AND(COUNTIF($A11,"*سایر*")=1,$B11/$B$31&gt;0.2)</f>
        <v>#DIV/0!</v>
      </c>
      <c r="N11" s="208" t="e">
        <f t="shared" ca="1" si="6"/>
        <v>#DIV/0!</v>
      </c>
    </row>
    <row r="12" spans="1:14" ht="21">
      <c r="A12" s="963">
        <f ca="1">IF(ROW()-ROW($A$6)&lt;'الف-ب-ج'!$L$9,INDIRECT("BudgetDB!DS"&amp;('الف-ب-ج'!$M$9+ROW()-ROW($A$6))),"")</f>
        <v>0</v>
      </c>
      <c r="B12" s="217"/>
      <c r="C12" s="1427" cm="1">
        <f t="array" aca="1" ref="C12" ca="1">IF(ROW()-ROW($A$6)&lt;'الف-ب-ج'!$L$9,IF(روکش!$F$9="سه ماهه",INDIRECT("BudgetDB!DT"&amp;('الف-ب-ج'!$M$9+ROW()-ROW($A$6))),INDIRECT("BudgetDB!DU"&amp;('الف-ب-ج'!$M$9+ROW()-ROW($A$6)))),"")</f>
        <v>0</v>
      </c>
      <c r="D12" s="2127"/>
      <c r="E12" s="488" t="str">
        <f t="shared" si="0"/>
        <v>-</v>
      </c>
      <c r="F12" s="2201" t="str">
        <f t="shared" ca="1" si="1"/>
        <v>-</v>
      </c>
      <c r="G12" s="498">
        <f t="shared" ca="1" si="2"/>
        <v>500</v>
      </c>
      <c r="I12" s="1360" t="str">
        <f t="shared" ca="1" si="3"/>
        <v>-</v>
      </c>
      <c r="J12" s="208"/>
      <c r="K12" s="208"/>
      <c r="L12" s="1423">
        <f t="shared" ca="1" si="4"/>
        <v>0</v>
      </c>
      <c r="M12" s="208" t="e">
        <f t="shared" ca="1" si="5"/>
        <v>#DIV/0!</v>
      </c>
      <c r="N12" s="208" t="e">
        <f t="shared" ca="1" si="6"/>
        <v>#DIV/0!</v>
      </c>
    </row>
    <row r="13" spans="1:14" ht="21">
      <c r="A13" s="963">
        <f ca="1">IF(ROW()-ROW($A$6)&lt;'الف-ب-ج'!$L$9,INDIRECT("BudgetDB!DS"&amp;('الف-ب-ج'!$M$9+ROW()-ROW($A$6))),"")</f>
        <v>0</v>
      </c>
      <c r="B13" s="217"/>
      <c r="C13" s="1427" cm="1">
        <f t="array" aca="1" ref="C13" ca="1">IF(ROW()-ROW($A$6)&lt;'الف-ب-ج'!$L$9,IF(روکش!$F$9="سه ماهه",INDIRECT("BudgetDB!DT"&amp;('الف-ب-ج'!$M$9+ROW()-ROW($A$6))),INDIRECT("BudgetDB!DU"&amp;('الف-ب-ج'!$M$9+ROW()-ROW($A$6)))),"")</f>
        <v>0</v>
      </c>
      <c r="D13" s="2127"/>
      <c r="E13" s="488" t="str">
        <f t="shared" si="0"/>
        <v>-</v>
      </c>
      <c r="F13" s="2201" t="str">
        <f t="shared" ca="1" si="1"/>
        <v>-</v>
      </c>
      <c r="G13" s="498">
        <f t="shared" ca="1" si="2"/>
        <v>500</v>
      </c>
      <c r="I13" s="1360" t="str">
        <f t="shared" ca="1" si="3"/>
        <v>-</v>
      </c>
      <c r="J13" s="208"/>
      <c r="K13" s="208"/>
      <c r="L13" s="1423">
        <f t="shared" ca="1" si="4"/>
        <v>0</v>
      </c>
      <c r="M13" s="208" t="e">
        <f t="shared" ca="1" si="5"/>
        <v>#DIV/0!</v>
      </c>
      <c r="N13" s="208" t="e">
        <f t="shared" ca="1" si="6"/>
        <v>#DIV/0!</v>
      </c>
    </row>
    <row r="14" spans="1:14" ht="21">
      <c r="A14" s="963">
        <f ca="1">IF(ROW()-ROW($A$6)&lt;'الف-ب-ج'!$L$9,INDIRECT("BudgetDB!DS"&amp;('الف-ب-ج'!$M$9+ROW()-ROW($A$6))),"")</f>
        <v>0</v>
      </c>
      <c r="B14" s="217"/>
      <c r="C14" s="1427" cm="1">
        <f t="array" aca="1" ref="C14" ca="1">IF(ROW()-ROW($A$6)&lt;'الف-ب-ج'!$L$9,IF(روکش!$F$9="سه ماهه",INDIRECT("BudgetDB!DT"&amp;('الف-ب-ج'!$M$9+ROW()-ROW($A$6))),INDIRECT("BudgetDB!DU"&amp;('الف-ب-ج'!$M$9+ROW()-ROW($A$6)))),"")</f>
        <v>0</v>
      </c>
      <c r="D14" s="2127"/>
      <c r="E14" s="488" t="str">
        <f t="shared" si="0"/>
        <v>-</v>
      </c>
      <c r="F14" s="2201" t="str">
        <f t="shared" ca="1" si="1"/>
        <v>-</v>
      </c>
      <c r="G14" s="498">
        <f t="shared" ca="1" si="2"/>
        <v>500</v>
      </c>
      <c r="I14" s="1360" t="str">
        <f t="shared" ca="1" si="3"/>
        <v>-</v>
      </c>
      <c r="J14" s="208"/>
      <c r="K14" s="208"/>
      <c r="L14" s="1423">
        <f t="shared" ca="1" si="4"/>
        <v>0</v>
      </c>
      <c r="M14" s="208" t="e">
        <f t="shared" ca="1" si="5"/>
        <v>#DIV/0!</v>
      </c>
      <c r="N14" s="208" t="e">
        <f t="shared" ca="1" si="6"/>
        <v>#DIV/0!</v>
      </c>
    </row>
    <row r="15" spans="1:14" ht="21">
      <c r="A15" s="963">
        <f ca="1">IF(ROW()-ROW($A$6)&lt;'الف-ب-ج'!$L$9,INDIRECT("BudgetDB!DS"&amp;('الف-ب-ج'!$M$9+ROW()-ROW($A$6))),"")</f>
        <v>0</v>
      </c>
      <c r="B15" s="217"/>
      <c r="C15" s="1427" cm="1">
        <f t="array" aca="1" ref="C15" ca="1">IF(ROW()-ROW($A$6)&lt;'الف-ب-ج'!$L$9,IF(روکش!$F$9="سه ماهه",INDIRECT("BudgetDB!DT"&amp;('الف-ب-ج'!$M$9+ROW()-ROW($A$6))),INDIRECT("BudgetDB!DU"&amp;('الف-ب-ج'!$M$9+ROW()-ROW($A$6)))),"")</f>
        <v>0</v>
      </c>
      <c r="D15" s="2127"/>
      <c r="E15" s="488" t="str">
        <f t="shared" si="0"/>
        <v>-</v>
      </c>
      <c r="F15" s="2201" t="str">
        <f t="shared" ca="1" si="1"/>
        <v>-</v>
      </c>
      <c r="G15" s="498">
        <f t="shared" ca="1" si="2"/>
        <v>500</v>
      </c>
      <c r="I15" s="1360" t="str">
        <f t="shared" ca="1" si="3"/>
        <v>-</v>
      </c>
      <c r="J15" s="208"/>
      <c r="K15" s="208"/>
      <c r="L15" s="1423">
        <f t="shared" ca="1" si="4"/>
        <v>0</v>
      </c>
      <c r="M15" s="208" t="e">
        <f t="shared" ca="1" si="5"/>
        <v>#DIV/0!</v>
      </c>
      <c r="N15" s="208" t="e">
        <f t="shared" ca="1" si="6"/>
        <v>#DIV/0!</v>
      </c>
    </row>
    <row r="16" spans="1:14" ht="21">
      <c r="A16" s="963">
        <f ca="1">IF(ROW()-ROW($A$6)&lt;'الف-ب-ج'!$L$9,INDIRECT("BudgetDB!DS"&amp;('الف-ب-ج'!$M$9+ROW()-ROW($A$6))),"")</f>
        <v>0</v>
      </c>
      <c r="B16" s="217"/>
      <c r="C16" s="1427" cm="1">
        <f t="array" aca="1" ref="C16" ca="1">IF(ROW()-ROW($A$6)&lt;'الف-ب-ج'!$L$9,IF(روکش!$F$9="سه ماهه",INDIRECT("BudgetDB!DT"&amp;('الف-ب-ج'!$M$9+ROW()-ROW($A$6))),INDIRECT("BudgetDB!DU"&amp;('الف-ب-ج'!$M$9+ROW()-ROW($A$6)))),"")</f>
        <v>0</v>
      </c>
      <c r="D16" s="2127"/>
      <c r="E16" s="488" t="str">
        <f t="shared" si="0"/>
        <v>-</v>
      </c>
      <c r="F16" s="2201" t="str">
        <f t="shared" ca="1" si="1"/>
        <v>-</v>
      </c>
      <c r="G16" s="498">
        <f t="shared" ca="1" si="2"/>
        <v>500</v>
      </c>
      <c r="I16" s="1360" t="str">
        <f t="shared" ca="1" si="3"/>
        <v>-</v>
      </c>
      <c r="J16" s="208"/>
      <c r="K16" s="208"/>
      <c r="L16" s="1423">
        <f t="shared" ca="1" si="4"/>
        <v>0</v>
      </c>
      <c r="M16" s="208" t="e">
        <f t="shared" ca="1" si="5"/>
        <v>#DIV/0!</v>
      </c>
      <c r="N16" s="208" t="e">
        <f t="shared" ca="1" si="6"/>
        <v>#DIV/0!</v>
      </c>
    </row>
    <row r="17" spans="1:14" ht="21">
      <c r="A17" s="963">
        <f ca="1">IF(ROW()-ROW($A$6)&lt;'الف-ب-ج'!$L$9,INDIRECT("BudgetDB!DS"&amp;('الف-ب-ج'!$M$9+ROW()-ROW($A$6))),"")</f>
        <v>0</v>
      </c>
      <c r="B17" s="217"/>
      <c r="C17" s="1427" cm="1">
        <f t="array" aca="1" ref="C17" ca="1">IF(ROW()-ROW($A$6)&lt;'الف-ب-ج'!$L$9,IF(روکش!$F$9="سه ماهه",INDIRECT("BudgetDB!DT"&amp;('الف-ب-ج'!$M$9+ROW()-ROW($A$6))),INDIRECT("BudgetDB!DU"&amp;('الف-ب-ج'!$M$9+ROW()-ROW($A$6)))),"")</f>
        <v>0</v>
      </c>
      <c r="D17" s="2127"/>
      <c r="E17" s="488" t="str">
        <f t="shared" si="0"/>
        <v>-</v>
      </c>
      <c r="F17" s="2201" t="str">
        <f t="shared" ca="1" si="1"/>
        <v>-</v>
      </c>
      <c r="G17" s="498">
        <f t="shared" ca="1" si="2"/>
        <v>500</v>
      </c>
      <c r="I17" s="1360" t="str">
        <f t="shared" ca="1" si="3"/>
        <v>-</v>
      </c>
      <c r="J17" s="208"/>
      <c r="K17" s="208"/>
      <c r="L17" s="1423">
        <f t="shared" ca="1" si="4"/>
        <v>0</v>
      </c>
      <c r="M17" s="208" t="e">
        <f t="shared" ca="1" si="5"/>
        <v>#DIV/0!</v>
      </c>
      <c r="N17" s="208" t="e">
        <f t="shared" ca="1" si="6"/>
        <v>#DIV/0!</v>
      </c>
    </row>
    <row r="18" spans="1:14" ht="21">
      <c r="A18" s="963">
        <f ca="1">IF(ROW()-ROW($A$6)&lt;'الف-ب-ج'!$L$9,INDIRECT("BudgetDB!DS"&amp;('الف-ب-ج'!$M$9+ROW()-ROW($A$6))),"")</f>
        <v>0</v>
      </c>
      <c r="B18" s="217"/>
      <c r="C18" s="1427" cm="1">
        <f t="array" aca="1" ref="C18" ca="1">IF(ROW()-ROW($A$6)&lt;'الف-ب-ج'!$L$9,IF(روکش!$F$9="سه ماهه",INDIRECT("BudgetDB!DT"&amp;('الف-ب-ج'!$M$9+ROW()-ROW($A$6))),INDIRECT("BudgetDB!DU"&amp;('الف-ب-ج'!$M$9+ROW()-ROW($A$6)))),"")</f>
        <v>0</v>
      </c>
      <c r="D18" s="2127"/>
      <c r="E18" s="488" t="str">
        <f t="shared" si="0"/>
        <v>-</v>
      </c>
      <c r="F18" s="2201" t="str">
        <f t="shared" ca="1" si="1"/>
        <v>-</v>
      </c>
      <c r="G18" s="498">
        <f t="shared" ca="1" si="2"/>
        <v>500</v>
      </c>
      <c r="I18" s="1360" t="str">
        <f t="shared" ca="1" si="3"/>
        <v>-</v>
      </c>
      <c r="J18" s="208"/>
      <c r="K18" s="208"/>
      <c r="L18" s="1423">
        <f t="shared" ca="1" si="4"/>
        <v>0</v>
      </c>
      <c r="M18" s="208" t="e">
        <f t="shared" ca="1" si="5"/>
        <v>#DIV/0!</v>
      </c>
      <c r="N18" s="208" t="e">
        <f t="shared" ca="1" si="6"/>
        <v>#DIV/0!</v>
      </c>
    </row>
    <row r="19" spans="1:14" ht="21">
      <c r="A19" s="963">
        <f ca="1">IF(ROW()-ROW($A$6)&lt;'الف-ب-ج'!$L$9,INDIRECT("BudgetDB!DS"&amp;('الف-ب-ج'!$M$9+ROW()-ROW($A$6))),"")</f>
        <v>0</v>
      </c>
      <c r="B19" s="217"/>
      <c r="C19" s="1427" cm="1">
        <f t="array" aca="1" ref="C19" ca="1">IF(ROW()-ROW($A$6)&lt;'الف-ب-ج'!$L$9,IF(روکش!$F$9="سه ماهه",INDIRECT("BudgetDB!DT"&amp;('الف-ب-ج'!$M$9+ROW()-ROW($A$6))),INDIRECT("BudgetDB!DU"&amp;('الف-ب-ج'!$M$9+ROW()-ROW($A$6)))),"")</f>
        <v>0</v>
      </c>
      <c r="D19" s="2127"/>
      <c r="E19" s="488" t="str">
        <f t="shared" si="0"/>
        <v>-</v>
      </c>
      <c r="F19" s="2201" t="str">
        <f t="shared" ca="1" si="1"/>
        <v>-</v>
      </c>
      <c r="G19" s="498">
        <f t="shared" ca="1" si="2"/>
        <v>500</v>
      </c>
      <c r="I19" s="1360" t="str">
        <f t="shared" ca="1" si="3"/>
        <v>-</v>
      </c>
      <c r="J19" s="208"/>
      <c r="K19" s="208"/>
      <c r="L19" s="1423">
        <f t="shared" ca="1" si="4"/>
        <v>0</v>
      </c>
      <c r="M19" s="208" t="e">
        <f t="shared" ca="1" si="5"/>
        <v>#DIV/0!</v>
      </c>
      <c r="N19" s="208" t="e">
        <f t="shared" ca="1" si="6"/>
        <v>#DIV/0!</v>
      </c>
    </row>
    <row r="20" spans="1:14" ht="21">
      <c r="A20" s="963">
        <f ca="1">IF(ROW()-ROW($A$6)&lt;'الف-ب-ج'!$L$9,INDIRECT("BudgetDB!DS"&amp;('الف-ب-ج'!$M$9+ROW()-ROW($A$6))),"")</f>
        <v>0</v>
      </c>
      <c r="B20" s="217"/>
      <c r="C20" s="1427" cm="1">
        <f t="array" aca="1" ref="C20" ca="1">IF(ROW()-ROW($A$6)&lt;'الف-ب-ج'!$L$9,IF(روکش!$F$9="سه ماهه",INDIRECT("BudgetDB!DT"&amp;('الف-ب-ج'!$M$9+ROW()-ROW($A$6))),INDIRECT("BudgetDB!DU"&amp;('الف-ب-ج'!$M$9+ROW()-ROW($A$6)))),"")</f>
        <v>0</v>
      </c>
      <c r="D20" s="2127"/>
      <c r="E20" s="488" t="str">
        <f t="shared" si="0"/>
        <v>-</v>
      </c>
      <c r="F20" s="2201" t="str">
        <f t="shared" ca="1" si="1"/>
        <v>-</v>
      </c>
      <c r="G20" s="498">
        <f t="shared" ca="1" si="2"/>
        <v>500</v>
      </c>
      <c r="I20" s="1360" t="str">
        <f t="shared" ca="1" si="3"/>
        <v>-</v>
      </c>
      <c r="J20" s="208"/>
      <c r="K20" s="208"/>
      <c r="L20" s="1423">
        <f t="shared" ca="1" si="4"/>
        <v>0</v>
      </c>
      <c r="M20" s="208" t="e">
        <f t="shared" ca="1" si="5"/>
        <v>#DIV/0!</v>
      </c>
      <c r="N20" s="208" t="e">
        <f t="shared" ca="1" si="6"/>
        <v>#DIV/0!</v>
      </c>
    </row>
    <row r="21" spans="1:14" ht="21">
      <c r="A21" s="963">
        <f ca="1">IF(ROW()-ROW($A$6)&lt;'الف-ب-ج'!$L$9,INDIRECT("BudgetDB!DS"&amp;('الف-ب-ج'!$M$9+ROW()-ROW($A$6))),"")</f>
        <v>0</v>
      </c>
      <c r="B21" s="217"/>
      <c r="C21" s="1427" cm="1">
        <f t="array" aca="1" ref="C21" ca="1">IF(ROW()-ROW($A$6)&lt;'الف-ب-ج'!$L$9,IF(روکش!$F$9="سه ماهه",INDIRECT("BudgetDB!DT"&amp;('الف-ب-ج'!$M$9+ROW()-ROW($A$6))),INDIRECT("BudgetDB!DU"&amp;('الف-ب-ج'!$M$9+ROW()-ROW($A$6)))),"")</f>
        <v>0</v>
      </c>
      <c r="D21" s="2127"/>
      <c r="E21" s="488" t="str">
        <f t="shared" si="0"/>
        <v>-</v>
      </c>
      <c r="F21" s="2201" t="str">
        <f t="shared" ca="1" si="1"/>
        <v>-</v>
      </c>
      <c r="G21" s="498">
        <f t="shared" ca="1" si="2"/>
        <v>500</v>
      </c>
      <c r="I21" s="1360" t="str">
        <f t="shared" ca="1" si="3"/>
        <v>-</v>
      </c>
      <c r="J21" s="208"/>
      <c r="K21" s="208"/>
      <c r="L21" s="1423">
        <f t="shared" ca="1" si="4"/>
        <v>0</v>
      </c>
      <c r="M21" s="208" t="e">
        <f t="shared" ca="1" si="5"/>
        <v>#DIV/0!</v>
      </c>
      <c r="N21" s="208" t="e">
        <f t="shared" ca="1" si="6"/>
        <v>#DIV/0!</v>
      </c>
    </row>
    <row r="22" spans="1:14" ht="21">
      <c r="A22" s="963">
        <f ca="1">IF(ROW()-ROW($A$6)&lt;'الف-ب-ج'!$L$9,INDIRECT("BudgetDB!DS"&amp;('الف-ب-ج'!$M$9+ROW()-ROW($A$6))),"")</f>
        <v>0</v>
      </c>
      <c r="B22" s="217"/>
      <c r="C22" s="1427" cm="1">
        <f t="array" aca="1" ref="C22" ca="1">IF(ROW()-ROW($A$6)&lt;'الف-ب-ج'!$L$9,IF(روکش!$F$9="سه ماهه",INDIRECT("BudgetDB!DT"&amp;('الف-ب-ج'!$M$9+ROW()-ROW($A$6))),INDIRECT("BudgetDB!DU"&amp;('الف-ب-ج'!$M$9+ROW()-ROW($A$6)))),"")</f>
        <v>0</v>
      </c>
      <c r="D22" s="2127"/>
      <c r="E22" s="488" t="str">
        <f t="shared" si="0"/>
        <v>-</v>
      </c>
      <c r="F22" s="2201" t="str">
        <f t="shared" ca="1" si="1"/>
        <v>-</v>
      </c>
      <c r="G22" s="498">
        <f t="shared" ca="1" si="2"/>
        <v>500</v>
      </c>
      <c r="I22" s="1360" t="str">
        <f t="shared" ca="1" si="3"/>
        <v>-</v>
      </c>
      <c r="J22" s="208"/>
      <c r="K22" s="208"/>
      <c r="L22" s="1423">
        <f t="shared" ca="1" si="4"/>
        <v>0</v>
      </c>
      <c r="M22" s="208" t="e">
        <f t="shared" ca="1" si="5"/>
        <v>#DIV/0!</v>
      </c>
      <c r="N22" s="208" t="e">
        <f t="shared" ca="1" si="6"/>
        <v>#DIV/0!</v>
      </c>
    </row>
    <row r="23" spans="1:14" ht="21">
      <c r="A23" s="963">
        <f ca="1">IF(ROW()-ROW($A$6)&lt;'الف-ب-ج'!$L$9,INDIRECT("BudgetDB!DS"&amp;('الف-ب-ج'!$M$9+ROW()-ROW($A$6))),"")</f>
        <v>0</v>
      </c>
      <c r="B23" s="217"/>
      <c r="C23" s="1427" cm="1">
        <f t="array" aca="1" ref="C23" ca="1">IF(ROW()-ROW($A$6)&lt;'الف-ب-ج'!$L$9,IF(روکش!$F$9="سه ماهه",INDIRECT("BudgetDB!DT"&amp;('الف-ب-ج'!$M$9+ROW()-ROW($A$6))),INDIRECT("BudgetDB!DU"&amp;('الف-ب-ج'!$M$9+ROW()-ROW($A$6)))),"")</f>
        <v>0</v>
      </c>
      <c r="D23" s="2127"/>
      <c r="E23" s="488" t="str">
        <f t="shared" si="0"/>
        <v>-</v>
      </c>
      <c r="F23" s="2201" t="str">
        <f t="shared" ca="1" si="1"/>
        <v>-</v>
      </c>
      <c r="G23" s="498">
        <f t="shared" ca="1" si="2"/>
        <v>500</v>
      </c>
      <c r="I23" s="1360" t="str">
        <f t="shared" ca="1" si="3"/>
        <v>-</v>
      </c>
      <c r="J23" s="208"/>
      <c r="K23" s="208"/>
      <c r="L23" s="1423">
        <f t="shared" ca="1" si="4"/>
        <v>0</v>
      </c>
      <c r="M23" s="208" t="e">
        <f t="shared" ca="1" si="5"/>
        <v>#DIV/0!</v>
      </c>
      <c r="N23" s="208" t="e">
        <f t="shared" ca="1" si="6"/>
        <v>#DIV/0!</v>
      </c>
    </row>
    <row r="24" spans="1:14" ht="21">
      <c r="A24" s="963">
        <f ca="1">IF(ROW()-ROW($A$6)&lt;'الف-ب-ج'!$L$9,INDIRECT("BudgetDB!DS"&amp;('الف-ب-ج'!$M$9+ROW()-ROW($A$6))),"")</f>
        <v>0</v>
      </c>
      <c r="B24" s="217"/>
      <c r="C24" s="1427" cm="1">
        <f t="array" aca="1" ref="C24" ca="1">IF(ROW()-ROW($A$6)&lt;'الف-ب-ج'!$L$9,IF(روکش!$F$9="سه ماهه",INDIRECT("BudgetDB!DT"&amp;('الف-ب-ج'!$M$9+ROW()-ROW($A$6))),INDIRECT("BudgetDB!DU"&amp;('الف-ب-ج'!$M$9+ROW()-ROW($A$6)))),"")</f>
        <v>0</v>
      </c>
      <c r="D24" s="2127"/>
      <c r="E24" s="488" t="str">
        <f t="shared" si="0"/>
        <v>-</v>
      </c>
      <c r="F24" s="2201" t="str">
        <f t="shared" ca="1" si="1"/>
        <v>-</v>
      </c>
      <c r="G24" s="498">
        <f t="shared" ca="1" si="2"/>
        <v>500</v>
      </c>
      <c r="I24" s="1360" t="str">
        <f t="shared" ca="1" si="3"/>
        <v>-</v>
      </c>
      <c r="J24" s="208"/>
      <c r="K24" s="208"/>
      <c r="L24" s="1423">
        <f t="shared" ca="1" si="4"/>
        <v>0</v>
      </c>
      <c r="M24" s="208" t="e">
        <f t="shared" ca="1" si="5"/>
        <v>#DIV/0!</v>
      </c>
      <c r="N24" s="208" t="e">
        <f t="shared" ca="1" si="6"/>
        <v>#DIV/0!</v>
      </c>
    </row>
    <row r="25" spans="1:14" ht="21">
      <c r="A25" s="963">
        <f ca="1">IF(ROW()-ROW($A$6)&lt;'الف-ب-ج'!$L$9,INDIRECT("BudgetDB!DS"&amp;('الف-ب-ج'!$M$9+ROW()-ROW($A$6))),"")</f>
        <v>0</v>
      </c>
      <c r="B25" s="217"/>
      <c r="C25" s="1427" cm="1">
        <f t="array" aca="1" ref="C25" ca="1">IF(ROW()-ROW($A$6)&lt;'الف-ب-ج'!$L$9,IF(روکش!$F$9="سه ماهه",INDIRECT("BudgetDB!DT"&amp;('الف-ب-ج'!$M$9+ROW()-ROW($A$6))),INDIRECT("BudgetDB!DU"&amp;('الف-ب-ج'!$M$9+ROW()-ROW($A$6)))),"")</f>
        <v>0</v>
      </c>
      <c r="D25" s="2127"/>
      <c r="E25" s="488" t="str">
        <f t="shared" si="0"/>
        <v>-</v>
      </c>
      <c r="F25" s="2201" t="str">
        <f t="shared" ca="1" si="1"/>
        <v>-</v>
      </c>
      <c r="G25" s="498">
        <f t="shared" ca="1" si="2"/>
        <v>500</v>
      </c>
      <c r="I25" s="1360" t="str">
        <f t="shared" ca="1" si="3"/>
        <v>-</v>
      </c>
      <c r="J25" s="208"/>
      <c r="K25" s="208"/>
      <c r="L25" s="1423">
        <f t="shared" ca="1" si="4"/>
        <v>0</v>
      </c>
      <c r="M25" s="208" t="e">
        <f t="shared" ca="1" si="5"/>
        <v>#DIV/0!</v>
      </c>
      <c r="N25" s="208" t="e">
        <f t="shared" ca="1" si="6"/>
        <v>#DIV/0!</v>
      </c>
    </row>
    <row r="26" spans="1:14" ht="21">
      <c r="A26" s="496">
        <f ca="1">IF(ROW()-ROW($A$6)&lt;'الف-ب-ج'!$L$9,INDIRECT("BudgetDB!DS"&amp;('الف-ب-ج'!$M$9+ROW()-ROW($A$6))),"")</f>
        <v>0</v>
      </c>
      <c r="B26" s="217"/>
      <c r="C26" s="1427" cm="1">
        <f t="array" aca="1" ref="C26" ca="1">IF(ROW()-ROW($A$6)&lt;'الف-ب-ج'!$L$9,IF(روکش!$F$9="سه ماهه",INDIRECT("BudgetDB!DT"&amp;('الف-ب-ج'!$M$9+ROW()-ROW($A$6))),INDIRECT("BudgetDB!DU"&amp;('الف-ب-ج'!$M$9+ROW()-ROW($A$6)))),"")</f>
        <v>0</v>
      </c>
      <c r="D26" s="2127"/>
      <c r="E26" s="488" t="str">
        <f t="shared" si="0"/>
        <v>-</v>
      </c>
      <c r="F26" s="2201" t="str">
        <f t="shared" ca="1" si="1"/>
        <v>-</v>
      </c>
      <c r="G26" s="498">
        <f t="shared" ca="1" si="2"/>
        <v>500</v>
      </c>
      <c r="I26" s="1360" t="str">
        <f t="shared" ca="1" si="3"/>
        <v>-</v>
      </c>
      <c r="J26" s="208"/>
      <c r="K26" s="208"/>
      <c r="L26" s="1423">
        <f t="shared" ca="1" si="4"/>
        <v>0</v>
      </c>
      <c r="M26" s="208" t="e">
        <f t="shared" ca="1" si="5"/>
        <v>#DIV/0!</v>
      </c>
      <c r="N26" s="208" t="e">
        <f t="shared" ca="1" si="6"/>
        <v>#DIV/0!</v>
      </c>
    </row>
    <row r="27" spans="1:14" ht="21">
      <c r="A27" s="496">
        <f ca="1">IF(ROW()-ROW($A$6)&lt;'الف-ب-ج'!$L$9,INDIRECT("BudgetDB!DS"&amp;('الف-ب-ج'!$M$9+ROW()-ROW($A$6))),"")</f>
        <v>0</v>
      </c>
      <c r="B27" s="217"/>
      <c r="C27" s="1427" cm="1">
        <f t="array" aca="1" ref="C27" ca="1">IF(ROW()-ROW($A$6)&lt;'الف-ب-ج'!$L$9,IF(روکش!$F$9="سه ماهه",INDIRECT("BudgetDB!DT"&amp;('الف-ب-ج'!$M$9+ROW()-ROW($A$6))),INDIRECT("BudgetDB!DU"&amp;('الف-ب-ج'!$M$9+ROW()-ROW($A$6)))),"")</f>
        <v>0</v>
      </c>
      <c r="D27" s="2127"/>
      <c r="E27" s="488" t="str">
        <f t="shared" si="0"/>
        <v>-</v>
      </c>
      <c r="F27" s="2201" t="str">
        <f ca="1">IFERROR(D27*100/C27,"-")</f>
        <v>-</v>
      </c>
      <c r="G27" s="498">
        <f t="shared" ca="1" si="2"/>
        <v>500</v>
      </c>
      <c r="I27" s="1360" t="str">
        <f t="shared" ca="1" si="3"/>
        <v>-</v>
      </c>
      <c r="J27" s="208"/>
      <c r="K27" s="208"/>
      <c r="L27" s="1423">
        <f t="shared" ca="1" si="4"/>
        <v>0</v>
      </c>
      <c r="M27" s="208" t="e">
        <f t="shared" ca="1" si="5"/>
        <v>#DIV/0!</v>
      </c>
      <c r="N27" s="208" t="e">
        <f t="shared" ca="1" si="6"/>
        <v>#DIV/0!</v>
      </c>
    </row>
    <row r="28" spans="1:14" ht="21">
      <c r="A28" s="496">
        <f ca="1">IF(ROW()-ROW($A$6)&lt;'الف-ب-ج'!$L$9,INDIRECT("BudgetDB!DS"&amp;('الف-ب-ج'!$M$9+ROW()-ROW($A$6))),"")</f>
        <v>0</v>
      </c>
      <c r="B28" s="217"/>
      <c r="C28" s="1427" cm="1">
        <f t="array" aca="1" ref="C28" ca="1">IF(ROW()-ROW($A$6)&lt;'الف-ب-ج'!$L$9,IF(روکش!$F$9="سه ماهه",INDIRECT("BudgetDB!DT"&amp;('الف-ب-ج'!$M$9+ROW()-ROW($A$6))),INDIRECT("BudgetDB!DU"&amp;('الف-ب-ج'!$M$9+ROW()-ROW($A$6)))),"")</f>
        <v>0</v>
      </c>
      <c r="D28" s="2127"/>
      <c r="E28" s="488" t="str">
        <f t="shared" si="0"/>
        <v>-</v>
      </c>
      <c r="F28" s="2201" t="str">
        <f t="shared" ca="1" si="1"/>
        <v>-</v>
      </c>
      <c r="G28" s="498">
        <f t="shared" ca="1" si="2"/>
        <v>500</v>
      </c>
      <c r="I28" s="1360" t="str">
        <f t="shared" ca="1" si="3"/>
        <v>-</v>
      </c>
      <c r="J28" s="208"/>
      <c r="K28" s="208"/>
      <c r="L28" s="1423">
        <f t="shared" ca="1" si="4"/>
        <v>0</v>
      </c>
      <c r="M28" s="208" t="e">
        <f t="shared" ca="1" si="5"/>
        <v>#DIV/0!</v>
      </c>
      <c r="N28" s="208" t="e">
        <f t="shared" ca="1" si="6"/>
        <v>#DIV/0!</v>
      </c>
    </row>
    <row r="29" spans="1:14" ht="21">
      <c r="A29" s="496">
        <f ca="1">IF(ROW()-ROW($A$6)&lt;'الف-ب-ج'!$L$9,INDIRECT("BudgetDB!DS"&amp;('الف-ب-ج'!$M$9+ROW()-ROW($A$6))),"")</f>
        <v>0</v>
      </c>
      <c r="B29" s="217"/>
      <c r="C29" s="1427" cm="1">
        <f t="array" aca="1" ref="C29" ca="1">IF(ROW()-ROW($A$6)&lt;'الف-ب-ج'!$L$9,IF(روکش!$F$9="سه ماهه",INDIRECT("BudgetDB!DT"&amp;('الف-ب-ج'!$M$9+ROW()-ROW($A$6))),INDIRECT("BudgetDB!DU"&amp;('الف-ب-ج'!$M$9+ROW()-ROW($A$6)))),"")</f>
        <v>0</v>
      </c>
      <c r="D29" s="2127"/>
      <c r="E29" s="488" t="str">
        <f t="shared" si="0"/>
        <v>-</v>
      </c>
      <c r="F29" s="2201" t="str">
        <f t="shared" ca="1" si="1"/>
        <v>-</v>
      </c>
      <c r="G29" s="498">
        <f t="shared" ca="1" si="2"/>
        <v>500</v>
      </c>
      <c r="I29" s="1360" t="str">
        <f t="shared" ca="1" si="3"/>
        <v>-</v>
      </c>
      <c r="J29" s="208"/>
      <c r="K29" s="208"/>
      <c r="L29" s="1423">
        <f t="shared" ca="1" si="4"/>
        <v>0</v>
      </c>
      <c r="M29" s="208" t="e">
        <f t="shared" ca="1" si="5"/>
        <v>#DIV/0!</v>
      </c>
      <c r="N29" s="208" t="e">
        <f t="shared" ca="1" si="6"/>
        <v>#DIV/0!</v>
      </c>
    </row>
    <row r="30" spans="1:14" ht="21.75" thickBot="1">
      <c r="A30" s="496">
        <f ca="1">IF(ROW()-ROW($A$6)&lt;'الف-ب-ج'!$L$9,INDIRECT("BudgetDB!DS"&amp;('الف-ب-ج'!$M$9+ROW()-ROW($A$6))),"")</f>
        <v>0</v>
      </c>
      <c r="B30" s="217"/>
      <c r="C30" s="2132" cm="1">
        <f t="array" aca="1" ref="C30" ca="1">IF(ROW()-ROW($A$6)&lt;'الف-ب-ج'!$L$9,IF(روکش!$F$9="سه ماهه",INDIRECT("BudgetDB!DT"&amp;('الف-ب-ج'!$M$9+ROW()-ROW($A$6))),INDIRECT("BudgetDB!DU"&amp;('الف-ب-ج'!$M$9+ROW()-ROW($A$6)))),"")</f>
        <v>0</v>
      </c>
      <c r="D30" s="2127"/>
      <c r="E30" s="488" t="str">
        <f t="shared" si="0"/>
        <v>-</v>
      </c>
      <c r="F30" s="2202" t="str">
        <f t="shared" ca="1" si="1"/>
        <v>-</v>
      </c>
      <c r="G30" s="2203">
        <f t="shared" ca="1" si="2"/>
        <v>500</v>
      </c>
      <c r="I30" s="1360" t="str">
        <f t="shared" ca="1" si="3"/>
        <v>-</v>
      </c>
      <c r="J30" s="208"/>
      <c r="K30" s="208"/>
      <c r="L30" s="1423">
        <f t="shared" ca="1" si="4"/>
        <v>0</v>
      </c>
      <c r="M30" s="208" t="e">
        <f t="shared" ca="1" si="5"/>
        <v>#DIV/0!</v>
      </c>
      <c r="N30" s="208" t="e">
        <f t="shared" ca="1" si="6"/>
        <v>#DIV/0!</v>
      </c>
    </row>
    <row r="31" spans="1:14" ht="21.75" thickBot="1">
      <c r="A31" s="492" t="s">
        <v>1505</v>
      </c>
      <c r="B31" s="493">
        <f>SUM(B6:B30)</f>
        <v>0</v>
      </c>
      <c r="C31" s="493">
        <f ca="1">SUM(C6:C30)</f>
        <v>0</v>
      </c>
      <c r="D31" s="494">
        <f>SUM(D6:D30)</f>
        <v>0</v>
      </c>
      <c r="E31" s="490" t="str">
        <f>IFERROR((D31-B31)*100/B31,"-")</f>
        <v>-</v>
      </c>
      <c r="F31" s="2204" t="str">
        <f t="shared" ca="1" si="1"/>
        <v>-</v>
      </c>
      <c r="G31" s="2205">
        <f t="shared" ca="1" si="2"/>
        <v>500</v>
      </c>
      <c r="I31" s="1360" t="s">
        <v>206</v>
      </c>
      <c r="J31" s="208"/>
      <c r="K31" s="208"/>
      <c r="L31" s="1423" t="s">
        <v>206</v>
      </c>
    </row>
    <row r="32" spans="1:14" ht="21.75" thickBot="1">
      <c r="A32" s="495" t="s">
        <v>1555</v>
      </c>
      <c r="B32" s="1120"/>
      <c r="C32" s="1428" cm="1">
        <f t="array" aca="1" ref="C32" ca="1">IF(روکش!$F$9="سه ماهه",INDIRECT("BudgetDB!DV"&amp;('الف-ب-ج'!$M$9+ROW()-ROW($A$32))),INDIRECT("BudgetDB!DW"&amp;('الف-ب-ج'!$M$9+ROW()-ROW($A$32))))</f>
        <v>0</v>
      </c>
      <c r="D32" s="244"/>
      <c r="E32" s="490" t="str">
        <f>IFERROR((D32-B32)*100/B32,"-")</f>
        <v>-</v>
      </c>
      <c r="F32" s="2204" t="str">
        <f t="shared" ca="1" si="1"/>
        <v>-</v>
      </c>
      <c r="G32" s="2205">
        <f t="shared" ca="1" si="2"/>
        <v>500</v>
      </c>
      <c r="I32" s="1360" t="str">
        <f ca="1">IF(AND(C32=0,D32&gt;0),100,IFERROR(ABS(F32-100),"-"))</f>
        <v>-</v>
      </c>
      <c r="J32" s="208"/>
      <c r="K32" s="208"/>
      <c r="L32" s="1423" t="s">
        <v>206</v>
      </c>
    </row>
    <row r="33" spans="1:12" ht="21.75" thickBot="1">
      <c r="A33" s="492" t="s">
        <v>853</v>
      </c>
      <c r="B33" s="1425">
        <f>B31+B32</f>
        <v>0</v>
      </c>
      <c r="C33" s="493">
        <f ca="1">C31+C32</f>
        <v>0</v>
      </c>
      <c r="D33" s="494">
        <f>D31+D32</f>
        <v>0</v>
      </c>
      <c r="E33" s="490" t="str">
        <f>IFERROR((D33-B33)*100/B33,"-")</f>
        <v>-</v>
      </c>
      <c r="F33" s="2204" t="str">
        <f t="shared" ca="1" si="1"/>
        <v>-</v>
      </c>
      <c r="G33" s="2205">
        <f t="shared" ca="1" si="2"/>
        <v>500</v>
      </c>
      <c r="I33" s="1360" t="s">
        <v>206</v>
      </c>
      <c r="J33" s="208"/>
      <c r="K33" s="208"/>
      <c r="L33" s="1423" t="s">
        <v>206</v>
      </c>
    </row>
    <row r="34" spans="1:12" ht="21">
      <c r="A34" s="2906"/>
      <c r="B34" s="2906"/>
      <c r="C34" s="2906"/>
      <c r="D34" s="2906"/>
      <c r="E34" s="2906"/>
      <c r="F34" s="857"/>
      <c r="I34" s="1360" t="s">
        <v>206</v>
      </c>
      <c r="J34" s="208"/>
      <c r="K34" s="208"/>
      <c r="L34" s="1423" t="s">
        <v>206</v>
      </c>
    </row>
    <row r="35" spans="1:12" ht="21">
      <c r="A35" s="8"/>
      <c r="B35" s="8"/>
      <c r="C35" s="720"/>
      <c r="E35" s="8"/>
      <c r="L35" s="212" t="s">
        <v>206</v>
      </c>
    </row>
    <row r="36" spans="1:12">
      <c r="L36" s="212" t="s">
        <v>206</v>
      </c>
    </row>
    <row r="37" spans="1:12">
      <c r="L37" s="212" t="s">
        <v>206</v>
      </c>
    </row>
    <row r="38" spans="1:12">
      <c r="L38" s="212" t="s">
        <v>206</v>
      </c>
    </row>
    <row r="39" spans="1:12">
      <c r="L39" s="212" t="s">
        <v>206</v>
      </c>
    </row>
    <row r="40" spans="1:12">
      <c r="L40" s="212" t="s">
        <v>206</v>
      </c>
    </row>
    <row r="41" spans="1:12">
      <c r="L41" s="212" t="s">
        <v>206</v>
      </c>
    </row>
    <row r="42" spans="1:12">
      <c r="L42" s="212" t="s">
        <v>206</v>
      </c>
    </row>
    <row r="43" spans="1:12">
      <c r="L43" s="212" t="s">
        <v>206</v>
      </c>
    </row>
    <row r="44" spans="1:12">
      <c r="L44" s="212" t="s">
        <v>206</v>
      </c>
    </row>
    <row r="45" spans="1:12">
      <c r="L45" s="212" t="s">
        <v>206</v>
      </c>
    </row>
  </sheetData>
  <mergeCells count="6">
    <mergeCell ref="A4:A5"/>
    <mergeCell ref="B4:B5"/>
    <mergeCell ref="A34:E34"/>
    <mergeCell ref="A3:C3"/>
    <mergeCell ref="A1:G1"/>
    <mergeCell ref="F5:G5"/>
  </mergeCells>
  <conditionalFormatting sqref="A6:A30">
    <cfRule type="expression" dxfId="409" priority="5">
      <formula>AND($A6=0,OR($B6&lt;&gt;0,$D6&lt;&gt;0))</formula>
    </cfRule>
  </conditionalFormatting>
  <conditionalFormatting sqref="B6:B30">
    <cfRule type="expression" dxfId="408" priority="4">
      <formula>$M6=TRUE</formula>
    </cfRule>
  </conditionalFormatting>
  <conditionalFormatting sqref="D6:D30">
    <cfRule type="expression" dxfId="407" priority="3">
      <formula>$N6=TRUE</formula>
    </cfRule>
  </conditionalFormatting>
  <conditionalFormatting sqref="G6:G33">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9B5463E3-74B2-4334-AC81-A599C9EE3877}">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3">
    <tabColor rgb="FFC00000"/>
    <pageSetUpPr fitToPage="1"/>
  </sheetPr>
  <dimension ref="A1:O35"/>
  <sheetViews>
    <sheetView showGridLines="0" rightToLeft="1" view="pageBreakPreview" topLeftCell="A7" zoomScale="90" zoomScaleNormal="100" zoomScaleSheetLayoutView="90" workbookViewId="0">
      <selection activeCell="D20" sqref="D20"/>
    </sheetView>
  </sheetViews>
  <sheetFormatPr defaultColWidth="9" defaultRowHeight="15"/>
  <cols>
    <col min="1" max="1" width="43.5703125" style="5" customWidth="1"/>
    <col min="2" max="4" width="18.5703125" style="5" customWidth="1"/>
    <col min="5" max="6" width="18.85546875" style="5" customWidth="1"/>
    <col min="7" max="7" width="3.7109375" style="79" customWidth="1"/>
    <col min="8" max="8" width="9" style="79"/>
    <col min="9" max="12" width="9" style="212" hidden="1" customWidth="1"/>
    <col min="13" max="13" width="9" style="208" hidden="1" customWidth="1"/>
    <col min="14" max="14" width="9" style="5" hidden="1" customWidth="1"/>
    <col min="15" max="15" width="9" style="212" customWidth="1"/>
    <col min="16" max="16384" width="9" style="5"/>
  </cols>
  <sheetData>
    <row r="1" spans="1:15" ht="24" customHeight="1">
      <c r="A1" s="2685" t="str">
        <f>روکش!D4</f>
        <v>انبارهای عمومی و خدمات گمرکی ایران</v>
      </c>
      <c r="B1" s="2685"/>
      <c r="C1" s="2685"/>
      <c r="D1" s="2685"/>
      <c r="E1" s="2685"/>
      <c r="F1" s="2685"/>
      <c r="G1" s="2685"/>
    </row>
    <row r="2" spans="1:15" ht="28.5" customHeight="1">
      <c r="A2" s="1206" t="str">
        <f>"صورت ريز هزينه‌هاي سربار خدمات در دوره " &amp; روکش!F9 &amp; " سال " &amp; روکش!D9</f>
        <v>صورت ريز هزينه‌هاي سربار خدمات در دوره شش ماهه سال 1405</v>
      </c>
      <c r="B2" s="1205"/>
      <c r="C2" s="1202"/>
      <c r="D2" s="1202"/>
      <c r="E2" s="1202"/>
      <c r="F2" s="1202"/>
      <c r="G2" s="2211"/>
      <c r="H2" s="832"/>
    </row>
    <row r="3" spans="1:15" s="860" customFormat="1" ht="20.100000000000001" customHeight="1" thickBot="1">
      <c r="A3" s="2723"/>
      <c r="B3" s="2723"/>
      <c r="C3" s="2723"/>
      <c r="D3" s="527"/>
      <c r="E3" s="527"/>
      <c r="F3" s="1208" t="s">
        <v>30</v>
      </c>
      <c r="G3" s="858"/>
      <c r="H3" s="858"/>
      <c r="I3" s="859"/>
      <c r="J3" s="859"/>
      <c r="K3" s="859"/>
      <c r="L3" s="859"/>
      <c r="M3" s="208"/>
      <c r="N3" s="5"/>
      <c r="O3" s="859"/>
    </row>
    <row r="4" spans="1:15" ht="21" customHeight="1">
      <c r="A4" s="2907" t="s">
        <v>21</v>
      </c>
      <c r="B4" s="2907" t="s">
        <v>693</v>
      </c>
      <c r="C4" s="1223" t="s">
        <v>642</v>
      </c>
      <c r="D4" s="1223"/>
      <c r="E4" s="1223"/>
      <c r="F4" s="1224"/>
      <c r="G4" s="1224"/>
      <c r="I4" s="1081"/>
      <c r="J4" s="1081"/>
      <c r="K4" s="1081"/>
      <c r="L4" s="1081" t="s">
        <v>792</v>
      </c>
      <c r="O4" s="1081"/>
    </row>
    <row r="5" spans="1:15" ht="42.75" thickBot="1">
      <c r="A5" s="2908"/>
      <c r="B5" s="2909"/>
      <c r="C5" s="2562" t="s">
        <v>53</v>
      </c>
      <c r="D5" s="714" t="s">
        <v>216</v>
      </c>
      <c r="E5" s="714" t="s">
        <v>793</v>
      </c>
      <c r="F5" s="2875" t="s">
        <v>230</v>
      </c>
      <c r="G5" s="2876"/>
      <c r="I5" s="1081" t="s">
        <v>784</v>
      </c>
      <c r="J5" s="1081"/>
      <c r="K5" s="1081"/>
      <c r="L5" s="1081" t="s">
        <v>206</v>
      </c>
      <c r="O5" s="1081"/>
    </row>
    <row r="6" spans="1:15" ht="21.75" customHeight="1">
      <c r="A6" s="1424" t="str">
        <f ca="1">IF(ROW()-ROW($A$6)&lt;'الف-ب-ج'!$L$9,INDIRECT("BudgetDB!DX"&amp;('الف-ب-ج'!$M$9+ROW()-ROW($A$6))),"")</f>
        <v>هزینه پرسنل پیمانکار</v>
      </c>
      <c r="B6" s="2565">
        <v>38505</v>
      </c>
      <c r="C6" s="2131">
        <v>123776</v>
      </c>
      <c r="D6" s="2131">
        <v>283452</v>
      </c>
      <c r="E6" s="486">
        <f t="shared" ref="E6:E30" si="0">IFERROR((D6-B6)*100/B6,"-")</f>
        <v>636.14335800545382</v>
      </c>
      <c r="F6" s="2199">
        <f t="shared" ref="F6:F32" si="1">IFERROR(D6*100/C6,"-")</f>
        <v>229.00400723888313</v>
      </c>
      <c r="G6" s="415">
        <f>IFERROR(ABS(F6-100),500)</f>
        <v>129.00400723888313</v>
      </c>
      <c r="I6" s="1360">
        <f>IF(AND(C6=0,D6&gt;0),100,IFERROR(ABS(F6-100),"-"))</f>
        <v>129.00400723888313</v>
      </c>
      <c r="J6" s="1081"/>
      <c r="K6" s="1081"/>
      <c r="L6" s="1423">
        <f>IFERROR(B6+C6+D6,0)</f>
        <v>445733</v>
      </c>
      <c r="M6" s="208" t="b">
        <f ca="1">AND(COUNTIF($A6,"*سایر*")=1,$B6/$B$31&gt;0.2)</f>
        <v>0</v>
      </c>
      <c r="N6" s="208" t="b">
        <f ca="1">AND(COUNTIF($A6,"*سایر*")=1,$D6/$D$31&gt;0.2)</f>
        <v>0</v>
      </c>
      <c r="O6" s="1081"/>
    </row>
    <row r="7" spans="1:15" ht="21">
      <c r="A7" s="963" t="str">
        <f ca="1">IF(ROW()-ROW($A$6)&lt;'الف-ب-ج'!$L$9,INDIRECT("BudgetDB!DX"&amp;('الف-ب-ج'!$M$9+ROW()-ROW($A$6))),"")</f>
        <v>هزینه اجاره</v>
      </c>
      <c r="B7" s="2566">
        <v>54680</v>
      </c>
      <c r="C7" s="2127">
        <v>161705</v>
      </c>
      <c r="D7" s="2127">
        <v>108902</v>
      </c>
      <c r="E7" s="488">
        <f t="shared" si="0"/>
        <v>99.162399414776885</v>
      </c>
      <c r="F7" s="2201">
        <f t="shared" si="1"/>
        <v>67.346093194397199</v>
      </c>
      <c r="G7" s="418">
        <f t="shared" ref="G7:G33" si="2">IFERROR(ABS(F7-100),500)</f>
        <v>32.653906805602801</v>
      </c>
      <c r="I7" s="1360">
        <f t="shared" ref="I7:I30" si="3">IF(AND(C7=0,D7&gt;0),100,IFERROR(ABS(F7-100),"-"))</f>
        <v>32.653906805602801</v>
      </c>
      <c r="J7" s="1081"/>
      <c r="K7" s="1081"/>
      <c r="L7" s="1423">
        <f t="shared" ref="L7:L30" si="4">IFERROR(B7+C7+D7,0)</f>
        <v>325287</v>
      </c>
      <c r="M7" s="208" t="b">
        <f t="shared" ref="M7:M30" ca="1" si="5">AND(COUNTIF($A7,"*سایر*")=1,$B7/$B$31&gt;0.2)</f>
        <v>0</v>
      </c>
      <c r="N7" s="208" t="b">
        <f t="shared" ref="N7:N30" ca="1" si="6">AND(COUNTIF($A7,"*سایر*")=1,$D7/$D$31&gt;0.2)</f>
        <v>0</v>
      </c>
      <c r="O7" s="1081"/>
    </row>
    <row r="8" spans="1:15" ht="21">
      <c r="A8" s="963" t="str">
        <f ca="1">IF(ROW()-ROW($A$6)&lt;'الف-ب-ج'!$L$9,INDIRECT("BudgetDB!DX"&amp;('الف-ب-ج'!$M$9+ROW()-ROW($A$6))),"")</f>
        <v>سهم گمرک بابت قرارداد فیمابین</v>
      </c>
      <c r="B8" s="2566"/>
      <c r="C8" s="2127">
        <v>0</v>
      </c>
      <c r="D8" s="2127"/>
      <c r="E8" s="488" t="str">
        <f t="shared" si="0"/>
        <v>-</v>
      </c>
      <c r="F8" s="2201" t="str">
        <f t="shared" si="1"/>
        <v>-</v>
      </c>
      <c r="G8" s="418">
        <f t="shared" si="2"/>
        <v>500</v>
      </c>
      <c r="I8" s="1360" t="str">
        <f t="shared" si="3"/>
        <v>-</v>
      </c>
      <c r="J8" s="1081"/>
      <c r="K8" s="1081"/>
      <c r="L8" s="1423">
        <f t="shared" si="4"/>
        <v>0</v>
      </c>
      <c r="M8" s="208" t="b">
        <f t="shared" ca="1" si="5"/>
        <v>0</v>
      </c>
      <c r="N8" s="208" t="b">
        <f t="shared" ca="1" si="6"/>
        <v>0</v>
      </c>
      <c r="O8" s="1081"/>
    </row>
    <row r="9" spans="1:15" ht="21">
      <c r="A9" s="963" t="str">
        <f ca="1">IF(ROW()-ROW($A$6)&lt;'الف-ب-ج'!$L$9,INDIRECT("BudgetDB!DX"&amp;('الف-ب-ج'!$M$9+ROW()-ROW($A$6))),"")</f>
        <v>لوازم مصرف‌شدنی اداری</v>
      </c>
      <c r="B9" s="2566"/>
      <c r="C9" s="2127">
        <v>0</v>
      </c>
      <c r="D9" s="2127"/>
      <c r="E9" s="488" t="str">
        <f t="shared" si="0"/>
        <v>-</v>
      </c>
      <c r="F9" s="2201" t="str">
        <f t="shared" si="1"/>
        <v>-</v>
      </c>
      <c r="G9" s="418">
        <f t="shared" si="2"/>
        <v>500</v>
      </c>
      <c r="I9" s="1360" t="str">
        <f t="shared" si="3"/>
        <v>-</v>
      </c>
      <c r="J9" s="1081"/>
      <c r="K9" s="1081"/>
      <c r="L9" s="1423">
        <f t="shared" si="4"/>
        <v>0</v>
      </c>
      <c r="M9" s="208" t="b">
        <f t="shared" ca="1" si="5"/>
        <v>0</v>
      </c>
      <c r="N9" s="208" t="b">
        <f t="shared" ca="1" si="6"/>
        <v>0</v>
      </c>
      <c r="O9" s="1081"/>
    </row>
    <row r="10" spans="1:15" ht="21">
      <c r="A10" s="963" t="str">
        <f ca="1">IF(ROW()-ROW($A$6)&lt;'الف-ب-ج'!$L$9,INDIRECT("BudgetDB!DX"&amp;('الف-ب-ج'!$M$9+ROW()-ROW($A$6))),"")</f>
        <v>آب، برق، سوخت پست و تلفن</v>
      </c>
      <c r="B10" s="2566">
        <v>5177</v>
      </c>
      <c r="C10" s="2127">
        <v>6643</v>
      </c>
      <c r="D10" s="2127">
        <v>14702</v>
      </c>
      <c r="E10" s="488">
        <f t="shared" si="0"/>
        <v>183.98686497971798</v>
      </c>
      <c r="F10" s="2201">
        <f t="shared" si="1"/>
        <v>221.31567063073913</v>
      </c>
      <c r="G10" s="498">
        <f t="shared" si="2"/>
        <v>121.31567063073913</v>
      </c>
      <c r="I10" s="1360">
        <f t="shared" si="3"/>
        <v>121.31567063073913</v>
      </c>
      <c r="J10" s="1081"/>
      <c r="K10" s="1081"/>
      <c r="L10" s="1423">
        <f t="shared" si="4"/>
        <v>26522</v>
      </c>
      <c r="M10" s="208" t="b">
        <f ca="1">AND(COUNTIF($A10,"*سایر*")=1,$B10/$B$31&gt;0.2)</f>
        <v>0</v>
      </c>
      <c r="N10" s="208" t="b">
        <f t="shared" ca="1" si="6"/>
        <v>0</v>
      </c>
      <c r="O10" s="1081"/>
    </row>
    <row r="11" spans="1:15" ht="21">
      <c r="A11" s="963" t="str">
        <f ca="1">IF(ROW()-ROW($A$6)&lt;'الف-ب-ج'!$L$9,INDIRECT("BudgetDB!DX"&amp;('الف-ب-ج'!$M$9+ROW()-ROW($A$6))),"")</f>
        <v>استهلاک</v>
      </c>
      <c r="B11" s="2566">
        <v>141395</v>
      </c>
      <c r="C11" s="2127">
        <v>190883</v>
      </c>
      <c r="D11" s="2127">
        <v>126333</v>
      </c>
      <c r="E11" s="488">
        <f t="shared" si="0"/>
        <v>-10.652427596449662</v>
      </c>
      <c r="F11" s="2201">
        <f t="shared" si="1"/>
        <v>66.183473646160209</v>
      </c>
      <c r="G11" s="498">
        <f t="shared" si="2"/>
        <v>33.816526353839791</v>
      </c>
      <c r="I11" s="1360">
        <f t="shared" si="3"/>
        <v>33.816526353839791</v>
      </c>
      <c r="J11" s="1081"/>
      <c r="K11" s="1081"/>
      <c r="L11" s="1423">
        <f t="shared" si="4"/>
        <v>458611</v>
      </c>
      <c r="M11" s="208" t="b">
        <f ca="1">AND(COUNTIF($A11,"*سایر*")=1,$B11/$B$31&gt;0.2)</f>
        <v>0</v>
      </c>
      <c r="N11" s="208" t="b">
        <f t="shared" ca="1" si="6"/>
        <v>0</v>
      </c>
      <c r="O11" s="1081"/>
    </row>
    <row r="12" spans="1:15" ht="21">
      <c r="A12" s="963" t="str">
        <f ca="1">IF(ROW()-ROW($A$6)&lt;'الف-ب-ج'!$L$9,INDIRECT("BudgetDB!DX"&amp;('الف-ب-ج'!$M$9+ROW()-ROW($A$6))),"")</f>
        <v>تعمیرات و نگهداری</v>
      </c>
      <c r="B12" s="2566">
        <v>27555</v>
      </c>
      <c r="C12" s="2127">
        <v>42220</v>
      </c>
      <c r="D12" s="2127">
        <v>25092</v>
      </c>
      <c r="E12" s="488">
        <f t="shared" si="0"/>
        <v>-8.9384866630375619</v>
      </c>
      <c r="F12" s="2201">
        <f t="shared" si="1"/>
        <v>59.431549028896256</v>
      </c>
      <c r="G12" s="498">
        <f t="shared" si="2"/>
        <v>40.568450971103744</v>
      </c>
      <c r="I12" s="1360">
        <f t="shared" si="3"/>
        <v>40.568450971103744</v>
      </c>
      <c r="J12" s="1081"/>
      <c r="K12" s="1081"/>
      <c r="L12" s="1423">
        <f t="shared" si="4"/>
        <v>94867</v>
      </c>
      <c r="M12" s="208" t="b">
        <f t="shared" ca="1" si="5"/>
        <v>0</v>
      </c>
      <c r="N12" s="208" t="b">
        <f t="shared" ca="1" si="6"/>
        <v>0</v>
      </c>
      <c r="O12" s="1081"/>
    </row>
    <row r="13" spans="1:15" ht="21">
      <c r="A13" s="963" t="str">
        <f ca="1">IF(ROW()-ROW($A$6)&lt;'الف-ب-ج'!$L$9,INDIRECT("BudgetDB!DX"&amp;('الف-ب-ج'!$M$9+ROW()-ROW($A$6))),"")</f>
        <v>حق‌الزحمه خدمات قراردادی</v>
      </c>
      <c r="B13" s="2566">
        <v>175395</v>
      </c>
      <c r="C13" s="2127">
        <v>229682</v>
      </c>
      <c r="D13" s="2127">
        <v>1015147</v>
      </c>
      <c r="E13" s="488">
        <f t="shared" si="0"/>
        <v>478.77761623763507</v>
      </c>
      <c r="F13" s="2201">
        <f t="shared" si="1"/>
        <v>441.97934535575274</v>
      </c>
      <c r="G13" s="498">
        <f t="shared" si="2"/>
        <v>341.97934535575274</v>
      </c>
      <c r="I13" s="1360">
        <f t="shared" si="3"/>
        <v>341.97934535575274</v>
      </c>
      <c r="J13" s="1081"/>
      <c r="K13" s="1081"/>
      <c r="L13" s="1423">
        <f t="shared" si="4"/>
        <v>1420224</v>
      </c>
      <c r="M13" s="208" t="b">
        <f t="shared" ca="1" si="5"/>
        <v>0</v>
      </c>
      <c r="N13" s="208" t="b">
        <f t="shared" ca="1" si="6"/>
        <v>0</v>
      </c>
      <c r="O13" s="1081"/>
    </row>
    <row r="14" spans="1:15" ht="21">
      <c r="A14" s="963" t="str">
        <f ca="1">IF(ROW()-ROW($A$6)&lt;'الف-ب-ج'!$L$9,INDIRECT("BudgetDB!DX"&amp;('الف-ب-ج'!$M$9+ROW()-ROW($A$6))),"")</f>
        <v>حق بیمه</v>
      </c>
      <c r="B14" s="2566">
        <v>20209</v>
      </c>
      <c r="C14" s="2127">
        <v>18527</v>
      </c>
      <c r="D14" s="2127">
        <v>1495</v>
      </c>
      <c r="E14" s="488">
        <f t="shared" si="0"/>
        <v>-92.602305903310409</v>
      </c>
      <c r="F14" s="2201">
        <f t="shared" si="1"/>
        <v>8.069304258649538</v>
      </c>
      <c r="G14" s="498">
        <f t="shared" si="2"/>
        <v>91.930695741350462</v>
      </c>
      <c r="I14" s="1360">
        <f t="shared" si="3"/>
        <v>91.930695741350462</v>
      </c>
      <c r="J14" s="1081"/>
      <c r="K14" s="1081"/>
      <c r="L14" s="1423">
        <f t="shared" si="4"/>
        <v>40231</v>
      </c>
      <c r="M14" s="208" t="b">
        <f t="shared" ca="1" si="5"/>
        <v>0</v>
      </c>
      <c r="N14" s="208" t="b">
        <f t="shared" ca="1" si="6"/>
        <v>0</v>
      </c>
      <c r="O14" s="1081"/>
    </row>
    <row r="15" spans="1:15" ht="21">
      <c r="A15" s="963" t="str">
        <f ca="1">IF(ROW()-ROW($A$6)&lt;'الف-ب-ج'!$L$9,INDIRECT("BudgetDB!DX"&amp;('الف-ب-ج'!$M$9+ROW()-ROW($A$6))),"")</f>
        <v>جشن و پذیرایی</v>
      </c>
      <c r="B15" s="2566">
        <v>2815</v>
      </c>
      <c r="C15" s="2127">
        <v>3295</v>
      </c>
      <c r="D15" s="2127">
        <v>38213</v>
      </c>
      <c r="E15" s="488">
        <f t="shared" si="0"/>
        <v>1257.4777975133215</v>
      </c>
      <c r="F15" s="2201">
        <f t="shared" si="1"/>
        <v>1159.7268588770864</v>
      </c>
      <c r="G15" s="498">
        <f t="shared" si="2"/>
        <v>1059.7268588770864</v>
      </c>
      <c r="I15" s="1360">
        <f t="shared" si="3"/>
        <v>1059.7268588770864</v>
      </c>
      <c r="J15" s="1081"/>
      <c r="K15" s="1081"/>
      <c r="L15" s="1423">
        <f t="shared" si="4"/>
        <v>44323</v>
      </c>
      <c r="M15" s="208" t="b">
        <f t="shared" ca="1" si="5"/>
        <v>0</v>
      </c>
      <c r="N15" s="208" t="b">
        <f t="shared" ca="1" si="6"/>
        <v>0</v>
      </c>
      <c r="O15" s="1081"/>
    </row>
    <row r="16" spans="1:15" ht="21">
      <c r="A16" s="963" t="str">
        <f ca="1">IF(ROW()-ROW($A$6)&lt;'الف-ب-ج'!$L$9,INDIRECT("BudgetDB!DX"&amp;('الف-ب-ج'!$M$9+ROW()-ROW($A$6))),"")</f>
        <v>تخلیه و بارگیری (اجاره ماشین‌آلات)</v>
      </c>
      <c r="B16" s="2566"/>
      <c r="C16" s="2127" t="s">
        <v>3221</v>
      </c>
      <c r="D16" s="2127"/>
      <c r="E16" s="488" t="str">
        <f t="shared" si="0"/>
        <v>-</v>
      </c>
      <c r="F16" s="2201" t="str">
        <f t="shared" si="1"/>
        <v>-</v>
      </c>
      <c r="G16" s="498">
        <f t="shared" si="2"/>
        <v>500</v>
      </c>
      <c r="I16" s="1360" t="str">
        <f t="shared" si="3"/>
        <v>-</v>
      </c>
      <c r="J16" s="1081"/>
      <c r="K16" s="1081"/>
      <c r="L16" s="1423">
        <f t="shared" si="4"/>
        <v>0</v>
      </c>
      <c r="M16" s="208" t="b">
        <f t="shared" ca="1" si="5"/>
        <v>0</v>
      </c>
      <c r="N16" s="208" t="b">
        <f t="shared" ca="1" si="6"/>
        <v>0</v>
      </c>
      <c r="O16" s="1081"/>
    </row>
    <row r="17" spans="1:15" ht="21">
      <c r="A17" s="963" t="str">
        <f ca="1">IF(ROW()-ROW($A$6)&lt;'الف-ب-ج'!$L$9,INDIRECT("BudgetDB!DX"&amp;('الف-ب-ج'!$M$9+ROW()-ROW($A$6))),"")</f>
        <v>سوخت و تعمیرات ماشین‌آلات و وسائط نقلیه</v>
      </c>
      <c r="B17" s="2566">
        <v>21028</v>
      </c>
      <c r="C17" s="2127">
        <v>32279</v>
      </c>
      <c r="D17" s="2127">
        <v>47906</v>
      </c>
      <c r="E17" s="488">
        <f t="shared" si="0"/>
        <v>127.82004945786571</v>
      </c>
      <c r="F17" s="2201">
        <f t="shared" si="1"/>
        <v>148.41228043000092</v>
      </c>
      <c r="G17" s="498">
        <f t="shared" si="2"/>
        <v>48.412280430000919</v>
      </c>
      <c r="I17" s="1360">
        <f t="shared" si="3"/>
        <v>48.412280430000919</v>
      </c>
      <c r="J17" s="1081"/>
      <c r="K17" s="1081"/>
      <c r="L17" s="1423">
        <f t="shared" si="4"/>
        <v>101213</v>
      </c>
      <c r="M17" s="208" t="b">
        <f t="shared" ca="1" si="5"/>
        <v>0</v>
      </c>
      <c r="N17" s="208" t="b">
        <f t="shared" ca="1" si="6"/>
        <v>0</v>
      </c>
      <c r="O17" s="1081"/>
    </row>
    <row r="18" spans="1:15" ht="21">
      <c r="A18" s="963" t="str">
        <f ca="1">IF(ROW()-ROW($A$6)&lt;'الف-ب-ج'!$L$9,INDIRECT("BudgetDB!DX"&amp;('الف-ب-ج'!$M$9+ROW()-ROW($A$6))),"")</f>
        <v>عوارض و جرائم</v>
      </c>
      <c r="B18" s="2566"/>
      <c r="C18" s="2127">
        <v>0</v>
      </c>
      <c r="D18" s="2127"/>
      <c r="E18" s="488" t="str">
        <f t="shared" si="0"/>
        <v>-</v>
      </c>
      <c r="F18" s="2201" t="str">
        <f t="shared" si="1"/>
        <v>-</v>
      </c>
      <c r="G18" s="498">
        <f t="shared" si="2"/>
        <v>500</v>
      </c>
      <c r="I18" s="1360" t="str">
        <f t="shared" si="3"/>
        <v>-</v>
      </c>
      <c r="J18" s="1081"/>
      <c r="K18" s="1081"/>
      <c r="L18" s="1423">
        <f t="shared" si="4"/>
        <v>0</v>
      </c>
      <c r="M18" s="208" t="b">
        <f t="shared" ca="1" si="5"/>
        <v>0</v>
      </c>
      <c r="N18" s="208" t="b">
        <f t="shared" ca="1" si="6"/>
        <v>0</v>
      </c>
      <c r="O18" s="1081"/>
    </row>
    <row r="19" spans="1:15" ht="21">
      <c r="A19" s="496" t="s">
        <v>333</v>
      </c>
      <c r="B19" s="2566">
        <v>26129</v>
      </c>
      <c r="C19" s="2127">
        <v>31979</v>
      </c>
      <c r="D19" s="2127">
        <v>47292</v>
      </c>
      <c r="E19" s="488">
        <f t="shared" si="0"/>
        <v>80.994297523824102</v>
      </c>
      <c r="F19" s="2201">
        <f t="shared" si="1"/>
        <v>147.88454923543574</v>
      </c>
      <c r="G19" s="498">
        <f t="shared" si="2"/>
        <v>47.884549235435742</v>
      </c>
      <c r="I19" s="1360">
        <f t="shared" si="3"/>
        <v>47.884549235435742</v>
      </c>
      <c r="J19" s="1081"/>
      <c r="K19" s="1081"/>
      <c r="L19" s="1423">
        <f t="shared" si="4"/>
        <v>105400</v>
      </c>
      <c r="M19" s="208" t="b">
        <f t="shared" si="5"/>
        <v>0</v>
      </c>
      <c r="N19" s="208" t="b">
        <f t="shared" si="6"/>
        <v>0</v>
      </c>
      <c r="O19" s="1081"/>
    </row>
    <row r="20" spans="1:15" ht="21">
      <c r="A20" s="496">
        <f ca="1">IF(ROW()-ROW($A$6)&lt;'الف-ب-ج'!$L$9,INDIRECT("BudgetDB!DX"&amp;('الف-ب-ج'!$M$9+ROW()-ROW($A$6))),"")</f>
        <v>0</v>
      </c>
      <c r="B20" s="2566"/>
      <c r="C20" s="2127"/>
      <c r="D20" s="2127"/>
      <c r="E20" s="488" t="str">
        <f t="shared" si="0"/>
        <v>-</v>
      </c>
      <c r="F20" s="2201" t="str">
        <f t="shared" si="1"/>
        <v>-</v>
      </c>
      <c r="G20" s="498">
        <f t="shared" si="2"/>
        <v>500</v>
      </c>
      <c r="I20" s="1360" t="str">
        <f t="shared" si="3"/>
        <v>-</v>
      </c>
      <c r="J20" s="1081"/>
      <c r="K20" s="1081"/>
      <c r="L20" s="1423">
        <f t="shared" si="4"/>
        <v>0</v>
      </c>
      <c r="M20" s="208" t="b">
        <f t="shared" ca="1" si="5"/>
        <v>0</v>
      </c>
      <c r="N20" s="208" t="b">
        <f t="shared" ca="1" si="6"/>
        <v>0</v>
      </c>
      <c r="O20" s="1081"/>
    </row>
    <row r="21" spans="1:15" ht="21">
      <c r="A21" s="496">
        <f ca="1">IF(ROW()-ROW($A$6)&lt;'الف-ب-ج'!$L$9,INDIRECT("BudgetDB!DX"&amp;('الف-ب-ج'!$M$9+ROW()-ROW($A$6))),"")</f>
        <v>0</v>
      </c>
      <c r="B21" s="2566"/>
      <c r="C21" s="2127"/>
      <c r="D21" s="2127"/>
      <c r="E21" s="488" t="str">
        <f t="shared" si="0"/>
        <v>-</v>
      </c>
      <c r="F21" s="2201" t="str">
        <f t="shared" si="1"/>
        <v>-</v>
      </c>
      <c r="G21" s="498">
        <f t="shared" si="2"/>
        <v>500</v>
      </c>
      <c r="I21" s="1360" t="str">
        <f t="shared" si="3"/>
        <v>-</v>
      </c>
      <c r="J21" s="1081"/>
      <c r="K21" s="1081"/>
      <c r="L21" s="1423">
        <f t="shared" si="4"/>
        <v>0</v>
      </c>
      <c r="M21" s="208" t="b">
        <f t="shared" ca="1" si="5"/>
        <v>0</v>
      </c>
      <c r="N21" s="208" t="b">
        <f t="shared" ca="1" si="6"/>
        <v>0</v>
      </c>
      <c r="O21" s="1081"/>
    </row>
    <row r="22" spans="1:15" ht="21">
      <c r="A22" s="496">
        <f ca="1">IF(ROW()-ROW($A$6)&lt;'الف-ب-ج'!$L$9,INDIRECT("BudgetDB!DX"&amp;('الف-ب-ج'!$M$9+ROW()-ROW($A$6))),"")</f>
        <v>0</v>
      </c>
      <c r="B22" s="2566"/>
      <c r="C22" s="2127"/>
      <c r="D22" s="2127"/>
      <c r="E22" s="488" t="str">
        <f t="shared" si="0"/>
        <v>-</v>
      </c>
      <c r="F22" s="2201" t="str">
        <f t="shared" si="1"/>
        <v>-</v>
      </c>
      <c r="G22" s="498">
        <f t="shared" si="2"/>
        <v>500</v>
      </c>
      <c r="I22" s="1360" t="str">
        <f t="shared" si="3"/>
        <v>-</v>
      </c>
      <c r="J22" s="1081"/>
      <c r="K22" s="1081"/>
      <c r="L22" s="1423">
        <f t="shared" si="4"/>
        <v>0</v>
      </c>
      <c r="M22" s="208" t="b">
        <f t="shared" ca="1" si="5"/>
        <v>0</v>
      </c>
      <c r="N22" s="208" t="b">
        <f t="shared" ca="1" si="6"/>
        <v>0</v>
      </c>
      <c r="O22" s="1081"/>
    </row>
    <row r="23" spans="1:15" ht="21">
      <c r="A23" s="496">
        <f ca="1">IF(ROW()-ROW($A$6)&lt;'الف-ب-ج'!$L$9,INDIRECT("BudgetDB!DX"&amp;('الف-ب-ج'!$M$9+ROW()-ROW($A$6))),"")</f>
        <v>0</v>
      </c>
      <c r="B23" s="2566"/>
      <c r="C23" s="2127"/>
      <c r="D23" s="2127"/>
      <c r="E23" s="488" t="str">
        <f t="shared" si="0"/>
        <v>-</v>
      </c>
      <c r="F23" s="2201" t="str">
        <f t="shared" si="1"/>
        <v>-</v>
      </c>
      <c r="G23" s="498">
        <f t="shared" si="2"/>
        <v>500</v>
      </c>
      <c r="I23" s="1360" t="str">
        <f t="shared" si="3"/>
        <v>-</v>
      </c>
      <c r="J23" s="1081"/>
      <c r="K23" s="1081"/>
      <c r="L23" s="1423">
        <f t="shared" si="4"/>
        <v>0</v>
      </c>
      <c r="M23" s="208" t="b">
        <f t="shared" ca="1" si="5"/>
        <v>0</v>
      </c>
      <c r="N23" s="208" t="b">
        <f t="shared" ca="1" si="6"/>
        <v>0</v>
      </c>
      <c r="O23" s="1081"/>
    </row>
    <row r="24" spans="1:15" ht="21">
      <c r="A24" s="496">
        <f ca="1">IF(ROW()-ROW($A$6)&lt;'الف-ب-ج'!$L$9,INDIRECT("BudgetDB!DX"&amp;('الف-ب-ج'!$M$9+ROW()-ROW($A$6))),"")</f>
        <v>0</v>
      </c>
      <c r="B24" s="2566"/>
      <c r="C24" s="2127"/>
      <c r="D24" s="2127"/>
      <c r="E24" s="488" t="str">
        <f t="shared" si="0"/>
        <v>-</v>
      </c>
      <c r="F24" s="2201" t="str">
        <f t="shared" si="1"/>
        <v>-</v>
      </c>
      <c r="G24" s="498">
        <f t="shared" si="2"/>
        <v>500</v>
      </c>
      <c r="I24" s="1360" t="str">
        <f t="shared" si="3"/>
        <v>-</v>
      </c>
      <c r="J24" s="1081"/>
      <c r="K24" s="1081"/>
      <c r="L24" s="1423">
        <f t="shared" si="4"/>
        <v>0</v>
      </c>
      <c r="M24" s="208" t="b">
        <f t="shared" ca="1" si="5"/>
        <v>0</v>
      </c>
      <c r="N24" s="208" t="b">
        <f t="shared" ca="1" si="6"/>
        <v>0</v>
      </c>
      <c r="O24" s="1081"/>
    </row>
    <row r="25" spans="1:15" ht="21">
      <c r="A25" s="496">
        <f ca="1">IF(ROW()-ROW($A$6)&lt;'الف-ب-ج'!$L$9,INDIRECT("BudgetDB!DX"&amp;('الف-ب-ج'!$M$9+ROW()-ROW($A$6))),"")</f>
        <v>0</v>
      </c>
      <c r="B25" s="2566"/>
      <c r="C25" s="2127"/>
      <c r="D25" s="2127"/>
      <c r="E25" s="488" t="str">
        <f t="shared" si="0"/>
        <v>-</v>
      </c>
      <c r="F25" s="2201" t="str">
        <f t="shared" si="1"/>
        <v>-</v>
      </c>
      <c r="G25" s="498">
        <f t="shared" si="2"/>
        <v>500</v>
      </c>
      <c r="I25" s="1360" t="str">
        <f t="shared" si="3"/>
        <v>-</v>
      </c>
      <c r="J25" s="1081"/>
      <c r="K25" s="1081"/>
      <c r="L25" s="1423">
        <f t="shared" si="4"/>
        <v>0</v>
      </c>
      <c r="M25" s="208" t="b">
        <f t="shared" ca="1" si="5"/>
        <v>0</v>
      </c>
      <c r="N25" s="208" t="b">
        <f t="shared" ca="1" si="6"/>
        <v>0</v>
      </c>
      <c r="O25" s="1081"/>
    </row>
    <row r="26" spans="1:15" ht="21">
      <c r="A26" s="496">
        <f ca="1">IF(ROW()-ROW($A$6)&lt;'الف-ب-ج'!$L$9,INDIRECT("BudgetDB!DX"&amp;('الف-ب-ج'!$M$9+ROW()-ROW($A$6))),"")</f>
        <v>0</v>
      </c>
      <c r="B26" s="2566"/>
      <c r="C26" s="2127" cm="1">
        <f t="array" aca="1" ref="C26" ca="1">IF(ROW()-ROW($A$6)&lt;'[9]الف-ب-ج'!$L$9,IF([9]روکش!$F$9="سه ماهه",INDIRECT("BudgetDB!DY"&amp;('[9]الف-ب-ج'!$M$9+ROW()-ROW($A$6))),INDIRECT("BudgetDB!DZ"&amp;('[9]الف-ب-ج'!$M$9+ROW()-ROW($A$6)))),"")</f>
        <v>0</v>
      </c>
      <c r="D26" s="2127"/>
      <c r="E26" s="488" t="str">
        <f t="shared" si="0"/>
        <v>-</v>
      </c>
      <c r="F26" s="2201" t="str">
        <f t="shared" ca="1" si="1"/>
        <v>-</v>
      </c>
      <c r="G26" s="498">
        <f t="shared" ca="1" si="2"/>
        <v>500</v>
      </c>
      <c r="I26" s="1360" t="str">
        <f t="shared" ca="1" si="3"/>
        <v>-</v>
      </c>
      <c r="J26" s="1081"/>
      <c r="K26" s="1081"/>
      <c r="L26" s="1423">
        <f t="shared" ca="1" si="4"/>
        <v>0</v>
      </c>
      <c r="M26" s="208" t="b">
        <f t="shared" ca="1" si="5"/>
        <v>0</v>
      </c>
      <c r="N26" s="208" t="b">
        <f t="shared" ca="1" si="6"/>
        <v>0</v>
      </c>
      <c r="O26" s="1081"/>
    </row>
    <row r="27" spans="1:15" ht="21">
      <c r="A27" s="496">
        <f ca="1">IF(ROW()-ROW($A$6)&lt;'الف-ب-ج'!$L$9,INDIRECT("BudgetDB!DX"&amp;('الف-ب-ج'!$M$9+ROW()-ROW($A$6))),"")</f>
        <v>0</v>
      </c>
      <c r="B27" s="2566"/>
      <c r="C27" s="2127" cm="1">
        <f t="array" aca="1" ref="C27" ca="1">IF(ROW()-ROW($A$6)&lt;'[9]الف-ب-ج'!$L$9,IF([9]روکش!$F$9="سه ماهه",INDIRECT("BudgetDB!DY"&amp;('[9]الف-ب-ج'!$M$9+ROW()-ROW($A$6))),INDIRECT("BudgetDB!DZ"&amp;('[9]الف-ب-ج'!$M$9+ROW()-ROW($A$6)))),"")</f>
        <v>0</v>
      </c>
      <c r="D27" s="2127"/>
      <c r="E27" s="488" t="str">
        <f t="shared" si="0"/>
        <v>-</v>
      </c>
      <c r="F27" s="2201" t="str">
        <f ca="1">IFERROR(D27*100/C27,"-")</f>
        <v>-</v>
      </c>
      <c r="G27" s="498">
        <f t="shared" ca="1" si="2"/>
        <v>500</v>
      </c>
      <c r="I27" s="1360" t="str">
        <f t="shared" ca="1" si="3"/>
        <v>-</v>
      </c>
      <c r="J27" s="1081"/>
      <c r="K27" s="1081"/>
      <c r="L27" s="1423">
        <f t="shared" ca="1" si="4"/>
        <v>0</v>
      </c>
      <c r="M27" s="208" t="b">
        <f t="shared" ca="1" si="5"/>
        <v>0</v>
      </c>
      <c r="N27" s="208" t="b">
        <f t="shared" ca="1" si="6"/>
        <v>0</v>
      </c>
      <c r="O27" s="1081"/>
    </row>
    <row r="28" spans="1:15" ht="21">
      <c r="A28" s="496">
        <f ca="1">IF(ROW()-ROW($A$6)&lt;'الف-ب-ج'!$L$9,INDIRECT("BudgetDB!DX"&amp;('الف-ب-ج'!$M$9+ROW()-ROW($A$6))),"")</f>
        <v>0</v>
      </c>
      <c r="B28" s="2566"/>
      <c r="C28" s="2127" cm="1">
        <f t="array" aca="1" ref="C28" ca="1">IF(ROW()-ROW($A$6)&lt;'[9]الف-ب-ج'!$L$9,IF([9]روکش!$F$9="سه ماهه",INDIRECT("BudgetDB!DY"&amp;('[9]الف-ب-ج'!$M$9+ROW()-ROW($A$6))),INDIRECT("BudgetDB!DZ"&amp;('[9]الف-ب-ج'!$M$9+ROW()-ROW($A$6)))),"")</f>
        <v>0</v>
      </c>
      <c r="D28" s="2127"/>
      <c r="E28" s="488" t="str">
        <f t="shared" si="0"/>
        <v>-</v>
      </c>
      <c r="F28" s="2201" t="str">
        <f t="shared" ca="1" si="1"/>
        <v>-</v>
      </c>
      <c r="G28" s="498">
        <f t="shared" ca="1" si="2"/>
        <v>500</v>
      </c>
      <c r="I28" s="1360" t="str">
        <f t="shared" ca="1" si="3"/>
        <v>-</v>
      </c>
      <c r="J28" s="1081"/>
      <c r="K28" s="1081"/>
      <c r="L28" s="1423">
        <f t="shared" ca="1" si="4"/>
        <v>0</v>
      </c>
      <c r="M28" s="208" t="b">
        <f t="shared" ca="1" si="5"/>
        <v>0</v>
      </c>
      <c r="N28" s="208" t="b">
        <f t="shared" ca="1" si="6"/>
        <v>0</v>
      </c>
      <c r="O28" s="1081"/>
    </row>
    <row r="29" spans="1:15" ht="21">
      <c r="A29" s="496">
        <f ca="1">IF(ROW()-ROW($A$6)&lt;'الف-ب-ج'!$L$9,INDIRECT("BudgetDB!DX"&amp;('الف-ب-ج'!$M$9+ROW()-ROW($A$6))),"")</f>
        <v>0</v>
      </c>
      <c r="B29" s="2566"/>
      <c r="C29" s="2127" cm="1">
        <f t="array" aca="1" ref="C29" ca="1">IF(ROW()-ROW($A$6)&lt;'[9]الف-ب-ج'!$L$9,IF([9]روکش!$F$9="سه ماهه",INDIRECT("BudgetDB!DY"&amp;('[9]الف-ب-ج'!$M$9+ROW()-ROW($A$6))),INDIRECT("BudgetDB!DZ"&amp;('[9]الف-ب-ج'!$M$9+ROW()-ROW($A$6)))),"")</f>
        <v>0</v>
      </c>
      <c r="D29" s="2127"/>
      <c r="E29" s="488" t="str">
        <f t="shared" si="0"/>
        <v>-</v>
      </c>
      <c r="F29" s="2201" t="str">
        <f t="shared" ca="1" si="1"/>
        <v>-</v>
      </c>
      <c r="G29" s="498">
        <f t="shared" ca="1" si="2"/>
        <v>500</v>
      </c>
      <c r="I29" s="1360" t="str">
        <f t="shared" ca="1" si="3"/>
        <v>-</v>
      </c>
      <c r="J29" s="1081"/>
      <c r="K29" s="1081"/>
      <c r="L29" s="1423">
        <f t="shared" ca="1" si="4"/>
        <v>0</v>
      </c>
      <c r="M29" s="208" t="b">
        <f t="shared" ca="1" si="5"/>
        <v>0</v>
      </c>
      <c r="N29" s="208" t="b">
        <f t="shared" ca="1" si="6"/>
        <v>0</v>
      </c>
      <c r="O29" s="1081"/>
    </row>
    <row r="30" spans="1:15" ht="21.75" thickBot="1">
      <c r="A30" s="496">
        <f ca="1">IF(ROW()-ROW($A$6)&lt;'الف-ب-ج'!$L$9,INDIRECT("BudgetDB!DX"&amp;('الف-ب-ج'!$M$9+ROW()-ROW($A$6))),"")</f>
        <v>0</v>
      </c>
      <c r="B30" s="2566"/>
      <c r="C30" s="2127" cm="1">
        <f t="array" aca="1" ref="C30" ca="1">IF(ROW()-ROW($A$6)&lt;'[9]الف-ب-ج'!$L$9,IF([9]روکش!$F$9="سه ماهه",INDIRECT("BudgetDB!DY"&amp;('[9]الف-ب-ج'!$M$9+ROW()-ROW($A$6))),INDIRECT("BudgetDB!DZ"&amp;('[9]الف-ب-ج'!$M$9+ROW()-ROW($A$6)))),"")</f>
        <v>0</v>
      </c>
      <c r="D30" s="2127"/>
      <c r="E30" s="488" t="str">
        <f t="shared" si="0"/>
        <v>-</v>
      </c>
      <c r="F30" s="2202" t="str">
        <f t="shared" ca="1" si="1"/>
        <v>-</v>
      </c>
      <c r="G30" s="2203">
        <f t="shared" ca="1" si="2"/>
        <v>500</v>
      </c>
      <c r="I30" s="1360" t="str">
        <f t="shared" ca="1" si="3"/>
        <v>-</v>
      </c>
      <c r="J30" s="1081"/>
      <c r="K30" s="1081"/>
      <c r="L30" s="1423">
        <f t="shared" ca="1" si="4"/>
        <v>0</v>
      </c>
      <c r="M30" s="208" t="b">
        <f t="shared" ca="1" si="5"/>
        <v>0</v>
      </c>
      <c r="N30" s="208" t="b">
        <f t="shared" ca="1" si="6"/>
        <v>0</v>
      </c>
      <c r="O30" s="1081"/>
    </row>
    <row r="31" spans="1:15" ht="21.75" thickBot="1">
      <c r="A31" s="492" t="s">
        <v>1</v>
      </c>
      <c r="B31" s="2279">
        <f>SUM(B6:B30)</f>
        <v>512888</v>
      </c>
      <c r="C31" s="2563">
        <f ca="1">SUM(C6:C30)</f>
        <v>840989</v>
      </c>
      <c r="D31" s="494">
        <f>SUM(D6:D30)</f>
        <v>1708534</v>
      </c>
      <c r="E31" s="490">
        <f>IFERROR((D31-B31)*100/B31,"-")</f>
        <v>233.12029136965575</v>
      </c>
      <c r="F31" s="2204">
        <f t="shared" ca="1" si="1"/>
        <v>203.1577107429467</v>
      </c>
      <c r="G31" s="2205">
        <f t="shared" ca="1" si="2"/>
        <v>103.1577107429467</v>
      </c>
      <c r="I31" s="1081"/>
      <c r="J31" s="1081"/>
      <c r="K31" s="1081"/>
      <c r="L31" s="1423" t="s">
        <v>206</v>
      </c>
      <c r="O31" s="1081"/>
    </row>
    <row r="32" spans="1:15" ht="21.75" thickBot="1">
      <c r="A32" s="495" t="s">
        <v>1555</v>
      </c>
      <c r="B32" s="2280"/>
      <c r="C32" s="2564" cm="1">
        <f t="array" aca="1" ref="C32" ca="1">IF(روکش!$F$9="سه ماهه",INDIRECT("BudgetDB!EA"&amp;('الف-ب-ج'!$M$9+ROW()-ROW($A$32))),INDIRECT("BudgetDB!EB"&amp;('الف-ب-ج'!$M$9+ROW()-ROW($A$32))))</f>
        <v>0</v>
      </c>
      <c r="D32" s="244"/>
      <c r="E32" s="490" t="str">
        <f>IFERROR((D32-B32)*100/B32,"-")</f>
        <v>-</v>
      </c>
      <c r="F32" s="2204" t="str">
        <f t="shared" ca="1" si="1"/>
        <v>-</v>
      </c>
      <c r="G32" s="2205">
        <f t="shared" ca="1" si="2"/>
        <v>500</v>
      </c>
      <c r="I32" s="1081"/>
      <c r="J32" s="1081"/>
      <c r="K32" s="1081"/>
      <c r="L32" s="1423">
        <f ca="1">B32+C32+D32</f>
        <v>0</v>
      </c>
      <c r="O32" s="1081"/>
    </row>
    <row r="33" spans="1:15" ht="21.75" thickBot="1">
      <c r="A33" s="492" t="s">
        <v>436</v>
      </c>
      <c r="B33" s="2279">
        <f>B31+B32</f>
        <v>512888</v>
      </c>
      <c r="C33" s="2563">
        <f ca="1">C31+C32</f>
        <v>840989</v>
      </c>
      <c r="D33" s="494">
        <f>D31+D32</f>
        <v>1708534</v>
      </c>
      <c r="E33" s="490">
        <f>IFERROR((D33-B33)*100/B33,"-")</f>
        <v>233.12029136965575</v>
      </c>
      <c r="F33" s="2204">
        <f ca="1">IFERROR(D33*100/C33,"-")</f>
        <v>203.1577107429467</v>
      </c>
      <c r="G33" s="2205">
        <f t="shared" ca="1" si="2"/>
        <v>103.1577107429467</v>
      </c>
      <c r="I33" s="1081"/>
      <c r="J33" s="1081"/>
      <c r="K33" s="1081"/>
      <c r="L33" s="1423" t="s">
        <v>206</v>
      </c>
      <c r="O33" s="1081"/>
    </row>
    <row r="34" spans="1:15">
      <c r="I34" s="1081"/>
      <c r="J34" s="1081"/>
      <c r="K34" s="1081"/>
      <c r="L34" s="1081" t="s">
        <v>206</v>
      </c>
      <c r="O34" s="1081"/>
    </row>
    <row r="35" spans="1:15" ht="21">
      <c r="A35" s="8"/>
      <c r="B35" s="8"/>
      <c r="C35" s="720"/>
      <c r="D35" s="8"/>
      <c r="E35" s="8"/>
      <c r="I35" s="1081"/>
      <c r="J35" s="1081"/>
      <c r="K35" s="1081"/>
      <c r="L35" s="1081" t="s">
        <v>206</v>
      </c>
      <c r="O35" s="1081"/>
    </row>
  </sheetData>
  <sheetProtection algorithmName="SHA-512" hashValue="G0KrSrdTX2RzXLR4WzOil6H0gOu2N5lpW1luAuhNWeRsJU5PyiGpXqU3RItBFbdAsdoi5UPisOGhGZ0JONtA5A==" saltValue="k0pp1pzI7frQyRxDX8BLxQ==" spinCount="100000" sheet="1" objects="1" scenarios="1"/>
  <mergeCells count="5">
    <mergeCell ref="A4:A5"/>
    <mergeCell ref="B4:B5"/>
    <mergeCell ref="A3:C3"/>
    <mergeCell ref="A1:G1"/>
    <mergeCell ref="F5:G5"/>
  </mergeCells>
  <conditionalFormatting sqref="A6:A30">
    <cfRule type="expression" dxfId="406" priority="9">
      <formula>AND($A6=0,OR($B6&lt;&gt;0,$D6&lt;&gt;0))</formula>
    </cfRule>
  </conditionalFormatting>
  <conditionalFormatting sqref="G6:G33">
    <cfRule type="iconSet" priority="5">
      <iconSet iconSet="3Symbols" showValue="0" reverse="1">
        <cfvo type="percent" val="0"/>
        <cfvo type="num" val="10" gte="0"/>
        <cfvo type="num" val="40"/>
      </iconSet>
    </cfRule>
  </conditionalFormatting>
  <conditionalFormatting sqref="B6:B30">
    <cfRule type="expression" dxfId="405" priority="3">
      <formula>$M6=TRUE</formula>
    </cfRule>
  </conditionalFormatting>
  <conditionalFormatting sqref="D6:D30">
    <cfRule type="expression" dxfId="404" priority="2">
      <formula>$N6=TRUE</formula>
    </cfRule>
  </conditionalFormatting>
  <conditionalFormatting sqref="C6:C30">
    <cfRule type="expression" dxfId="403" priority="1">
      <formula>$N6=TRUE</formula>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6" id="{0B328532-4D23-4378-BA81-82C014734095}">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tabColor rgb="FFC00000"/>
    <pageSetUpPr fitToPage="1"/>
  </sheetPr>
  <dimension ref="A1:H19"/>
  <sheetViews>
    <sheetView rightToLeft="1" view="pageBreakPreview" zoomScale="85" zoomScaleNormal="100" zoomScaleSheetLayoutView="85" workbookViewId="0">
      <selection activeCell="C17" sqref="C17"/>
    </sheetView>
  </sheetViews>
  <sheetFormatPr defaultColWidth="9" defaultRowHeight="17.25"/>
  <cols>
    <col min="1" max="1" width="50.85546875" style="42" customWidth="1"/>
    <col min="2" max="4" width="20.5703125" style="42" customWidth="1"/>
    <col min="5" max="6" width="17.5703125" style="42" customWidth="1"/>
    <col min="7" max="7" width="3.7109375" style="42" customWidth="1"/>
    <col min="8" max="8" width="9.140625" style="42" hidden="1" customWidth="1"/>
    <col min="9" max="242" width="9" style="42"/>
    <col min="243" max="243" width="2.85546875" style="42" customWidth="1"/>
    <col min="244" max="244" width="17.7109375" style="42" customWidth="1"/>
    <col min="245" max="245" width="9" style="42"/>
    <col min="246" max="246" width="11.7109375" style="42" customWidth="1"/>
    <col min="247" max="247" width="12.7109375" style="42" customWidth="1"/>
    <col min="248" max="251" width="11.28515625" style="42" customWidth="1"/>
    <col min="252" max="256" width="10.85546875" style="42" customWidth="1"/>
    <col min="257" max="257" width="6.42578125" style="42" customWidth="1"/>
    <col min="258" max="258" width="3.42578125" style="42" customWidth="1"/>
    <col min="259" max="498" width="9" style="42"/>
    <col min="499" max="499" width="2.85546875" style="42" customWidth="1"/>
    <col min="500" max="500" width="17.7109375" style="42" customWidth="1"/>
    <col min="501" max="501" width="9" style="42"/>
    <col min="502" max="502" width="11.7109375" style="42" customWidth="1"/>
    <col min="503" max="503" width="12.7109375" style="42" customWidth="1"/>
    <col min="504" max="507" width="11.28515625" style="42" customWidth="1"/>
    <col min="508" max="512" width="10.85546875" style="42" customWidth="1"/>
    <col min="513" max="513" width="6.42578125" style="42" customWidth="1"/>
    <col min="514" max="514" width="3.42578125" style="42" customWidth="1"/>
    <col min="515" max="754" width="9" style="42"/>
    <col min="755" max="755" width="2.85546875" style="42" customWidth="1"/>
    <col min="756" max="756" width="17.7109375" style="42" customWidth="1"/>
    <col min="757" max="757" width="9" style="42"/>
    <col min="758" max="758" width="11.7109375" style="42" customWidth="1"/>
    <col min="759" max="759" width="12.7109375" style="42" customWidth="1"/>
    <col min="760" max="763" width="11.28515625" style="42" customWidth="1"/>
    <col min="764" max="768" width="10.85546875" style="42" customWidth="1"/>
    <col min="769" max="769" width="6.42578125" style="42" customWidth="1"/>
    <col min="770" max="770" width="3.42578125" style="42" customWidth="1"/>
    <col min="771" max="1010" width="9" style="42"/>
    <col min="1011" max="1011" width="2.85546875" style="42" customWidth="1"/>
    <col min="1012" max="1012" width="17.7109375" style="42" customWidth="1"/>
    <col min="1013" max="1013" width="9" style="42"/>
    <col min="1014" max="1014" width="11.7109375" style="42" customWidth="1"/>
    <col min="1015" max="1015" width="12.7109375" style="42" customWidth="1"/>
    <col min="1016" max="1019" width="11.28515625" style="42" customWidth="1"/>
    <col min="1020" max="1024" width="10.85546875" style="42" customWidth="1"/>
    <col min="1025" max="1025" width="6.42578125" style="42" customWidth="1"/>
    <col min="1026" max="1026" width="3.42578125" style="42" customWidth="1"/>
    <col min="1027" max="1266" width="9" style="42"/>
    <col min="1267" max="1267" width="2.85546875" style="42" customWidth="1"/>
    <col min="1268" max="1268" width="17.7109375" style="42" customWidth="1"/>
    <col min="1269" max="1269" width="9" style="42"/>
    <col min="1270" max="1270" width="11.7109375" style="42" customWidth="1"/>
    <col min="1271" max="1271" width="12.7109375" style="42" customWidth="1"/>
    <col min="1272" max="1275" width="11.28515625" style="42" customWidth="1"/>
    <col min="1276" max="1280" width="10.85546875" style="42" customWidth="1"/>
    <col min="1281" max="1281" width="6.42578125" style="42" customWidth="1"/>
    <col min="1282" max="1282" width="3.42578125" style="42" customWidth="1"/>
    <col min="1283" max="1522" width="9" style="42"/>
    <col min="1523" max="1523" width="2.85546875" style="42" customWidth="1"/>
    <col min="1524" max="1524" width="17.7109375" style="42" customWidth="1"/>
    <col min="1525" max="1525" width="9" style="42"/>
    <col min="1526" max="1526" width="11.7109375" style="42" customWidth="1"/>
    <col min="1527" max="1527" width="12.7109375" style="42" customWidth="1"/>
    <col min="1528" max="1531" width="11.28515625" style="42" customWidth="1"/>
    <col min="1532" max="1536" width="10.85546875" style="42" customWidth="1"/>
    <col min="1537" max="1537" width="6.42578125" style="42" customWidth="1"/>
    <col min="1538" max="1538" width="3.42578125" style="42" customWidth="1"/>
    <col min="1539" max="1778" width="9" style="42"/>
    <col min="1779" max="1779" width="2.85546875" style="42" customWidth="1"/>
    <col min="1780" max="1780" width="17.7109375" style="42" customWidth="1"/>
    <col min="1781" max="1781" width="9" style="42"/>
    <col min="1782" max="1782" width="11.7109375" style="42" customWidth="1"/>
    <col min="1783" max="1783" width="12.7109375" style="42" customWidth="1"/>
    <col min="1784" max="1787" width="11.28515625" style="42" customWidth="1"/>
    <col min="1788" max="1792" width="10.85546875" style="42" customWidth="1"/>
    <col min="1793" max="1793" width="6.42578125" style="42" customWidth="1"/>
    <col min="1794" max="1794" width="3.42578125" style="42" customWidth="1"/>
    <col min="1795" max="2034" width="9" style="42"/>
    <col min="2035" max="2035" width="2.85546875" style="42" customWidth="1"/>
    <col min="2036" max="2036" width="17.7109375" style="42" customWidth="1"/>
    <col min="2037" max="2037" width="9" style="42"/>
    <col min="2038" max="2038" width="11.7109375" style="42" customWidth="1"/>
    <col min="2039" max="2039" width="12.7109375" style="42" customWidth="1"/>
    <col min="2040" max="2043" width="11.28515625" style="42" customWidth="1"/>
    <col min="2044" max="2048" width="10.85546875" style="42" customWidth="1"/>
    <col min="2049" max="2049" width="6.42578125" style="42" customWidth="1"/>
    <col min="2050" max="2050" width="3.42578125" style="42" customWidth="1"/>
    <col min="2051" max="2290" width="9" style="42"/>
    <col min="2291" max="2291" width="2.85546875" style="42" customWidth="1"/>
    <col min="2292" max="2292" width="17.7109375" style="42" customWidth="1"/>
    <col min="2293" max="2293" width="9" style="42"/>
    <col min="2294" max="2294" width="11.7109375" style="42" customWidth="1"/>
    <col min="2295" max="2295" width="12.7109375" style="42" customWidth="1"/>
    <col min="2296" max="2299" width="11.28515625" style="42" customWidth="1"/>
    <col min="2300" max="2304" width="10.85546875" style="42" customWidth="1"/>
    <col min="2305" max="2305" width="6.42578125" style="42" customWidth="1"/>
    <col min="2306" max="2306" width="3.42578125" style="42" customWidth="1"/>
    <col min="2307" max="2546" width="9" style="42"/>
    <col min="2547" max="2547" width="2.85546875" style="42" customWidth="1"/>
    <col min="2548" max="2548" width="17.7109375" style="42" customWidth="1"/>
    <col min="2549" max="2549" width="9" style="42"/>
    <col min="2550" max="2550" width="11.7109375" style="42" customWidth="1"/>
    <col min="2551" max="2551" width="12.7109375" style="42" customWidth="1"/>
    <col min="2552" max="2555" width="11.28515625" style="42" customWidth="1"/>
    <col min="2556" max="2560" width="10.85546875" style="42" customWidth="1"/>
    <col min="2561" max="2561" width="6.42578125" style="42" customWidth="1"/>
    <col min="2562" max="2562" width="3.42578125" style="42" customWidth="1"/>
    <col min="2563" max="2802" width="9" style="42"/>
    <col min="2803" max="2803" width="2.85546875" style="42" customWidth="1"/>
    <col min="2804" max="2804" width="17.7109375" style="42" customWidth="1"/>
    <col min="2805" max="2805" width="9" style="42"/>
    <col min="2806" max="2806" width="11.7109375" style="42" customWidth="1"/>
    <col min="2807" max="2807" width="12.7109375" style="42" customWidth="1"/>
    <col min="2808" max="2811" width="11.28515625" style="42" customWidth="1"/>
    <col min="2812" max="2816" width="10.85546875" style="42" customWidth="1"/>
    <col min="2817" max="2817" width="6.42578125" style="42" customWidth="1"/>
    <col min="2818" max="2818" width="3.42578125" style="42" customWidth="1"/>
    <col min="2819" max="3058" width="9" style="42"/>
    <col min="3059" max="3059" width="2.85546875" style="42" customWidth="1"/>
    <col min="3060" max="3060" width="17.7109375" style="42" customWidth="1"/>
    <col min="3061" max="3061" width="9" style="42"/>
    <col min="3062" max="3062" width="11.7109375" style="42" customWidth="1"/>
    <col min="3063" max="3063" width="12.7109375" style="42" customWidth="1"/>
    <col min="3064" max="3067" width="11.28515625" style="42" customWidth="1"/>
    <col min="3068" max="3072" width="10.85546875" style="42" customWidth="1"/>
    <col min="3073" max="3073" width="6.42578125" style="42" customWidth="1"/>
    <col min="3074" max="3074" width="3.42578125" style="42" customWidth="1"/>
    <col min="3075" max="3314" width="9" style="42"/>
    <col min="3315" max="3315" width="2.85546875" style="42" customWidth="1"/>
    <col min="3316" max="3316" width="17.7109375" style="42" customWidth="1"/>
    <col min="3317" max="3317" width="9" style="42"/>
    <col min="3318" max="3318" width="11.7109375" style="42" customWidth="1"/>
    <col min="3319" max="3319" width="12.7109375" style="42" customWidth="1"/>
    <col min="3320" max="3323" width="11.28515625" style="42" customWidth="1"/>
    <col min="3324" max="3328" width="10.85546875" style="42" customWidth="1"/>
    <col min="3329" max="3329" width="6.42578125" style="42" customWidth="1"/>
    <col min="3330" max="3330" width="3.42578125" style="42" customWidth="1"/>
    <col min="3331" max="3570" width="9" style="42"/>
    <col min="3571" max="3571" width="2.85546875" style="42" customWidth="1"/>
    <col min="3572" max="3572" width="17.7109375" style="42" customWidth="1"/>
    <col min="3573" max="3573" width="9" style="42"/>
    <col min="3574" max="3574" width="11.7109375" style="42" customWidth="1"/>
    <col min="3575" max="3575" width="12.7109375" style="42" customWidth="1"/>
    <col min="3576" max="3579" width="11.28515625" style="42" customWidth="1"/>
    <col min="3580" max="3584" width="10.85546875" style="42" customWidth="1"/>
    <col min="3585" max="3585" width="6.42578125" style="42" customWidth="1"/>
    <col min="3586" max="3586" width="3.42578125" style="42" customWidth="1"/>
    <col min="3587" max="3826" width="9" style="42"/>
    <col min="3827" max="3827" width="2.85546875" style="42" customWidth="1"/>
    <col min="3828" max="3828" width="17.7109375" style="42" customWidth="1"/>
    <col min="3829" max="3829" width="9" style="42"/>
    <col min="3830" max="3830" width="11.7109375" style="42" customWidth="1"/>
    <col min="3831" max="3831" width="12.7109375" style="42" customWidth="1"/>
    <col min="3832" max="3835" width="11.28515625" style="42" customWidth="1"/>
    <col min="3836" max="3840" width="10.85546875" style="42" customWidth="1"/>
    <col min="3841" max="3841" width="6.42578125" style="42" customWidth="1"/>
    <col min="3842" max="3842" width="3.42578125" style="42" customWidth="1"/>
    <col min="3843" max="4082" width="9" style="42"/>
    <col min="4083" max="4083" width="2.85546875" style="42" customWidth="1"/>
    <col min="4084" max="4084" width="17.7109375" style="42" customWidth="1"/>
    <col min="4085" max="4085" width="9" style="42"/>
    <col min="4086" max="4086" width="11.7109375" style="42" customWidth="1"/>
    <col min="4087" max="4087" width="12.7109375" style="42" customWidth="1"/>
    <col min="4088" max="4091" width="11.28515625" style="42" customWidth="1"/>
    <col min="4092" max="4096" width="10.85546875" style="42" customWidth="1"/>
    <col min="4097" max="4097" width="6.42578125" style="42" customWidth="1"/>
    <col min="4098" max="4098" width="3.42578125" style="42" customWidth="1"/>
    <col min="4099" max="4338" width="9" style="42"/>
    <col min="4339" max="4339" width="2.85546875" style="42" customWidth="1"/>
    <col min="4340" max="4340" width="17.7109375" style="42" customWidth="1"/>
    <col min="4341" max="4341" width="9" style="42"/>
    <col min="4342" max="4342" width="11.7109375" style="42" customWidth="1"/>
    <col min="4343" max="4343" width="12.7109375" style="42" customWidth="1"/>
    <col min="4344" max="4347" width="11.28515625" style="42" customWidth="1"/>
    <col min="4348" max="4352" width="10.85546875" style="42" customWidth="1"/>
    <col min="4353" max="4353" width="6.42578125" style="42" customWidth="1"/>
    <col min="4354" max="4354" width="3.42578125" style="42" customWidth="1"/>
    <col min="4355" max="4594" width="9" style="42"/>
    <col min="4595" max="4595" width="2.85546875" style="42" customWidth="1"/>
    <col min="4596" max="4596" width="17.7109375" style="42" customWidth="1"/>
    <col min="4597" max="4597" width="9" style="42"/>
    <col min="4598" max="4598" width="11.7109375" style="42" customWidth="1"/>
    <col min="4599" max="4599" width="12.7109375" style="42" customWidth="1"/>
    <col min="4600" max="4603" width="11.28515625" style="42" customWidth="1"/>
    <col min="4604" max="4608" width="10.85546875" style="42" customWidth="1"/>
    <col min="4609" max="4609" width="6.42578125" style="42" customWidth="1"/>
    <col min="4610" max="4610" width="3.42578125" style="42" customWidth="1"/>
    <col min="4611" max="4850" width="9" style="42"/>
    <col min="4851" max="4851" width="2.85546875" style="42" customWidth="1"/>
    <col min="4852" max="4852" width="17.7109375" style="42" customWidth="1"/>
    <col min="4853" max="4853" width="9" style="42"/>
    <col min="4854" max="4854" width="11.7109375" style="42" customWidth="1"/>
    <col min="4855" max="4855" width="12.7109375" style="42" customWidth="1"/>
    <col min="4856" max="4859" width="11.28515625" style="42" customWidth="1"/>
    <col min="4860" max="4864" width="10.85546875" style="42" customWidth="1"/>
    <col min="4865" max="4865" width="6.42578125" style="42" customWidth="1"/>
    <col min="4866" max="4866" width="3.42578125" style="42" customWidth="1"/>
    <col min="4867" max="5106" width="9" style="42"/>
    <col min="5107" max="5107" width="2.85546875" style="42" customWidth="1"/>
    <col min="5108" max="5108" width="17.7109375" style="42" customWidth="1"/>
    <col min="5109" max="5109" width="9" style="42"/>
    <col min="5110" max="5110" width="11.7109375" style="42" customWidth="1"/>
    <col min="5111" max="5111" width="12.7109375" style="42" customWidth="1"/>
    <col min="5112" max="5115" width="11.28515625" style="42" customWidth="1"/>
    <col min="5116" max="5120" width="10.85546875" style="42" customWidth="1"/>
    <col min="5121" max="5121" width="6.42578125" style="42" customWidth="1"/>
    <col min="5122" max="5122" width="3.42578125" style="42" customWidth="1"/>
    <col min="5123" max="5362" width="9" style="42"/>
    <col min="5363" max="5363" width="2.85546875" style="42" customWidth="1"/>
    <col min="5364" max="5364" width="17.7109375" style="42" customWidth="1"/>
    <col min="5365" max="5365" width="9" style="42"/>
    <col min="5366" max="5366" width="11.7109375" style="42" customWidth="1"/>
    <col min="5367" max="5367" width="12.7109375" style="42" customWidth="1"/>
    <col min="5368" max="5371" width="11.28515625" style="42" customWidth="1"/>
    <col min="5372" max="5376" width="10.85546875" style="42" customWidth="1"/>
    <col min="5377" max="5377" width="6.42578125" style="42" customWidth="1"/>
    <col min="5378" max="5378" width="3.42578125" style="42" customWidth="1"/>
    <col min="5379" max="5618" width="9" style="42"/>
    <col min="5619" max="5619" width="2.85546875" style="42" customWidth="1"/>
    <col min="5620" max="5620" width="17.7109375" style="42" customWidth="1"/>
    <col min="5621" max="5621" width="9" style="42"/>
    <col min="5622" max="5622" width="11.7109375" style="42" customWidth="1"/>
    <col min="5623" max="5623" width="12.7109375" style="42" customWidth="1"/>
    <col min="5624" max="5627" width="11.28515625" style="42" customWidth="1"/>
    <col min="5628" max="5632" width="10.85546875" style="42" customWidth="1"/>
    <col min="5633" max="5633" width="6.42578125" style="42" customWidth="1"/>
    <col min="5634" max="5634" width="3.42578125" style="42" customWidth="1"/>
    <col min="5635" max="5874" width="9" style="42"/>
    <col min="5875" max="5875" width="2.85546875" style="42" customWidth="1"/>
    <col min="5876" max="5876" width="17.7109375" style="42" customWidth="1"/>
    <col min="5877" max="5877" width="9" style="42"/>
    <col min="5878" max="5878" width="11.7109375" style="42" customWidth="1"/>
    <col min="5879" max="5879" width="12.7109375" style="42" customWidth="1"/>
    <col min="5880" max="5883" width="11.28515625" style="42" customWidth="1"/>
    <col min="5884" max="5888" width="10.85546875" style="42" customWidth="1"/>
    <col min="5889" max="5889" width="6.42578125" style="42" customWidth="1"/>
    <col min="5890" max="5890" width="3.42578125" style="42" customWidth="1"/>
    <col min="5891" max="6130" width="9" style="42"/>
    <col min="6131" max="6131" width="2.85546875" style="42" customWidth="1"/>
    <col min="6132" max="6132" width="17.7109375" style="42" customWidth="1"/>
    <col min="6133" max="6133" width="9" style="42"/>
    <col min="6134" max="6134" width="11.7109375" style="42" customWidth="1"/>
    <col min="6135" max="6135" width="12.7109375" style="42" customWidth="1"/>
    <col min="6136" max="6139" width="11.28515625" style="42" customWidth="1"/>
    <col min="6140" max="6144" width="10.85546875" style="42" customWidth="1"/>
    <col min="6145" max="6145" width="6.42578125" style="42" customWidth="1"/>
    <col min="6146" max="6146" width="3.42578125" style="42" customWidth="1"/>
    <col min="6147" max="6386" width="9" style="42"/>
    <col min="6387" max="6387" width="2.85546875" style="42" customWidth="1"/>
    <col min="6388" max="6388" width="17.7109375" style="42" customWidth="1"/>
    <col min="6389" max="6389" width="9" style="42"/>
    <col min="6390" max="6390" width="11.7109375" style="42" customWidth="1"/>
    <col min="6391" max="6391" width="12.7109375" style="42" customWidth="1"/>
    <col min="6392" max="6395" width="11.28515625" style="42" customWidth="1"/>
    <col min="6396" max="6400" width="10.85546875" style="42" customWidth="1"/>
    <col min="6401" max="6401" width="6.42578125" style="42" customWidth="1"/>
    <col min="6402" max="6402" width="3.42578125" style="42" customWidth="1"/>
    <col min="6403" max="6642" width="9" style="42"/>
    <col min="6643" max="6643" width="2.85546875" style="42" customWidth="1"/>
    <col min="6644" max="6644" width="17.7109375" style="42" customWidth="1"/>
    <col min="6645" max="6645" width="9" style="42"/>
    <col min="6646" max="6646" width="11.7109375" style="42" customWidth="1"/>
    <col min="6647" max="6647" width="12.7109375" style="42" customWidth="1"/>
    <col min="6648" max="6651" width="11.28515625" style="42" customWidth="1"/>
    <col min="6652" max="6656" width="10.85546875" style="42" customWidth="1"/>
    <col min="6657" max="6657" width="6.42578125" style="42" customWidth="1"/>
    <col min="6658" max="6658" width="3.42578125" style="42" customWidth="1"/>
    <col min="6659" max="6898" width="9" style="42"/>
    <col min="6899" max="6899" width="2.85546875" style="42" customWidth="1"/>
    <col min="6900" max="6900" width="17.7109375" style="42" customWidth="1"/>
    <col min="6901" max="6901" width="9" style="42"/>
    <col min="6902" max="6902" width="11.7109375" style="42" customWidth="1"/>
    <col min="6903" max="6903" width="12.7109375" style="42" customWidth="1"/>
    <col min="6904" max="6907" width="11.28515625" style="42" customWidth="1"/>
    <col min="6908" max="6912" width="10.85546875" style="42" customWidth="1"/>
    <col min="6913" max="6913" width="6.42578125" style="42" customWidth="1"/>
    <col min="6914" max="6914" width="3.42578125" style="42" customWidth="1"/>
    <col min="6915" max="7154" width="9" style="42"/>
    <col min="7155" max="7155" width="2.85546875" style="42" customWidth="1"/>
    <col min="7156" max="7156" width="17.7109375" style="42" customWidth="1"/>
    <col min="7157" max="7157" width="9" style="42"/>
    <col min="7158" max="7158" width="11.7109375" style="42" customWidth="1"/>
    <col min="7159" max="7159" width="12.7109375" style="42" customWidth="1"/>
    <col min="7160" max="7163" width="11.28515625" style="42" customWidth="1"/>
    <col min="7164" max="7168" width="10.85546875" style="42" customWidth="1"/>
    <col min="7169" max="7169" width="6.42578125" style="42" customWidth="1"/>
    <col min="7170" max="7170" width="3.42578125" style="42" customWidth="1"/>
    <col min="7171" max="7410" width="9" style="42"/>
    <col min="7411" max="7411" width="2.85546875" style="42" customWidth="1"/>
    <col min="7412" max="7412" width="17.7109375" style="42" customWidth="1"/>
    <col min="7413" max="7413" width="9" style="42"/>
    <col min="7414" max="7414" width="11.7109375" style="42" customWidth="1"/>
    <col min="7415" max="7415" width="12.7109375" style="42" customWidth="1"/>
    <col min="7416" max="7419" width="11.28515625" style="42" customWidth="1"/>
    <col min="7420" max="7424" width="10.85546875" style="42" customWidth="1"/>
    <col min="7425" max="7425" width="6.42578125" style="42" customWidth="1"/>
    <col min="7426" max="7426" width="3.42578125" style="42" customWidth="1"/>
    <col min="7427" max="7666" width="9" style="42"/>
    <col min="7667" max="7667" width="2.85546875" style="42" customWidth="1"/>
    <col min="7668" max="7668" width="17.7109375" style="42" customWidth="1"/>
    <col min="7669" max="7669" width="9" style="42"/>
    <col min="7670" max="7670" width="11.7109375" style="42" customWidth="1"/>
    <col min="7671" max="7671" width="12.7109375" style="42" customWidth="1"/>
    <col min="7672" max="7675" width="11.28515625" style="42" customWidth="1"/>
    <col min="7676" max="7680" width="10.85546875" style="42" customWidth="1"/>
    <col min="7681" max="7681" width="6.42578125" style="42" customWidth="1"/>
    <col min="7682" max="7682" width="3.42578125" style="42" customWidth="1"/>
    <col min="7683" max="7922" width="9" style="42"/>
    <col min="7923" max="7923" width="2.85546875" style="42" customWidth="1"/>
    <col min="7924" max="7924" width="17.7109375" style="42" customWidth="1"/>
    <col min="7925" max="7925" width="9" style="42"/>
    <col min="7926" max="7926" width="11.7109375" style="42" customWidth="1"/>
    <col min="7927" max="7927" width="12.7109375" style="42" customWidth="1"/>
    <col min="7928" max="7931" width="11.28515625" style="42" customWidth="1"/>
    <col min="7932" max="7936" width="10.85546875" style="42" customWidth="1"/>
    <col min="7937" max="7937" width="6.42578125" style="42" customWidth="1"/>
    <col min="7938" max="7938" width="3.42578125" style="42" customWidth="1"/>
    <col min="7939" max="8178" width="9" style="42"/>
    <col min="8179" max="8179" width="2.85546875" style="42" customWidth="1"/>
    <col min="8180" max="8180" width="17.7109375" style="42" customWidth="1"/>
    <col min="8181" max="8181" width="9" style="42"/>
    <col min="8182" max="8182" width="11.7109375" style="42" customWidth="1"/>
    <col min="8183" max="8183" width="12.7109375" style="42" customWidth="1"/>
    <col min="8184" max="8187" width="11.28515625" style="42" customWidth="1"/>
    <col min="8188" max="8192" width="10.85546875" style="42" customWidth="1"/>
    <col min="8193" max="8193" width="6.42578125" style="42" customWidth="1"/>
    <col min="8194" max="8194" width="3.42578125" style="42" customWidth="1"/>
    <col min="8195" max="8434" width="9" style="42"/>
    <col min="8435" max="8435" width="2.85546875" style="42" customWidth="1"/>
    <col min="8436" max="8436" width="17.7109375" style="42" customWidth="1"/>
    <col min="8437" max="8437" width="9" style="42"/>
    <col min="8438" max="8438" width="11.7109375" style="42" customWidth="1"/>
    <col min="8439" max="8439" width="12.7109375" style="42" customWidth="1"/>
    <col min="8440" max="8443" width="11.28515625" style="42" customWidth="1"/>
    <col min="8444" max="8448" width="10.85546875" style="42" customWidth="1"/>
    <col min="8449" max="8449" width="6.42578125" style="42" customWidth="1"/>
    <col min="8450" max="8450" width="3.42578125" style="42" customWidth="1"/>
    <col min="8451" max="8690" width="9" style="42"/>
    <col min="8691" max="8691" width="2.85546875" style="42" customWidth="1"/>
    <col min="8692" max="8692" width="17.7109375" style="42" customWidth="1"/>
    <col min="8693" max="8693" width="9" style="42"/>
    <col min="8694" max="8694" width="11.7109375" style="42" customWidth="1"/>
    <col min="8695" max="8695" width="12.7109375" style="42" customWidth="1"/>
    <col min="8696" max="8699" width="11.28515625" style="42" customWidth="1"/>
    <col min="8700" max="8704" width="10.85546875" style="42" customWidth="1"/>
    <col min="8705" max="8705" width="6.42578125" style="42" customWidth="1"/>
    <col min="8706" max="8706" width="3.42578125" style="42" customWidth="1"/>
    <col min="8707" max="8946" width="9" style="42"/>
    <col min="8947" max="8947" width="2.85546875" style="42" customWidth="1"/>
    <col min="8948" max="8948" width="17.7109375" style="42" customWidth="1"/>
    <col min="8949" max="8949" width="9" style="42"/>
    <col min="8950" max="8950" width="11.7109375" style="42" customWidth="1"/>
    <col min="8951" max="8951" width="12.7109375" style="42" customWidth="1"/>
    <col min="8952" max="8955" width="11.28515625" style="42" customWidth="1"/>
    <col min="8956" max="8960" width="10.85546875" style="42" customWidth="1"/>
    <col min="8961" max="8961" width="6.42578125" style="42" customWidth="1"/>
    <col min="8962" max="8962" width="3.42578125" style="42" customWidth="1"/>
    <col min="8963" max="9202" width="9" style="42"/>
    <col min="9203" max="9203" width="2.85546875" style="42" customWidth="1"/>
    <col min="9204" max="9204" width="17.7109375" style="42" customWidth="1"/>
    <col min="9205" max="9205" width="9" style="42"/>
    <col min="9206" max="9206" width="11.7109375" style="42" customWidth="1"/>
    <col min="9207" max="9207" width="12.7109375" style="42" customWidth="1"/>
    <col min="9208" max="9211" width="11.28515625" style="42" customWidth="1"/>
    <col min="9212" max="9216" width="10.85546875" style="42" customWidth="1"/>
    <col min="9217" max="9217" width="6.42578125" style="42" customWidth="1"/>
    <col min="9218" max="9218" width="3.42578125" style="42" customWidth="1"/>
    <col min="9219" max="9458" width="9" style="42"/>
    <col min="9459" max="9459" width="2.85546875" style="42" customWidth="1"/>
    <col min="9460" max="9460" width="17.7109375" style="42" customWidth="1"/>
    <col min="9461" max="9461" width="9" style="42"/>
    <col min="9462" max="9462" width="11.7109375" style="42" customWidth="1"/>
    <col min="9463" max="9463" width="12.7109375" style="42" customWidth="1"/>
    <col min="9464" max="9467" width="11.28515625" style="42" customWidth="1"/>
    <col min="9468" max="9472" width="10.85546875" style="42" customWidth="1"/>
    <col min="9473" max="9473" width="6.42578125" style="42" customWidth="1"/>
    <col min="9474" max="9474" width="3.42578125" style="42" customWidth="1"/>
    <col min="9475" max="9714" width="9" style="42"/>
    <col min="9715" max="9715" width="2.85546875" style="42" customWidth="1"/>
    <col min="9716" max="9716" width="17.7109375" style="42" customWidth="1"/>
    <col min="9717" max="9717" width="9" style="42"/>
    <col min="9718" max="9718" width="11.7109375" style="42" customWidth="1"/>
    <col min="9719" max="9719" width="12.7109375" style="42" customWidth="1"/>
    <col min="9720" max="9723" width="11.28515625" style="42" customWidth="1"/>
    <col min="9724" max="9728" width="10.85546875" style="42" customWidth="1"/>
    <col min="9729" max="9729" width="6.42578125" style="42" customWidth="1"/>
    <col min="9730" max="9730" width="3.42578125" style="42" customWidth="1"/>
    <col min="9731" max="9970" width="9" style="42"/>
    <col min="9971" max="9971" width="2.85546875" style="42" customWidth="1"/>
    <col min="9972" max="9972" width="17.7109375" style="42" customWidth="1"/>
    <col min="9973" max="9973" width="9" style="42"/>
    <col min="9974" max="9974" width="11.7109375" style="42" customWidth="1"/>
    <col min="9975" max="9975" width="12.7109375" style="42" customWidth="1"/>
    <col min="9976" max="9979" width="11.28515625" style="42" customWidth="1"/>
    <col min="9980" max="9984" width="10.85546875" style="42" customWidth="1"/>
    <col min="9985" max="9985" width="6.42578125" style="42" customWidth="1"/>
    <col min="9986" max="9986" width="3.42578125" style="42" customWidth="1"/>
    <col min="9987" max="10226" width="9" style="42"/>
    <col min="10227" max="10227" width="2.85546875" style="42" customWidth="1"/>
    <col min="10228" max="10228" width="17.7109375" style="42" customWidth="1"/>
    <col min="10229" max="10229" width="9" style="42"/>
    <col min="10230" max="10230" width="11.7109375" style="42" customWidth="1"/>
    <col min="10231" max="10231" width="12.7109375" style="42" customWidth="1"/>
    <col min="10232" max="10235" width="11.28515625" style="42" customWidth="1"/>
    <col min="10236" max="10240" width="10.85546875" style="42" customWidth="1"/>
    <col min="10241" max="10241" width="6.42578125" style="42" customWidth="1"/>
    <col min="10242" max="10242" width="3.42578125" style="42" customWidth="1"/>
    <col min="10243" max="10482" width="9" style="42"/>
    <col min="10483" max="10483" width="2.85546875" style="42" customWidth="1"/>
    <col min="10484" max="10484" width="17.7109375" style="42" customWidth="1"/>
    <col min="10485" max="10485" width="9" style="42"/>
    <col min="10486" max="10486" width="11.7109375" style="42" customWidth="1"/>
    <col min="10487" max="10487" width="12.7109375" style="42" customWidth="1"/>
    <col min="10488" max="10491" width="11.28515625" style="42" customWidth="1"/>
    <col min="10492" max="10496" width="10.85546875" style="42" customWidth="1"/>
    <col min="10497" max="10497" width="6.42578125" style="42" customWidth="1"/>
    <col min="10498" max="10498" width="3.42578125" style="42" customWidth="1"/>
    <col min="10499" max="10738" width="9" style="42"/>
    <col min="10739" max="10739" width="2.85546875" style="42" customWidth="1"/>
    <col min="10740" max="10740" width="17.7109375" style="42" customWidth="1"/>
    <col min="10741" max="10741" width="9" style="42"/>
    <col min="10742" max="10742" width="11.7109375" style="42" customWidth="1"/>
    <col min="10743" max="10743" width="12.7109375" style="42" customWidth="1"/>
    <col min="10744" max="10747" width="11.28515625" style="42" customWidth="1"/>
    <col min="10748" max="10752" width="10.85546875" style="42" customWidth="1"/>
    <col min="10753" max="10753" width="6.42578125" style="42" customWidth="1"/>
    <col min="10754" max="10754" width="3.42578125" style="42" customWidth="1"/>
    <col min="10755" max="10994" width="9" style="42"/>
    <col min="10995" max="10995" width="2.85546875" style="42" customWidth="1"/>
    <col min="10996" max="10996" width="17.7109375" style="42" customWidth="1"/>
    <col min="10997" max="10997" width="9" style="42"/>
    <col min="10998" max="10998" width="11.7109375" style="42" customWidth="1"/>
    <col min="10999" max="10999" width="12.7109375" style="42" customWidth="1"/>
    <col min="11000" max="11003" width="11.28515625" style="42" customWidth="1"/>
    <col min="11004" max="11008" width="10.85546875" style="42" customWidth="1"/>
    <col min="11009" max="11009" width="6.42578125" style="42" customWidth="1"/>
    <col min="11010" max="11010" width="3.42578125" style="42" customWidth="1"/>
    <col min="11011" max="11250" width="9" style="42"/>
    <col min="11251" max="11251" width="2.85546875" style="42" customWidth="1"/>
    <col min="11252" max="11252" width="17.7109375" style="42" customWidth="1"/>
    <col min="11253" max="11253" width="9" style="42"/>
    <col min="11254" max="11254" width="11.7109375" style="42" customWidth="1"/>
    <col min="11255" max="11255" width="12.7109375" style="42" customWidth="1"/>
    <col min="11256" max="11259" width="11.28515625" style="42" customWidth="1"/>
    <col min="11260" max="11264" width="10.85546875" style="42" customWidth="1"/>
    <col min="11265" max="11265" width="6.42578125" style="42" customWidth="1"/>
    <col min="11266" max="11266" width="3.42578125" style="42" customWidth="1"/>
    <col min="11267" max="11506" width="9" style="42"/>
    <col min="11507" max="11507" width="2.85546875" style="42" customWidth="1"/>
    <col min="11508" max="11508" width="17.7109375" style="42" customWidth="1"/>
    <col min="11509" max="11509" width="9" style="42"/>
    <col min="11510" max="11510" width="11.7109375" style="42" customWidth="1"/>
    <col min="11511" max="11511" width="12.7109375" style="42" customWidth="1"/>
    <col min="11512" max="11515" width="11.28515625" style="42" customWidth="1"/>
    <col min="11516" max="11520" width="10.85546875" style="42" customWidth="1"/>
    <col min="11521" max="11521" width="6.42578125" style="42" customWidth="1"/>
    <col min="11522" max="11522" width="3.42578125" style="42" customWidth="1"/>
    <col min="11523" max="11762" width="9" style="42"/>
    <col min="11763" max="11763" width="2.85546875" style="42" customWidth="1"/>
    <col min="11764" max="11764" width="17.7109375" style="42" customWidth="1"/>
    <col min="11765" max="11765" width="9" style="42"/>
    <col min="11766" max="11766" width="11.7109375" style="42" customWidth="1"/>
    <col min="11767" max="11767" width="12.7109375" style="42" customWidth="1"/>
    <col min="11768" max="11771" width="11.28515625" style="42" customWidth="1"/>
    <col min="11772" max="11776" width="10.85546875" style="42" customWidth="1"/>
    <col min="11777" max="11777" width="6.42578125" style="42" customWidth="1"/>
    <col min="11778" max="11778" width="3.42578125" style="42" customWidth="1"/>
    <col min="11779" max="12018" width="9" style="42"/>
    <col min="12019" max="12019" width="2.85546875" style="42" customWidth="1"/>
    <col min="12020" max="12020" width="17.7109375" style="42" customWidth="1"/>
    <col min="12021" max="12021" width="9" style="42"/>
    <col min="12022" max="12022" width="11.7109375" style="42" customWidth="1"/>
    <col min="12023" max="12023" width="12.7109375" style="42" customWidth="1"/>
    <col min="12024" max="12027" width="11.28515625" style="42" customWidth="1"/>
    <col min="12028" max="12032" width="10.85546875" style="42" customWidth="1"/>
    <col min="12033" max="12033" width="6.42578125" style="42" customWidth="1"/>
    <col min="12034" max="12034" width="3.42578125" style="42" customWidth="1"/>
    <col min="12035" max="12274" width="9" style="42"/>
    <col min="12275" max="12275" width="2.85546875" style="42" customWidth="1"/>
    <col min="12276" max="12276" width="17.7109375" style="42" customWidth="1"/>
    <col min="12277" max="12277" width="9" style="42"/>
    <col min="12278" max="12278" width="11.7109375" style="42" customWidth="1"/>
    <col min="12279" max="12279" width="12.7109375" style="42" customWidth="1"/>
    <col min="12280" max="12283" width="11.28515625" style="42" customWidth="1"/>
    <col min="12284" max="12288" width="10.85546875" style="42" customWidth="1"/>
    <col min="12289" max="12289" width="6.42578125" style="42" customWidth="1"/>
    <col min="12290" max="12290" width="3.42578125" style="42" customWidth="1"/>
    <col min="12291" max="12530" width="9" style="42"/>
    <col min="12531" max="12531" width="2.85546875" style="42" customWidth="1"/>
    <col min="12532" max="12532" width="17.7109375" style="42" customWidth="1"/>
    <col min="12533" max="12533" width="9" style="42"/>
    <col min="12534" max="12534" width="11.7109375" style="42" customWidth="1"/>
    <col min="12535" max="12535" width="12.7109375" style="42" customWidth="1"/>
    <col min="12536" max="12539" width="11.28515625" style="42" customWidth="1"/>
    <col min="12540" max="12544" width="10.85546875" style="42" customWidth="1"/>
    <col min="12545" max="12545" width="6.42578125" style="42" customWidth="1"/>
    <col min="12546" max="12546" width="3.42578125" style="42" customWidth="1"/>
    <col min="12547" max="12786" width="9" style="42"/>
    <col min="12787" max="12787" width="2.85546875" style="42" customWidth="1"/>
    <col min="12788" max="12788" width="17.7109375" style="42" customWidth="1"/>
    <col min="12789" max="12789" width="9" style="42"/>
    <col min="12790" max="12790" width="11.7109375" style="42" customWidth="1"/>
    <col min="12791" max="12791" width="12.7109375" style="42" customWidth="1"/>
    <col min="12792" max="12795" width="11.28515625" style="42" customWidth="1"/>
    <col min="12796" max="12800" width="10.85546875" style="42" customWidth="1"/>
    <col min="12801" max="12801" width="6.42578125" style="42" customWidth="1"/>
    <col min="12802" max="12802" width="3.42578125" style="42" customWidth="1"/>
    <col min="12803" max="13042" width="9" style="42"/>
    <col min="13043" max="13043" width="2.85546875" style="42" customWidth="1"/>
    <col min="13044" max="13044" width="17.7109375" style="42" customWidth="1"/>
    <col min="13045" max="13045" width="9" style="42"/>
    <col min="13046" max="13046" width="11.7109375" style="42" customWidth="1"/>
    <col min="13047" max="13047" width="12.7109375" style="42" customWidth="1"/>
    <col min="13048" max="13051" width="11.28515625" style="42" customWidth="1"/>
    <col min="13052" max="13056" width="10.85546875" style="42" customWidth="1"/>
    <col min="13057" max="13057" width="6.42578125" style="42" customWidth="1"/>
    <col min="13058" max="13058" width="3.42578125" style="42" customWidth="1"/>
    <col min="13059" max="13298" width="9" style="42"/>
    <col min="13299" max="13299" width="2.85546875" style="42" customWidth="1"/>
    <col min="13300" max="13300" width="17.7109375" style="42" customWidth="1"/>
    <col min="13301" max="13301" width="9" style="42"/>
    <col min="13302" max="13302" width="11.7109375" style="42" customWidth="1"/>
    <col min="13303" max="13303" width="12.7109375" style="42" customWidth="1"/>
    <col min="13304" max="13307" width="11.28515625" style="42" customWidth="1"/>
    <col min="13308" max="13312" width="10.85546875" style="42" customWidth="1"/>
    <col min="13313" max="13313" width="6.42578125" style="42" customWidth="1"/>
    <col min="13314" max="13314" width="3.42578125" style="42" customWidth="1"/>
    <col min="13315" max="13554" width="9" style="42"/>
    <col min="13555" max="13555" width="2.85546875" style="42" customWidth="1"/>
    <col min="13556" max="13556" width="17.7109375" style="42" customWidth="1"/>
    <col min="13557" max="13557" width="9" style="42"/>
    <col min="13558" max="13558" width="11.7109375" style="42" customWidth="1"/>
    <col min="13559" max="13559" width="12.7109375" style="42" customWidth="1"/>
    <col min="13560" max="13563" width="11.28515625" style="42" customWidth="1"/>
    <col min="13564" max="13568" width="10.85546875" style="42" customWidth="1"/>
    <col min="13569" max="13569" width="6.42578125" style="42" customWidth="1"/>
    <col min="13570" max="13570" width="3.42578125" style="42" customWidth="1"/>
    <col min="13571" max="13810" width="9" style="42"/>
    <col min="13811" max="13811" width="2.85546875" style="42" customWidth="1"/>
    <col min="13812" max="13812" width="17.7109375" style="42" customWidth="1"/>
    <col min="13813" max="13813" width="9" style="42"/>
    <col min="13814" max="13814" width="11.7109375" style="42" customWidth="1"/>
    <col min="13815" max="13815" width="12.7109375" style="42" customWidth="1"/>
    <col min="13816" max="13819" width="11.28515625" style="42" customWidth="1"/>
    <col min="13820" max="13824" width="10.85546875" style="42" customWidth="1"/>
    <col min="13825" max="13825" width="6.42578125" style="42" customWidth="1"/>
    <col min="13826" max="13826" width="3.42578125" style="42" customWidth="1"/>
    <col min="13827" max="14066" width="9" style="42"/>
    <col min="14067" max="14067" width="2.85546875" style="42" customWidth="1"/>
    <col min="14068" max="14068" width="17.7109375" style="42" customWidth="1"/>
    <col min="14069" max="14069" width="9" style="42"/>
    <col min="14070" max="14070" width="11.7109375" style="42" customWidth="1"/>
    <col min="14071" max="14071" width="12.7109375" style="42" customWidth="1"/>
    <col min="14072" max="14075" width="11.28515625" style="42" customWidth="1"/>
    <col min="14076" max="14080" width="10.85546875" style="42" customWidth="1"/>
    <col min="14081" max="14081" width="6.42578125" style="42" customWidth="1"/>
    <col min="14082" max="14082" width="3.42578125" style="42" customWidth="1"/>
    <col min="14083" max="14322" width="9" style="42"/>
    <col min="14323" max="14323" width="2.85546875" style="42" customWidth="1"/>
    <col min="14324" max="14324" width="17.7109375" style="42" customWidth="1"/>
    <col min="14325" max="14325" width="9" style="42"/>
    <col min="14326" max="14326" width="11.7109375" style="42" customWidth="1"/>
    <col min="14327" max="14327" width="12.7109375" style="42" customWidth="1"/>
    <col min="14328" max="14331" width="11.28515625" style="42" customWidth="1"/>
    <col min="14332" max="14336" width="10.85546875" style="42" customWidth="1"/>
    <col min="14337" max="14337" width="6.42578125" style="42" customWidth="1"/>
    <col min="14338" max="14338" width="3.42578125" style="42" customWidth="1"/>
    <col min="14339" max="14578" width="9" style="42"/>
    <col min="14579" max="14579" width="2.85546875" style="42" customWidth="1"/>
    <col min="14580" max="14580" width="17.7109375" style="42" customWidth="1"/>
    <col min="14581" max="14581" width="9" style="42"/>
    <col min="14582" max="14582" width="11.7109375" style="42" customWidth="1"/>
    <col min="14583" max="14583" width="12.7109375" style="42" customWidth="1"/>
    <col min="14584" max="14587" width="11.28515625" style="42" customWidth="1"/>
    <col min="14588" max="14592" width="10.85546875" style="42" customWidth="1"/>
    <col min="14593" max="14593" width="6.42578125" style="42" customWidth="1"/>
    <col min="14594" max="14594" width="3.42578125" style="42" customWidth="1"/>
    <col min="14595" max="14834" width="9" style="42"/>
    <col min="14835" max="14835" width="2.85546875" style="42" customWidth="1"/>
    <col min="14836" max="14836" width="17.7109375" style="42" customWidth="1"/>
    <col min="14837" max="14837" width="9" style="42"/>
    <col min="14838" max="14838" width="11.7109375" style="42" customWidth="1"/>
    <col min="14839" max="14839" width="12.7109375" style="42" customWidth="1"/>
    <col min="14840" max="14843" width="11.28515625" style="42" customWidth="1"/>
    <col min="14844" max="14848" width="10.85546875" style="42" customWidth="1"/>
    <col min="14849" max="14849" width="6.42578125" style="42" customWidth="1"/>
    <col min="14850" max="14850" width="3.42578125" style="42" customWidth="1"/>
    <col min="14851" max="15090" width="9" style="42"/>
    <col min="15091" max="15091" width="2.85546875" style="42" customWidth="1"/>
    <col min="15092" max="15092" width="17.7109375" style="42" customWidth="1"/>
    <col min="15093" max="15093" width="9" style="42"/>
    <col min="15094" max="15094" width="11.7109375" style="42" customWidth="1"/>
    <col min="15095" max="15095" width="12.7109375" style="42" customWidth="1"/>
    <col min="15096" max="15099" width="11.28515625" style="42" customWidth="1"/>
    <col min="15100" max="15104" width="10.85546875" style="42" customWidth="1"/>
    <col min="15105" max="15105" width="6.42578125" style="42" customWidth="1"/>
    <col min="15106" max="15106" width="3.42578125" style="42" customWidth="1"/>
    <col min="15107" max="15346" width="9" style="42"/>
    <col min="15347" max="15347" width="2.85546875" style="42" customWidth="1"/>
    <col min="15348" max="15348" width="17.7109375" style="42" customWidth="1"/>
    <col min="15349" max="15349" width="9" style="42"/>
    <col min="15350" max="15350" width="11.7109375" style="42" customWidth="1"/>
    <col min="15351" max="15351" width="12.7109375" style="42" customWidth="1"/>
    <col min="15352" max="15355" width="11.28515625" style="42" customWidth="1"/>
    <col min="15356" max="15360" width="10.85546875" style="42" customWidth="1"/>
    <col min="15361" max="15361" width="6.42578125" style="42" customWidth="1"/>
    <col min="15362" max="15362" width="3.42578125" style="42" customWidth="1"/>
    <col min="15363" max="15602" width="9" style="42"/>
    <col min="15603" max="15603" width="2.85546875" style="42" customWidth="1"/>
    <col min="15604" max="15604" width="17.7109375" style="42" customWidth="1"/>
    <col min="15605" max="15605" width="9" style="42"/>
    <col min="15606" max="15606" width="11.7109375" style="42" customWidth="1"/>
    <col min="15607" max="15607" width="12.7109375" style="42" customWidth="1"/>
    <col min="15608" max="15611" width="11.28515625" style="42" customWidth="1"/>
    <col min="15612" max="15616" width="10.85546875" style="42" customWidth="1"/>
    <col min="15617" max="15617" width="6.42578125" style="42" customWidth="1"/>
    <col min="15618" max="15618" width="3.42578125" style="42" customWidth="1"/>
    <col min="15619" max="15858" width="9" style="42"/>
    <col min="15859" max="15859" width="2.85546875" style="42" customWidth="1"/>
    <col min="15860" max="15860" width="17.7109375" style="42" customWidth="1"/>
    <col min="15861" max="15861" width="9" style="42"/>
    <col min="15862" max="15862" width="11.7109375" style="42" customWidth="1"/>
    <col min="15863" max="15863" width="12.7109375" style="42" customWidth="1"/>
    <col min="15864" max="15867" width="11.28515625" style="42" customWidth="1"/>
    <col min="15868" max="15872" width="10.85546875" style="42" customWidth="1"/>
    <col min="15873" max="15873" width="6.42578125" style="42" customWidth="1"/>
    <col min="15874" max="15874" width="3.42578125" style="42" customWidth="1"/>
    <col min="15875" max="16114" width="9" style="42"/>
    <col min="16115" max="16115" width="2.85546875" style="42" customWidth="1"/>
    <col min="16116" max="16116" width="17.7109375" style="42" customWidth="1"/>
    <col min="16117" max="16117" width="9" style="42"/>
    <col min="16118" max="16118" width="11.7109375" style="42" customWidth="1"/>
    <col min="16119" max="16119" width="12.7109375" style="42" customWidth="1"/>
    <col min="16120" max="16123" width="11.28515625" style="42" customWidth="1"/>
    <col min="16124" max="16128" width="10.85546875" style="42" customWidth="1"/>
    <col min="16129" max="16129" width="6.42578125" style="42" customWidth="1"/>
    <col min="16130" max="16130" width="3.42578125" style="42" customWidth="1"/>
    <col min="16131" max="16381" width="9" style="42"/>
    <col min="16382" max="16384" width="9" style="42" customWidth="1"/>
  </cols>
  <sheetData>
    <row r="1" spans="1:8" s="5" customFormat="1" ht="24" customHeight="1">
      <c r="A1" s="2685" t="str">
        <f>روکش!D4</f>
        <v>انبارهای عمومی و خدمات گمرکی ایران</v>
      </c>
      <c r="B1" s="2685"/>
      <c r="C1" s="2685"/>
      <c r="D1" s="2685"/>
      <c r="E1" s="2685"/>
      <c r="F1" s="2685"/>
      <c r="G1" s="2685"/>
    </row>
    <row r="2" spans="1:8" s="5" customFormat="1" ht="28.5" customHeight="1">
      <c r="A2" s="1206" t="str">
        <f>"بهای تمام شده خدمات ارائه شده به مشتریان در دوره " &amp; روکش!F9 &amp; " سال " &amp; روکش!D9</f>
        <v>بهای تمام شده خدمات ارائه شده به مشتریان در دوره شش ماهه سال 1405</v>
      </c>
      <c r="B2" s="1205"/>
      <c r="C2" s="1202"/>
      <c r="D2" s="1202"/>
      <c r="E2" s="1202"/>
      <c r="F2" s="1202"/>
      <c r="G2" s="2233"/>
    </row>
    <row r="3" spans="1:8" s="1" customFormat="1" ht="20.100000000000001" customHeight="1" thickBot="1">
      <c r="A3" s="2723"/>
      <c r="B3" s="2723"/>
      <c r="C3" s="398"/>
      <c r="D3" s="503"/>
      <c r="E3" s="527"/>
      <c r="F3" s="1208" t="s">
        <v>30</v>
      </c>
    </row>
    <row r="4" spans="1:8" s="1" customFormat="1" ht="27" customHeight="1">
      <c r="A4" s="2753" t="s">
        <v>0</v>
      </c>
      <c r="B4" s="2914" t="s">
        <v>693</v>
      </c>
      <c r="C4" s="1434" t="s">
        <v>642</v>
      </c>
      <c r="D4" s="1435"/>
      <c r="E4" s="1435"/>
      <c r="F4" s="2213"/>
      <c r="G4" s="1376"/>
    </row>
    <row r="5" spans="1:8" s="1" customFormat="1" ht="55.5" customHeight="1" thickBot="1">
      <c r="A5" s="2913"/>
      <c r="B5" s="2915"/>
      <c r="C5" s="713" t="s">
        <v>53</v>
      </c>
      <c r="D5" s="714" t="s">
        <v>216</v>
      </c>
      <c r="E5" s="714" t="s">
        <v>804</v>
      </c>
      <c r="F5" s="2875" t="s">
        <v>230</v>
      </c>
      <c r="G5" s="2876"/>
    </row>
    <row r="6" spans="1:8" s="1" customFormat="1" ht="30" hidden="1" customHeight="1">
      <c r="A6" s="1502" t="s">
        <v>273</v>
      </c>
      <c r="B6" s="1127"/>
      <c r="C6" s="1510" cm="1">
        <f t="array" aca="1" ref="C6" ca="1">INDIRECT("BudgetDB!EC"&amp;('الف-ب-ج'!$M$9+ROW()-ROW($A$6)))</f>
        <v>0</v>
      </c>
      <c r="D6" s="531">
        <f>'خرید اقلام خدمات'!$I$16</f>
        <v>0</v>
      </c>
      <c r="E6" s="486" t="str">
        <f t="shared" ref="E6:E17" si="0">IFERROR((D6-B6)*100/B6,"-")</f>
        <v>-</v>
      </c>
      <c r="F6" s="2169" t="str">
        <f ca="1">IFERROR(D6*100/C6,"-")</f>
        <v>-</v>
      </c>
      <c r="G6" s="415">
        <f ca="1">IFERROR(ABS(F6-100),500)</f>
        <v>500</v>
      </c>
      <c r="H6" s="1501" t="s">
        <v>206</v>
      </c>
    </row>
    <row r="7" spans="1:8" s="1" customFormat="1" ht="30" hidden="1" customHeight="1">
      <c r="A7" s="1437" t="s">
        <v>1432</v>
      </c>
      <c r="B7" s="1128"/>
      <c r="C7" s="1507">
        <f ca="1">'خرید اقلام خدمات'!$L$16</f>
        <v>0</v>
      </c>
      <c r="D7" s="532">
        <f>'خرید اقلام خدمات'!$O$16</f>
        <v>0</v>
      </c>
      <c r="E7" s="508" t="str">
        <f t="shared" si="0"/>
        <v>-</v>
      </c>
      <c r="F7" s="2170" t="str">
        <f ca="1">IFERROR(D7*100/C7,"-")</f>
        <v>-</v>
      </c>
      <c r="G7" s="418">
        <f t="shared" ref="G7:G17" ca="1" si="1">IFERROR(ABS(F7-100),500)</f>
        <v>500</v>
      </c>
      <c r="H7" s="1501">
        <f t="shared" ref="H7:H16" ca="1" si="2">B7+C7+D7</f>
        <v>0</v>
      </c>
    </row>
    <row r="8" spans="1:8" s="1" customFormat="1" ht="30" hidden="1" customHeight="1">
      <c r="A8" s="1438" t="s">
        <v>714</v>
      </c>
      <c r="B8" s="1128"/>
      <c r="C8" s="863" cm="1">
        <f t="array" aca="1" ref="C8" ca="1">IF(ROW()-ROW($A$8)&lt;'الف-ب-ج'!$L$9,IF(روکش!$F$9="سه ماهه",INDIRECT("BudgetDB!ED"&amp;('الف-ب-ج'!$M$9+ROW()-ROW($A$8))),INDIRECT("BudgetDB!EE"&amp;('الف-ب-ج'!$M$9+ROW()-ROW($A$8)))),"")</f>
        <v>0</v>
      </c>
      <c r="D8" s="532">
        <f>'خرید اقلام خدمات'!$F$30</f>
        <v>0</v>
      </c>
      <c r="E8" s="508" t="str">
        <f t="shared" si="0"/>
        <v>-</v>
      </c>
      <c r="F8" s="2170" t="str">
        <f ca="1">IFERROR(D8*100/C8,"-")</f>
        <v>-</v>
      </c>
      <c r="G8" s="418">
        <f t="shared" ca="1" si="1"/>
        <v>500</v>
      </c>
      <c r="H8" s="1501">
        <f t="shared" ca="1" si="2"/>
        <v>0</v>
      </c>
    </row>
    <row r="9" spans="1:8" s="1" customFormat="1" ht="30" hidden="1" customHeight="1" thickBot="1">
      <c r="A9" s="1503" t="s">
        <v>272</v>
      </c>
      <c r="B9" s="1128"/>
      <c r="C9" s="929" cm="1">
        <f t="array" aca="1" ref="C9" ca="1">IF(ROW()-ROW($A$8)&lt;'الف-ب-ج'!$L$9,IF(روکش!$F$9="سه ماهه",INDIRECT("BudgetDB!ED"&amp;('الف-ب-ج'!$M$9+ROW()-ROW($A$8))),INDIRECT("BudgetDB!EE"&amp;('الف-ب-ج'!$M$9+ROW()-ROW($A$8)))),"")</f>
        <v>0</v>
      </c>
      <c r="D9" s="532">
        <f>'خرید اقلام خدمات'!$L$30</f>
        <v>0</v>
      </c>
      <c r="E9" s="508" t="str">
        <f t="shared" si="0"/>
        <v>-</v>
      </c>
      <c r="F9" s="2215" t="str">
        <f ca="1">IFERROR(D9*100/C9,"-")</f>
        <v>-</v>
      </c>
      <c r="G9" s="2216">
        <f t="shared" ca="1" si="1"/>
        <v>500</v>
      </c>
      <c r="H9" s="1501" t="s">
        <v>206</v>
      </c>
    </row>
    <row r="10" spans="1:8" s="1" customFormat="1" ht="30" hidden="1" customHeight="1">
      <c r="A10" s="1502" t="s">
        <v>182</v>
      </c>
      <c r="B10" s="1504">
        <f>B6+B7-B9-B8</f>
        <v>0</v>
      </c>
      <c r="C10" s="1505">
        <f ca="1">C6+C7-C9-C8</f>
        <v>0</v>
      </c>
      <c r="D10" s="533">
        <f>D6+D7-D9-D8</f>
        <v>0</v>
      </c>
      <c r="E10" s="510" t="str">
        <f t="shared" si="0"/>
        <v>-</v>
      </c>
      <c r="F10" s="2234" t="str">
        <f t="shared" ref="F10:F17" ca="1" si="3">IFERROR(D10*100/C10,"-")</f>
        <v>-</v>
      </c>
      <c r="G10" s="2235">
        <f t="shared" ca="1" si="1"/>
        <v>500</v>
      </c>
      <c r="H10" s="1501" t="s">
        <v>206</v>
      </c>
    </row>
    <row r="11" spans="1:8" s="1" customFormat="1" ht="30" customHeight="1">
      <c r="A11" s="1437" t="s">
        <v>1433</v>
      </c>
      <c r="B11" s="1506">
        <f>'هزینه پرسنلی مستقیم خدمات'!B33</f>
        <v>759010</v>
      </c>
      <c r="C11" s="1507">
        <f ca="1">'هزینه پرسنلی مستقیم خدمات'!C33</f>
        <v>1166358</v>
      </c>
      <c r="D11" s="532">
        <f>'هزینه پرسنلی مستقیم خدمات'!D33</f>
        <v>1242045</v>
      </c>
      <c r="E11" s="508">
        <f t="shared" si="0"/>
        <v>63.640136493590333</v>
      </c>
      <c r="F11" s="2219">
        <f t="shared" ca="1" si="3"/>
        <v>106.48917399289068</v>
      </c>
      <c r="G11" s="2220">
        <f t="shared" ca="1" si="1"/>
        <v>6.4891739928906844</v>
      </c>
      <c r="H11" s="1501">
        <f t="shared" ca="1" si="2"/>
        <v>3167413</v>
      </c>
    </row>
    <row r="12" spans="1:8" s="1" customFormat="1" ht="30" hidden="1" customHeight="1">
      <c r="A12" s="1437" t="s">
        <v>1434</v>
      </c>
      <c r="B12" s="1506">
        <f>'هزینه پرسنلی غیرمستقیم خدمات'!B33</f>
        <v>0</v>
      </c>
      <c r="C12" s="1507">
        <f ca="1">'هزینه پرسنلی غیرمستقیم خدمات'!C33</f>
        <v>0</v>
      </c>
      <c r="D12" s="532">
        <f>'هزینه پرسنلی غیرمستقیم خدمات'!D33</f>
        <v>0</v>
      </c>
      <c r="E12" s="508" t="str">
        <f t="shared" si="0"/>
        <v>-</v>
      </c>
      <c r="F12" s="2219" t="str">
        <f t="shared" ca="1" si="3"/>
        <v>-</v>
      </c>
      <c r="G12" s="2220">
        <f t="shared" ca="1" si="1"/>
        <v>500</v>
      </c>
      <c r="H12" s="1501">
        <f t="shared" ca="1" si="2"/>
        <v>0</v>
      </c>
    </row>
    <row r="13" spans="1:8" s="1" customFormat="1" ht="30" customHeight="1" thickBot="1">
      <c r="A13" s="1437" t="s">
        <v>1435</v>
      </c>
      <c r="B13" s="1508">
        <f>'هزینه سربار خدمات'!B33</f>
        <v>512888</v>
      </c>
      <c r="C13" s="1509">
        <f ca="1">'هزینه سربار خدمات'!C33</f>
        <v>840989</v>
      </c>
      <c r="D13" s="534">
        <f>'هزینه سربار خدمات'!D33</f>
        <v>1708534</v>
      </c>
      <c r="E13" s="512">
        <f t="shared" si="0"/>
        <v>233.12029136965575</v>
      </c>
      <c r="F13" s="2221">
        <f t="shared" ca="1" si="3"/>
        <v>203.1577107429467</v>
      </c>
      <c r="G13" s="2222">
        <f t="shared" ca="1" si="1"/>
        <v>103.1577107429467</v>
      </c>
      <c r="H13" s="1501">
        <f t="shared" ca="1" si="2"/>
        <v>3062411</v>
      </c>
    </row>
    <row r="14" spans="1:8" s="1" customFormat="1" ht="30" hidden="1" customHeight="1" thickBot="1">
      <c r="A14" s="1440" t="s">
        <v>1436</v>
      </c>
      <c r="B14" s="1508">
        <f ca="1">_xlfn.IFNA(VLOOKUP("هزینه‌های جذب نشده در خدمات",'سایر عملیاتی'!$A$7:$F$45,2,FALSE),0)</f>
        <v>0</v>
      </c>
      <c r="C14" s="1509">
        <f ca="1">_xlfn.IFNA(VLOOKUP("هزینه‌های جذب نشده در خدمات",'سایر عملیاتی'!$A$7:$F$45,3,FALSE),0)</f>
        <v>0</v>
      </c>
      <c r="D14" s="534">
        <f ca="1">_xlfn.IFNA(VLOOKUP("هزینه‌های جذب نشده در خدمات",'سایر عملیاتی'!$A$7:$F$45,4,FALSE),0)</f>
        <v>0</v>
      </c>
      <c r="E14" s="512" t="str">
        <f t="shared" ca="1" si="0"/>
        <v>-</v>
      </c>
      <c r="F14" s="2221" t="str">
        <f t="shared" ca="1" si="3"/>
        <v>-</v>
      </c>
      <c r="G14" s="2222">
        <f t="shared" ca="1" si="1"/>
        <v>500</v>
      </c>
      <c r="H14" s="1501">
        <f t="shared" ca="1" si="2"/>
        <v>0</v>
      </c>
    </row>
    <row r="15" spans="1:8" s="1" customFormat="1" ht="30" customHeight="1">
      <c r="A15" s="1502" t="s">
        <v>58</v>
      </c>
      <c r="B15" s="1504">
        <f ca="1">SUM(B10:B13)-B14</f>
        <v>1271898</v>
      </c>
      <c r="C15" s="1505">
        <f ca="1">SUM(C10:C13)-C14</f>
        <v>2007347</v>
      </c>
      <c r="D15" s="533">
        <f ca="1">SUM(D10:D13)-D14</f>
        <v>2950579</v>
      </c>
      <c r="E15" s="510">
        <f t="shared" ca="1" si="0"/>
        <v>131.98236022070952</v>
      </c>
      <c r="F15" s="2234">
        <f t="shared" ca="1" si="3"/>
        <v>146.98898596007567</v>
      </c>
      <c r="G15" s="2235">
        <f t="shared" ca="1" si="1"/>
        <v>46.988985960075667</v>
      </c>
      <c r="H15" s="1501" t="s">
        <v>206</v>
      </c>
    </row>
    <row r="16" spans="1:8" s="1" customFormat="1" ht="30" customHeight="1" thickBot="1">
      <c r="A16" s="1503" t="s">
        <v>1400</v>
      </c>
      <c r="B16" s="1124"/>
      <c r="C16" s="934" cm="1">
        <f t="array" aca="1" ref="C16" ca="1">IF(روکش!$F$9="سه ماهه",INDIRECT("BudgetDB!EF"&amp;('الف-ب-ج'!$M$9+ROW()-ROW($A$16))),INDIRECT("BudgetDB!EG"&amp;('الف-ب-ج'!$M$9+ROW()-ROW($A$16))))</f>
        <v>0</v>
      </c>
      <c r="D16" s="248"/>
      <c r="E16" s="512" t="str">
        <f t="shared" si="0"/>
        <v>-</v>
      </c>
      <c r="F16" s="2221" t="str">
        <f t="shared" ca="1" si="3"/>
        <v>-</v>
      </c>
      <c r="G16" s="2222">
        <f t="shared" ca="1" si="1"/>
        <v>500</v>
      </c>
      <c r="H16" s="1501">
        <f t="shared" ca="1" si="2"/>
        <v>0</v>
      </c>
    </row>
    <row r="17" spans="1:8" s="1" customFormat="1" ht="30" customHeight="1" thickBot="1">
      <c r="A17" s="1350" t="s">
        <v>1401</v>
      </c>
      <c r="B17" s="528">
        <f ca="1">B15+B16</f>
        <v>1271898</v>
      </c>
      <c r="C17" s="529">
        <f ca="1">C15+C16</f>
        <v>2007347</v>
      </c>
      <c r="D17" s="530">
        <f ca="1">D15+D16</f>
        <v>2950579</v>
      </c>
      <c r="E17" s="504">
        <f t="shared" ca="1" si="0"/>
        <v>131.98236022070952</v>
      </c>
      <c r="F17" s="2236">
        <f t="shared" ca="1" si="3"/>
        <v>146.98898596007567</v>
      </c>
      <c r="G17" s="2237">
        <f t="shared" ca="1" si="1"/>
        <v>46.988985960075667</v>
      </c>
      <c r="H17" s="1501" t="s">
        <v>206</v>
      </c>
    </row>
    <row r="18" spans="1:8" s="1" customFormat="1" ht="20.25" customHeight="1" thickTop="1">
      <c r="A18" s="928"/>
      <c r="B18" s="928"/>
      <c r="C18" s="928"/>
      <c r="D18" s="928"/>
      <c r="E18" s="928"/>
      <c r="F18" s="928"/>
    </row>
    <row r="19" spans="1:8" ht="27">
      <c r="A19" s="43"/>
      <c r="B19" s="43"/>
      <c r="C19" s="43"/>
      <c r="D19" s="43"/>
    </row>
  </sheetData>
  <sheetProtection algorithmName="SHA-512" hashValue="wpaFBYJ+9M31jzsTObgK3E+rtwzdR0afmGVUgboJaewNExp3M8Fd3zNXbP7toKCPMGfL59rhfq6nTMH5l4Vfog==" saltValue="VbvpxXOCR5LLVZ89vn2sQQ==" spinCount="100000" sheet="1" objects="1" scenarios="1"/>
  <mergeCells count="5">
    <mergeCell ref="A3:B3"/>
    <mergeCell ref="A4:A5"/>
    <mergeCell ref="B4:B5"/>
    <mergeCell ref="A1:G1"/>
    <mergeCell ref="F5:G5"/>
  </mergeCells>
  <conditionalFormatting sqref="G6:G17">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95"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2F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E6:E17</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76">
    <tabColor rgb="FFFFA07A"/>
    <pageSetUpPr fitToPage="1"/>
  </sheetPr>
  <dimension ref="A1:O72"/>
  <sheetViews>
    <sheetView rightToLeft="1" view="pageBreakPreview" zoomScale="60" zoomScaleNormal="115" workbookViewId="0">
      <selection activeCell="A13" sqref="A13"/>
    </sheetView>
  </sheetViews>
  <sheetFormatPr defaultColWidth="9" defaultRowHeight="15"/>
  <cols>
    <col min="1" max="1" width="50.5703125" style="5" customWidth="1"/>
    <col min="2" max="4" width="18.5703125" style="5" customWidth="1"/>
    <col min="5" max="5" width="16" style="5" customWidth="1"/>
    <col min="6" max="6" width="13.5703125" style="5" customWidth="1"/>
    <col min="7" max="7" width="3.7109375" style="5" customWidth="1"/>
    <col min="8" max="8" width="9" style="79"/>
    <col min="9" max="12" width="9" style="212" hidden="1" customWidth="1"/>
    <col min="13" max="13" width="9" style="208" hidden="1" customWidth="1"/>
    <col min="14" max="14" width="9" style="5" hidden="1" customWidth="1"/>
    <col min="15" max="15" width="9" style="212" customWidth="1"/>
    <col min="16" max="16384" width="9" style="5"/>
  </cols>
  <sheetData>
    <row r="1" spans="1:15" s="52" customFormat="1" ht="24" customHeight="1">
      <c r="A1" s="2685" t="str">
        <f>روکش!D4</f>
        <v>انبارهای عمومی و خدمات گمرکی ایران</v>
      </c>
      <c r="B1" s="2685"/>
      <c r="C1" s="2685"/>
      <c r="D1" s="2685"/>
      <c r="E1" s="2685"/>
      <c r="F1" s="2685"/>
      <c r="G1" s="2685"/>
      <c r="H1" s="88"/>
      <c r="I1" s="249"/>
      <c r="J1" s="249"/>
      <c r="K1" s="249"/>
      <c r="L1" s="212"/>
      <c r="M1" s="208"/>
      <c r="N1" s="5"/>
      <c r="O1" s="249"/>
    </row>
    <row r="2" spans="1:15" s="52" customFormat="1" ht="28.5" customHeight="1">
      <c r="A2" s="1206" t="str">
        <f>"هزينه هاي نگهداری آزادراه در دوره " &amp; روکش!F9 &amp; " سال " &amp; روکش!D9</f>
        <v>هزينه هاي نگهداری آزادراه در دوره شش ماهه سال 1405</v>
      </c>
      <c r="B2" s="1206"/>
      <c r="C2" s="1203"/>
      <c r="D2" s="1203"/>
      <c r="E2" s="1203"/>
      <c r="F2" s="1203"/>
      <c r="G2" s="1355"/>
      <c r="H2" s="1237"/>
      <c r="I2" s="249"/>
      <c r="J2" s="249"/>
      <c r="K2" s="249"/>
      <c r="L2" s="249"/>
      <c r="M2" s="208"/>
      <c r="N2" s="5"/>
      <c r="O2" s="249"/>
    </row>
    <row r="3" spans="1:15" ht="20.100000000000001" customHeight="1" thickBot="1">
      <c r="A3" s="2723"/>
      <c r="B3" s="2723"/>
      <c r="C3" s="2723"/>
      <c r="D3" s="538"/>
      <c r="E3" s="538"/>
      <c r="F3" s="1208" t="s">
        <v>30</v>
      </c>
    </row>
    <row r="4" spans="1:15" ht="30" customHeight="1">
      <c r="A4" s="2907" t="s">
        <v>21</v>
      </c>
      <c r="B4" s="2907" t="s">
        <v>693</v>
      </c>
      <c r="C4" s="1434" t="s">
        <v>642</v>
      </c>
      <c r="D4" s="1435"/>
      <c r="E4" s="1435"/>
      <c r="F4" s="2213"/>
      <c r="G4" s="1376"/>
    </row>
    <row r="5" spans="1:15" ht="57.75" customHeight="1" thickBot="1">
      <c r="A5" s="2908"/>
      <c r="B5" s="2909"/>
      <c r="C5" s="713" t="s">
        <v>53</v>
      </c>
      <c r="D5" s="714" t="s">
        <v>216</v>
      </c>
      <c r="E5" s="714" t="s">
        <v>804</v>
      </c>
      <c r="F5" s="2875" t="s">
        <v>230</v>
      </c>
      <c r="G5" s="2876"/>
      <c r="I5" s="1081" t="s">
        <v>784</v>
      </c>
      <c r="J5" s="1081"/>
      <c r="K5" s="1081"/>
      <c r="L5" s="1081" t="s">
        <v>792</v>
      </c>
    </row>
    <row r="6" spans="1:15" ht="20.100000000000001" customHeight="1">
      <c r="A6" s="1424">
        <f ca="1">IF(ROW()-ROW($A$6)&lt;'الف-ب-ج'!$L$9,INDIRECT("BudgetDB!EH"&amp;('الف-ب-ج'!$M$9+ROW()-ROW($A$6))),"")</f>
        <v>0</v>
      </c>
      <c r="B6" s="215"/>
      <c r="C6" s="1426" cm="1">
        <f t="array" aca="1" ref="C6" ca="1">IF(ROW()-ROW($A$6)&lt;'الف-ب-ج'!$L$9,IF(روکش!$F$9="سه ماهه",INDIRECT("BudgetDB!EI"&amp;('الف-ب-ج'!$M$9+ROW()-ROW($A$6))),INDIRECT("BudgetDB!EJ"&amp;('الف-ب-ج'!$M$9+ROW()-ROW($A$6)))),"")</f>
        <v>0</v>
      </c>
      <c r="D6" s="2131"/>
      <c r="E6" s="486" t="str">
        <f t="shared" ref="E6:E44" si="0">IFERROR((D6-B6)*100/B6,"-")</f>
        <v>-</v>
      </c>
      <c r="F6" s="2199" t="str">
        <f t="shared" ref="F6:F44" ca="1" si="1">IFERROR(D6*100/C6,"-")</f>
        <v>-</v>
      </c>
      <c r="G6" s="2200">
        <f ca="1">IFERROR(ABS(F6-100),500)</f>
        <v>500</v>
      </c>
      <c r="I6" s="1360" t="str">
        <f ca="1">IF(AND(C6=0,D6&gt;0),100,IFERROR(ABS(F6-100),"-"))</f>
        <v>-</v>
      </c>
      <c r="J6" s="1081"/>
      <c r="K6" s="1081"/>
      <c r="L6" s="1423">
        <f ca="1">B6+C6+D6</f>
        <v>0</v>
      </c>
      <c r="M6" s="208" t="e">
        <f ca="1">AND(COUNTIF($A6,"*سایر*")=1,$B6/$B$20&gt;0.2)</f>
        <v>#DIV/0!</v>
      </c>
      <c r="N6" s="208" t="e">
        <f ca="1">AND(COUNTIF($A6,"*سایر*")=1,$D6/$D$20&gt;0.2)</f>
        <v>#DIV/0!</v>
      </c>
    </row>
    <row r="7" spans="1:15" ht="20.100000000000001" customHeight="1">
      <c r="A7" s="963">
        <f ca="1">IF(ROW()-ROW($A$6)&lt;'الف-ب-ج'!$L$9,INDIRECT("BudgetDB!EH"&amp;('الف-ب-ج'!$M$9+ROW()-ROW($A$6))),"")</f>
        <v>0</v>
      </c>
      <c r="B7" s="217"/>
      <c r="C7" s="1427" cm="1">
        <f t="array" aca="1" ref="C7" ca="1">IF(ROW()-ROW($A$6)&lt;'الف-ب-ج'!$L$9,IF(روکش!$F$9="سه ماهه",INDIRECT("BudgetDB!EI"&amp;('الف-ب-ج'!$M$9+ROW()-ROW($A$6))),INDIRECT("BudgetDB!EJ"&amp;('الف-ب-ج'!$M$9+ROW()-ROW($A$6)))),"")</f>
        <v>0</v>
      </c>
      <c r="D7" s="2127"/>
      <c r="E7" s="488" t="str">
        <f t="shared" si="0"/>
        <v>-</v>
      </c>
      <c r="F7" s="2201" t="str">
        <f t="shared" ca="1" si="1"/>
        <v>-</v>
      </c>
      <c r="G7" s="498">
        <f t="shared" ref="G7:G44" ca="1" si="2">IFERROR(ABS(F7-100),500)</f>
        <v>500</v>
      </c>
      <c r="I7" s="1360" t="str">
        <f t="shared" ref="I7:I18" ca="1" si="3">IF(AND(C7=0,D7&gt;0),100,IFERROR(ABS(F7-100),"-"))</f>
        <v>-</v>
      </c>
      <c r="J7" s="1081"/>
      <c r="K7" s="1081"/>
      <c r="L7" s="1423">
        <f t="shared" ref="L7:L18" ca="1" si="4">B7+C7+D7</f>
        <v>0</v>
      </c>
      <c r="M7" s="208" t="e">
        <f t="shared" ref="M7:M20" ca="1" si="5">AND(COUNTIF($A7,"*سایر*")=1,$B7/$B$20&gt;0.2)</f>
        <v>#DIV/0!</v>
      </c>
      <c r="N7" s="208" t="e">
        <f t="shared" ref="N7:N20" ca="1" si="6">AND(COUNTIF($A7,"*سایر*")=1,$D7/$D$20&gt;0.2)</f>
        <v>#DIV/0!</v>
      </c>
    </row>
    <row r="8" spans="1:15" ht="20.100000000000001" customHeight="1">
      <c r="A8" s="963">
        <f ca="1">IF(ROW()-ROW($A$6)&lt;'الف-ب-ج'!$L$9,INDIRECT("BudgetDB!EH"&amp;('الف-ب-ج'!$M$9+ROW()-ROW($A$6))),"")</f>
        <v>0</v>
      </c>
      <c r="B8" s="217"/>
      <c r="C8" s="1427" cm="1">
        <f t="array" aca="1" ref="C8" ca="1">IF(ROW()-ROW($A$6)&lt;'الف-ب-ج'!$L$9,IF(روکش!$F$9="سه ماهه",INDIRECT("BudgetDB!EI"&amp;('الف-ب-ج'!$M$9+ROW()-ROW($A$6))),INDIRECT("BudgetDB!EJ"&amp;('الف-ب-ج'!$M$9+ROW()-ROW($A$6)))),"")</f>
        <v>0</v>
      </c>
      <c r="D8" s="2127"/>
      <c r="E8" s="488" t="str">
        <f t="shared" si="0"/>
        <v>-</v>
      </c>
      <c r="F8" s="2201" t="str">
        <f t="shared" ca="1" si="1"/>
        <v>-</v>
      </c>
      <c r="G8" s="498">
        <f t="shared" ca="1" si="2"/>
        <v>500</v>
      </c>
      <c r="I8" s="1360" t="str">
        <f t="shared" ca="1" si="3"/>
        <v>-</v>
      </c>
      <c r="J8" s="1081"/>
      <c r="K8" s="1081"/>
      <c r="L8" s="1423">
        <f t="shared" ca="1" si="4"/>
        <v>0</v>
      </c>
      <c r="M8" s="208" t="e">
        <f t="shared" ca="1" si="5"/>
        <v>#DIV/0!</v>
      </c>
      <c r="N8" s="208" t="e">
        <f t="shared" ca="1" si="6"/>
        <v>#DIV/0!</v>
      </c>
    </row>
    <row r="9" spans="1:15" ht="20.100000000000001" customHeight="1">
      <c r="A9" s="963">
        <f ca="1">IF(ROW()-ROW($A$6)&lt;'الف-ب-ج'!$L$9,INDIRECT("BudgetDB!EH"&amp;('الف-ب-ج'!$M$9+ROW()-ROW($A$6))),"")</f>
        <v>0</v>
      </c>
      <c r="B9" s="217"/>
      <c r="C9" s="1427" cm="1">
        <f t="array" aca="1" ref="C9" ca="1">IF(ROW()-ROW($A$6)&lt;'الف-ب-ج'!$L$9,IF(روکش!$F$9="سه ماهه",INDIRECT("BudgetDB!EI"&amp;('الف-ب-ج'!$M$9+ROW()-ROW($A$6))),INDIRECT("BudgetDB!EJ"&amp;('الف-ب-ج'!$M$9+ROW()-ROW($A$6)))),"")</f>
        <v>0</v>
      </c>
      <c r="D9" s="2127"/>
      <c r="E9" s="488" t="str">
        <f t="shared" si="0"/>
        <v>-</v>
      </c>
      <c r="F9" s="2201" t="str">
        <f t="shared" ca="1" si="1"/>
        <v>-</v>
      </c>
      <c r="G9" s="498">
        <f t="shared" ca="1" si="2"/>
        <v>500</v>
      </c>
      <c r="I9" s="1360" t="str">
        <f t="shared" ca="1" si="3"/>
        <v>-</v>
      </c>
      <c r="J9" s="1081"/>
      <c r="K9" s="1081"/>
      <c r="L9" s="1423">
        <f t="shared" ca="1" si="4"/>
        <v>0</v>
      </c>
      <c r="M9" s="208" t="e">
        <f t="shared" ca="1" si="5"/>
        <v>#DIV/0!</v>
      </c>
      <c r="N9" s="208" t="e">
        <f t="shared" ca="1" si="6"/>
        <v>#DIV/0!</v>
      </c>
    </row>
    <row r="10" spans="1:15" ht="20.100000000000001" customHeight="1">
      <c r="A10" s="963">
        <f ca="1">IF(ROW()-ROW($A$6)&lt;'الف-ب-ج'!$L$9,INDIRECT("BudgetDB!EH"&amp;('الف-ب-ج'!$M$9+ROW()-ROW($A$6))),"")</f>
        <v>0</v>
      </c>
      <c r="B10" s="217"/>
      <c r="C10" s="1427" cm="1">
        <f t="array" aca="1" ref="C10" ca="1">IF(ROW()-ROW($A$6)&lt;'الف-ب-ج'!$L$9,IF(روکش!$F$9="سه ماهه",INDIRECT("BudgetDB!EI"&amp;('الف-ب-ج'!$M$9+ROW()-ROW($A$6))),INDIRECT("BudgetDB!EJ"&amp;('الف-ب-ج'!$M$9+ROW()-ROW($A$6)))),"")</f>
        <v>0</v>
      </c>
      <c r="D10" s="2127"/>
      <c r="E10" s="488" t="str">
        <f t="shared" si="0"/>
        <v>-</v>
      </c>
      <c r="F10" s="2201" t="str">
        <f t="shared" ca="1" si="1"/>
        <v>-</v>
      </c>
      <c r="G10" s="498">
        <f t="shared" ca="1" si="2"/>
        <v>500</v>
      </c>
      <c r="I10" s="1360" t="str">
        <f t="shared" ca="1" si="3"/>
        <v>-</v>
      </c>
      <c r="J10" s="1081"/>
      <c r="K10" s="1081"/>
      <c r="L10" s="1423">
        <f t="shared" ca="1" si="4"/>
        <v>0</v>
      </c>
      <c r="M10" s="208" t="e">
        <f t="shared" ca="1" si="5"/>
        <v>#DIV/0!</v>
      </c>
      <c r="N10" s="208" t="e">
        <f t="shared" ca="1" si="6"/>
        <v>#DIV/0!</v>
      </c>
    </row>
    <row r="11" spans="1:15" ht="20.100000000000001" customHeight="1">
      <c r="A11" s="963">
        <f ca="1">IF(ROW()-ROW($A$6)&lt;'الف-ب-ج'!$L$9,INDIRECT("BudgetDB!EH"&amp;('الف-ب-ج'!$M$9+ROW()-ROW($A$6))),"")</f>
        <v>0</v>
      </c>
      <c r="B11" s="170"/>
      <c r="C11" s="1432" cm="1">
        <f t="array" aca="1" ref="C11" ca="1">IF(ROW()-ROW($A$6)&lt;'الف-ب-ج'!$L$9,IF(روکش!$F$9="سه ماهه",INDIRECT("BudgetDB!EI"&amp;('الف-ب-ج'!$M$9+ROW()-ROW($A$6))),INDIRECT("BudgetDB!EJ"&amp;('الف-ب-ج'!$M$9+ROW()-ROW($A$6)))),"")</f>
        <v>0</v>
      </c>
      <c r="D11" s="246"/>
      <c r="E11" s="536" t="str">
        <f t="shared" si="0"/>
        <v>-</v>
      </c>
      <c r="F11" s="2201" t="str">
        <f t="shared" ca="1" si="1"/>
        <v>-</v>
      </c>
      <c r="G11" s="498">
        <f t="shared" ca="1" si="2"/>
        <v>500</v>
      </c>
      <c r="I11" s="1360" t="str">
        <f t="shared" ca="1" si="3"/>
        <v>-</v>
      </c>
      <c r="J11" s="1081"/>
      <c r="K11" s="1081"/>
      <c r="L11" s="1423">
        <f t="shared" ca="1" si="4"/>
        <v>0</v>
      </c>
      <c r="M11" s="208" t="e">
        <f t="shared" ca="1" si="5"/>
        <v>#DIV/0!</v>
      </c>
      <c r="N11" s="208" t="e">
        <f t="shared" ca="1" si="6"/>
        <v>#DIV/0!</v>
      </c>
    </row>
    <row r="12" spans="1:15" ht="20.100000000000001" customHeight="1">
      <c r="A12" s="963">
        <f ca="1">IF(ROW()-ROW($A$6)&lt;'الف-ب-ج'!$L$9,INDIRECT("BudgetDB!EH"&amp;('الف-ب-ج'!$M$9+ROW()-ROW($A$6))),"")</f>
        <v>0</v>
      </c>
      <c r="B12" s="170"/>
      <c r="C12" s="1432" cm="1">
        <f t="array" aca="1" ref="C12" ca="1">IF(ROW()-ROW($A$6)&lt;'الف-ب-ج'!$L$9,IF(روکش!$F$9="سه ماهه",INDIRECT("BudgetDB!EI"&amp;('الف-ب-ج'!$M$9+ROW()-ROW($A$6))),INDIRECT("BudgetDB!EJ"&amp;('الف-ب-ج'!$M$9+ROW()-ROW($A$6)))),"")</f>
        <v>0</v>
      </c>
      <c r="D12" s="246"/>
      <c r="E12" s="536" t="str">
        <f t="shared" si="0"/>
        <v>-</v>
      </c>
      <c r="F12" s="2201" t="str">
        <f t="shared" ca="1" si="1"/>
        <v>-</v>
      </c>
      <c r="G12" s="498">
        <f t="shared" ca="1" si="2"/>
        <v>500</v>
      </c>
      <c r="I12" s="1360" t="str">
        <f t="shared" ca="1" si="3"/>
        <v>-</v>
      </c>
      <c r="J12" s="1081"/>
      <c r="K12" s="1081"/>
      <c r="L12" s="1423">
        <f t="shared" ca="1" si="4"/>
        <v>0</v>
      </c>
      <c r="M12" s="208" t="e">
        <f t="shared" ca="1" si="5"/>
        <v>#DIV/0!</v>
      </c>
      <c r="N12" s="208" t="e">
        <f t="shared" ca="1" si="6"/>
        <v>#DIV/0!</v>
      </c>
    </row>
    <row r="13" spans="1:15" ht="20.100000000000001" customHeight="1">
      <c r="A13" s="963">
        <f ca="1">IF(ROW()-ROW($A$6)&lt;'الف-ب-ج'!$L$9,INDIRECT("BudgetDB!EH"&amp;('الف-ب-ج'!$M$9+ROW()-ROW($A$6))),"")</f>
        <v>0</v>
      </c>
      <c r="B13" s="170"/>
      <c r="C13" s="1432" cm="1">
        <f t="array" aca="1" ref="C13" ca="1">IF(ROW()-ROW($A$6)&lt;'الف-ب-ج'!$L$9,IF(روکش!$F$9="سه ماهه",INDIRECT("BudgetDB!EI"&amp;('الف-ب-ج'!$M$9+ROW()-ROW($A$6))),INDIRECT("BudgetDB!EJ"&amp;('الف-ب-ج'!$M$9+ROW()-ROW($A$6)))),"")</f>
        <v>0</v>
      </c>
      <c r="D13" s="246"/>
      <c r="E13" s="536" t="str">
        <f t="shared" si="0"/>
        <v>-</v>
      </c>
      <c r="F13" s="2201" t="str">
        <f t="shared" ca="1" si="1"/>
        <v>-</v>
      </c>
      <c r="G13" s="498">
        <f t="shared" ca="1" si="2"/>
        <v>500</v>
      </c>
      <c r="I13" s="1360" t="str">
        <f t="shared" ca="1" si="3"/>
        <v>-</v>
      </c>
      <c r="J13" s="1081"/>
      <c r="K13" s="1081"/>
      <c r="L13" s="1423">
        <f t="shared" ca="1" si="4"/>
        <v>0</v>
      </c>
      <c r="M13" s="208" t="e">
        <f t="shared" ca="1" si="5"/>
        <v>#DIV/0!</v>
      </c>
      <c r="N13" s="208" t="e">
        <f t="shared" ca="1" si="6"/>
        <v>#DIV/0!</v>
      </c>
    </row>
    <row r="14" spans="1:15" ht="20.100000000000001" customHeight="1">
      <c r="A14" s="963">
        <f ca="1">IF(ROW()-ROW($A$6)&lt;'الف-ب-ج'!$L$9,INDIRECT("BudgetDB!EH"&amp;('الف-ب-ج'!$M$9+ROW()-ROW($A$6))),"")</f>
        <v>0</v>
      </c>
      <c r="B14" s="170"/>
      <c r="C14" s="1432" cm="1">
        <f t="array" aca="1" ref="C14" ca="1">IF(ROW()-ROW($A$6)&lt;'الف-ب-ج'!$L$9,IF(روکش!$F$9="سه ماهه",INDIRECT("BudgetDB!EI"&amp;('الف-ب-ج'!$M$9+ROW()-ROW($A$6))),INDIRECT("BudgetDB!EJ"&amp;('الف-ب-ج'!$M$9+ROW()-ROW($A$6)))),"")</f>
        <v>0</v>
      </c>
      <c r="D14" s="246"/>
      <c r="E14" s="536" t="str">
        <f t="shared" si="0"/>
        <v>-</v>
      </c>
      <c r="F14" s="2201" t="str">
        <f t="shared" ca="1" si="1"/>
        <v>-</v>
      </c>
      <c r="G14" s="498">
        <f t="shared" ca="1" si="2"/>
        <v>500</v>
      </c>
      <c r="I14" s="1360" t="str">
        <f t="shared" ca="1" si="3"/>
        <v>-</v>
      </c>
      <c r="J14" s="1081"/>
      <c r="K14" s="1081"/>
      <c r="L14" s="1423">
        <f t="shared" ca="1" si="4"/>
        <v>0</v>
      </c>
      <c r="M14" s="208" t="e">
        <f t="shared" ca="1" si="5"/>
        <v>#DIV/0!</v>
      </c>
      <c r="N14" s="208" t="e">
        <f t="shared" ca="1" si="6"/>
        <v>#DIV/0!</v>
      </c>
    </row>
    <row r="15" spans="1:15" ht="20.100000000000001" customHeight="1">
      <c r="A15" s="963">
        <f ca="1">IF(ROW()-ROW($A$6)&lt;'الف-ب-ج'!$L$9,INDIRECT("BudgetDB!EH"&amp;('الف-ب-ج'!$M$9+ROW()-ROW($A$6))),"")</f>
        <v>0</v>
      </c>
      <c r="B15" s="170"/>
      <c r="C15" s="1432" cm="1">
        <f t="array" aca="1" ref="C15" ca="1">IF(ROW()-ROW($A$6)&lt;'الف-ب-ج'!$L$9,IF(روکش!$F$9="سه ماهه",INDIRECT("BudgetDB!EI"&amp;('الف-ب-ج'!$M$9+ROW()-ROW($A$6))),INDIRECT("BudgetDB!EJ"&amp;('الف-ب-ج'!$M$9+ROW()-ROW($A$6)))),"")</f>
        <v>0</v>
      </c>
      <c r="D15" s="246"/>
      <c r="E15" s="536" t="str">
        <f t="shared" si="0"/>
        <v>-</v>
      </c>
      <c r="F15" s="2201" t="str">
        <f t="shared" ca="1" si="1"/>
        <v>-</v>
      </c>
      <c r="G15" s="498">
        <f t="shared" ca="1" si="2"/>
        <v>500</v>
      </c>
      <c r="I15" s="1360" t="str">
        <f t="shared" ca="1" si="3"/>
        <v>-</v>
      </c>
      <c r="J15" s="1081"/>
      <c r="K15" s="1081"/>
      <c r="L15" s="1423">
        <f t="shared" ca="1" si="4"/>
        <v>0</v>
      </c>
      <c r="M15" s="208" t="e">
        <f t="shared" ca="1" si="5"/>
        <v>#DIV/0!</v>
      </c>
      <c r="N15" s="208" t="e">
        <f t="shared" ca="1" si="6"/>
        <v>#DIV/0!</v>
      </c>
    </row>
    <row r="16" spans="1:15" ht="20.100000000000001" customHeight="1">
      <c r="A16" s="496">
        <f ca="1">IF(ROW()-ROW($A$6)&lt;'الف-ب-ج'!$L$9,INDIRECT("BudgetDB!EH"&amp;('الف-ب-ج'!$M$9+ROW()-ROW($A$6))),"")</f>
        <v>0</v>
      </c>
      <c r="B16" s="170"/>
      <c r="C16" s="1432" cm="1">
        <f t="array" aca="1" ref="C16" ca="1">IF(ROW()-ROW($A$6)&lt;'الف-ب-ج'!$L$9,IF(روکش!$F$9="سه ماهه",INDIRECT("BudgetDB!EI"&amp;('الف-ب-ج'!$M$9+ROW()-ROW($A$6))),INDIRECT("BudgetDB!EJ"&amp;('الف-ب-ج'!$M$9+ROW()-ROW($A$6)))),"")</f>
        <v>0</v>
      </c>
      <c r="D16" s="246"/>
      <c r="E16" s="536" t="str">
        <f t="shared" ref="E16:E19" si="7">IFERROR((D16-B16)*100/B16,"-")</f>
        <v>-</v>
      </c>
      <c r="F16" s="2201" t="str">
        <f t="shared" ref="F16:F19" ca="1" si="8">IFERROR(D16*100/C16,"-")</f>
        <v>-</v>
      </c>
      <c r="G16" s="498">
        <f t="shared" ca="1" si="2"/>
        <v>500</v>
      </c>
      <c r="I16" s="1360" t="str">
        <f t="shared" ca="1" si="3"/>
        <v>-</v>
      </c>
      <c r="J16" s="1081"/>
      <c r="K16" s="1081"/>
      <c r="L16" s="1423">
        <f t="shared" ca="1" si="4"/>
        <v>0</v>
      </c>
      <c r="M16" s="208" t="e">
        <f t="shared" ca="1" si="5"/>
        <v>#DIV/0!</v>
      </c>
      <c r="N16" s="208" t="e">
        <f t="shared" ca="1" si="6"/>
        <v>#DIV/0!</v>
      </c>
    </row>
    <row r="17" spans="1:14" ht="20.100000000000001" customHeight="1">
      <c r="A17" s="496">
        <f ca="1">IF(ROW()-ROW($A$6)&lt;'الف-ب-ج'!$L$9,INDIRECT("BudgetDB!EH"&amp;('الف-ب-ج'!$M$9+ROW()-ROW($A$6))),"")</f>
        <v>0</v>
      </c>
      <c r="B17" s="170"/>
      <c r="C17" s="1432" cm="1">
        <f t="array" aca="1" ref="C17" ca="1">IF(ROW()-ROW($A$6)&lt;'الف-ب-ج'!$L$9,IF(روکش!$F$9="سه ماهه",INDIRECT("BudgetDB!EI"&amp;('الف-ب-ج'!$M$9+ROW()-ROW($A$6))),INDIRECT("BudgetDB!EJ"&amp;('الف-ب-ج'!$M$9+ROW()-ROW($A$6)))),"")</f>
        <v>0</v>
      </c>
      <c r="D17" s="246"/>
      <c r="E17" s="536" t="str">
        <f t="shared" si="7"/>
        <v>-</v>
      </c>
      <c r="F17" s="2201" t="str">
        <f t="shared" ca="1" si="8"/>
        <v>-</v>
      </c>
      <c r="G17" s="498">
        <f t="shared" ca="1" si="2"/>
        <v>500</v>
      </c>
      <c r="I17" s="1360" t="str">
        <f t="shared" ca="1" si="3"/>
        <v>-</v>
      </c>
      <c r="J17" s="1081"/>
      <c r="K17" s="1081"/>
      <c r="L17" s="1423">
        <f t="shared" ca="1" si="4"/>
        <v>0</v>
      </c>
      <c r="M17" s="208" t="e">
        <f t="shared" ca="1" si="5"/>
        <v>#DIV/0!</v>
      </c>
      <c r="N17" s="208" t="e">
        <f t="shared" ca="1" si="6"/>
        <v>#DIV/0!</v>
      </c>
    </row>
    <row r="18" spans="1:14" ht="20.100000000000001" customHeight="1">
      <c r="A18" s="496">
        <f ca="1">IF(ROW()-ROW($A$6)&lt;'الف-ب-ج'!$L$9,INDIRECT("BudgetDB!EH"&amp;('الف-ب-ج'!$M$9+ROW()-ROW($A$6))),"")</f>
        <v>0</v>
      </c>
      <c r="B18" s="170"/>
      <c r="C18" s="1432" cm="1">
        <f t="array" aca="1" ref="C18" ca="1">IF(ROW()-ROW($A$6)&lt;'الف-ب-ج'!$L$9,IF(روکش!$F$9="سه ماهه",INDIRECT("BudgetDB!EI"&amp;('الف-ب-ج'!$M$9+ROW()-ROW($A$6))),INDIRECT("BudgetDB!EJ"&amp;('الف-ب-ج'!$M$9+ROW()-ROW($A$6)))),"")</f>
        <v>0</v>
      </c>
      <c r="D18" s="246"/>
      <c r="E18" s="536" t="str">
        <f t="shared" si="7"/>
        <v>-</v>
      </c>
      <c r="F18" s="2201" t="str">
        <f t="shared" ca="1" si="8"/>
        <v>-</v>
      </c>
      <c r="G18" s="498">
        <f t="shared" ca="1" si="2"/>
        <v>500</v>
      </c>
      <c r="I18" s="1360" t="str">
        <f t="shared" ca="1" si="3"/>
        <v>-</v>
      </c>
      <c r="J18" s="1081"/>
      <c r="K18" s="1081"/>
      <c r="L18" s="1423">
        <f t="shared" ca="1" si="4"/>
        <v>0</v>
      </c>
      <c r="M18" s="208" t="e">
        <f t="shared" ca="1" si="5"/>
        <v>#DIV/0!</v>
      </c>
      <c r="N18" s="208" t="e">
        <f t="shared" ca="1" si="6"/>
        <v>#DIV/0!</v>
      </c>
    </row>
    <row r="19" spans="1:14" ht="20.100000000000001" customHeight="1" thickBot="1">
      <c r="A19" s="496">
        <f ca="1">IF(ROW()-ROW($A$6)&lt;'الف-ب-ج'!$L$9,INDIRECT("BudgetDB!EH"&amp;('الف-ب-ج'!$M$9+ROW()-ROW($A$6))),"")</f>
        <v>0</v>
      </c>
      <c r="B19" s="170"/>
      <c r="C19" s="1432" cm="1">
        <f t="array" aca="1" ref="C19" ca="1">IF(ROW()-ROW($A$6)&lt;'الف-ب-ج'!$L$9,IF(روکش!$F$9="سه ماهه",INDIRECT("BudgetDB!EI"&amp;('الف-ب-ج'!$M$9+ROW()-ROW($A$6))),INDIRECT("BudgetDB!EJ"&amp;('الف-ب-ج'!$M$9+ROW()-ROW($A$6)))),"")</f>
        <v>0</v>
      </c>
      <c r="D19" s="246"/>
      <c r="E19" s="536" t="str">
        <f t="shared" si="7"/>
        <v>-</v>
      </c>
      <c r="F19" s="2201" t="str">
        <f t="shared" ca="1" si="8"/>
        <v>-</v>
      </c>
      <c r="G19" s="498">
        <f t="shared" ca="1" si="2"/>
        <v>500</v>
      </c>
      <c r="I19" s="1360" t="str">
        <f ca="1">IF(AND(C19=0,D19&gt;0),100,IFERROR(ABS(F19-100),"-"))</f>
        <v>-</v>
      </c>
      <c r="J19" s="1081"/>
      <c r="K19" s="1081"/>
      <c r="L19" s="1423">
        <f ca="1">B19+C19+D19</f>
        <v>0</v>
      </c>
      <c r="M19" s="208" t="e">
        <f t="shared" ca="1" si="5"/>
        <v>#DIV/0!</v>
      </c>
      <c r="N19" s="208" t="e">
        <f t="shared" ca="1" si="6"/>
        <v>#DIV/0!</v>
      </c>
    </row>
    <row r="20" spans="1:14" ht="21.75" thickBot="1">
      <c r="A20" s="492" t="s">
        <v>437</v>
      </c>
      <c r="B20" s="1430">
        <f>SUM(B6:B19)</f>
        <v>0</v>
      </c>
      <c r="C20" s="1430">
        <f ca="1">SUM(C6:C19)</f>
        <v>0</v>
      </c>
      <c r="D20" s="494">
        <f>SUM(D6:D19)</f>
        <v>0</v>
      </c>
      <c r="E20" s="537" t="str">
        <f t="shared" si="0"/>
        <v>-</v>
      </c>
      <c r="F20" s="2204" t="str">
        <f t="shared" ca="1" si="1"/>
        <v>-</v>
      </c>
      <c r="G20" s="2205">
        <f t="shared" ca="1" si="2"/>
        <v>500</v>
      </c>
      <c r="I20" s="1360" t="s">
        <v>206</v>
      </c>
      <c r="J20" s="1081"/>
      <c r="K20" s="1081"/>
      <c r="L20" s="1423" t="s">
        <v>206</v>
      </c>
      <c r="M20" s="208" t="e">
        <f t="shared" si="5"/>
        <v>#DIV/0!</v>
      </c>
      <c r="N20" s="208" t="e">
        <f t="shared" si="6"/>
        <v>#DIV/0!</v>
      </c>
    </row>
    <row r="21" spans="1:14" ht="20.100000000000001" customHeight="1">
      <c r="A21" s="1424">
        <f ca="1">IF(ROW()-ROW($A$21)&lt;'الف-ب-ج'!$L$9,INDIRECT("BudgetDB!EK"&amp;('الف-ب-ج'!$M$9+ROW()-ROW($A$21))),"")</f>
        <v>0</v>
      </c>
      <c r="B21" s="1118"/>
      <c r="C21" s="1426" cm="1">
        <f t="array" aca="1" ref="C21" ca="1">IF(ROW()-ROW($A$21)&lt;'الف-ب-ج'!$L$9,IF(روکش!$F$9="سه ماهه",INDIRECT("BudgetDB!EL"&amp;('الف-ب-ج'!$M$9+ROW()-ROW($A$21))),INDIRECT("BudgetDB!EM"&amp;('الف-ب-ج'!$M$9+ROW()-ROW($A$21)))),"")</f>
        <v>0</v>
      </c>
      <c r="D21" s="246"/>
      <c r="E21" s="536" t="str">
        <f t="shared" si="0"/>
        <v>-</v>
      </c>
      <c r="F21" s="2201" t="str">
        <f t="shared" ca="1" si="1"/>
        <v>-</v>
      </c>
      <c r="G21" s="498">
        <f t="shared" ca="1" si="2"/>
        <v>500</v>
      </c>
      <c r="I21" s="1360" t="str">
        <f t="shared" ref="I21:I35" ca="1" si="9">IF(AND(C21=0,D21&gt;0),100,IFERROR(ABS(F21-100),"-"))</f>
        <v>-</v>
      </c>
      <c r="J21" s="1081"/>
      <c r="K21" s="1081"/>
      <c r="L21" s="1423">
        <f t="shared" ref="L21:L35" ca="1" si="10">B21+C21+D21</f>
        <v>0</v>
      </c>
      <c r="M21" s="208" t="e">
        <f ca="1">AND(COUNTIF($A21,"*سایر*")=1,$B21/$B$41&gt;0.2)</f>
        <v>#DIV/0!</v>
      </c>
      <c r="N21" s="208" t="e">
        <f ca="1">AND(COUNTIF($A21,"*سایر*")=1,$D21/$D$41&gt;0.2)</f>
        <v>#DIV/0!</v>
      </c>
    </row>
    <row r="22" spans="1:14" ht="20.100000000000001" customHeight="1">
      <c r="A22" s="1511">
        <f ca="1">IF(ROW()-ROW($A$21)&lt;'الف-ب-ج'!$L$9,INDIRECT("BudgetDB!EK"&amp;('الف-ب-ج'!$M$9+ROW()-ROW($A$21))),"")</f>
        <v>0</v>
      </c>
      <c r="B22" s="170"/>
      <c r="C22" s="1432" cm="1">
        <f t="array" aca="1" ref="C22" ca="1">IF(ROW()-ROW($A$21)&lt;'الف-ب-ج'!$L$9,IF(روکش!$F$9="سه ماهه",INDIRECT("BudgetDB!EL"&amp;('الف-ب-ج'!$M$9+ROW()-ROW($A$21))),INDIRECT("BudgetDB!EM"&amp;('الف-ب-ج'!$M$9+ROW()-ROW($A$21)))),"")</f>
        <v>0</v>
      </c>
      <c r="D22" s="246"/>
      <c r="E22" s="536" t="str">
        <f t="shared" si="0"/>
        <v>-</v>
      </c>
      <c r="F22" s="2201" t="str">
        <f t="shared" ca="1" si="1"/>
        <v>-</v>
      </c>
      <c r="G22" s="498">
        <f t="shared" ca="1" si="2"/>
        <v>500</v>
      </c>
      <c r="I22" s="1360" t="str">
        <f t="shared" ca="1" si="9"/>
        <v>-</v>
      </c>
      <c r="J22" s="1081"/>
      <c r="K22" s="1081"/>
      <c r="L22" s="1423">
        <f t="shared" ca="1" si="10"/>
        <v>0</v>
      </c>
      <c r="M22" s="208" t="e">
        <f t="shared" ref="M22:M40" ca="1" si="11">AND(COUNTIF($A22,"*سایر*")=1,$B22/$B$41&gt;0.2)</f>
        <v>#DIV/0!</v>
      </c>
      <c r="N22" s="208" t="e">
        <f t="shared" ref="N22:N39" ca="1" si="12">AND(COUNTIF($A22,"*سایر*")=1,$D22/$D$41&gt;0.2)</f>
        <v>#DIV/0!</v>
      </c>
    </row>
    <row r="23" spans="1:14" ht="20.100000000000001" customHeight="1">
      <c r="A23" s="1511">
        <f ca="1">IF(ROW()-ROW($A$21)&lt;'الف-ب-ج'!$L$9,INDIRECT("BudgetDB!EK"&amp;('الف-ب-ج'!$M$9+ROW()-ROW($A$21))),"")</f>
        <v>0</v>
      </c>
      <c r="B23" s="170"/>
      <c r="C23" s="1432" cm="1">
        <f t="array" aca="1" ref="C23" ca="1">IF(ROW()-ROW($A$21)&lt;'الف-ب-ج'!$L$9,IF(روکش!$F$9="سه ماهه",INDIRECT("BudgetDB!EL"&amp;('الف-ب-ج'!$M$9+ROW()-ROW($A$21))),INDIRECT("BudgetDB!EM"&amp;('الف-ب-ج'!$M$9+ROW()-ROW($A$21)))),"")</f>
        <v>0</v>
      </c>
      <c r="D23" s="246"/>
      <c r="E23" s="536" t="str">
        <f t="shared" si="0"/>
        <v>-</v>
      </c>
      <c r="F23" s="2201" t="str">
        <f t="shared" ca="1" si="1"/>
        <v>-</v>
      </c>
      <c r="G23" s="498">
        <f t="shared" ca="1" si="2"/>
        <v>500</v>
      </c>
      <c r="I23" s="1360" t="str">
        <f t="shared" ca="1" si="9"/>
        <v>-</v>
      </c>
      <c r="J23" s="1081"/>
      <c r="K23" s="1081"/>
      <c r="L23" s="1423">
        <f t="shared" ca="1" si="10"/>
        <v>0</v>
      </c>
      <c r="M23" s="208" t="e">
        <f t="shared" ca="1" si="11"/>
        <v>#DIV/0!</v>
      </c>
      <c r="N23" s="208" t="e">
        <f t="shared" ca="1" si="12"/>
        <v>#DIV/0!</v>
      </c>
    </row>
    <row r="24" spans="1:14" ht="20.100000000000001" customHeight="1">
      <c r="A24" s="1511">
        <f ca="1">IF(ROW()-ROW($A$21)&lt;'الف-ب-ج'!$L$9,INDIRECT("BudgetDB!EK"&amp;('الف-ب-ج'!$M$9+ROW()-ROW($A$21))),"")</f>
        <v>0</v>
      </c>
      <c r="B24" s="170"/>
      <c r="C24" s="1432" cm="1">
        <f t="array" aca="1" ref="C24" ca="1">IF(ROW()-ROW($A$21)&lt;'الف-ب-ج'!$L$9,IF(روکش!$F$9="سه ماهه",INDIRECT("BudgetDB!EL"&amp;('الف-ب-ج'!$M$9+ROW()-ROW($A$21))),INDIRECT("BudgetDB!EM"&amp;('الف-ب-ج'!$M$9+ROW()-ROW($A$21)))),"")</f>
        <v>0</v>
      </c>
      <c r="D24" s="246"/>
      <c r="E24" s="536" t="str">
        <f t="shared" si="0"/>
        <v>-</v>
      </c>
      <c r="F24" s="2201" t="str">
        <f t="shared" ca="1" si="1"/>
        <v>-</v>
      </c>
      <c r="G24" s="498">
        <f t="shared" ca="1" si="2"/>
        <v>500</v>
      </c>
      <c r="I24" s="1360" t="str">
        <f t="shared" ca="1" si="9"/>
        <v>-</v>
      </c>
      <c r="J24" s="1081"/>
      <c r="K24" s="1081"/>
      <c r="L24" s="1423">
        <f t="shared" ca="1" si="10"/>
        <v>0</v>
      </c>
      <c r="M24" s="208" t="e">
        <f t="shared" ca="1" si="11"/>
        <v>#DIV/0!</v>
      </c>
      <c r="N24" s="208" t="e">
        <f t="shared" ca="1" si="12"/>
        <v>#DIV/0!</v>
      </c>
    </row>
    <row r="25" spans="1:14" ht="20.100000000000001" customHeight="1">
      <c r="A25" s="1511">
        <f ca="1">IF(ROW()-ROW($A$21)&lt;'الف-ب-ج'!$L$9,INDIRECT("BudgetDB!EK"&amp;('الف-ب-ج'!$M$9+ROW()-ROW($A$21))),"")</f>
        <v>0</v>
      </c>
      <c r="B25" s="170"/>
      <c r="C25" s="1432" cm="1">
        <f t="array" aca="1" ref="C25" ca="1">IF(ROW()-ROW($A$21)&lt;'الف-ب-ج'!$L$9,IF(روکش!$F$9="سه ماهه",INDIRECT("BudgetDB!EL"&amp;('الف-ب-ج'!$M$9+ROW()-ROW($A$21))),INDIRECT("BudgetDB!EM"&amp;('الف-ب-ج'!$M$9+ROW()-ROW($A$21)))),"")</f>
        <v>0</v>
      </c>
      <c r="D25" s="246"/>
      <c r="E25" s="536" t="str">
        <f t="shared" si="0"/>
        <v>-</v>
      </c>
      <c r="F25" s="2201" t="str">
        <f t="shared" ca="1" si="1"/>
        <v>-</v>
      </c>
      <c r="G25" s="498">
        <f t="shared" ca="1" si="2"/>
        <v>500</v>
      </c>
      <c r="I25" s="1360" t="str">
        <f t="shared" ca="1" si="9"/>
        <v>-</v>
      </c>
      <c r="J25" s="1081"/>
      <c r="K25" s="1081"/>
      <c r="L25" s="1423">
        <f t="shared" ca="1" si="10"/>
        <v>0</v>
      </c>
      <c r="M25" s="208" t="e">
        <f t="shared" ca="1" si="11"/>
        <v>#DIV/0!</v>
      </c>
      <c r="N25" s="208" t="e">
        <f t="shared" ca="1" si="12"/>
        <v>#DIV/0!</v>
      </c>
    </row>
    <row r="26" spans="1:14" ht="20.100000000000001" customHeight="1">
      <c r="A26" s="1511">
        <f ca="1">IF(ROW()-ROW($A$21)&lt;'الف-ب-ج'!$L$9,INDIRECT("BudgetDB!EK"&amp;('الف-ب-ج'!$M$9+ROW()-ROW($A$21))),"")</f>
        <v>0</v>
      </c>
      <c r="B26" s="170"/>
      <c r="C26" s="1432" cm="1">
        <f t="array" aca="1" ref="C26" ca="1">IF(ROW()-ROW($A$21)&lt;'الف-ب-ج'!$L$9,IF(روکش!$F$9="سه ماهه",INDIRECT("BudgetDB!EL"&amp;('الف-ب-ج'!$M$9+ROW()-ROW($A$21))),INDIRECT("BudgetDB!EM"&amp;('الف-ب-ج'!$M$9+ROW()-ROW($A$21)))),"")</f>
        <v>0</v>
      </c>
      <c r="D26" s="246"/>
      <c r="E26" s="536" t="str">
        <f t="shared" si="0"/>
        <v>-</v>
      </c>
      <c r="F26" s="2201" t="str">
        <f t="shared" ca="1" si="1"/>
        <v>-</v>
      </c>
      <c r="G26" s="498">
        <f t="shared" ca="1" si="2"/>
        <v>500</v>
      </c>
      <c r="I26" s="1360" t="str">
        <f t="shared" ca="1" si="9"/>
        <v>-</v>
      </c>
      <c r="J26" s="1081"/>
      <c r="K26" s="1081"/>
      <c r="L26" s="1423">
        <f t="shared" ca="1" si="10"/>
        <v>0</v>
      </c>
      <c r="M26" s="208" t="e">
        <f t="shared" ca="1" si="11"/>
        <v>#DIV/0!</v>
      </c>
      <c r="N26" s="208" t="e">
        <f t="shared" ca="1" si="12"/>
        <v>#DIV/0!</v>
      </c>
    </row>
    <row r="27" spans="1:14" ht="20.100000000000001" customHeight="1">
      <c r="A27" s="1511">
        <f ca="1">IF(ROW()-ROW($A$21)&lt;'الف-ب-ج'!$L$9,INDIRECT("BudgetDB!EK"&amp;('الف-ب-ج'!$M$9+ROW()-ROW($A$21))),"")</f>
        <v>0</v>
      </c>
      <c r="B27" s="170"/>
      <c r="C27" s="1432" cm="1">
        <f t="array" aca="1" ref="C27" ca="1">IF(ROW()-ROW($A$21)&lt;'الف-ب-ج'!$L$9,IF(روکش!$F$9="سه ماهه",INDIRECT("BudgetDB!EL"&amp;('الف-ب-ج'!$M$9+ROW()-ROW($A$21))),INDIRECT("BudgetDB!EM"&amp;('الف-ب-ج'!$M$9+ROW()-ROW($A$21)))),"")</f>
        <v>0</v>
      </c>
      <c r="D27" s="246"/>
      <c r="E27" s="536" t="str">
        <f t="shared" si="0"/>
        <v>-</v>
      </c>
      <c r="F27" s="2201" t="str">
        <f t="shared" ca="1" si="1"/>
        <v>-</v>
      </c>
      <c r="G27" s="498">
        <f t="shared" ca="1" si="2"/>
        <v>500</v>
      </c>
      <c r="I27" s="1360" t="str">
        <f t="shared" ca="1" si="9"/>
        <v>-</v>
      </c>
      <c r="J27" s="1081"/>
      <c r="K27" s="1081"/>
      <c r="L27" s="1423">
        <f t="shared" ca="1" si="10"/>
        <v>0</v>
      </c>
      <c r="M27" s="208" t="e">
        <f t="shared" ca="1" si="11"/>
        <v>#DIV/0!</v>
      </c>
      <c r="N27" s="208" t="e">
        <f t="shared" ca="1" si="12"/>
        <v>#DIV/0!</v>
      </c>
    </row>
    <row r="28" spans="1:14" ht="20.100000000000001" customHeight="1">
      <c r="A28" s="1511">
        <f ca="1">IF(ROW()-ROW($A$21)&lt;'الف-ب-ج'!$L$9,INDIRECT("BudgetDB!EK"&amp;('الف-ب-ج'!$M$9+ROW()-ROW($A$21))),"")</f>
        <v>0</v>
      </c>
      <c r="B28" s="170"/>
      <c r="C28" s="1432" cm="1">
        <f t="array" aca="1" ref="C28" ca="1">IF(ROW()-ROW($A$21)&lt;'الف-ب-ج'!$L$9,IF(روکش!$F$9="سه ماهه",INDIRECT("BudgetDB!EL"&amp;('الف-ب-ج'!$M$9+ROW()-ROW($A$21))),INDIRECT("BudgetDB!EM"&amp;('الف-ب-ج'!$M$9+ROW()-ROW($A$21)))),"")</f>
        <v>0</v>
      </c>
      <c r="D28" s="246"/>
      <c r="E28" s="536" t="str">
        <f t="shared" si="0"/>
        <v>-</v>
      </c>
      <c r="F28" s="2201" t="str">
        <f t="shared" ca="1" si="1"/>
        <v>-</v>
      </c>
      <c r="G28" s="498">
        <f t="shared" ca="1" si="2"/>
        <v>500</v>
      </c>
      <c r="I28" s="1360" t="str">
        <f t="shared" ca="1" si="9"/>
        <v>-</v>
      </c>
      <c r="J28" s="1081"/>
      <c r="K28" s="1081"/>
      <c r="L28" s="1423">
        <f t="shared" ca="1" si="10"/>
        <v>0</v>
      </c>
      <c r="M28" s="208" t="e">
        <f t="shared" ca="1" si="11"/>
        <v>#DIV/0!</v>
      </c>
      <c r="N28" s="208" t="e">
        <f t="shared" ca="1" si="12"/>
        <v>#DIV/0!</v>
      </c>
    </row>
    <row r="29" spans="1:14" ht="20.100000000000001" customHeight="1">
      <c r="A29" s="1511">
        <f ca="1">IF(ROW()-ROW($A$21)&lt;'الف-ب-ج'!$L$9,INDIRECT("BudgetDB!EK"&amp;('الف-ب-ج'!$M$9+ROW()-ROW($A$21))),"")</f>
        <v>0</v>
      </c>
      <c r="B29" s="170"/>
      <c r="C29" s="1432" cm="1">
        <f t="array" aca="1" ref="C29" ca="1">IF(ROW()-ROW($A$21)&lt;'الف-ب-ج'!$L$9,IF(روکش!$F$9="سه ماهه",INDIRECT("BudgetDB!EL"&amp;('الف-ب-ج'!$M$9+ROW()-ROW($A$21))),INDIRECT("BudgetDB!EM"&amp;('الف-ب-ج'!$M$9+ROW()-ROW($A$21)))),"")</f>
        <v>0</v>
      </c>
      <c r="D29" s="246"/>
      <c r="E29" s="536" t="str">
        <f t="shared" si="0"/>
        <v>-</v>
      </c>
      <c r="F29" s="2201" t="str">
        <f t="shared" ca="1" si="1"/>
        <v>-</v>
      </c>
      <c r="G29" s="498">
        <f t="shared" ca="1" si="2"/>
        <v>500</v>
      </c>
      <c r="I29" s="1360" t="str">
        <f t="shared" ca="1" si="9"/>
        <v>-</v>
      </c>
      <c r="J29" s="1081"/>
      <c r="K29" s="1081"/>
      <c r="L29" s="1423">
        <f t="shared" ca="1" si="10"/>
        <v>0</v>
      </c>
      <c r="M29" s="208" t="e">
        <f t="shared" ca="1" si="11"/>
        <v>#DIV/0!</v>
      </c>
      <c r="N29" s="208" t="e">
        <f t="shared" ca="1" si="12"/>
        <v>#DIV/0!</v>
      </c>
    </row>
    <row r="30" spans="1:14" ht="20.100000000000001" customHeight="1">
      <c r="A30" s="1511">
        <f ca="1">IF(ROW()-ROW($A$21)&lt;'الف-ب-ج'!$L$9,INDIRECT("BudgetDB!EK"&amp;('الف-ب-ج'!$M$9+ROW()-ROW($A$21))),"")</f>
        <v>0</v>
      </c>
      <c r="B30" s="170"/>
      <c r="C30" s="1432" cm="1">
        <f t="array" aca="1" ref="C30" ca="1">IF(ROW()-ROW($A$21)&lt;'الف-ب-ج'!$L$9,IF(روکش!$F$9="سه ماهه",INDIRECT("BudgetDB!EL"&amp;('الف-ب-ج'!$M$9+ROW()-ROW($A$21))),INDIRECT("BudgetDB!EM"&amp;('الف-ب-ج'!$M$9+ROW()-ROW($A$21)))),"")</f>
        <v>0</v>
      </c>
      <c r="D30" s="246"/>
      <c r="E30" s="536" t="str">
        <f t="shared" si="0"/>
        <v>-</v>
      </c>
      <c r="F30" s="2201" t="str">
        <f t="shared" ca="1" si="1"/>
        <v>-</v>
      </c>
      <c r="G30" s="498">
        <f t="shared" ca="1" si="2"/>
        <v>500</v>
      </c>
      <c r="I30" s="1360" t="str">
        <f t="shared" ca="1" si="9"/>
        <v>-</v>
      </c>
      <c r="J30" s="1081"/>
      <c r="K30" s="1081"/>
      <c r="L30" s="1423">
        <f t="shared" ca="1" si="10"/>
        <v>0</v>
      </c>
      <c r="M30" s="208" t="e">
        <f t="shared" ca="1" si="11"/>
        <v>#DIV/0!</v>
      </c>
      <c r="N30" s="208" t="e">
        <f t="shared" ca="1" si="12"/>
        <v>#DIV/0!</v>
      </c>
    </row>
    <row r="31" spans="1:14" ht="20.100000000000001" customHeight="1">
      <c r="A31" s="963">
        <f ca="1">IF(ROW()-ROW($A$21)&lt;'الف-ب-ج'!$L$9,INDIRECT("BudgetDB!EK"&amp;('الف-ب-ج'!$M$9+ROW()-ROW($A$21))),"")</f>
        <v>0</v>
      </c>
      <c r="B31" s="170"/>
      <c r="C31" s="1432" cm="1">
        <f t="array" aca="1" ref="C31" ca="1">IF(ROW()-ROW($A$21)&lt;'الف-ب-ج'!$L$9,IF(روکش!$F$9="سه ماهه",INDIRECT("BudgetDB!EL"&amp;('الف-ب-ج'!$M$9+ROW()-ROW($A$21))),INDIRECT("BudgetDB!EM"&amp;('الف-ب-ج'!$M$9+ROW()-ROW($A$21)))),"")</f>
        <v>0</v>
      </c>
      <c r="D31" s="246"/>
      <c r="E31" s="536" t="str">
        <f t="shared" si="0"/>
        <v>-</v>
      </c>
      <c r="F31" s="2201" t="str">
        <f t="shared" ca="1" si="1"/>
        <v>-</v>
      </c>
      <c r="G31" s="498">
        <f t="shared" ca="1" si="2"/>
        <v>500</v>
      </c>
      <c r="I31" s="1360" t="str">
        <f t="shared" ca="1" si="9"/>
        <v>-</v>
      </c>
      <c r="J31" s="1081"/>
      <c r="K31" s="1081"/>
      <c r="L31" s="1423">
        <f t="shared" ca="1" si="10"/>
        <v>0</v>
      </c>
      <c r="M31" s="208" t="e">
        <f t="shared" ca="1" si="11"/>
        <v>#DIV/0!</v>
      </c>
      <c r="N31" s="208" t="e">
        <f t="shared" ca="1" si="12"/>
        <v>#DIV/0!</v>
      </c>
    </row>
    <row r="32" spans="1:14" ht="20.100000000000001" customHeight="1">
      <c r="A32" s="963">
        <f ca="1">IF(ROW()-ROW($A$21)&lt;'الف-ب-ج'!$L$9,INDIRECT("BudgetDB!EK"&amp;('الف-ب-ج'!$M$9+ROW()-ROW($A$21))),"")</f>
        <v>0</v>
      </c>
      <c r="B32" s="170"/>
      <c r="C32" s="1432" cm="1">
        <f t="array" aca="1" ref="C32" ca="1">IF(ROW()-ROW($A$21)&lt;'الف-ب-ج'!$L$9,IF(روکش!$F$9="سه ماهه",INDIRECT("BudgetDB!EL"&amp;('الف-ب-ج'!$M$9+ROW()-ROW($A$21))),INDIRECT("BudgetDB!EM"&amp;('الف-ب-ج'!$M$9+ROW()-ROW($A$21)))),"")</f>
        <v>0</v>
      </c>
      <c r="D32" s="246"/>
      <c r="E32" s="536" t="str">
        <f t="shared" si="0"/>
        <v>-</v>
      </c>
      <c r="F32" s="2201" t="str">
        <f t="shared" ca="1" si="1"/>
        <v>-</v>
      </c>
      <c r="G32" s="498">
        <f t="shared" ca="1" si="2"/>
        <v>500</v>
      </c>
      <c r="I32" s="1360" t="str">
        <f t="shared" ca="1" si="9"/>
        <v>-</v>
      </c>
      <c r="J32" s="1081"/>
      <c r="K32" s="1081"/>
      <c r="L32" s="1423">
        <f t="shared" ca="1" si="10"/>
        <v>0</v>
      </c>
      <c r="M32" s="208" t="e">
        <f t="shared" ca="1" si="11"/>
        <v>#DIV/0!</v>
      </c>
      <c r="N32" s="208" t="e">
        <f t="shared" ca="1" si="12"/>
        <v>#DIV/0!</v>
      </c>
    </row>
    <row r="33" spans="1:14" ht="20.100000000000001" customHeight="1">
      <c r="A33" s="963">
        <f ca="1">IF(ROW()-ROW($A$21)&lt;'الف-ب-ج'!$L$9,INDIRECT("BudgetDB!EK"&amp;('الف-ب-ج'!$M$9+ROW()-ROW($A$21))),"")</f>
        <v>0</v>
      </c>
      <c r="B33" s="170"/>
      <c r="C33" s="1432" cm="1">
        <f t="array" aca="1" ref="C33" ca="1">IF(ROW()-ROW($A$21)&lt;'الف-ب-ج'!$L$9,IF(روکش!$F$9="سه ماهه",INDIRECT("BudgetDB!EL"&amp;('الف-ب-ج'!$M$9+ROW()-ROW($A$21))),INDIRECT("BudgetDB!EM"&amp;('الف-ب-ج'!$M$9+ROW()-ROW($A$21)))),"")</f>
        <v>0</v>
      </c>
      <c r="D33" s="246"/>
      <c r="E33" s="536" t="str">
        <f>IFERROR((D33-B33)*100/B33,"-")</f>
        <v>-</v>
      </c>
      <c r="F33" s="2201" t="str">
        <f ca="1">IFERROR(D33*100/C33,"-")</f>
        <v>-</v>
      </c>
      <c r="G33" s="498">
        <f t="shared" ca="1" si="2"/>
        <v>500</v>
      </c>
      <c r="I33" s="1360" t="str">
        <f t="shared" ca="1" si="9"/>
        <v>-</v>
      </c>
      <c r="J33" s="1081"/>
      <c r="K33" s="1081"/>
      <c r="L33" s="1423">
        <f t="shared" ca="1" si="10"/>
        <v>0</v>
      </c>
      <c r="M33" s="208" t="e">
        <f t="shared" ca="1" si="11"/>
        <v>#DIV/0!</v>
      </c>
      <c r="N33" s="208" t="e">
        <f t="shared" ca="1" si="12"/>
        <v>#DIV/0!</v>
      </c>
    </row>
    <row r="34" spans="1:14" ht="20.100000000000001" customHeight="1">
      <c r="A34" s="963">
        <f ca="1">IF(ROW()-ROW($A$21)&lt;'الف-ب-ج'!$L$9,INDIRECT("BudgetDB!EK"&amp;('الف-ب-ج'!$M$9+ROW()-ROW($A$21))),"")</f>
        <v>0</v>
      </c>
      <c r="B34" s="170"/>
      <c r="C34" s="1432" cm="1">
        <f t="array" aca="1" ref="C34" ca="1">IF(ROW()-ROW($A$21)&lt;'الف-ب-ج'!$L$9,IF(روکش!$F$9="سه ماهه",INDIRECT("BudgetDB!EL"&amp;('الف-ب-ج'!$M$9+ROW()-ROW($A$21))),INDIRECT("BudgetDB!EM"&amp;('الف-ب-ج'!$M$9+ROW()-ROW($A$21)))),"")</f>
        <v>0</v>
      </c>
      <c r="D34" s="246"/>
      <c r="E34" s="536" t="str">
        <f>IFERROR((D34-B34)*100/B34,"-")</f>
        <v>-</v>
      </c>
      <c r="F34" s="2201" t="str">
        <f ca="1">IFERROR(D34*100/C34,"-")</f>
        <v>-</v>
      </c>
      <c r="G34" s="498">
        <f t="shared" ca="1" si="2"/>
        <v>500</v>
      </c>
      <c r="I34" s="1360" t="str">
        <f t="shared" ca="1" si="9"/>
        <v>-</v>
      </c>
      <c r="J34" s="1081"/>
      <c r="K34" s="1081"/>
      <c r="L34" s="1423">
        <f t="shared" ca="1" si="10"/>
        <v>0</v>
      </c>
      <c r="M34" s="208" t="e">
        <f t="shared" ca="1" si="11"/>
        <v>#DIV/0!</v>
      </c>
      <c r="N34" s="208" t="e">
        <f t="shared" ca="1" si="12"/>
        <v>#DIV/0!</v>
      </c>
    </row>
    <row r="35" spans="1:14" ht="20.100000000000001" customHeight="1">
      <c r="A35" s="963">
        <f ca="1">IF(ROW()-ROW($A$21)&lt;'الف-ب-ج'!$L$9,INDIRECT("BudgetDB!EK"&amp;('الف-ب-ج'!$M$9+ROW()-ROW($A$21))),"")</f>
        <v>0</v>
      </c>
      <c r="B35" s="170"/>
      <c r="C35" s="1432" cm="1">
        <f t="array" aca="1" ref="C35" ca="1">IF(ROW()-ROW($A$21)&lt;'الف-ب-ج'!$L$9,IF(روکش!$F$9="سه ماهه",INDIRECT("BudgetDB!EL"&amp;('الف-ب-ج'!$M$9+ROW()-ROW($A$21))),INDIRECT("BudgetDB!EM"&amp;('الف-ب-ج'!$M$9+ROW()-ROW($A$21)))),"")</f>
        <v>0</v>
      </c>
      <c r="D35" s="246"/>
      <c r="E35" s="536" t="str">
        <f>IFERROR((D35-B35)*100/B35,"-")</f>
        <v>-</v>
      </c>
      <c r="F35" s="2201" t="str">
        <f ca="1">IFERROR(D35*100/C35,"-")</f>
        <v>-</v>
      </c>
      <c r="G35" s="498">
        <f t="shared" ca="1" si="2"/>
        <v>500</v>
      </c>
      <c r="I35" s="1360" t="str">
        <f t="shared" ca="1" si="9"/>
        <v>-</v>
      </c>
      <c r="J35" s="1081"/>
      <c r="K35" s="1081"/>
      <c r="L35" s="1423">
        <f t="shared" ca="1" si="10"/>
        <v>0</v>
      </c>
      <c r="M35" s="208" t="e">
        <f t="shared" ca="1" si="11"/>
        <v>#DIV/0!</v>
      </c>
      <c r="N35" s="208" t="e">
        <f t="shared" ca="1" si="12"/>
        <v>#DIV/0!</v>
      </c>
    </row>
    <row r="36" spans="1:14" ht="20.100000000000001" customHeight="1">
      <c r="A36" s="496">
        <f ca="1">IF(ROW()-ROW($A$21)&lt;'الف-ب-ج'!$L$9,INDIRECT("BudgetDB!EK"&amp;('الف-ب-ج'!$M$9+ROW()-ROW($A$21))),"")</f>
        <v>0</v>
      </c>
      <c r="B36" s="170"/>
      <c r="C36" s="1432" cm="1">
        <f t="array" aca="1" ref="C36" ca="1">IF(ROW()-ROW($A$21)&lt;'الف-ب-ج'!$L$9,IF(روکش!$F$9="سه ماهه",INDIRECT("BudgetDB!EL"&amp;('الف-ب-ج'!$M$9+ROW()-ROW($A$21))),INDIRECT("BudgetDB!EM"&amp;('الف-ب-ج'!$M$9+ROW()-ROW($A$21)))),"")</f>
        <v>0</v>
      </c>
      <c r="D36" s="246"/>
      <c r="E36" s="536" t="str">
        <f t="shared" ref="E36:E40" si="13">IFERROR((D36-B36)*100/B36,"-")</f>
        <v>-</v>
      </c>
      <c r="F36" s="2201" t="str">
        <f t="shared" ref="F36:F40" ca="1" si="14">IFERROR(D36*100/C36,"-")</f>
        <v>-</v>
      </c>
      <c r="G36" s="498">
        <f t="shared" ca="1" si="2"/>
        <v>500</v>
      </c>
      <c r="I36" s="1360" t="str">
        <f t="shared" ref="I36:I40" ca="1" si="15">IF(AND(C36=0,D36&gt;0),100,IFERROR(ABS(F36-100),"-"))</f>
        <v>-</v>
      </c>
      <c r="J36" s="1081"/>
      <c r="K36" s="1081"/>
      <c r="L36" s="1423">
        <f t="shared" ref="L36:L40" ca="1" si="16">B36+C36+D36</f>
        <v>0</v>
      </c>
      <c r="M36" s="208" t="e">
        <f t="shared" ca="1" si="11"/>
        <v>#DIV/0!</v>
      </c>
      <c r="N36" s="208" t="e">
        <f t="shared" ca="1" si="12"/>
        <v>#DIV/0!</v>
      </c>
    </row>
    <row r="37" spans="1:14" ht="20.100000000000001" customHeight="1">
      <c r="A37" s="496">
        <f ca="1">IF(ROW()-ROW($A$21)&lt;'الف-ب-ج'!$L$9,INDIRECT("BudgetDB!EK"&amp;('الف-ب-ج'!$M$9+ROW()-ROW($A$21))),"")</f>
        <v>0</v>
      </c>
      <c r="B37" s="170"/>
      <c r="C37" s="1432" cm="1">
        <f t="array" aca="1" ref="C37" ca="1">IF(ROW()-ROW($A$21)&lt;'الف-ب-ج'!$L$9,IF(روکش!$F$9="سه ماهه",INDIRECT("BudgetDB!EL"&amp;('الف-ب-ج'!$M$9+ROW()-ROW($A$21))),INDIRECT("BudgetDB!EM"&amp;('الف-ب-ج'!$M$9+ROW()-ROW($A$21)))),"")</f>
        <v>0</v>
      </c>
      <c r="D37" s="246"/>
      <c r="E37" s="536" t="str">
        <f t="shared" si="13"/>
        <v>-</v>
      </c>
      <c r="F37" s="2201" t="str">
        <f t="shared" ca="1" si="14"/>
        <v>-</v>
      </c>
      <c r="G37" s="498">
        <f t="shared" ca="1" si="2"/>
        <v>500</v>
      </c>
      <c r="I37" s="1360" t="str">
        <f t="shared" ca="1" si="15"/>
        <v>-</v>
      </c>
      <c r="J37" s="1081"/>
      <c r="K37" s="1081"/>
      <c r="L37" s="1423">
        <f t="shared" ca="1" si="16"/>
        <v>0</v>
      </c>
      <c r="M37" s="208" t="e">
        <f t="shared" ca="1" si="11"/>
        <v>#DIV/0!</v>
      </c>
      <c r="N37" s="208" t="e">
        <f t="shared" ca="1" si="12"/>
        <v>#DIV/0!</v>
      </c>
    </row>
    <row r="38" spans="1:14" ht="20.100000000000001" customHeight="1">
      <c r="A38" s="496">
        <f ca="1">IF(ROW()-ROW($A$21)&lt;'الف-ب-ج'!$L$9,INDIRECT("BudgetDB!EK"&amp;('الف-ب-ج'!$M$9+ROW()-ROW($A$21))),"")</f>
        <v>0</v>
      </c>
      <c r="B38" s="170"/>
      <c r="C38" s="1432" cm="1">
        <f t="array" aca="1" ref="C38" ca="1">IF(ROW()-ROW($A$21)&lt;'الف-ب-ج'!$L$9,IF(روکش!$F$9="سه ماهه",INDIRECT("BudgetDB!EL"&amp;('الف-ب-ج'!$M$9+ROW()-ROW($A$21))),INDIRECT("BudgetDB!EM"&amp;('الف-ب-ج'!$M$9+ROW()-ROW($A$21)))),"")</f>
        <v>0</v>
      </c>
      <c r="D38" s="246"/>
      <c r="E38" s="536" t="str">
        <f t="shared" si="13"/>
        <v>-</v>
      </c>
      <c r="F38" s="2201" t="str">
        <f t="shared" ca="1" si="14"/>
        <v>-</v>
      </c>
      <c r="G38" s="498">
        <f t="shared" ca="1" si="2"/>
        <v>500</v>
      </c>
      <c r="I38" s="1360" t="str">
        <f t="shared" ca="1" si="15"/>
        <v>-</v>
      </c>
      <c r="J38" s="1081"/>
      <c r="K38" s="1081"/>
      <c r="L38" s="1423">
        <f t="shared" ca="1" si="16"/>
        <v>0</v>
      </c>
      <c r="M38" s="208" t="e">
        <f t="shared" ca="1" si="11"/>
        <v>#DIV/0!</v>
      </c>
      <c r="N38" s="208" t="e">
        <f t="shared" ca="1" si="12"/>
        <v>#DIV/0!</v>
      </c>
    </row>
    <row r="39" spans="1:14" ht="20.100000000000001" customHeight="1">
      <c r="A39" s="496">
        <f ca="1">IF(ROW()-ROW($A$21)&lt;'الف-ب-ج'!$L$9,INDIRECT("BudgetDB!EK"&amp;('الف-ب-ج'!$M$9+ROW()-ROW($A$21))),"")</f>
        <v>0</v>
      </c>
      <c r="B39" s="170"/>
      <c r="C39" s="1432" cm="1">
        <f t="array" aca="1" ref="C39" ca="1">IF(ROW()-ROW($A$21)&lt;'الف-ب-ج'!$L$9,IF(روکش!$F$9="سه ماهه",INDIRECT("BudgetDB!EL"&amp;('الف-ب-ج'!$M$9+ROW()-ROW($A$21))),INDIRECT("BudgetDB!EM"&amp;('الف-ب-ج'!$M$9+ROW()-ROW($A$21)))),"")</f>
        <v>0</v>
      </c>
      <c r="D39" s="246"/>
      <c r="E39" s="536" t="str">
        <f t="shared" si="13"/>
        <v>-</v>
      </c>
      <c r="F39" s="2201" t="str">
        <f t="shared" ca="1" si="14"/>
        <v>-</v>
      </c>
      <c r="G39" s="498">
        <f t="shared" ca="1" si="2"/>
        <v>500</v>
      </c>
      <c r="I39" s="1360" t="str">
        <f t="shared" ca="1" si="15"/>
        <v>-</v>
      </c>
      <c r="J39" s="1081"/>
      <c r="K39" s="1081"/>
      <c r="L39" s="1423">
        <f t="shared" ca="1" si="16"/>
        <v>0</v>
      </c>
      <c r="M39" s="208" t="e">
        <f t="shared" ca="1" si="11"/>
        <v>#DIV/0!</v>
      </c>
      <c r="N39" s="208" t="e">
        <f t="shared" ca="1" si="12"/>
        <v>#DIV/0!</v>
      </c>
    </row>
    <row r="40" spans="1:14" ht="20.100000000000001" customHeight="1" thickBot="1">
      <c r="A40" s="496">
        <f ca="1">IF(ROW()-ROW($A$21)&lt;'الف-ب-ج'!$L$9,INDIRECT("BudgetDB!EK"&amp;('الف-ب-ج'!$M$9+ROW()-ROW($A$21))),"")</f>
        <v>0</v>
      </c>
      <c r="B40" s="170"/>
      <c r="C40" s="1432" cm="1">
        <f t="array" aca="1" ref="C40" ca="1">IF(ROW()-ROW($A$21)&lt;'الف-ب-ج'!$L$9,IF(روکش!$F$9="سه ماهه",INDIRECT("BudgetDB!EL"&amp;('الف-ب-ج'!$M$9+ROW()-ROW($A$21))),INDIRECT("BudgetDB!EM"&amp;('الف-ب-ج'!$M$9+ROW()-ROW($A$21)))),"")</f>
        <v>0</v>
      </c>
      <c r="D40" s="246"/>
      <c r="E40" s="536" t="str">
        <f t="shared" si="13"/>
        <v>-</v>
      </c>
      <c r="F40" s="2201" t="str">
        <f t="shared" ca="1" si="14"/>
        <v>-</v>
      </c>
      <c r="G40" s="498">
        <f t="shared" ca="1" si="2"/>
        <v>500</v>
      </c>
      <c r="I40" s="1360" t="str">
        <f t="shared" ca="1" si="15"/>
        <v>-</v>
      </c>
      <c r="J40" s="1081"/>
      <c r="K40" s="1081"/>
      <c r="L40" s="1423">
        <f t="shared" ca="1" si="16"/>
        <v>0</v>
      </c>
      <c r="M40" s="208" t="e">
        <f t="shared" ca="1" si="11"/>
        <v>#DIV/0!</v>
      </c>
      <c r="N40" s="208" t="e">
        <f ca="1">AND(COUNTIF($A40,"*سایر*")=1,$D40/$D$41&gt;0.2)</f>
        <v>#DIV/0!</v>
      </c>
    </row>
    <row r="41" spans="1:14" ht="21.75" thickBot="1">
      <c r="A41" s="492" t="s">
        <v>1437</v>
      </c>
      <c r="B41" s="1430">
        <f>SUM(B21:B40)</f>
        <v>0</v>
      </c>
      <c r="C41" s="1430">
        <f ca="1">SUM(C21:C40)</f>
        <v>0</v>
      </c>
      <c r="D41" s="494">
        <f>SUM(D21:D40)</f>
        <v>0</v>
      </c>
      <c r="E41" s="537" t="str">
        <f t="shared" si="0"/>
        <v>-</v>
      </c>
      <c r="F41" s="2204" t="str">
        <f t="shared" ca="1" si="1"/>
        <v>-</v>
      </c>
      <c r="G41" s="2205">
        <f t="shared" ca="1" si="2"/>
        <v>500</v>
      </c>
      <c r="I41" s="1360" t="s">
        <v>206</v>
      </c>
      <c r="J41" s="1081"/>
      <c r="K41" s="1081"/>
      <c r="L41" s="1423" t="s">
        <v>206</v>
      </c>
      <c r="N41" s="208"/>
    </row>
    <row r="42" spans="1:14" ht="21.75" thickBot="1">
      <c r="A42" s="492" t="s">
        <v>438</v>
      </c>
      <c r="B42" s="1430">
        <f>B20+B41</f>
        <v>0</v>
      </c>
      <c r="C42" s="1430">
        <f ca="1">C20+C41</f>
        <v>0</v>
      </c>
      <c r="D42" s="494">
        <f>D20+D41</f>
        <v>0</v>
      </c>
      <c r="E42" s="537" t="str">
        <f t="shared" si="0"/>
        <v>-</v>
      </c>
      <c r="F42" s="2204" t="str">
        <f t="shared" ca="1" si="1"/>
        <v>-</v>
      </c>
      <c r="G42" s="2205">
        <f t="shared" ca="1" si="2"/>
        <v>500</v>
      </c>
      <c r="I42" s="1360" t="s">
        <v>206</v>
      </c>
      <c r="J42" s="1081"/>
      <c r="K42" s="1081"/>
      <c r="L42" s="1423" t="s">
        <v>206</v>
      </c>
    </row>
    <row r="43" spans="1:14" ht="21.75" thickBot="1">
      <c r="A43" s="495" t="s">
        <v>1555</v>
      </c>
      <c r="B43" s="170"/>
      <c r="C43" s="1432" cm="1">
        <f t="array" aca="1" ref="C43" ca="1">IF(روکش!$F$9="سه ماهه",INDIRECT("BudgetDB!EN"&amp;('الف-ب-ج'!$M$9+ROW()-ROW($A$43))),INDIRECT("BudgetDB!EO"&amp;('الف-ب-ج'!$M$9+ROW()-ROW($A$43))))</f>
        <v>0</v>
      </c>
      <c r="D43" s="250"/>
      <c r="E43" s="537" t="str">
        <f t="shared" si="0"/>
        <v>-</v>
      </c>
      <c r="F43" s="2204" t="str">
        <f t="shared" ca="1" si="1"/>
        <v>-</v>
      </c>
      <c r="G43" s="2205">
        <f ca="1">IFERROR(ABS(F43-100),500)</f>
        <v>500</v>
      </c>
      <c r="I43" s="1360" t="str">
        <f ca="1">IF(AND(C43=0,D43&gt;0),100,IFERROR(ABS(F43-100),"-"))</f>
        <v>-</v>
      </c>
      <c r="J43" s="1081"/>
      <c r="K43" s="1081"/>
      <c r="L43" s="1423" t="s">
        <v>206</v>
      </c>
    </row>
    <row r="44" spans="1:14" ht="21.75" thickBot="1">
      <c r="A44" s="492" t="s">
        <v>436</v>
      </c>
      <c r="B44" s="1430">
        <f>B42+B43</f>
        <v>0</v>
      </c>
      <c r="C44" s="1430">
        <f ca="1">C42+C43</f>
        <v>0</v>
      </c>
      <c r="D44" s="494">
        <f>D42+D43</f>
        <v>0</v>
      </c>
      <c r="E44" s="537" t="str">
        <f t="shared" si="0"/>
        <v>-</v>
      </c>
      <c r="F44" s="2204" t="str">
        <f t="shared" ca="1" si="1"/>
        <v>-</v>
      </c>
      <c r="G44" s="2205">
        <f t="shared" ca="1" si="2"/>
        <v>500</v>
      </c>
      <c r="I44" s="1360" t="s">
        <v>206</v>
      </c>
      <c r="J44" s="1081"/>
      <c r="K44" s="1081"/>
      <c r="L44" s="1423" t="s">
        <v>206</v>
      </c>
    </row>
    <row r="45" spans="1:14" ht="10.5" customHeight="1">
      <c r="A45" s="2906"/>
      <c r="B45" s="2906"/>
      <c r="C45" s="2906"/>
      <c r="D45" s="857"/>
      <c r="E45" s="857"/>
      <c r="F45" s="857"/>
      <c r="I45" s="1360" t="s">
        <v>206</v>
      </c>
      <c r="J45" s="1081"/>
      <c r="K45" s="1081"/>
      <c r="L45" s="1423">
        <f>B45+C45+D45</f>
        <v>0</v>
      </c>
    </row>
    <row r="46" spans="1:14" ht="5.25" customHeight="1">
      <c r="L46" s="856" t="s">
        <v>206</v>
      </c>
    </row>
    <row r="47" spans="1:14" ht="21">
      <c r="A47" s="8"/>
      <c r="B47" s="2752"/>
      <c r="C47" s="2752"/>
      <c r="E47" s="8"/>
      <c r="L47" s="856" t="s">
        <v>206</v>
      </c>
    </row>
    <row r="48" spans="1:14">
      <c r="L48" s="212" t="s">
        <v>206</v>
      </c>
    </row>
    <row r="49" spans="12:12">
      <c r="L49" s="212" t="s">
        <v>206</v>
      </c>
    </row>
    <row r="50" spans="12:12">
      <c r="L50" s="212" t="s">
        <v>206</v>
      </c>
    </row>
    <row r="51" spans="12:12">
      <c r="L51" s="212" t="s">
        <v>206</v>
      </c>
    </row>
    <row r="52" spans="12:12">
      <c r="L52" s="212" t="s">
        <v>206</v>
      </c>
    </row>
    <row r="53" spans="12:12">
      <c r="L53" s="212" t="s">
        <v>206</v>
      </c>
    </row>
    <row r="54" spans="12:12">
      <c r="L54" s="212" t="s">
        <v>206</v>
      </c>
    </row>
    <row r="55" spans="12:12">
      <c r="L55" s="212" t="s">
        <v>206</v>
      </c>
    </row>
    <row r="56" spans="12:12">
      <c r="L56" s="212" t="s">
        <v>206</v>
      </c>
    </row>
    <row r="57" spans="12:12">
      <c r="L57" s="212" t="s">
        <v>206</v>
      </c>
    </row>
    <row r="58" spans="12:12">
      <c r="L58" s="212" t="s">
        <v>206</v>
      </c>
    </row>
    <row r="59" spans="12:12">
      <c r="L59" s="212" t="s">
        <v>206</v>
      </c>
    </row>
    <row r="60" spans="12:12">
      <c r="L60" s="212" t="s">
        <v>206</v>
      </c>
    </row>
    <row r="61" spans="12:12">
      <c r="L61" s="212" t="s">
        <v>206</v>
      </c>
    </row>
    <row r="62" spans="12:12">
      <c r="L62" s="212" t="s">
        <v>206</v>
      </c>
    </row>
    <row r="63" spans="12:12">
      <c r="L63" s="212" t="s">
        <v>206</v>
      </c>
    </row>
    <row r="64" spans="12:12">
      <c r="L64" s="212" t="s">
        <v>206</v>
      </c>
    </row>
    <row r="65" spans="12:12">
      <c r="L65" s="212" t="s">
        <v>206</v>
      </c>
    </row>
    <row r="66" spans="12:12">
      <c r="L66" s="212" t="s">
        <v>206</v>
      </c>
    </row>
    <row r="67" spans="12:12">
      <c r="L67" s="212" t="s">
        <v>206</v>
      </c>
    </row>
    <row r="68" spans="12:12">
      <c r="L68" s="212" t="s">
        <v>206</v>
      </c>
    </row>
    <row r="69" spans="12:12">
      <c r="L69" s="212" t="s">
        <v>206</v>
      </c>
    </row>
    <row r="70" spans="12:12">
      <c r="L70" s="212" t="s">
        <v>206</v>
      </c>
    </row>
    <row r="71" spans="12:12">
      <c r="L71" s="212" t="s">
        <v>206</v>
      </c>
    </row>
    <row r="72" spans="12:12">
      <c r="L72" s="212" t="s">
        <v>206</v>
      </c>
    </row>
  </sheetData>
  <mergeCells count="7">
    <mergeCell ref="B47:C47"/>
    <mergeCell ref="A3:C3"/>
    <mergeCell ref="F5:G5"/>
    <mergeCell ref="A1:G1"/>
    <mergeCell ref="A4:A5"/>
    <mergeCell ref="B4:B5"/>
    <mergeCell ref="A45:C45"/>
  </mergeCells>
  <conditionalFormatting sqref="A6:A41">
    <cfRule type="expression" dxfId="402" priority="9">
      <formula>AND($A6=0,OR($B6&lt;&gt;0,$D6&lt;&gt;0))</formula>
    </cfRule>
  </conditionalFormatting>
  <conditionalFormatting sqref="B6:B41">
    <cfRule type="expression" dxfId="401" priority="8">
      <formula>$M6=TRUE</formula>
    </cfRule>
  </conditionalFormatting>
  <conditionalFormatting sqref="D6:D41">
    <cfRule type="expression" dxfId="400" priority="7">
      <formula>$N6=TRUE</formula>
    </cfRule>
  </conditionalFormatting>
  <conditionalFormatting sqref="G6:G44">
    <cfRule type="iconSet" priority="3">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3" id="{00000000-000E-0000-3000-000007000000}">
            <x14:iconSet iconSet="3Symbols" custom="1">
              <x14:cfvo type="percent">
                <xm:f>0</xm:f>
              </x14:cfvo>
              <x14:cfvo type="num">
                <xm:f>0</xm:f>
              </x14:cfvo>
              <x14:cfvo type="num">
                <xm:f>0</xm:f>
              </x14:cfvo>
              <x14:cfIcon iconSet="3Symbols" iconId="1"/>
              <x14:cfIcon iconSet="3Symbols" iconId="1"/>
              <x14:cfIcon iconSet="NoIcons" iconId="0"/>
            </x14:iconSet>
          </x14:cfRule>
          <xm:sqref>E6:E41</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78">
    <tabColor rgb="FFFFA07A"/>
    <pageSetUpPr fitToPage="1"/>
  </sheetPr>
  <dimension ref="A1:O73"/>
  <sheetViews>
    <sheetView rightToLeft="1" view="pageBreakPreview" zoomScale="85" zoomScaleNormal="115" zoomScaleSheetLayoutView="85" workbookViewId="0">
      <selection activeCell="A8" sqref="A8"/>
    </sheetView>
  </sheetViews>
  <sheetFormatPr defaultColWidth="9" defaultRowHeight="15"/>
  <cols>
    <col min="1" max="1" width="50.5703125" style="5" customWidth="1"/>
    <col min="2" max="4" width="18.5703125" style="5" customWidth="1"/>
    <col min="5" max="6" width="13.5703125" style="5" customWidth="1"/>
    <col min="7" max="7" width="3.7109375" style="79" customWidth="1"/>
    <col min="8" max="8" width="9" style="79"/>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customWidth="1"/>
    <col min="16" max="16384" width="9" style="5"/>
  </cols>
  <sheetData>
    <row r="1" spans="1:15" s="52" customFormat="1" ht="24" customHeight="1">
      <c r="A1" s="2685" t="str">
        <f>روکش!D4</f>
        <v>انبارهای عمومی و خدمات گمرکی ایران</v>
      </c>
      <c r="B1" s="2685"/>
      <c r="C1" s="2685"/>
      <c r="D1" s="2685"/>
      <c r="E1" s="2685"/>
      <c r="F1" s="2685"/>
      <c r="G1" s="2685"/>
      <c r="H1" s="88"/>
      <c r="I1" s="249"/>
      <c r="J1" s="88"/>
      <c r="K1" s="88"/>
      <c r="L1" s="212"/>
      <c r="M1" s="208"/>
      <c r="N1" s="5"/>
      <c r="O1" s="88"/>
    </row>
    <row r="2" spans="1:15" s="52" customFormat="1" ht="28.5" customHeight="1">
      <c r="A2" s="1206" t="str">
        <f>"هزينه‌هاي بهره‌برداری آزادراه در دوره " &amp; روکش!F9 &amp; " سال " &amp; روکش!D9</f>
        <v>هزينه‌هاي بهره‌برداری آزادراه در دوره شش ماهه سال 1405</v>
      </c>
      <c r="B2" s="1206"/>
      <c r="C2" s="1203"/>
      <c r="D2" s="1203"/>
      <c r="E2" s="1203"/>
      <c r="F2" s="1203"/>
      <c r="G2" s="2238"/>
      <c r="H2" s="1237"/>
      <c r="I2" s="249"/>
      <c r="J2" s="88"/>
      <c r="K2" s="88"/>
      <c r="L2" s="249"/>
      <c r="M2" s="208"/>
      <c r="N2" s="5"/>
      <c r="O2" s="88"/>
    </row>
    <row r="3" spans="1:15" ht="20.100000000000001" customHeight="1" thickBot="1">
      <c r="A3" s="398"/>
      <c r="B3" s="398"/>
      <c r="C3" s="398"/>
      <c r="D3" s="538"/>
      <c r="E3" s="538"/>
      <c r="F3" s="1208" t="s">
        <v>30</v>
      </c>
    </row>
    <row r="4" spans="1:15" ht="30" customHeight="1">
      <c r="A4" s="2907" t="s">
        <v>21</v>
      </c>
      <c r="B4" s="2907" t="s">
        <v>693</v>
      </c>
      <c r="C4" s="1434" t="s">
        <v>642</v>
      </c>
      <c r="D4" s="1435"/>
      <c r="E4" s="1435"/>
      <c r="F4" s="2213"/>
      <c r="G4" s="1376"/>
    </row>
    <row r="5" spans="1:15" ht="59.25" customHeight="1" thickBot="1">
      <c r="A5" s="2908"/>
      <c r="B5" s="2909"/>
      <c r="C5" s="713" t="s">
        <v>53</v>
      </c>
      <c r="D5" s="714" t="s">
        <v>216</v>
      </c>
      <c r="E5" s="714" t="s">
        <v>804</v>
      </c>
      <c r="F5" s="2875" t="s">
        <v>230</v>
      </c>
      <c r="G5" s="2876"/>
      <c r="I5" s="1081" t="s">
        <v>784</v>
      </c>
      <c r="J5" s="208"/>
      <c r="K5" s="208"/>
      <c r="L5" s="1081" t="s">
        <v>792</v>
      </c>
    </row>
    <row r="6" spans="1:15" ht="20.100000000000001" customHeight="1">
      <c r="A6" s="1424">
        <f ca="1">IF(ROW()-ROW($A$6)&lt;'الف-ب-ج'!$L$9,INDIRECT("BudgetDB!EP"&amp;('الف-ب-ج'!$M$9+ROW()-ROW($A$6))),"")</f>
        <v>0</v>
      </c>
      <c r="B6" s="215"/>
      <c r="C6" s="1426" cm="1">
        <f t="array" aca="1" ref="C6" ca="1">IF(ROW()-ROW($A$6)&lt;'الف-ب-ج'!$L$9,IF(روکش!$F$9="سه ماهه",INDIRECT("BudgetDB!EQ"&amp;('الف-ب-ج'!$M$9+ROW()-ROW($A$6))),INDIRECT("BudgetDB!ER"&amp;('الف-ب-ج'!$M$9+ROW()-ROW($A$6)))),"")</f>
        <v>0</v>
      </c>
      <c r="D6" s="2131"/>
      <c r="E6" s="486" t="str">
        <f t="shared" ref="E6:E43" si="0">IFERROR((D6-B6)*100/B6,"-")</f>
        <v>-</v>
      </c>
      <c r="F6" s="2199" t="str">
        <f t="shared" ref="F6:F44" ca="1" si="1">IFERROR(D6*100/C6,"-")</f>
        <v>-</v>
      </c>
      <c r="G6" s="2200">
        <f ca="1">IFERROR(ABS(F6-100),500)</f>
        <v>500</v>
      </c>
      <c r="I6" s="1360" t="str">
        <f ca="1">IF(AND(C6=0,D6&gt;0),100,IFERROR(ABS(F6-100),"-"))</f>
        <v>-</v>
      </c>
      <c r="J6" s="208"/>
      <c r="K6" s="208"/>
      <c r="L6" s="1423">
        <f ca="1">B6+C6+D6</f>
        <v>0</v>
      </c>
      <c r="M6" s="208" t="e">
        <f ca="1">AND(COUNTIF($A6,"*سایر*")=1,$B6/$B$20&gt;0.2)</f>
        <v>#DIV/0!</v>
      </c>
      <c r="N6" s="208" t="e">
        <f ca="1">AND(COUNTIF($A6,"*سایر*")=1,$D6/$D$20&gt;0.2)</f>
        <v>#DIV/0!</v>
      </c>
    </row>
    <row r="7" spans="1:15" ht="20.100000000000001" customHeight="1">
      <c r="A7" s="963">
        <f ca="1">IF(ROW()-ROW($A$6)&lt;'الف-ب-ج'!$L$9,INDIRECT("BudgetDB!EP"&amp;('الف-ب-ج'!$M$9+ROW()-ROW($A$6))),"")</f>
        <v>0</v>
      </c>
      <c r="B7" s="217"/>
      <c r="C7" s="1427" cm="1">
        <f t="array" aca="1" ref="C7" ca="1">IF(ROW()-ROW($A$6)&lt;'الف-ب-ج'!$L$9,IF(روکش!$F$9="سه ماهه",INDIRECT("BudgetDB!EQ"&amp;('الف-ب-ج'!$M$9+ROW()-ROW($A$6))),INDIRECT("BudgetDB!ER"&amp;('الف-ب-ج'!$M$9+ROW()-ROW($A$6)))),"")</f>
        <v>0</v>
      </c>
      <c r="D7" s="2127"/>
      <c r="E7" s="488" t="str">
        <f t="shared" si="0"/>
        <v>-</v>
      </c>
      <c r="F7" s="2201" t="str">
        <f t="shared" ca="1" si="1"/>
        <v>-</v>
      </c>
      <c r="G7" s="498">
        <f t="shared" ref="G7:G44" ca="1" si="2">IFERROR(ABS(F7-100),500)</f>
        <v>500</v>
      </c>
      <c r="I7" s="1360" t="str">
        <f t="shared" ref="I7:I16" ca="1" si="3">IF(AND(C7=0,D7&gt;0),100,IFERROR(ABS(F7-100),"-"))</f>
        <v>-</v>
      </c>
      <c r="J7" s="208"/>
      <c r="K7" s="208"/>
      <c r="L7" s="1423">
        <f t="shared" ref="L7:L16" ca="1" si="4">B7+C7+D7</f>
        <v>0</v>
      </c>
      <c r="M7" s="208" t="e">
        <f t="shared" ref="M7:M20" ca="1" si="5">AND(COUNTIF($A7,"*سایر*")=1,$B7/$B$20&gt;0.2)</f>
        <v>#DIV/0!</v>
      </c>
      <c r="N7" s="208" t="e">
        <f t="shared" ref="N7:N20" ca="1" si="6">AND(COUNTIF($A7,"*سایر*")=1,$D7/$D$20&gt;0.2)</f>
        <v>#DIV/0!</v>
      </c>
    </row>
    <row r="8" spans="1:15" ht="20.100000000000001" customHeight="1">
      <c r="A8" s="963">
        <f ca="1">IF(ROW()-ROW($A$6)&lt;'الف-ب-ج'!$L$9,INDIRECT("BudgetDB!EP"&amp;('الف-ب-ج'!$M$9+ROW()-ROW($A$6))),"")</f>
        <v>0</v>
      </c>
      <c r="B8" s="217"/>
      <c r="C8" s="1427" cm="1">
        <f t="array" aca="1" ref="C8" ca="1">IF(ROW()-ROW($A$6)&lt;'الف-ب-ج'!$L$9,IF(روکش!$F$9="سه ماهه",INDIRECT("BudgetDB!EQ"&amp;('الف-ب-ج'!$M$9+ROW()-ROW($A$6))),INDIRECT("BudgetDB!ER"&amp;('الف-ب-ج'!$M$9+ROW()-ROW($A$6)))),"")</f>
        <v>0</v>
      </c>
      <c r="D8" s="2127"/>
      <c r="E8" s="488" t="str">
        <f t="shared" si="0"/>
        <v>-</v>
      </c>
      <c r="F8" s="2201" t="str">
        <f t="shared" ca="1" si="1"/>
        <v>-</v>
      </c>
      <c r="G8" s="498">
        <f t="shared" ca="1" si="2"/>
        <v>500</v>
      </c>
      <c r="I8" s="1360" t="str">
        <f t="shared" ca="1" si="3"/>
        <v>-</v>
      </c>
      <c r="J8" s="208"/>
      <c r="K8" s="208"/>
      <c r="L8" s="1423">
        <f t="shared" ca="1" si="4"/>
        <v>0</v>
      </c>
      <c r="M8" s="208" t="e">
        <f t="shared" ca="1" si="5"/>
        <v>#DIV/0!</v>
      </c>
      <c r="N8" s="208" t="e">
        <f t="shared" ca="1" si="6"/>
        <v>#DIV/0!</v>
      </c>
    </row>
    <row r="9" spans="1:15" ht="20.100000000000001" customHeight="1">
      <c r="A9" s="963">
        <f ca="1">IF(ROW()-ROW($A$6)&lt;'الف-ب-ج'!$L$9,INDIRECT("BudgetDB!EP"&amp;('الف-ب-ج'!$M$9+ROW()-ROW($A$6))),"")</f>
        <v>0</v>
      </c>
      <c r="B9" s="217"/>
      <c r="C9" s="1427" cm="1">
        <f t="array" aca="1" ref="C9" ca="1">IF(ROW()-ROW($A$6)&lt;'الف-ب-ج'!$L$9,IF(روکش!$F$9="سه ماهه",INDIRECT("BudgetDB!EQ"&amp;('الف-ب-ج'!$M$9+ROW()-ROW($A$6))),INDIRECT("BudgetDB!ER"&amp;('الف-ب-ج'!$M$9+ROW()-ROW($A$6)))),"")</f>
        <v>0</v>
      </c>
      <c r="D9" s="2127"/>
      <c r="E9" s="488" t="str">
        <f t="shared" si="0"/>
        <v>-</v>
      </c>
      <c r="F9" s="2201" t="str">
        <f t="shared" ca="1" si="1"/>
        <v>-</v>
      </c>
      <c r="G9" s="498">
        <f t="shared" ca="1" si="2"/>
        <v>500</v>
      </c>
      <c r="I9" s="1360" t="str">
        <f t="shared" ca="1" si="3"/>
        <v>-</v>
      </c>
      <c r="J9" s="208"/>
      <c r="K9" s="208"/>
      <c r="L9" s="1423">
        <f t="shared" ca="1" si="4"/>
        <v>0</v>
      </c>
      <c r="M9" s="208" t="e">
        <f t="shared" ca="1" si="5"/>
        <v>#DIV/0!</v>
      </c>
      <c r="N9" s="208" t="e">
        <f t="shared" ca="1" si="6"/>
        <v>#DIV/0!</v>
      </c>
    </row>
    <row r="10" spans="1:15" ht="20.100000000000001" customHeight="1">
      <c r="A10" s="963">
        <f ca="1">IF(ROW()-ROW($A$6)&lt;'الف-ب-ج'!$L$9,INDIRECT("BudgetDB!EP"&amp;('الف-ب-ج'!$M$9+ROW()-ROW($A$6))),"")</f>
        <v>0</v>
      </c>
      <c r="B10" s="217"/>
      <c r="C10" s="1427" cm="1">
        <f t="array" aca="1" ref="C10" ca="1">IF(ROW()-ROW($A$6)&lt;'الف-ب-ج'!$L$9,IF(روکش!$F$9="سه ماهه",INDIRECT("BudgetDB!EQ"&amp;('الف-ب-ج'!$M$9+ROW()-ROW($A$6))),INDIRECT("BudgetDB!ER"&amp;('الف-ب-ج'!$M$9+ROW()-ROW($A$6)))),"")</f>
        <v>0</v>
      </c>
      <c r="D10" s="2127"/>
      <c r="E10" s="488" t="str">
        <f t="shared" si="0"/>
        <v>-</v>
      </c>
      <c r="F10" s="2201" t="str">
        <f t="shared" ca="1" si="1"/>
        <v>-</v>
      </c>
      <c r="G10" s="498">
        <f t="shared" ca="1" si="2"/>
        <v>500</v>
      </c>
      <c r="I10" s="1360" t="str">
        <f t="shared" ca="1" si="3"/>
        <v>-</v>
      </c>
      <c r="J10" s="208"/>
      <c r="K10" s="208"/>
      <c r="L10" s="1423">
        <f t="shared" ca="1" si="4"/>
        <v>0</v>
      </c>
      <c r="M10" s="208" t="e">
        <f t="shared" ca="1" si="5"/>
        <v>#DIV/0!</v>
      </c>
      <c r="N10" s="208" t="e">
        <f t="shared" ca="1" si="6"/>
        <v>#DIV/0!</v>
      </c>
    </row>
    <row r="11" spans="1:15" ht="20.100000000000001" customHeight="1">
      <c r="A11" s="963">
        <f ca="1">IF(ROW()-ROW($A$6)&lt;'الف-ب-ج'!$L$9,INDIRECT("BudgetDB!EP"&amp;('الف-ب-ج'!$M$9+ROW()-ROW($A$6))),"")</f>
        <v>0</v>
      </c>
      <c r="B11" s="170"/>
      <c r="C11" s="1432" cm="1">
        <f t="array" aca="1" ref="C11" ca="1">IF(ROW()-ROW($A$6)&lt;'الف-ب-ج'!$L$9,IF(روکش!$F$9="سه ماهه",INDIRECT("BudgetDB!EQ"&amp;('الف-ب-ج'!$M$9+ROW()-ROW($A$6))),INDIRECT("BudgetDB!ER"&amp;('الف-ب-ج'!$M$9+ROW()-ROW($A$6)))),"")</f>
        <v>0</v>
      </c>
      <c r="D11" s="246"/>
      <c r="E11" s="536" t="str">
        <f t="shared" si="0"/>
        <v>-</v>
      </c>
      <c r="F11" s="2201" t="str">
        <f t="shared" ca="1" si="1"/>
        <v>-</v>
      </c>
      <c r="G11" s="498">
        <f t="shared" ca="1" si="2"/>
        <v>500</v>
      </c>
      <c r="I11" s="1360" t="str">
        <f t="shared" ca="1" si="3"/>
        <v>-</v>
      </c>
      <c r="J11" s="208"/>
      <c r="K11" s="208"/>
      <c r="L11" s="1423">
        <f t="shared" ca="1" si="4"/>
        <v>0</v>
      </c>
      <c r="M11" s="208" t="e">
        <f t="shared" ca="1" si="5"/>
        <v>#DIV/0!</v>
      </c>
      <c r="N11" s="208" t="e">
        <f t="shared" ca="1" si="6"/>
        <v>#DIV/0!</v>
      </c>
    </row>
    <row r="12" spans="1:15" ht="20.100000000000001" customHeight="1">
      <c r="A12" s="963">
        <f ca="1">IF(ROW()-ROW($A$6)&lt;'الف-ب-ج'!$L$9,INDIRECT("BudgetDB!EP"&amp;('الف-ب-ج'!$M$9+ROW()-ROW($A$6))),"")</f>
        <v>0</v>
      </c>
      <c r="B12" s="170"/>
      <c r="C12" s="1432" cm="1">
        <f t="array" aca="1" ref="C12" ca="1">IF(ROW()-ROW($A$6)&lt;'الف-ب-ج'!$L$9,IF(روکش!$F$9="سه ماهه",INDIRECT("BudgetDB!EQ"&amp;('الف-ب-ج'!$M$9+ROW()-ROW($A$6))),INDIRECT("BudgetDB!ER"&amp;('الف-ب-ج'!$M$9+ROW()-ROW($A$6)))),"")</f>
        <v>0</v>
      </c>
      <c r="D12" s="246"/>
      <c r="E12" s="536" t="str">
        <f t="shared" si="0"/>
        <v>-</v>
      </c>
      <c r="F12" s="2201" t="str">
        <f t="shared" ca="1" si="1"/>
        <v>-</v>
      </c>
      <c r="G12" s="498">
        <f t="shared" ca="1" si="2"/>
        <v>500</v>
      </c>
      <c r="I12" s="1360" t="str">
        <f t="shared" ca="1" si="3"/>
        <v>-</v>
      </c>
      <c r="J12" s="208"/>
      <c r="K12" s="208"/>
      <c r="L12" s="1423">
        <f t="shared" ca="1" si="4"/>
        <v>0</v>
      </c>
      <c r="M12" s="208" t="e">
        <f t="shared" ca="1" si="5"/>
        <v>#DIV/0!</v>
      </c>
      <c r="N12" s="208" t="e">
        <f t="shared" ca="1" si="6"/>
        <v>#DIV/0!</v>
      </c>
    </row>
    <row r="13" spans="1:15" ht="20.100000000000001" customHeight="1">
      <c r="A13" s="963">
        <f ca="1">IF(ROW()-ROW($A$6)&lt;'الف-ب-ج'!$L$9,INDIRECT("BudgetDB!EP"&amp;('الف-ب-ج'!$M$9+ROW()-ROW($A$6))),"")</f>
        <v>0</v>
      </c>
      <c r="B13" s="170"/>
      <c r="C13" s="1432" cm="1">
        <f t="array" aca="1" ref="C13" ca="1">IF(ROW()-ROW($A$6)&lt;'الف-ب-ج'!$L$9,IF(روکش!$F$9="سه ماهه",INDIRECT("BudgetDB!EQ"&amp;('الف-ب-ج'!$M$9+ROW()-ROW($A$6))),INDIRECT("BudgetDB!ER"&amp;('الف-ب-ج'!$M$9+ROW()-ROW($A$6)))),"")</f>
        <v>0</v>
      </c>
      <c r="D13" s="246"/>
      <c r="E13" s="536" t="str">
        <f t="shared" si="0"/>
        <v>-</v>
      </c>
      <c r="F13" s="2201" t="str">
        <f t="shared" ca="1" si="1"/>
        <v>-</v>
      </c>
      <c r="G13" s="498">
        <f t="shared" ca="1" si="2"/>
        <v>500</v>
      </c>
      <c r="I13" s="1360" t="str">
        <f t="shared" ca="1" si="3"/>
        <v>-</v>
      </c>
      <c r="J13" s="208"/>
      <c r="K13" s="208"/>
      <c r="L13" s="1423">
        <f t="shared" ca="1" si="4"/>
        <v>0</v>
      </c>
      <c r="M13" s="208" t="e">
        <f t="shared" ca="1" si="5"/>
        <v>#DIV/0!</v>
      </c>
      <c r="N13" s="208" t="e">
        <f t="shared" ca="1" si="6"/>
        <v>#DIV/0!</v>
      </c>
    </row>
    <row r="14" spans="1:15" ht="20.100000000000001" customHeight="1">
      <c r="A14" s="963">
        <f ca="1">IF(ROW()-ROW($A$6)&lt;'الف-ب-ج'!$L$9,INDIRECT("BudgetDB!EP"&amp;('الف-ب-ج'!$M$9+ROW()-ROW($A$6))),"")</f>
        <v>0</v>
      </c>
      <c r="B14" s="170"/>
      <c r="C14" s="1432" cm="1">
        <f t="array" aca="1" ref="C14" ca="1">IF(ROW()-ROW($A$6)&lt;'الف-ب-ج'!$L$9,IF(روکش!$F$9="سه ماهه",INDIRECT("BudgetDB!EQ"&amp;('الف-ب-ج'!$M$9+ROW()-ROW($A$6))),INDIRECT("BudgetDB!ER"&amp;('الف-ب-ج'!$M$9+ROW()-ROW($A$6)))),"")</f>
        <v>0</v>
      </c>
      <c r="D14" s="246"/>
      <c r="E14" s="536" t="str">
        <f t="shared" si="0"/>
        <v>-</v>
      </c>
      <c r="F14" s="2201" t="str">
        <f t="shared" ca="1" si="1"/>
        <v>-</v>
      </c>
      <c r="G14" s="498">
        <f t="shared" ca="1" si="2"/>
        <v>500</v>
      </c>
      <c r="I14" s="1360" t="str">
        <f t="shared" ca="1" si="3"/>
        <v>-</v>
      </c>
      <c r="J14" s="208"/>
      <c r="K14" s="208"/>
      <c r="L14" s="1423">
        <f t="shared" ca="1" si="4"/>
        <v>0</v>
      </c>
      <c r="M14" s="208" t="e">
        <f t="shared" ca="1" si="5"/>
        <v>#DIV/0!</v>
      </c>
      <c r="N14" s="208" t="e">
        <f t="shared" ca="1" si="6"/>
        <v>#DIV/0!</v>
      </c>
    </row>
    <row r="15" spans="1:15" ht="20.100000000000001" customHeight="1">
      <c r="A15" s="963">
        <f ca="1">IF(ROW()-ROW($A$6)&lt;'الف-ب-ج'!$L$9,INDIRECT("BudgetDB!EP"&amp;('الف-ب-ج'!$M$9+ROW()-ROW($A$6))),"")</f>
        <v>0</v>
      </c>
      <c r="B15" s="170"/>
      <c r="C15" s="1432" cm="1">
        <f t="array" aca="1" ref="C15" ca="1">IF(ROW()-ROW($A$6)&lt;'الف-ب-ج'!$L$9,IF(روکش!$F$9="سه ماهه",INDIRECT("BudgetDB!EQ"&amp;('الف-ب-ج'!$M$9+ROW()-ROW($A$6))),INDIRECT("BudgetDB!ER"&amp;('الف-ب-ج'!$M$9+ROW()-ROW($A$6)))),"")</f>
        <v>0</v>
      </c>
      <c r="D15" s="246"/>
      <c r="E15" s="536" t="str">
        <f t="shared" si="0"/>
        <v>-</v>
      </c>
      <c r="F15" s="2201" t="str">
        <f t="shared" ca="1" si="1"/>
        <v>-</v>
      </c>
      <c r="G15" s="498">
        <f t="shared" ca="1" si="2"/>
        <v>500</v>
      </c>
      <c r="I15" s="1360" t="str">
        <f t="shared" ca="1" si="3"/>
        <v>-</v>
      </c>
      <c r="J15" s="208"/>
      <c r="K15" s="208"/>
      <c r="L15" s="1423">
        <f t="shared" ca="1" si="4"/>
        <v>0</v>
      </c>
      <c r="M15" s="208" t="e">
        <f t="shared" ca="1" si="5"/>
        <v>#DIV/0!</v>
      </c>
      <c r="N15" s="208" t="e">
        <f t="shared" ca="1" si="6"/>
        <v>#DIV/0!</v>
      </c>
    </row>
    <row r="16" spans="1:15" ht="20.100000000000001" customHeight="1">
      <c r="A16" s="496">
        <f ca="1">IF(ROW()-ROW($A$6)&lt;'الف-ب-ج'!$L$9,INDIRECT("BudgetDB!EP"&amp;('الف-ب-ج'!$M$9+ROW()-ROW($A$6))),"")</f>
        <v>0</v>
      </c>
      <c r="B16" s="170"/>
      <c r="C16" s="1432" cm="1">
        <f t="array" aca="1" ref="C16" ca="1">IF(ROW()-ROW($A$6)&lt;'الف-ب-ج'!$L$9,IF(روکش!$F$9="سه ماهه",INDIRECT("BudgetDB!EQ"&amp;('الف-ب-ج'!$M$9+ROW()-ROW($A$6))),INDIRECT("BudgetDB!ER"&amp;('الف-ب-ج'!$M$9+ROW()-ROW($A$6)))),"")</f>
        <v>0</v>
      </c>
      <c r="D16" s="246"/>
      <c r="E16" s="536" t="str">
        <f t="shared" si="0"/>
        <v>-</v>
      </c>
      <c r="F16" s="2201" t="str">
        <f t="shared" ca="1" si="1"/>
        <v>-</v>
      </c>
      <c r="G16" s="498">
        <f t="shared" ca="1" si="2"/>
        <v>500</v>
      </c>
      <c r="I16" s="1360" t="str">
        <f t="shared" ca="1" si="3"/>
        <v>-</v>
      </c>
      <c r="J16" s="208"/>
      <c r="K16" s="208"/>
      <c r="L16" s="1423">
        <f t="shared" ca="1" si="4"/>
        <v>0</v>
      </c>
      <c r="M16" s="208" t="e">
        <f t="shared" ca="1" si="5"/>
        <v>#DIV/0!</v>
      </c>
      <c r="N16" s="208" t="e">
        <f t="shared" ca="1" si="6"/>
        <v>#DIV/0!</v>
      </c>
    </row>
    <row r="17" spans="1:14" ht="20.100000000000001" customHeight="1">
      <c r="A17" s="496">
        <f ca="1">IF(ROW()-ROW($A$6)&lt;'الف-ب-ج'!$L$9,INDIRECT("BudgetDB!EP"&amp;('الف-ب-ج'!$M$9+ROW()-ROW($A$6))),"")</f>
        <v>0</v>
      </c>
      <c r="B17" s="170"/>
      <c r="C17" s="1432" cm="1">
        <f t="array" aca="1" ref="C17" ca="1">IF(ROW()-ROW($A$6)&lt;'الف-ب-ج'!$L$9,IF(روکش!$F$9="سه ماهه",INDIRECT("BudgetDB!EQ"&amp;('الف-ب-ج'!$M$9+ROW()-ROW($A$6))),INDIRECT("BudgetDB!ER"&amp;('الف-ب-ج'!$M$9+ROW()-ROW($A$6)))),"")</f>
        <v>0</v>
      </c>
      <c r="D17" s="246"/>
      <c r="E17" s="536" t="str">
        <f t="shared" si="0"/>
        <v>-</v>
      </c>
      <c r="F17" s="2201" t="str">
        <f t="shared" ca="1" si="1"/>
        <v>-</v>
      </c>
      <c r="G17" s="498">
        <f t="shared" ca="1" si="2"/>
        <v>500</v>
      </c>
      <c r="I17" s="1360" t="str">
        <f ca="1">IF(AND(C17=0,D17&gt;0),100,IFERROR(ABS(F17-100),"-"))</f>
        <v>-</v>
      </c>
      <c r="J17" s="208"/>
      <c r="K17" s="208"/>
      <c r="L17" s="1423">
        <f ca="1">B17+C17+D17</f>
        <v>0</v>
      </c>
      <c r="M17" s="208" t="e">
        <f t="shared" ca="1" si="5"/>
        <v>#DIV/0!</v>
      </c>
      <c r="N17" s="208" t="e">
        <f ca="1">AND(COUNTIF($A17,"*سایر*")=1,$D17/$D$20&gt;0.2)</f>
        <v>#DIV/0!</v>
      </c>
    </row>
    <row r="18" spans="1:14" ht="20.100000000000001" customHeight="1">
      <c r="A18" s="496">
        <f ca="1">IF(ROW()-ROW($A$6)&lt;'الف-ب-ج'!$L$9,INDIRECT("BudgetDB!EP"&amp;('الف-ب-ج'!$M$9+ROW()-ROW($A$6))),"")</f>
        <v>0</v>
      </c>
      <c r="B18" s="170"/>
      <c r="C18" s="1432" cm="1">
        <f t="array" aca="1" ref="C18" ca="1">IF(ROW()-ROW($A$6)&lt;'الف-ب-ج'!$L$9,IF(روکش!$F$9="سه ماهه",INDIRECT("BudgetDB!EQ"&amp;('الف-ب-ج'!$M$9+ROW()-ROW($A$6))),INDIRECT("BudgetDB!ER"&amp;('الف-ب-ج'!$M$9+ROW()-ROW($A$6)))),"")</f>
        <v>0</v>
      </c>
      <c r="D18" s="246"/>
      <c r="E18" s="536" t="str">
        <f t="shared" si="0"/>
        <v>-</v>
      </c>
      <c r="F18" s="2201" t="str">
        <f t="shared" ca="1" si="1"/>
        <v>-</v>
      </c>
      <c r="G18" s="498">
        <f t="shared" ca="1" si="2"/>
        <v>500</v>
      </c>
      <c r="I18" s="1360" t="str">
        <f ca="1">IF(AND(C18=0,D18&gt;0),100,IFERROR(ABS(F18-100),"-"))</f>
        <v>-</v>
      </c>
      <c r="J18" s="208"/>
      <c r="K18" s="208"/>
      <c r="L18" s="1423">
        <f ca="1">B18+C18+D18</f>
        <v>0</v>
      </c>
      <c r="M18" s="208" t="e">
        <f t="shared" ca="1" si="5"/>
        <v>#DIV/0!</v>
      </c>
      <c r="N18" s="208" t="e">
        <f t="shared" ca="1" si="6"/>
        <v>#DIV/0!</v>
      </c>
    </row>
    <row r="19" spans="1:14" ht="20.100000000000001" customHeight="1" thickBot="1">
      <c r="A19" s="496">
        <f ca="1">IF(ROW()-ROW($A$6)&lt;'الف-ب-ج'!$L$9,INDIRECT("BudgetDB!EP"&amp;('الف-ب-ج'!$M$9+ROW()-ROW($A$6))),"")</f>
        <v>0</v>
      </c>
      <c r="B19" s="170"/>
      <c r="C19" s="1432" cm="1">
        <f t="array" aca="1" ref="C19" ca="1">IF(ROW()-ROW($A$6)&lt;'الف-ب-ج'!$L$9,IF(روکش!$F$9="سه ماهه",INDIRECT("BudgetDB!EQ"&amp;('الف-ب-ج'!$M$9+ROW()-ROW($A$6))),INDIRECT("BudgetDB!ER"&amp;('الف-ب-ج'!$M$9+ROW()-ROW($A$6)))),"")</f>
        <v>0</v>
      </c>
      <c r="D19" s="246"/>
      <c r="E19" s="536" t="str">
        <f t="shared" si="0"/>
        <v>-</v>
      </c>
      <c r="F19" s="2201" t="str">
        <f t="shared" ca="1" si="1"/>
        <v>-</v>
      </c>
      <c r="G19" s="498">
        <f t="shared" ca="1" si="2"/>
        <v>500</v>
      </c>
      <c r="I19" s="1360" t="str">
        <f ca="1">IF(AND(C19=0,D19&gt;0),100,IFERROR(ABS(F19-100),"-"))</f>
        <v>-</v>
      </c>
      <c r="J19" s="208"/>
      <c r="K19" s="208"/>
      <c r="L19" s="1423">
        <f ca="1">B19+C19+D19</f>
        <v>0</v>
      </c>
      <c r="M19" s="208" t="e">
        <f t="shared" ca="1" si="5"/>
        <v>#DIV/0!</v>
      </c>
      <c r="N19" s="208" t="e">
        <f t="shared" ca="1" si="6"/>
        <v>#DIV/0!</v>
      </c>
    </row>
    <row r="20" spans="1:14" ht="21.75" thickBot="1">
      <c r="A20" s="492" t="s">
        <v>437</v>
      </c>
      <c r="B20" s="1430">
        <f>SUM(B6:B19)</f>
        <v>0</v>
      </c>
      <c r="C20" s="1430">
        <f ca="1">SUM(C6:C19)</f>
        <v>0</v>
      </c>
      <c r="D20" s="494">
        <f>SUM(D6:D19)</f>
        <v>0</v>
      </c>
      <c r="E20" s="537" t="str">
        <f t="shared" si="0"/>
        <v>-</v>
      </c>
      <c r="F20" s="2204" t="str">
        <f t="shared" ca="1" si="1"/>
        <v>-</v>
      </c>
      <c r="G20" s="2205">
        <f t="shared" ca="1" si="2"/>
        <v>500</v>
      </c>
      <c r="I20" s="1360" t="s">
        <v>206</v>
      </c>
      <c r="J20" s="208"/>
      <c r="K20" s="208"/>
      <c r="L20" s="1423" t="s">
        <v>206</v>
      </c>
      <c r="M20" s="208" t="e">
        <f t="shared" si="5"/>
        <v>#DIV/0!</v>
      </c>
      <c r="N20" s="208" t="e">
        <f t="shared" si="6"/>
        <v>#DIV/0!</v>
      </c>
    </row>
    <row r="21" spans="1:14" ht="20.100000000000001" customHeight="1">
      <c r="A21" s="1424">
        <f ca="1">IF(ROW()-ROW($A$21)&lt;'الف-ب-ج'!$L$9,INDIRECT("BudgetDB!ES"&amp;('الف-ب-ج'!$M$9+ROW()-ROW($A$21))),"")</f>
        <v>0</v>
      </c>
      <c r="B21" s="1118"/>
      <c r="C21" s="1426" cm="1">
        <f t="array" aca="1" ref="C21" ca="1">IF(ROW()-ROW($A$21)&lt;'الف-ب-ج'!$L$9,IF(روکش!$F$9="سه ماهه",INDIRECT("BudgetDB!ET"&amp;('الف-ب-ج'!$M$9+ROW()-ROW($A$21))),INDIRECT("BudgetDB!EU"&amp;('الف-ب-ج'!$M$9+ROW()-ROW($A$21)))),"")</f>
        <v>0</v>
      </c>
      <c r="D21" s="246"/>
      <c r="E21" s="536" t="str">
        <f t="shared" si="0"/>
        <v>-</v>
      </c>
      <c r="F21" s="2201" t="str">
        <f t="shared" ca="1" si="1"/>
        <v>-</v>
      </c>
      <c r="G21" s="498">
        <f t="shared" ca="1" si="2"/>
        <v>500</v>
      </c>
      <c r="I21" s="1360" t="str">
        <f t="shared" ref="I21:I35" ca="1" si="7">IF(AND(C21=0,D21&gt;0),100,IFERROR(ABS(F21-100),"-"))</f>
        <v>-</v>
      </c>
      <c r="J21" s="208"/>
      <c r="K21" s="208"/>
      <c r="L21" s="1423">
        <f t="shared" ref="L21:L35" ca="1" si="8">B21+C21+D21</f>
        <v>0</v>
      </c>
      <c r="M21" s="208" t="e">
        <f ca="1">AND(COUNTIF($A21,"*سایر*")=1,$B21/$B$41&gt;0.2)</f>
        <v>#DIV/0!</v>
      </c>
      <c r="N21" s="208" t="e">
        <f ca="1">AND(COUNTIF($A21,"*سایر*")=1,$D21/$D$41&gt;0.2)</f>
        <v>#DIV/0!</v>
      </c>
    </row>
    <row r="22" spans="1:14" ht="20.100000000000001" customHeight="1">
      <c r="A22" s="1511">
        <f ca="1">IF(ROW()-ROW($A$21)&lt;'الف-ب-ج'!$L$9,INDIRECT("BudgetDB!ES"&amp;('الف-ب-ج'!$M$9+ROW()-ROW($A$21))),"")</f>
        <v>0</v>
      </c>
      <c r="B22" s="170"/>
      <c r="C22" s="1432" cm="1">
        <f t="array" aca="1" ref="C22" ca="1">IF(ROW()-ROW($A$21)&lt;'الف-ب-ج'!$L$9,IF(روکش!$F$9="سه ماهه",INDIRECT("BudgetDB!ET"&amp;('الف-ب-ج'!$M$9+ROW()-ROW($A$21))),INDIRECT("BudgetDB!EU"&amp;('الف-ب-ج'!$M$9+ROW()-ROW($A$21)))),"")</f>
        <v>0</v>
      </c>
      <c r="D22" s="246"/>
      <c r="E22" s="536" t="str">
        <f t="shared" si="0"/>
        <v>-</v>
      </c>
      <c r="F22" s="2201" t="str">
        <f t="shared" ca="1" si="1"/>
        <v>-</v>
      </c>
      <c r="G22" s="498">
        <f t="shared" ca="1" si="2"/>
        <v>500</v>
      </c>
      <c r="I22" s="1360" t="str">
        <f t="shared" ca="1" si="7"/>
        <v>-</v>
      </c>
      <c r="J22" s="208"/>
      <c r="K22" s="208"/>
      <c r="L22" s="1423">
        <f t="shared" ca="1" si="8"/>
        <v>0</v>
      </c>
      <c r="M22" s="208" t="e">
        <f t="shared" ref="M22:M40" ca="1" si="9">AND(COUNTIF($A22,"*سایر*")=1,$B22/$B$41&gt;0.2)</f>
        <v>#DIV/0!</v>
      </c>
      <c r="N22" s="208" t="e">
        <f t="shared" ref="N22:N39" ca="1" si="10">AND(COUNTIF($A22,"*سایر*")=1,$D22/$D$41&gt;0.2)</f>
        <v>#DIV/0!</v>
      </c>
    </row>
    <row r="23" spans="1:14" ht="20.100000000000001" customHeight="1">
      <c r="A23" s="1511">
        <f ca="1">IF(ROW()-ROW($A$21)&lt;'الف-ب-ج'!$L$9,INDIRECT("BudgetDB!ES"&amp;('الف-ب-ج'!$M$9+ROW()-ROW($A$21))),"")</f>
        <v>0</v>
      </c>
      <c r="B23" s="170"/>
      <c r="C23" s="1432" cm="1">
        <f t="array" aca="1" ref="C23" ca="1">IF(ROW()-ROW($A$21)&lt;'الف-ب-ج'!$L$9,IF(روکش!$F$9="سه ماهه",INDIRECT("BudgetDB!ET"&amp;('الف-ب-ج'!$M$9+ROW()-ROW($A$21))),INDIRECT("BudgetDB!EU"&amp;('الف-ب-ج'!$M$9+ROW()-ROW($A$21)))),"")</f>
        <v>0</v>
      </c>
      <c r="D23" s="246"/>
      <c r="E23" s="536" t="str">
        <f t="shared" si="0"/>
        <v>-</v>
      </c>
      <c r="F23" s="2201" t="str">
        <f t="shared" ca="1" si="1"/>
        <v>-</v>
      </c>
      <c r="G23" s="498">
        <f t="shared" ca="1" si="2"/>
        <v>500</v>
      </c>
      <c r="I23" s="1360" t="str">
        <f t="shared" ca="1" si="7"/>
        <v>-</v>
      </c>
      <c r="J23" s="208"/>
      <c r="K23" s="208"/>
      <c r="L23" s="1423">
        <f t="shared" ca="1" si="8"/>
        <v>0</v>
      </c>
      <c r="M23" s="208" t="e">
        <f t="shared" ca="1" si="9"/>
        <v>#DIV/0!</v>
      </c>
      <c r="N23" s="208" t="e">
        <f t="shared" ca="1" si="10"/>
        <v>#DIV/0!</v>
      </c>
    </row>
    <row r="24" spans="1:14" ht="20.100000000000001" customHeight="1">
      <c r="A24" s="1511">
        <f ca="1">IF(ROW()-ROW($A$21)&lt;'الف-ب-ج'!$L$9,INDIRECT("BudgetDB!ES"&amp;('الف-ب-ج'!$M$9+ROW()-ROW($A$21))),"")</f>
        <v>0</v>
      </c>
      <c r="B24" s="170"/>
      <c r="C24" s="1432" cm="1">
        <f t="array" aca="1" ref="C24" ca="1">IF(ROW()-ROW($A$21)&lt;'الف-ب-ج'!$L$9,IF(روکش!$F$9="سه ماهه",INDIRECT("BudgetDB!ET"&amp;('الف-ب-ج'!$M$9+ROW()-ROW($A$21))),INDIRECT("BudgetDB!EU"&amp;('الف-ب-ج'!$M$9+ROW()-ROW($A$21)))),"")</f>
        <v>0</v>
      </c>
      <c r="D24" s="246"/>
      <c r="E24" s="536" t="str">
        <f t="shared" si="0"/>
        <v>-</v>
      </c>
      <c r="F24" s="2201" t="str">
        <f t="shared" ca="1" si="1"/>
        <v>-</v>
      </c>
      <c r="G24" s="498">
        <f t="shared" ca="1" si="2"/>
        <v>500</v>
      </c>
      <c r="I24" s="1360" t="str">
        <f t="shared" ca="1" si="7"/>
        <v>-</v>
      </c>
      <c r="J24" s="208"/>
      <c r="K24" s="208"/>
      <c r="L24" s="1423">
        <f t="shared" ca="1" si="8"/>
        <v>0</v>
      </c>
      <c r="M24" s="208" t="e">
        <f t="shared" ca="1" si="9"/>
        <v>#DIV/0!</v>
      </c>
      <c r="N24" s="208" t="e">
        <f t="shared" ca="1" si="10"/>
        <v>#DIV/0!</v>
      </c>
    </row>
    <row r="25" spans="1:14" ht="20.100000000000001" customHeight="1">
      <c r="A25" s="1511">
        <f ca="1">IF(ROW()-ROW($A$21)&lt;'الف-ب-ج'!$L$9,INDIRECT("BudgetDB!ES"&amp;('الف-ب-ج'!$M$9+ROW()-ROW($A$21))),"")</f>
        <v>0</v>
      </c>
      <c r="B25" s="170"/>
      <c r="C25" s="1432" cm="1">
        <f t="array" aca="1" ref="C25" ca="1">IF(ROW()-ROW($A$21)&lt;'الف-ب-ج'!$L$9,IF(روکش!$F$9="سه ماهه",INDIRECT("BudgetDB!ET"&amp;('الف-ب-ج'!$M$9+ROW()-ROW($A$21))),INDIRECT("BudgetDB!EU"&amp;('الف-ب-ج'!$M$9+ROW()-ROW($A$21)))),"")</f>
        <v>0</v>
      </c>
      <c r="D25" s="246"/>
      <c r="E25" s="536" t="str">
        <f t="shared" si="0"/>
        <v>-</v>
      </c>
      <c r="F25" s="2201" t="str">
        <f t="shared" ca="1" si="1"/>
        <v>-</v>
      </c>
      <c r="G25" s="498">
        <f t="shared" ca="1" si="2"/>
        <v>500</v>
      </c>
      <c r="I25" s="1360" t="str">
        <f t="shared" ca="1" si="7"/>
        <v>-</v>
      </c>
      <c r="J25" s="208"/>
      <c r="K25" s="208"/>
      <c r="L25" s="1423">
        <f t="shared" ca="1" si="8"/>
        <v>0</v>
      </c>
      <c r="M25" s="208" t="e">
        <f t="shared" ca="1" si="9"/>
        <v>#DIV/0!</v>
      </c>
      <c r="N25" s="208" t="e">
        <f t="shared" ca="1" si="10"/>
        <v>#DIV/0!</v>
      </c>
    </row>
    <row r="26" spans="1:14" ht="20.100000000000001" customHeight="1">
      <c r="A26" s="1511">
        <f ca="1">IF(ROW()-ROW($A$21)&lt;'الف-ب-ج'!$L$9,INDIRECT("BudgetDB!ES"&amp;('الف-ب-ج'!$M$9+ROW()-ROW($A$21))),"")</f>
        <v>0</v>
      </c>
      <c r="B26" s="170"/>
      <c r="C26" s="1432" cm="1">
        <f t="array" aca="1" ref="C26" ca="1">IF(ROW()-ROW($A$21)&lt;'الف-ب-ج'!$L$9,IF(روکش!$F$9="سه ماهه",INDIRECT("BudgetDB!ET"&amp;('الف-ب-ج'!$M$9+ROW()-ROW($A$21))),INDIRECT("BudgetDB!EU"&amp;('الف-ب-ج'!$M$9+ROW()-ROW($A$21)))),"")</f>
        <v>0</v>
      </c>
      <c r="D26" s="246"/>
      <c r="E26" s="536" t="str">
        <f t="shared" si="0"/>
        <v>-</v>
      </c>
      <c r="F26" s="2201" t="str">
        <f t="shared" ca="1" si="1"/>
        <v>-</v>
      </c>
      <c r="G26" s="498">
        <f t="shared" ca="1" si="2"/>
        <v>500</v>
      </c>
      <c r="I26" s="1360" t="str">
        <f t="shared" ca="1" si="7"/>
        <v>-</v>
      </c>
      <c r="J26" s="208"/>
      <c r="K26" s="208"/>
      <c r="L26" s="1423">
        <f t="shared" ca="1" si="8"/>
        <v>0</v>
      </c>
      <c r="M26" s="208" t="e">
        <f t="shared" ca="1" si="9"/>
        <v>#DIV/0!</v>
      </c>
      <c r="N26" s="208" t="e">
        <f t="shared" ca="1" si="10"/>
        <v>#DIV/0!</v>
      </c>
    </row>
    <row r="27" spans="1:14" ht="20.100000000000001" customHeight="1">
      <c r="A27" s="1511">
        <f ca="1">IF(ROW()-ROW($A$21)&lt;'الف-ب-ج'!$L$9,INDIRECT("BudgetDB!ES"&amp;('الف-ب-ج'!$M$9+ROW()-ROW($A$21))),"")</f>
        <v>0</v>
      </c>
      <c r="B27" s="170"/>
      <c r="C27" s="1432" cm="1">
        <f t="array" aca="1" ref="C27" ca="1">IF(ROW()-ROW($A$21)&lt;'الف-ب-ج'!$L$9,IF(روکش!$F$9="سه ماهه",INDIRECT("BudgetDB!ET"&amp;('الف-ب-ج'!$M$9+ROW()-ROW($A$21))),INDIRECT("BudgetDB!EU"&amp;('الف-ب-ج'!$M$9+ROW()-ROW($A$21)))),"")</f>
        <v>0</v>
      </c>
      <c r="D27" s="246"/>
      <c r="E27" s="536" t="str">
        <f t="shared" si="0"/>
        <v>-</v>
      </c>
      <c r="F27" s="2201" t="str">
        <f t="shared" ca="1" si="1"/>
        <v>-</v>
      </c>
      <c r="G27" s="498">
        <f t="shared" ca="1" si="2"/>
        <v>500</v>
      </c>
      <c r="I27" s="1360" t="str">
        <f t="shared" ca="1" si="7"/>
        <v>-</v>
      </c>
      <c r="J27" s="208"/>
      <c r="K27" s="208"/>
      <c r="L27" s="1423">
        <f t="shared" ca="1" si="8"/>
        <v>0</v>
      </c>
      <c r="M27" s="208" t="e">
        <f t="shared" ca="1" si="9"/>
        <v>#DIV/0!</v>
      </c>
      <c r="N27" s="208" t="e">
        <f t="shared" ca="1" si="10"/>
        <v>#DIV/0!</v>
      </c>
    </row>
    <row r="28" spans="1:14" ht="20.100000000000001" customHeight="1">
      <c r="A28" s="1511">
        <f ca="1">IF(ROW()-ROW($A$21)&lt;'الف-ب-ج'!$L$9,INDIRECT("BudgetDB!ES"&amp;('الف-ب-ج'!$M$9+ROW()-ROW($A$21))),"")</f>
        <v>0</v>
      </c>
      <c r="B28" s="170"/>
      <c r="C28" s="1432" cm="1">
        <f t="array" aca="1" ref="C28" ca="1">IF(ROW()-ROW($A$21)&lt;'الف-ب-ج'!$L$9,IF(روکش!$F$9="سه ماهه",INDIRECT("BudgetDB!ET"&amp;('الف-ب-ج'!$M$9+ROW()-ROW($A$21))),INDIRECT("BudgetDB!EU"&amp;('الف-ب-ج'!$M$9+ROW()-ROW($A$21)))),"")</f>
        <v>0</v>
      </c>
      <c r="D28" s="246"/>
      <c r="E28" s="536" t="str">
        <f t="shared" si="0"/>
        <v>-</v>
      </c>
      <c r="F28" s="2201" t="str">
        <f t="shared" ca="1" si="1"/>
        <v>-</v>
      </c>
      <c r="G28" s="498">
        <f t="shared" ca="1" si="2"/>
        <v>500</v>
      </c>
      <c r="I28" s="1360" t="str">
        <f t="shared" ca="1" si="7"/>
        <v>-</v>
      </c>
      <c r="J28" s="208"/>
      <c r="K28" s="208"/>
      <c r="L28" s="1423">
        <f t="shared" ca="1" si="8"/>
        <v>0</v>
      </c>
      <c r="M28" s="208" t="e">
        <f t="shared" ca="1" si="9"/>
        <v>#DIV/0!</v>
      </c>
      <c r="N28" s="208" t="e">
        <f t="shared" ca="1" si="10"/>
        <v>#DIV/0!</v>
      </c>
    </row>
    <row r="29" spans="1:14" ht="20.100000000000001" customHeight="1">
      <c r="A29" s="1511">
        <f ca="1">IF(ROW()-ROW($A$21)&lt;'الف-ب-ج'!$L$9,INDIRECT("BudgetDB!ES"&amp;('الف-ب-ج'!$M$9+ROW()-ROW($A$21))),"")</f>
        <v>0</v>
      </c>
      <c r="B29" s="170"/>
      <c r="C29" s="1432" cm="1">
        <f t="array" aca="1" ref="C29" ca="1">IF(ROW()-ROW($A$21)&lt;'الف-ب-ج'!$L$9,IF(روکش!$F$9="سه ماهه",INDIRECT("BudgetDB!ET"&amp;('الف-ب-ج'!$M$9+ROW()-ROW($A$21))),INDIRECT("BudgetDB!EU"&amp;('الف-ب-ج'!$M$9+ROW()-ROW($A$21)))),"")</f>
        <v>0</v>
      </c>
      <c r="D29" s="246"/>
      <c r="E29" s="536" t="str">
        <f t="shared" si="0"/>
        <v>-</v>
      </c>
      <c r="F29" s="2201" t="str">
        <f t="shared" ca="1" si="1"/>
        <v>-</v>
      </c>
      <c r="G29" s="498">
        <f t="shared" ca="1" si="2"/>
        <v>500</v>
      </c>
      <c r="I29" s="1360" t="str">
        <f t="shared" ca="1" si="7"/>
        <v>-</v>
      </c>
      <c r="J29" s="208"/>
      <c r="K29" s="208"/>
      <c r="L29" s="1423">
        <f t="shared" ca="1" si="8"/>
        <v>0</v>
      </c>
      <c r="M29" s="208" t="e">
        <f t="shared" ca="1" si="9"/>
        <v>#DIV/0!</v>
      </c>
      <c r="N29" s="208" t="e">
        <f t="shared" ca="1" si="10"/>
        <v>#DIV/0!</v>
      </c>
    </row>
    <row r="30" spans="1:14" ht="20.100000000000001" customHeight="1">
      <c r="A30" s="1511">
        <f ca="1">IF(ROW()-ROW($A$21)&lt;'الف-ب-ج'!$L$9,INDIRECT("BudgetDB!ES"&amp;('الف-ب-ج'!$M$9+ROW()-ROW($A$21))),"")</f>
        <v>0</v>
      </c>
      <c r="B30" s="170"/>
      <c r="C30" s="1432" cm="1">
        <f t="array" aca="1" ref="C30" ca="1">IF(ROW()-ROW($A$21)&lt;'الف-ب-ج'!$L$9,IF(روکش!$F$9="سه ماهه",INDIRECT("BudgetDB!ET"&amp;('الف-ب-ج'!$M$9+ROW()-ROW($A$21))),INDIRECT("BudgetDB!EU"&amp;('الف-ب-ج'!$M$9+ROW()-ROW($A$21)))),"")</f>
        <v>0</v>
      </c>
      <c r="D30" s="246"/>
      <c r="E30" s="536" t="str">
        <f t="shared" si="0"/>
        <v>-</v>
      </c>
      <c r="F30" s="2201" t="str">
        <f t="shared" ca="1" si="1"/>
        <v>-</v>
      </c>
      <c r="G30" s="498">
        <f t="shared" ca="1" si="2"/>
        <v>500</v>
      </c>
      <c r="I30" s="1360" t="str">
        <f t="shared" ca="1" si="7"/>
        <v>-</v>
      </c>
      <c r="J30" s="208"/>
      <c r="K30" s="208"/>
      <c r="L30" s="1423">
        <f t="shared" ca="1" si="8"/>
        <v>0</v>
      </c>
      <c r="M30" s="208" t="e">
        <f t="shared" ca="1" si="9"/>
        <v>#DIV/0!</v>
      </c>
      <c r="N30" s="208" t="e">
        <f t="shared" ca="1" si="10"/>
        <v>#DIV/0!</v>
      </c>
    </row>
    <row r="31" spans="1:14" ht="20.100000000000001" customHeight="1">
      <c r="A31" s="963">
        <f ca="1">IF(ROW()-ROW($A$21)&lt;'الف-ب-ج'!$L$9,INDIRECT("BudgetDB!ES"&amp;('الف-ب-ج'!$M$9+ROW()-ROW($A$21))),"")</f>
        <v>0</v>
      </c>
      <c r="B31" s="170"/>
      <c r="C31" s="1432" cm="1">
        <f t="array" aca="1" ref="C31" ca="1">IF(ROW()-ROW($A$21)&lt;'الف-ب-ج'!$L$9,IF(روکش!$F$9="سه ماهه",INDIRECT("BudgetDB!ET"&amp;('الف-ب-ج'!$M$9+ROW()-ROW($A$21))),INDIRECT("BudgetDB!EU"&amp;('الف-ب-ج'!$M$9+ROW()-ROW($A$21)))),"")</f>
        <v>0</v>
      </c>
      <c r="D31" s="246"/>
      <c r="E31" s="536" t="str">
        <f t="shared" si="0"/>
        <v>-</v>
      </c>
      <c r="F31" s="2201" t="str">
        <f t="shared" ca="1" si="1"/>
        <v>-</v>
      </c>
      <c r="G31" s="498">
        <f t="shared" ca="1" si="2"/>
        <v>500</v>
      </c>
      <c r="I31" s="1360" t="str">
        <f t="shared" ca="1" si="7"/>
        <v>-</v>
      </c>
      <c r="J31" s="208"/>
      <c r="K31" s="208"/>
      <c r="L31" s="1423">
        <f t="shared" ca="1" si="8"/>
        <v>0</v>
      </c>
      <c r="M31" s="208" t="e">
        <f t="shared" ca="1" si="9"/>
        <v>#DIV/0!</v>
      </c>
      <c r="N31" s="208" t="e">
        <f t="shared" ca="1" si="10"/>
        <v>#DIV/0!</v>
      </c>
    </row>
    <row r="32" spans="1:14" ht="20.100000000000001" customHeight="1">
      <c r="A32" s="963">
        <f ca="1">IF(ROW()-ROW($A$21)&lt;'الف-ب-ج'!$L$9,INDIRECT("BudgetDB!ES"&amp;('الف-ب-ج'!$M$9+ROW()-ROW($A$21))),"")</f>
        <v>0</v>
      </c>
      <c r="B32" s="170"/>
      <c r="C32" s="1432" cm="1">
        <f t="array" aca="1" ref="C32" ca="1">IF(ROW()-ROW($A$21)&lt;'الف-ب-ج'!$L$9,IF(روکش!$F$9="سه ماهه",INDIRECT("BudgetDB!ET"&amp;('الف-ب-ج'!$M$9+ROW()-ROW($A$21))),INDIRECT("BudgetDB!EU"&amp;('الف-ب-ج'!$M$9+ROW()-ROW($A$21)))),"")</f>
        <v>0</v>
      </c>
      <c r="D32" s="246"/>
      <c r="E32" s="536" t="str">
        <f t="shared" si="0"/>
        <v>-</v>
      </c>
      <c r="F32" s="2201" t="str">
        <f t="shared" ca="1" si="1"/>
        <v>-</v>
      </c>
      <c r="G32" s="498">
        <f t="shared" ca="1" si="2"/>
        <v>500</v>
      </c>
      <c r="I32" s="1360" t="str">
        <f t="shared" ca="1" si="7"/>
        <v>-</v>
      </c>
      <c r="J32" s="208"/>
      <c r="K32" s="208"/>
      <c r="L32" s="1423">
        <f t="shared" ca="1" si="8"/>
        <v>0</v>
      </c>
      <c r="M32" s="208" t="e">
        <f t="shared" ca="1" si="9"/>
        <v>#DIV/0!</v>
      </c>
      <c r="N32" s="208" t="e">
        <f t="shared" ca="1" si="10"/>
        <v>#DIV/0!</v>
      </c>
    </row>
    <row r="33" spans="1:14" ht="20.100000000000001" customHeight="1">
      <c r="A33" s="963">
        <f ca="1">IF(ROW()-ROW($A$21)&lt;'الف-ب-ج'!$L$9,INDIRECT("BudgetDB!ES"&amp;('الف-ب-ج'!$M$9+ROW()-ROW($A$21))),"")</f>
        <v>0</v>
      </c>
      <c r="B33" s="170"/>
      <c r="C33" s="1432" cm="1">
        <f t="array" aca="1" ref="C33" ca="1">IF(ROW()-ROW($A$21)&lt;'الف-ب-ج'!$L$9,IF(روکش!$F$9="سه ماهه",INDIRECT("BudgetDB!ET"&amp;('الف-ب-ج'!$M$9+ROW()-ROW($A$21))),INDIRECT("BudgetDB!EU"&amp;('الف-ب-ج'!$M$9+ROW()-ROW($A$21)))),"")</f>
        <v>0</v>
      </c>
      <c r="D33" s="246"/>
      <c r="E33" s="536" t="str">
        <f>IFERROR((D33-B33)*100/B33,"-")</f>
        <v>-</v>
      </c>
      <c r="F33" s="2201" t="str">
        <f ca="1">IFERROR(D33*100/C33,"-")</f>
        <v>-</v>
      </c>
      <c r="G33" s="498">
        <f t="shared" ca="1" si="2"/>
        <v>500</v>
      </c>
      <c r="I33" s="1360" t="str">
        <f t="shared" ca="1" si="7"/>
        <v>-</v>
      </c>
      <c r="J33" s="208"/>
      <c r="K33" s="208"/>
      <c r="L33" s="1423">
        <f t="shared" ca="1" si="8"/>
        <v>0</v>
      </c>
      <c r="M33" s="208" t="e">
        <f t="shared" ca="1" si="9"/>
        <v>#DIV/0!</v>
      </c>
      <c r="N33" s="208" t="e">
        <f t="shared" ca="1" si="10"/>
        <v>#DIV/0!</v>
      </c>
    </row>
    <row r="34" spans="1:14" ht="20.100000000000001" customHeight="1">
      <c r="A34" s="963">
        <f ca="1">IF(ROW()-ROW($A$21)&lt;'الف-ب-ج'!$L$9,INDIRECT("BudgetDB!ES"&amp;('الف-ب-ج'!$M$9+ROW()-ROW($A$21))),"")</f>
        <v>0</v>
      </c>
      <c r="B34" s="170"/>
      <c r="C34" s="1432" cm="1">
        <f t="array" aca="1" ref="C34" ca="1">IF(ROW()-ROW($A$21)&lt;'الف-ب-ج'!$L$9,IF(روکش!$F$9="سه ماهه",INDIRECT("BudgetDB!ET"&amp;('الف-ب-ج'!$M$9+ROW()-ROW($A$21))),INDIRECT("BudgetDB!EU"&amp;('الف-ب-ج'!$M$9+ROW()-ROW($A$21)))),"")</f>
        <v>0</v>
      </c>
      <c r="D34" s="246"/>
      <c r="E34" s="536" t="str">
        <f>IFERROR((D34-B34)*100/B34,"-")</f>
        <v>-</v>
      </c>
      <c r="F34" s="2201" t="str">
        <f ca="1">IFERROR(D34*100/C34,"-")</f>
        <v>-</v>
      </c>
      <c r="G34" s="498">
        <f t="shared" ca="1" si="2"/>
        <v>500</v>
      </c>
      <c r="I34" s="1360" t="str">
        <f t="shared" ca="1" si="7"/>
        <v>-</v>
      </c>
      <c r="J34" s="208"/>
      <c r="K34" s="208"/>
      <c r="L34" s="1423">
        <f t="shared" ca="1" si="8"/>
        <v>0</v>
      </c>
      <c r="M34" s="208" t="e">
        <f t="shared" ca="1" si="9"/>
        <v>#DIV/0!</v>
      </c>
      <c r="N34" s="208" t="e">
        <f t="shared" ca="1" si="10"/>
        <v>#DIV/0!</v>
      </c>
    </row>
    <row r="35" spans="1:14" ht="20.100000000000001" customHeight="1">
      <c r="A35" s="963">
        <f ca="1">IF(ROW()-ROW($A$21)&lt;'الف-ب-ج'!$L$9,INDIRECT("BudgetDB!ES"&amp;('الف-ب-ج'!$M$9+ROW()-ROW($A$21))),"")</f>
        <v>0</v>
      </c>
      <c r="B35" s="170"/>
      <c r="C35" s="1432" cm="1">
        <f t="array" aca="1" ref="C35" ca="1">IF(ROW()-ROW($A$21)&lt;'الف-ب-ج'!$L$9,IF(روکش!$F$9="سه ماهه",INDIRECT("BudgetDB!ET"&amp;('الف-ب-ج'!$M$9+ROW()-ROW($A$21))),INDIRECT("BudgetDB!EU"&amp;('الف-ب-ج'!$M$9+ROW()-ROW($A$21)))),"")</f>
        <v>0</v>
      </c>
      <c r="D35" s="246"/>
      <c r="E35" s="536" t="str">
        <f>IFERROR((D35-B35)*100/B35,"-")</f>
        <v>-</v>
      </c>
      <c r="F35" s="2201" t="str">
        <f ca="1">IFERROR(D35*100/C35,"-")</f>
        <v>-</v>
      </c>
      <c r="G35" s="498">
        <f t="shared" ca="1" si="2"/>
        <v>500</v>
      </c>
      <c r="I35" s="1360" t="str">
        <f t="shared" ca="1" si="7"/>
        <v>-</v>
      </c>
      <c r="J35" s="208"/>
      <c r="K35" s="208"/>
      <c r="L35" s="1423">
        <f t="shared" ca="1" si="8"/>
        <v>0</v>
      </c>
      <c r="M35" s="208" t="e">
        <f t="shared" ca="1" si="9"/>
        <v>#DIV/0!</v>
      </c>
      <c r="N35" s="208" t="e">
        <f t="shared" ca="1" si="10"/>
        <v>#DIV/0!</v>
      </c>
    </row>
    <row r="36" spans="1:14" ht="20.100000000000001" customHeight="1">
      <c r="A36" s="496">
        <f ca="1">IF(ROW()-ROW($A$21)&lt;'الف-ب-ج'!$L$9,INDIRECT("BudgetDB!ES"&amp;('الف-ب-ج'!$M$9+ROW()-ROW($A$21))),"")</f>
        <v>0</v>
      </c>
      <c r="B36" s="170"/>
      <c r="C36" s="1432" cm="1">
        <f t="array" aca="1" ref="C36" ca="1">IF(ROW()-ROW($A$21)&lt;'الف-ب-ج'!$L$9,IF(روکش!$F$9="سه ماهه",INDIRECT("BudgetDB!ET"&amp;('الف-ب-ج'!$M$9+ROW()-ROW($A$21))),INDIRECT("BudgetDB!EU"&amp;('الف-ب-ج'!$M$9+ROW()-ROW($A$21)))),"")</f>
        <v>0</v>
      </c>
      <c r="D36" s="246"/>
      <c r="E36" s="536" t="str">
        <f t="shared" ref="E36:E40" si="11">IFERROR((D36-B36)*100/B36,"-")</f>
        <v>-</v>
      </c>
      <c r="F36" s="2201" t="str">
        <f t="shared" ref="F36:F40" ca="1" si="12">IFERROR(D36*100/C36,"-")</f>
        <v>-</v>
      </c>
      <c r="G36" s="498">
        <f t="shared" ca="1" si="2"/>
        <v>500</v>
      </c>
      <c r="I36" s="1360" t="str">
        <f t="shared" ref="I36:I40" ca="1" si="13">IF(AND(C36=0,D36&gt;0),100,IFERROR(ABS(F36-100),"-"))</f>
        <v>-</v>
      </c>
      <c r="J36" s="208"/>
      <c r="K36" s="208"/>
      <c r="L36" s="1423">
        <f t="shared" ref="L36:L40" ca="1" si="14">B36+C36+D36</f>
        <v>0</v>
      </c>
      <c r="M36" s="208" t="e">
        <f t="shared" ca="1" si="9"/>
        <v>#DIV/0!</v>
      </c>
      <c r="N36" s="208" t="e">
        <f t="shared" ca="1" si="10"/>
        <v>#DIV/0!</v>
      </c>
    </row>
    <row r="37" spans="1:14" ht="20.100000000000001" customHeight="1">
      <c r="A37" s="496">
        <f ca="1">IF(ROW()-ROW($A$21)&lt;'الف-ب-ج'!$L$9,INDIRECT("BudgetDB!ES"&amp;('الف-ب-ج'!$M$9+ROW()-ROW($A$21))),"")</f>
        <v>0</v>
      </c>
      <c r="B37" s="170"/>
      <c r="C37" s="1432" cm="1">
        <f t="array" aca="1" ref="C37" ca="1">IF(ROW()-ROW($A$21)&lt;'الف-ب-ج'!$L$9,IF(روکش!$F$9="سه ماهه",INDIRECT("BudgetDB!ET"&amp;('الف-ب-ج'!$M$9+ROW()-ROW($A$21))),INDIRECT("BudgetDB!EU"&amp;('الف-ب-ج'!$M$9+ROW()-ROW($A$21)))),"")</f>
        <v>0</v>
      </c>
      <c r="D37" s="246"/>
      <c r="E37" s="536" t="str">
        <f t="shared" si="11"/>
        <v>-</v>
      </c>
      <c r="F37" s="2201" t="str">
        <f t="shared" ca="1" si="12"/>
        <v>-</v>
      </c>
      <c r="G37" s="498">
        <f t="shared" ca="1" si="2"/>
        <v>500</v>
      </c>
      <c r="I37" s="1360" t="str">
        <f t="shared" ca="1" si="13"/>
        <v>-</v>
      </c>
      <c r="J37" s="208"/>
      <c r="K37" s="208"/>
      <c r="L37" s="1423">
        <f t="shared" ca="1" si="14"/>
        <v>0</v>
      </c>
      <c r="M37" s="208" t="e">
        <f t="shared" ca="1" si="9"/>
        <v>#DIV/0!</v>
      </c>
      <c r="N37" s="208" t="e">
        <f t="shared" ca="1" si="10"/>
        <v>#DIV/0!</v>
      </c>
    </row>
    <row r="38" spans="1:14" ht="20.100000000000001" customHeight="1">
      <c r="A38" s="496">
        <f ca="1">IF(ROW()-ROW($A$21)&lt;'الف-ب-ج'!$L$9,INDIRECT("BudgetDB!ES"&amp;('الف-ب-ج'!$M$9+ROW()-ROW($A$21))),"")</f>
        <v>0</v>
      </c>
      <c r="B38" s="170"/>
      <c r="C38" s="1432" cm="1">
        <f t="array" aca="1" ref="C38" ca="1">IF(ROW()-ROW($A$21)&lt;'الف-ب-ج'!$L$9,IF(روکش!$F$9="سه ماهه",INDIRECT("BudgetDB!ET"&amp;('الف-ب-ج'!$M$9+ROW()-ROW($A$21))),INDIRECT("BudgetDB!EU"&amp;('الف-ب-ج'!$M$9+ROW()-ROW($A$21)))),"")</f>
        <v>0</v>
      </c>
      <c r="D38" s="246"/>
      <c r="E38" s="536" t="str">
        <f t="shared" si="11"/>
        <v>-</v>
      </c>
      <c r="F38" s="2201" t="str">
        <f t="shared" ca="1" si="12"/>
        <v>-</v>
      </c>
      <c r="G38" s="498">
        <f t="shared" ca="1" si="2"/>
        <v>500</v>
      </c>
      <c r="I38" s="1360" t="str">
        <f t="shared" ca="1" si="13"/>
        <v>-</v>
      </c>
      <c r="J38" s="208"/>
      <c r="K38" s="208"/>
      <c r="L38" s="1423">
        <f t="shared" ca="1" si="14"/>
        <v>0</v>
      </c>
      <c r="M38" s="208" t="e">
        <f t="shared" ca="1" si="9"/>
        <v>#DIV/0!</v>
      </c>
      <c r="N38" s="208" t="e">
        <f t="shared" ca="1" si="10"/>
        <v>#DIV/0!</v>
      </c>
    </row>
    <row r="39" spans="1:14" ht="20.100000000000001" customHeight="1">
      <c r="A39" s="496">
        <f ca="1">IF(ROW()-ROW($A$21)&lt;'الف-ب-ج'!$L$9,INDIRECT("BudgetDB!ES"&amp;('الف-ب-ج'!$M$9+ROW()-ROW($A$21))),"")</f>
        <v>0</v>
      </c>
      <c r="B39" s="170"/>
      <c r="C39" s="1432" cm="1">
        <f t="array" aca="1" ref="C39" ca="1">IF(ROW()-ROW($A$21)&lt;'الف-ب-ج'!$L$9,IF(روکش!$F$9="سه ماهه",INDIRECT("BudgetDB!ET"&amp;('الف-ب-ج'!$M$9+ROW()-ROW($A$21))),INDIRECT("BudgetDB!EU"&amp;('الف-ب-ج'!$M$9+ROW()-ROW($A$21)))),"")</f>
        <v>0</v>
      </c>
      <c r="D39" s="246"/>
      <c r="E39" s="536" t="str">
        <f t="shared" si="11"/>
        <v>-</v>
      </c>
      <c r="F39" s="2201" t="str">
        <f t="shared" ca="1" si="12"/>
        <v>-</v>
      </c>
      <c r="G39" s="498">
        <f t="shared" ca="1" si="2"/>
        <v>500</v>
      </c>
      <c r="I39" s="1360" t="str">
        <f t="shared" ca="1" si="13"/>
        <v>-</v>
      </c>
      <c r="J39" s="208"/>
      <c r="K39" s="208"/>
      <c r="L39" s="1423">
        <f t="shared" ca="1" si="14"/>
        <v>0</v>
      </c>
      <c r="M39" s="208" t="e">
        <f t="shared" ca="1" si="9"/>
        <v>#DIV/0!</v>
      </c>
      <c r="N39" s="208" t="e">
        <f t="shared" ca="1" si="10"/>
        <v>#DIV/0!</v>
      </c>
    </row>
    <row r="40" spans="1:14" ht="20.100000000000001" customHeight="1" thickBot="1">
      <c r="A40" s="496">
        <f ca="1">IF(ROW()-ROW($A$21)&lt;'الف-ب-ج'!$L$9,INDIRECT("BudgetDB!ES"&amp;('الف-ب-ج'!$M$9+ROW()-ROW($A$21))),"")</f>
        <v>0</v>
      </c>
      <c r="B40" s="170"/>
      <c r="C40" s="1432" cm="1">
        <f t="array" aca="1" ref="C40" ca="1">IF(ROW()-ROW($A$21)&lt;'الف-ب-ج'!$L$9,IF(روکش!$F$9="سه ماهه",INDIRECT("BudgetDB!ET"&amp;('الف-ب-ج'!$M$9+ROW()-ROW($A$21))),INDIRECT("BudgetDB!EU"&amp;('الف-ب-ج'!$M$9+ROW()-ROW($A$21)))),"")</f>
        <v>0</v>
      </c>
      <c r="D40" s="246"/>
      <c r="E40" s="536" t="str">
        <f t="shared" si="11"/>
        <v>-</v>
      </c>
      <c r="F40" s="2201" t="str">
        <f t="shared" ca="1" si="12"/>
        <v>-</v>
      </c>
      <c r="G40" s="498">
        <f t="shared" ca="1" si="2"/>
        <v>500</v>
      </c>
      <c r="I40" s="1360" t="str">
        <f t="shared" ca="1" si="13"/>
        <v>-</v>
      </c>
      <c r="J40" s="208"/>
      <c r="K40" s="208"/>
      <c r="L40" s="1423">
        <f t="shared" ca="1" si="14"/>
        <v>0</v>
      </c>
      <c r="M40" s="208" t="e">
        <f t="shared" ca="1" si="9"/>
        <v>#DIV/0!</v>
      </c>
      <c r="N40" s="208" t="e">
        <f ca="1">AND(COUNTIF($A40,"*سایر*")=1,$D40/$D$41&gt;0.2)</f>
        <v>#DIV/0!</v>
      </c>
    </row>
    <row r="41" spans="1:14" ht="21.75" thickBot="1">
      <c r="A41" s="492" t="s">
        <v>1437</v>
      </c>
      <c r="B41" s="1430">
        <f>SUM(B21:B31)</f>
        <v>0</v>
      </c>
      <c r="C41" s="1430">
        <f ca="1">SUM(C21:C31)</f>
        <v>0</v>
      </c>
      <c r="D41" s="494">
        <f>SUM(D21:D31)</f>
        <v>0</v>
      </c>
      <c r="E41" s="537" t="str">
        <f t="shared" si="0"/>
        <v>-</v>
      </c>
      <c r="F41" s="2204" t="str">
        <f t="shared" ca="1" si="1"/>
        <v>-</v>
      </c>
      <c r="G41" s="2205">
        <f t="shared" ca="1" si="2"/>
        <v>500</v>
      </c>
      <c r="I41" s="1360" t="s">
        <v>206</v>
      </c>
      <c r="J41" s="208"/>
      <c r="K41" s="208"/>
      <c r="L41" s="1423" t="s">
        <v>206</v>
      </c>
      <c r="N41" s="208"/>
    </row>
    <row r="42" spans="1:14" ht="21.75" thickBot="1">
      <c r="A42" s="492" t="s">
        <v>438</v>
      </c>
      <c r="B42" s="1430">
        <f>B20+B41</f>
        <v>0</v>
      </c>
      <c r="C42" s="1430">
        <f ca="1">C20+C41</f>
        <v>0</v>
      </c>
      <c r="D42" s="494">
        <f>D20+D41</f>
        <v>0</v>
      </c>
      <c r="E42" s="537" t="str">
        <f t="shared" si="0"/>
        <v>-</v>
      </c>
      <c r="F42" s="2204" t="str">
        <f t="shared" ca="1" si="1"/>
        <v>-</v>
      </c>
      <c r="G42" s="2205">
        <f t="shared" ca="1" si="2"/>
        <v>500</v>
      </c>
      <c r="I42" s="1360" t="s">
        <v>206</v>
      </c>
      <c r="J42" s="208"/>
      <c r="K42" s="208"/>
      <c r="L42" s="1423" t="s">
        <v>206</v>
      </c>
    </row>
    <row r="43" spans="1:14" ht="21.75" thickBot="1">
      <c r="A43" s="495" t="s">
        <v>1555</v>
      </c>
      <c r="B43" s="170"/>
      <c r="C43" s="1432" cm="1">
        <f t="array" aca="1" ref="C43" ca="1">IF(روکش!$F$9="سه ماهه",INDIRECT("BudgetDB!EV"&amp;('الف-ب-ج'!$M$9+ROW()-ROW($A$43))),INDIRECT("BudgetDB!EW"&amp;('الف-ب-ج'!$M$9+ROW()-ROW($A$43))))</f>
        <v>0</v>
      </c>
      <c r="D43" s="250"/>
      <c r="E43" s="537" t="str">
        <f t="shared" si="0"/>
        <v>-</v>
      </c>
      <c r="F43" s="2204" t="str">
        <f t="shared" ca="1" si="1"/>
        <v>-</v>
      </c>
      <c r="G43" s="2205">
        <f ca="1">IFERROR(ABS(F43-100),500)</f>
        <v>500</v>
      </c>
      <c r="I43" s="1360" t="str">
        <f ca="1">IF(AND(C43=0,D43&gt;0),100,IFERROR(ABS(F43-100),"-"))</f>
        <v>-</v>
      </c>
      <c r="J43" s="208"/>
      <c r="K43" s="208"/>
      <c r="L43" s="1423" t="s">
        <v>206</v>
      </c>
    </row>
    <row r="44" spans="1:14" ht="21.75" thickBot="1">
      <c r="A44" s="492" t="s">
        <v>436</v>
      </c>
      <c r="B44" s="1430">
        <f>B42+B43</f>
        <v>0</v>
      </c>
      <c r="C44" s="1430">
        <f ca="1">C42+C43</f>
        <v>0</v>
      </c>
      <c r="D44" s="494">
        <f>D42+D43</f>
        <v>0</v>
      </c>
      <c r="E44" s="537" t="str">
        <f>IFERROR((D44-B44)*100/B44,"-")</f>
        <v>-</v>
      </c>
      <c r="F44" s="2204" t="str">
        <f t="shared" ca="1" si="1"/>
        <v>-</v>
      </c>
      <c r="G44" s="2205">
        <f t="shared" ca="1" si="2"/>
        <v>500</v>
      </c>
      <c r="I44" s="1360" t="s">
        <v>206</v>
      </c>
      <c r="J44" s="208"/>
      <c r="K44" s="208"/>
      <c r="L44" s="1423" t="s">
        <v>206</v>
      </c>
    </row>
    <row r="45" spans="1:14" ht="10.5" customHeight="1">
      <c r="A45" s="2906"/>
      <c r="B45" s="2906"/>
      <c r="C45" s="2906"/>
      <c r="D45" s="857"/>
      <c r="E45" s="857"/>
      <c r="F45" s="857"/>
      <c r="I45" s="37" t="s">
        <v>206</v>
      </c>
      <c r="L45" s="856">
        <f>B45+C45+D45</f>
        <v>0</v>
      </c>
    </row>
    <row r="46" spans="1:14" ht="5.25" customHeight="1">
      <c r="L46" s="856" t="s">
        <v>206</v>
      </c>
    </row>
    <row r="47" spans="1:14" ht="21">
      <c r="A47" s="8"/>
      <c r="B47" s="2752"/>
      <c r="C47" s="2752"/>
      <c r="E47" s="8"/>
      <c r="L47" s="856" t="s">
        <v>206</v>
      </c>
    </row>
    <row r="48" spans="1:14">
      <c r="L48" s="212" t="s">
        <v>206</v>
      </c>
    </row>
    <row r="49" spans="12:12">
      <c r="L49" s="212" t="s">
        <v>206</v>
      </c>
    </row>
    <row r="50" spans="12:12">
      <c r="L50" s="212" t="s">
        <v>206</v>
      </c>
    </row>
    <row r="51" spans="12:12">
      <c r="L51" s="212" t="s">
        <v>206</v>
      </c>
    </row>
    <row r="52" spans="12:12">
      <c r="L52" s="212" t="s">
        <v>206</v>
      </c>
    </row>
    <row r="53" spans="12:12">
      <c r="L53" s="212" t="s">
        <v>206</v>
      </c>
    </row>
    <row r="54" spans="12:12">
      <c r="L54" s="212" t="s">
        <v>206</v>
      </c>
    </row>
    <row r="55" spans="12:12">
      <c r="L55" s="212" t="s">
        <v>206</v>
      </c>
    </row>
    <row r="56" spans="12:12">
      <c r="L56" s="212" t="s">
        <v>206</v>
      </c>
    </row>
    <row r="57" spans="12:12">
      <c r="L57" s="212" t="s">
        <v>206</v>
      </c>
    </row>
    <row r="58" spans="12:12">
      <c r="L58" s="212" t="s">
        <v>206</v>
      </c>
    </row>
    <row r="59" spans="12:12">
      <c r="L59" s="212" t="s">
        <v>206</v>
      </c>
    </row>
    <row r="60" spans="12:12">
      <c r="L60" s="212" t="s">
        <v>206</v>
      </c>
    </row>
    <row r="61" spans="12:12">
      <c r="L61" s="212" t="s">
        <v>206</v>
      </c>
    </row>
    <row r="62" spans="12:12">
      <c r="L62" s="212" t="s">
        <v>206</v>
      </c>
    </row>
    <row r="63" spans="12:12">
      <c r="L63" s="212" t="s">
        <v>206</v>
      </c>
    </row>
    <row r="64" spans="12:12">
      <c r="L64" s="212" t="s">
        <v>206</v>
      </c>
    </row>
    <row r="65" spans="12:12">
      <c r="L65" s="212" t="s">
        <v>206</v>
      </c>
    </row>
    <row r="66" spans="12:12">
      <c r="L66" s="212" t="s">
        <v>206</v>
      </c>
    </row>
    <row r="67" spans="12:12">
      <c r="L67" s="212" t="s">
        <v>206</v>
      </c>
    </row>
    <row r="68" spans="12:12">
      <c r="L68" s="212" t="s">
        <v>206</v>
      </c>
    </row>
    <row r="69" spans="12:12">
      <c r="L69" s="212" t="s">
        <v>206</v>
      </c>
    </row>
    <row r="70" spans="12:12">
      <c r="L70" s="212" t="s">
        <v>206</v>
      </c>
    </row>
    <row r="71" spans="12:12">
      <c r="L71" s="212" t="s">
        <v>206</v>
      </c>
    </row>
    <row r="72" spans="12:12">
      <c r="L72" s="212" t="s">
        <v>206</v>
      </c>
    </row>
    <row r="73" spans="12:12">
      <c r="L73" s="212" t="s">
        <v>206</v>
      </c>
    </row>
  </sheetData>
  <mergeCells count="6">
    <mergeCell ref="A4:A5"/>
    <mergeCell ref="B4:B5"/>
    <mergeCell ref="A45:C45"/>
    <mergeCell ref="B47:C47"/>
    <mergeCell ref="A1:G1"/>
    <mergeCell ref="F5:G5"/>
  </mergeCells>
  <conditionalFormatting sqref="A6:A41">
    <cfRule type="expression" dxfId="399" priority="5">
      <formula>AND($A6=0,OR($B6&lt;&gt;0,$D6&lt;&gt;0))</formula>
    </cfRule>
  </conditionalFormatting>
  <conditionalFormatting sqref="B6:B41">
    <cfRule type="expression" dxfId="398" priority="4">
      <formula>$M6=TRUE</formula>
    </cfRule>
  </conditionalFormatting>
  <conditionalFormatting sqref="D6:D41">
    <cfRule type="expression" dxfId="397" priority="3">
      <formula>$N6=TRUE</formula>
    </cfRule>
  </conditionalFormatting>
  <conditionalFormatting sqref="G6:G44">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6DCB5818-7743-40E4-84A3-FBF1DF042C25}">
            <x14:iconSet iconSet="3Symbols" custom="1">
              <x14:cfvo type="percent">
                <xm:f>0</xm:f>
              </x14:cfvo>
              <x14:cfvo type="num">
                <xm:f>0</xm:f>
              </x14:cfvo>
              <x14:cfvo type="num">
                <xm:f>0</xm:f>
              </x14:cfvo>
              <x14:cfIcon iconSet="3Symbols" iconId="1"/>
              <x14:cfIcon iconSet="3Symbols" iconId="1"/>
              <x14:cfIcon iconSet="NoIcons" iconId="0"/>
            </x14:iconSet>
          </x14:cfRule>
          <xm:sqref>E6:E41</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86">
    <tabColor rgb="FFFFA07A"/>
    <pageSetUpPr fitToPage="1"/>
  </sheetPr>
  <dimension ref="A1:O82"/>
  <sheetViews>
    <sheetView rightToLeft="1" view="pageBreakPreview" zoomScale="60" zoomScaleNormal="100" workbookViewId="0">
      <selection activeCell="C25" sqref="C25"/>
    </sheetView>
  </sheetViews>
  <sheetFormatPr defaultColWidth="9" defaultRowHeight="15"/>
  <cols>
    <col min="1" max="1" width="50.5703125" style="5" customWidth="1"/>
    <col min="2" max="4" width="18.5703125" style="5" customWidth="1"/>
    <col min="5" max="5" width="15.42578125" style="5" customWidth="1"/>
    <col min="6" max="6" width="13.5703125" style="5" customWidth="1"/>
    <col min="7" max="7" width="3.7109375" style="79" customWidth="1"/>
    <col min="8" max="8" width="9" style="79"/>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hidden="1" customWidth="1"/>
    <col min="16" max="16384" width="9" style="5"/>
  </cols>
  <sheetData>
    <row r="1" spans="1:15" s="52" customFormat="1" ht="24" customHeight="1">
      <c r="A1" s="2685" t="str">
        <f>روکش!D4</f>
        <v>انبارهای عمومی و خدمات گمرکی ایران</v>
      </c>
      <c r="B1" s="2685"/>
      <c r="C1" s="2685"/>
      <c r="D1" s="2685"/>
      <c r="E1" s="2685"/>
      <c r="F1" s="2685"/>
      <c r="G1" s="2685"/>
      <c r="H1" s="88"/>
      <c r="I1" s="249"/>
      <c r="J1" s="88"/>
      <c r="K1" s="88"/>
      <c r="L1" s="212"/>
      <c r="M1" s="208"/>
      <c r="N1" s="5"/>
      <c r="O1" s="88"/>
    </row>
    <row r="2" spans="1:15" ht="28.5" customHeight="1">
      <c r="A2" s="1206" t="str">
        <f>"هزينه‌هاي بهسازی آزادراه در دوره " &amp; روکش!F9 &amp; " سال " &amp; روکش!D9</f>
        <v>هزينه‌هاي بهسازی آزادراه در دوره شش ماهه سال 1405</v>
      </c>
      <c r="B2" s="1206"/>
      <c r="C2" s="1203"/>
      <c r="D2" s="1203"/>
      <c r="E2" s="1203"/>
      <c r="F2" s="1203"/>
      <c r="G2" s="2211"/>
      <c r="H2" s="832"/>
    </row>
    <row r="3" spans="1:15" ht="20.100000000000001" customHeight="1" thickBot="1">
      <c r="A3" s="398"/>
      <c r="B3" s="398"/>
      <c r="C3" s="398"/>
      <c r="D3" s="538"/>
      <c r="E3" s="538"/>
      <c r="F3" s="1208" t="s">
        <v>30</v>
      </c>
    </row>
    <row r="4" spans="1:15" ht="30" customHeight="1">
      <c r="A4" s="2907" t="s">
        <v>21</v>
      </c>
      <c r="B4" s="2907" t="s">
        <v>693</v>
      </c>
      <c r="C4" s="1434" t="s">
        <v>642</v>
      </c>
      <c r="D4" s="1435"/>
      <c r="E4" s="1435"/>
      <c r="F4" s="2213"/>
      <c r="G4" s="1376"/>
    </row>
    <row r="5" spans="1:15" ht="66" customHeight="1" thickBot="1">
      <c r="A5" s="2908"/>
      <c r="B5" s="2909"/>
      <c r="C5" s="713" t="s">
        <v>53</v>
      </c>
      <c r="D5" s="714" t="s">
        <v>216</v>
      </c>
      <c r="E5" s="714" t="s">
        <v>804</v>
      </c>
      <c r="F5" s="2875" t="s">
        <v>230</v>
      </c>
      <c r="G5" s="2876"/>
      <c r="I5" s="1081" t="s">
        <v>784</v>
      </c>
      <c r="J5" s="208"/>
      <c r="K5" s="208"/>
      <c r="L5" s="1081" t="s">
        <v>792</v>
      </c>
    </row>
    <row r="6" spans="1:15" ht="20.100000000000001" customHeight="1">
      <c r="A6" s="1424">
        <f ca="1">IF(ROW()-ROW($A$6)&lt;'الف-ب-ج'!$L$9,INDIRECT("BudgetDB!EX"&amp;('الف-ب-ج'!$M$9+ROW()-ROW($A$6))),"")</f>
        <v>0</v>
      </c>
      <c r="B6" s="215"/>
      <c r="C6" s="1426" cm="1">
        <f t="array" aca="1" ref="C6" ca="1">IF(ROW()-ROW($A$6)&lt;'الف-ب-ج'!$L$9,IF(روکش!$F$9="سه ماهه",INDIRECT("BudgetDB!EY"&amp;('الف-ب-ج'!$M$9+ROW()-ROW($A$6))),INDIRECT("BudgetDB!EZ"&amp;('الف-ب-ج'!$M$9+ROW()-ROW($A$6)))),"")</f>
        <v>0</v>
      </c>
      <c r="D6" s="2131"/>
      <c r="E6" s="486" t="str">
        <f t="shared" ref="E6:E43" si="0">IFERROR((D6-B6)*100/B6,"-")</f>
        <v>-</v>
      </c>
      <c r="F6" s="2199" t="str">
        <f t="shared" ref="F6:F44" ca="1" si="1">IFERROR(D6*100/C6,"-")</f>
        <v>-</v>
      </c>
      <c r="G6" s="2200">
        <f ca="1">IFERROR(ABS(F6-100),500)</f>
        <v>500</v>
      </c>
      <c r="I6" s="1360" t="str">
        <f t="shared" ref="I6:I15" ca="1" si="2">IF(AND(C6=0,D6&gt;0),100,IFERROR(ABS(F6-100),"-"))</f>
        <v>-</v>
      </c>
      <c r="J6" s="208"/>
      <c r="K6" s="208"/>
      <c r="L6" s="1423">
        <f t="shared" ref="L6:L15" ca="1" si="3">B6+C6+D6</f>
        <v>0</v>
      </c>
      <c r="M6" s="208" t="e">
        <f ca="1">AND(COUNTIF($A6,"*سایر*")=1,$B6/$B$20&gt;0.2)</f>
        <v>#DIV/0!</v>
      </c>
      <c r="N6" s="208" t="e">
        <f ca="1">AND(COUNTIF($A6,"*سایر*")=1,$D6/$D$20&gt;0.2)</f>
        <v>#DIV/0!</v>
      </c>
    </row>
    <row r="7" spans="1:15" ht="20.100000000000001" customHeight="1">
      <c r="A7" s="963">
        <f ca="1">IF(ROW()-ROW($A$6)&lt;'الف-ب-ج'!$L$9,INDIRECT("BudgetDB!EX"&amp;('الف-ب-ج'!$M$9+ROW()-ROW($A$6))),"")</f>
        <v>0</v>
      </c>
      <c r="B7" s="217"/>
      <c r="C7" s="1427" cm="1">
        <f t="array" aca="1" ref="C7" ca="1">IF(ROW()-ROW($A$6)&lt;'الف-ب-ج'!$L$9,IF(روکش!$F$9="سه ماهه",INDIRECT("BudgetDB!EY"&amp;('الف-ب-ج'!$M$9+ROW()-ROW($A$6))),INDIRECT("BudgetDB!EZ"&amp;('الف-ب-ج'!$M$9+ROW()-ROW($A$6)))),"")</f>
        <v>0</v>
      </c>
      <c r="D7" s="2127"/>
      <c r="E7" s="488" t="str">
        <f t="shared" si="0"/>
        <v>-</v>
      </c>
      <c r="F7" s="2201" t="str">
        <f t="shared" ca="1" si="1"/>
        <v>-</v>
      </c>
      <c r="G7" s="498">
        <f t="shared" ref="G7:G44" ca="1" si="4">IFERROR(ABS(F7-100),500)</f>
        <v>500</v>
      </c>
      <c r="I7" s="1360" t="str">
        <f t="shared" ca="1" si="2"/>
        <v>-</v>
      </c>
      <c r="J7" s="208"/>
      <c r="K7" s="208"/>
      <c r="L7" s="1423">
        <f t="shared" ca="1" si="3"/>
        <v>0</v>
      </c>
      <c r="M7" s="208" t="e">
        <f t="shared" ref="M7:M20" ca="1" si="5">AND(COUNTIF($A7,"*سایر*")=1,$B7/$B$20&gt;0.2)</f>
        <v>#DIV/0!</v>
      </c>
      <c r="N7" s="208" t="e">
        <f t="shared" ref="N7:N20" ca="1" si="6">AND(COUNTIF($A7,"*سایر*")=1,$D7/$D$20&gt;0.2)</f>
        <v>#DIV/0!</v>
      </c>
    </row>
    <row r="8" spans="1:15" ht="20.100000000000001" customHeight="1">
      <c r="A8" s="963">
        <f ca="1">IF(ROW()-ROW($A$6)&lt;'الف-ب-ج'!$L$9,INDIRECT("BudgetDB!EX"&amp;('الف-ب-ج'!$M$9+ROW()-ROW($A$6))),"")</f>
        <v>0</v>
      </c>
      <c r="B8" s="217"/>
      <c r="C8" s="1427" cm="1">
        <f t="array" aca="1" ref="C8" ca="1">IF(ROW()-ROW($A$6)&lt;'الف-ب-ج'!$L$9,IF(روکش!$F$9="سه ماهه",INDIRECT("BudgetDB!EY"&amp;('الف-ب-ج'!$M$9+ROW()-ROW($A$6))),INDIRECT("BudgetDB!EZ"&amp;('الف-ب-ج'!$M$9+ROW()-ROW($A$6)))),"")</f>
        <v>0</v>
      </c>
      <c r="D8" s="2127"/>
      <c r="E8" s="488" t="str">
        <f t="shared" si="0"/>
        <v>-</v>
      </c>
      <c r="F8" s="2201" t="str">
        <f t="shared" ca="1" si="1"/>
        <v>-</v>
      </c>
      <c r="G8" s="498">
        <f t="shared" ca="1" si="4"/>
        <v>500</v>
      </c>
      <c r="I8" s="1360" t="str">
        <f t="shared" ca="1" si="2"/>
        <v>-</v>
      </c>
      <c r="J8" s="208"/>
      <c r="K8" s="208"/>
      <c r="L8" s="1423">
        <f t="shared" ca="1" si="3"/>
        <v>0</v>
      </c>
      <c r="M8" s="208" t="e">
        <f t="shared" ca="1" si="5"/>
        <v>#DIV/0!</v>
      </c>
      <c r="N8" s="208" t="e">
        <f t="shared" ca="1" si="6"/>
        <v>#DIV/0!</v>
      </c>
    </row>
    <row r="9" spans="1:15" ht="20.100000000000001" customHeight="1">
      <c r="A9" s="963">
        <f ca="1">IF(ROW()-ROW($A$6)&lt;'الف-ب-ج'!$L$9,INDIRECT("BudgetDB!EX"&amp;('الف-ب-ج'!$M$9+ROW()-ROW($A$6))),"")</f>
        <v>0</v>
      </c>
      <c r="B9" s="217"/>
      <c r="C9" s="1427" cm="1">
        <f t="array" aca="1" ref="C9" ca="1">IF(ROW()-ROW($A$6)&lt;'الف-ب-ج'!$L$9,IF(روکش!$F$9="سه ماهه",INDIRECT("BudgetDB!EY"&amp;('الف-ب-ج'!$M$9+ROW()-ROW($A$6))),INDIRECT("BudgetDB!EZ"&amp;('الف-ب-ج'!$M$9+ROW()-ROW($A$6)))),"")</f>
        <v>0</v>
      </c>
      <c r="D9" s="2127"/>
      <c r="E9" s="488" t="str">
        <f t="shared" si="0"/>
        <v>-</v>
      </c>
      <c r="F9" s="2201" t="str">
        <f t="shared" ca="1" si="1"/>
        <v>-</v>
      </c>
      <c r="G9" s="498">
        <f t="shared" ca="1" si="4"/>
        <v>500</v>
      </c>
      <c r="I9" s="1360" t="str">
        <f t="shared" ca="1" si="2"/>
        <v>-</v>
      </c>
      <c r="J9" s="208"/>
      <c r="K9" s="208"/>
      <c r="L9" s="1423">
        <f t="shared" ca="1" si="3"/>
        <v>0</v>
      </c>
      <c r="M9" s="208" t="e">
        <f t="shared" ca="1" si="5"/>
        <v>#DIV/0!</v>
      </c>
      <c r="N9" s="208" t="e">
        <f t="shared" ca="1" si="6"/>
        <v>#DIV/0!</v>
      </c>
    </row>
    <row r="10" spans="1:15" ht="20.100000000000001" customHeight="1">
      <c r="A10" s="963">
        <f ca="1">IF(ROW()-ROW($A$6)&lt;'الف-ب-ج'!$L$9,INDIRECT("BudgetDB!EX"&amp;('الف-ب-ج'!$M$9+ROW()-ROW($A$6))),"")</f>
        <v>0</v>
      </c>
      <c r="B10" s="217"/>
      <c r="C10" s="1427" cm="1">
        <f t="array" aca="1" ref="C10" ca="1">IF(ROW()-ROW($A$6)&lt;'الف-ب-ج'!$L$9,IF(روکش!$F$9="سه ماهه",INDIRECT("BudgetDB!EY"&amp;('الف-ب-ج'!$M$9+ROW()-ROW($A$6))),INDIRECT("BudgetDB!EZ"&amp;('الف-ب-ج'!$M$9+ROW()-ROW($A$6)))),"")</f>
        <v>0</v>
      </c>
      <c r="D10" s="2127"/>
      <c r="E10" s="488" t="str">
        <f t="shared" si="0"/>
        <v>-</v>
      </c>
      <c r="F10" s="2201" t="str">
        <f t="shared" ca="1" si="1"/>
        <v>-</v>
      </c>
      <c r="G10" s="498">
        <f t="shared" ca="1" si="4"/>
        <v>500</v>
      </c>
      <c r="I10" s="1360" t="str">
        <f t="shared" ca="1" si="2"/>
        <v>-</v>
      </c>
      <c r="J10" s="208"/>
      <c r="K10" s="208"/>
      <c r="L10" s="1423">
        <f t="shared" ca="1" si="3"/>
        <v>0</v>
      </c>
      <c r="M10" s="208" t="e">
        <f t="shared" ca="1" si="5"/>
        <v>#DIV/0!</v>
      </c>
      <c r="N10" s="208" t="e">
        <f t="shared" ca="1" si="6"/>
        <v>#DIV/0!</v>
      </c>
    </row>
    <row r="11" spans="1:15" ht="20.100000000000001" customHeight="1">
      <c r="A11" s="963">
        <f ca="1">IF(ROW()-ROW($A$6)&lt;'الف-ب-ج'!$L$9,INDIRECT("BudgetDB!EX"&amp;('الف-ب-ج'!$M$9+ROW()-ROW($A$6))),"")</f>
        <v>0</v>
      </c>
      <c r="B11" s="170"/>
      <c r="C11" s="1432" cm="1">
        <f t="array" aca="1" ref="C11" ca="1">IF(ROW()-ROW($A$6)&lt;'الف-ب-ج'!$L$9,IF(روکش!$F$9="سه ماهه",INDIRECT("BudgetDB!EY"&amp;('الف-ب-ج'!$M$9+ROW()-ROW($A$6))),INDIRECT("BudgetDB!EZ"&amp;('الف-ب-ج'!$M$9+ROW()-ROW($A$6)))),"")</f>
        <v>0</v>
      </c>
      <c r="D11" s="246"/>
      <c r="E11" s="536" t="str">
        <f t="shared" si="0"/>
        <v>-</v>
      </c>
      <c r="F11" s="2201" t="str">
        <f t="shared" ca="1" si="1"/>
        <v>-</v>
      </c>
      <c r="G11" s="498">
        <f t="shared" ca="1" si="4"/>
        <v>500</v>
      </c>
      <c r="I11" s="1360" t="str">
        <f t="shared" ca="1" si="2"/>
        <v>-</v>
      </c>
      <c r="J11" s="208"/>
      <c r="K11" s="208"/>
      <c r="L11" s="1423">
        <f t="shared" ca="1" si="3"/>
        <v>0</v>
      </c>
      <c r="M11" s="208" t="e">
        <f t="shared" ca="1" si="5"/>
        <v>#DIV/0!</v>
      </c>
      <c r="N11" s="208" t="e">
        <f t="shared" ca="1" si="6"/>
        <v>#DIV/0!</v>
      </c>
    </row>
    <row r="12" spans="1:15" ht="20.100000000000001" customHeight="1">
      <c r="A12" s="963">
        <f ca="1">IF(ROW()-ROW($A$6)&lt;'الف-ب-ج'!$L$9,INDIRECT("BudgetDB!EX"&amp;('الف-ب-ج'!$M$9+ROW()-ROW($A$6))),"")</f>
        <v>0</v>
      </c>
      <c r="B12" s="170"/>
      <c r="C12" s="1432" cm="1">
        <f t="array" aca="1" ref="C12" ca="1">IF(ROW()-ROW($A$6)&lt;'الف-ب-ج'!$L$9,IF(روکش!$F$9="سه ماهه",INDIRECT("BudgetDB!EY"&amp;('الف-ب-ج'!$M$9+ROW()-ROW($A$6))),INDIRECT("BudgetDB!EZ"&amp;('الف-ب-ج'!$M$9+ROW()-ROW($A$6)))),"")</f>
        <v>0</v>
      </c>
      <c r="D12" s="246"/>
      <c r="E12" s="536" t="str">
        <f t="shared" si="0"/>
        <v>-</v>
      </c>
      <c r="F12" s="2201" t="str">
        <f t="shared" ca="1" si="1"/>
        <v>-</v>
      </c>
      <c r="G12" s="498">
        <f t="shared" ca="1" si="4"/>
        <v>500</v>
      </c>
      <c r="I12" s="1360" t="str">
        <f t="shared" ca="1" si="2"/>
        <v>-</v>
      </c>
      <c r="J12" s="208"/>
      <c r="K12" s="208"/>
      <c r="L12" s="1423">
        <f t="shared" ca="1" si="3"/>
        <v>0</v>
      </c>
      <c r="M12" s="208" t="e">
        <f t="shared" ca="1" si="5"/>
        <v>#DIV/0!</v>
      </c>
      <c r="N12" s="208" t="e">
        <f t="shared" ca="1" si="6"/>
        <v>#DIV/0!</v>
      </c>
    </row>
    <row r="13" spans="1:15" ht="20.100000000000001" customHeight="1">
      <c r="A13" s="963">
        <f ca="1">IF(ROW()-ROW($A$6)&lt;'الف-ب-ج'!$L$9,INDIRECT("BudgetDB!EX"&amp;('الف-ب-ج'!$M$9+ROW()-ROW($A$6))),"")</f>
        <v>0</v>
      </c>
      <c r="B13" s="170"/>
      <c r="C13" s="1432" cm="1">
        <f t="array" aca="1" ref="C13" ca="1">IF(ROW()-ROW($A$6)&lt;'الف-ب-ج'!$L$9,IF(روکش!$F$9="سه ماهه",INDIRECT("BudgetDB!EY"&amp;('الف-ب-ج'!$M$9+ROW()-ROW($A$6))),INDIRECT("BudgetDB!EZ"&amp;('الف-ب-ج'!$M$9+ROW()-ROW($A$6)))),"")</f>
        <v>0</v>
      </c>
      <c r="D13" s="246"/>
      <c r="E13" s="536" t="str">
        <f t="shared" si="0"/>
        <v>-</v>
      </c>
      <c r="F13" s="2201" t="str">
        <f t="shared" ca="1" si="1"/>
        <v>-</v>
      </c>
      <c r="G13" s="498">
        <f t="shared" ca="1" si="4"/>
        <v>500</v>
      </c>
      <c r="I13" s="1360" t="str">
        <f t="shared" ca="1" si="2"/>
        <v>-</v>
      </c>
      <c r="J13" s="208"/>
      <c r="K13" s="208"/>
      <c r="L13" s="1423">
        <f t="shared" ca="1" si="3"/>
        <v>0</v>
      </c>
      <c r="M13" s="208" t="e">
        <f t="shared" ca="1" si="5"/>
        <v>#DIV/0!</v>
      </c>
      <c r="N13" s="208" t="e">
        <f t="shared" ca="1" si="6"/>
        <v>#DIV/0!</v>
      </c>
    </row>
    <row r="14" spans="1:15" ht="20.100000000000001" customHeight="1">
      <c r="A14" s="963">
        <f ca="1">IF(ROW()-ROW($A$6)&lt;'الف-ب-ج'!$L$9,INDIRECT("BudgetDB!EX"&amp;('الف-ب-ج'!$M$9+ROW()-ROW($A$6))),"")</f>
        <v>0</v>
      </c>
      <c r="B14" s="170"/>
      <c r="C14" s="1432" cm="1">
        <f t="array" aca="1" ref="C14" ca="1">IF(ROW()-ROW($A$6)&lt;'الف-ب-ج'!$L$9,IF(روکش!$F$9="سه ماهه",INDIRECT("BudgetDB!EY"&amp;('الف-ب-ج'!$M$9+ROW()-ROW($A$6))),INDIRECT("BudgetDB!EZ"&amp;('الف-ب-ج'!$M$9+ROW()-ROW($A$6)))),"")</f>
        <v>0</v>
      </c>
      <c r="D14" s="246"/>
      <c r="E14" s="536" t="str">
        <f t="shared" si="0"/>
        <v>-</v>
      </c>
      <c r="F14" s="2201" t="str">
        <f t="shared" ca="1" si="1"/>
        <v>-</v>
      </c>
      <c r="G14" s="498">
        <f t="shared" ca="1" si="4"/>
        <v>500</v>
      </c>
      <c r="I14" s="1360" t="str">
        <f t="shared" ca="1" si="2"/>
        <v>-</v>
      </c>
      <c r="J14" s="208"/>
      <c r="K14" s="208"/>
      <c r="L14" s="1423">
        <f t="shared" ca="1" si="3"/>
        <v>0</v>
      </c>
      <c r="M14" s="208" t="e">
        <f t="shared" ca="1" si="5"/>
        <v>#DIV/0!</v>
      </c>
      <c r="N14" s="208" t="e">
        <f t="shared" ca="1" si="6"/>
        <v>#DIV/0!</v>
      </c>
    </row>
    <row r="15" spans="1:15" ht="20.100000000000001" customHeight="1">
      <c r="A15" s="963">
        <f ca="1">IF(ROW()-ROW($A$6)&lt;'الف-ب-ج'!$L$9,INDIRECT("BudgetDB!EX"&amp;('الف-ب-ج'!$M$9+ROW()-ROW($A$6))),"")</f>
        <v>0</v>
      </c>
      <c r="B15" s="170"/>
      <c r="C15" s="1432" cm="1">
        <f t="array" aca="1" ref="C15" ca="1">IF(ROW()-ROW($A$6)&lt;'الف-ب-ج'!$L$9,IF(روکش!$F$9="سه ماهه",INDIRECT("BudgetDB!EY"&amp;('الف-ب-ج'!$M$9+ROW()-ROW($A$6))),INDIRECT("BudgetDB!EZ"&amp;('الف-ب-ج'!$M$9+ROW()-ROW($A$6)))),"")</f>
        <v>0</v>
      </c>
      <c r="D15" s="246"/>
      <c r="E15" s="536" t="str">
        <f t="shared" si="0"/>
        <v>-</v>
      </c>
      <c r="F15" s="2201" t="str">
        <f t="shared" ca="1" si="1"/>
        <v>-</v>
      </c>
      <c r="G15" s="498">
        <f t="shared" ca="1" si="4"/>
        <v>500</v>
      </c>
      <c r="I15" s="1360" t="str">
        <f t="shared" ca="1" si="2"/>
        <v>-</v>
      </c>
      <c r="J15" s="208"/>
      <c r="K15" s="208"/>
      <c r="L15" s="1423">
        <f t="shared" ca="1" si="3"/>
        <v>0</v>
      </c>
      <c r="M15" s="208" t="e">
        <f t="shared" ca="1" si="5"/>
        <v>#DIV/0!</v>
      </c>
      <c r="N15" s="208" t="e">
        <f t="shared" ca="1" si="6"/>
        <v>#DIV/0!</v>
      </c>
    </row>
    <row r="16" spans="1:15" ht="20.100000000000001" customHeight="1">
      <c r="A16" s="496">
        <f ca="1">IF(ROW()-ROW($A$6)&lt;'الف-ب-ج'!$L$9,INDIRECT("BudgetDB!EX"&amp;('الف-ب-ج'!$M$9+ROW()-ROW($A$6))),"")</f>
        <v>0</v>
      </c>
      <c r="B16" s="170"/>
      <c r="C16" s="1432" cm="1">
        <f t="array" aca="1" ref="C16" ca="1">IF(ROW()-ROW($A$6)&lt;'الف-ب-ج'!$L$9,IF(روکش!$F$9="سه ماهه",INDIRECT("BudgetDB!EY"&amp;('الف-ب-ج'!$M$9+ROW()-ROW($A$6))),INDIRECT("BudgetDB!EZ"&amp;('الف-ب-ج'!$M$9+ROW()-ROW($A$6)))),"")</f>
        <v>0</v>
      </c>
      <c r="D16" s="246"/>
      <c r="E16" s="536" t="str">
        <f t="shared" si="0"/>
        <v>-</v>
      </c>
      <c r="F16" s="2201" t="str">
        <f t="shared" ca="1" si="1"/>
        <v>-</v>
      </c>
      <c r="G16" s="498">
        <f t="shared" ca="1" si="4"/>
        <v>500</v>
      </c>
      <c r="I16" s="1360" t="str">
        <f t="shared" ref="I16:I19" ca="1" si="7">IF(AND(C16=0,D16&gt;0),100,IFERROR(ABS(F16-100),"-"))</f>
        <v>-</v>
      </c>
      <c r="J16" s="208"/>
      <c r="K16" s="208"/>
      <c r="L16" s="1423">
        <f t="shared" ref="L16:L19" ca="1" si="8">B16+C16+D16</f>
        <v>0</v>
      </c>
      <c r="M16" s="208" t="e">
        <f t="shared" ca="1" si="5"/>
        <v>#DIV/0!</v>
      </c>
      <c r="N16" s="208" t="e">
        <f t="shared" ca="1" si="6"/>
        <v>#DIV/0!</v>
      </c>
    </row>
    <row r="17" spans="1:14" ht="20.100000000000001" customHeight="1">
      <c r="A17" s="496">
        <f ca="1">IF(ROW()-ROW($A$6)&lt;'الف-ب-ج'!$L$9,INDIRECT("BudgetDB!EX"&amp;('الف-ب-ج'!$M$9+ROW()-ROW($A$6))),"")</f>
        <v>0</v>
      </c>
      <c r="B17" s="170"/>
      <c r="C17" s="1432" cm="1">
        <f t="array" aca="1" ref="C17" ca="1">IF(ROW()-ROW($A$6)&lt;'الف-ب-ج'!$L$9,IF(روکش!$F$9="سه ماهه",INDIRECT("BudgetDB!EY"&amp;('الف-ب-ج'!$M$9+ROW()-ROW($A$6))),INDIRECT("BudgetDB!EZ"&amp;('الف-ب-ج'!$M$9+ROW()-ROW($A$6)))),"")</f>
        <v>0</v>
      </c>
      <c r="D17" s="246"/>
      <c r="E17" s="536" t="str">
        <f t="shared" si="0"/>
        <v>-</v>
      </c>
      <c r="F17" s="2201" t="str">
        <f t="shared" ca="1" si="1"/>
        <v>-</v>
      </c>
      <c r="G17" s="498">
        <f t="shared" ca="1" si="4"/>
        <v>500</v>
      </c>
      <c r="I17" s="1360" t="str">
        <f t="shared" ca="1" si="7"/>
        <v>-</v>
      </c>
      <c r="J17" s="208"/>
      <c r="K17" s="208"/>
      <c r="L17" s="1423">
        <f t="shared" ca="1" si="8"/>
        <v>0</v>
      </c>
      <c r="M17" s="208" t="e">
        <f t="shared" ca="1" si="5"/>
        <v>#DIV/0!</v>
      </c>
      <c r="N17" s="208" t="e">
        <f ca="1">AND(COUNTIF($A17,"*سایر*")=1,$D17/$D$20&gt;0.2)</f>
        <v>#DIV/0!</v>
      </c>
    </row>
    <row r="18" spans="1:14" ht="20.100000000000001" customHeight="1">
      <c r="A18" s="496">
        <f ca="1">IF(ROW()-ROW($A$6)&lt;'الف-ب-ج'!$L$9,INDIRECT("BudgetDB!EX"&amp;('الف-ب-ج'!$M$9+ROW()-ROW($A$6))),"")</f>
        <v>0</v>
      </c>
      <c r="B18" s="170"/>
      <c r="C18" s="1432" cm="1">
        <f t="array" aca="1" ref="C18" ca="1">IF(ROW()-ROW($A$6)&lt;'الف-ب-ج'!$L$9,IF(روکش!$F$9="سه ماهه",INDIRECT("BudgetDB!EY"&amp;('الف-ب-ج'!$M$9+ROW()-ROW($A$6))),INDIRECT("BudgetDB!EZ"&amp;('الف-ب-ج'!$M$9+ROW()-ROW($A$6)))),"")</f>
        <v>0</v>
      </c>
      <c r="D18" s="246"/>
      <c r="E18" s="536" t="str">
        <f t="shared" si="0"/>
        <v>-</v>
      </c>
      <c r="F18" s="2201" t="str">
        <f t="shared" ca="1" si="1"/>
        <v>-</v>
      </c>
      <c r="G18" s="498">
        <f t="shared" ca="1" si="4"/>
        <v>500</v>
      </c>
      <c r="I18" s="1360" t="str">
        <f t="shared" ca="1" si="7"/>
        <v>-</v>
      </c>
      <c r="J18" s="208"/>
      <c r="K18" s="208"/>
      <c r="L18" s="1423">
        <f t="shared" ca="1" si="8"/>
        <v>0</v>
      </c>
      <c r="M18" s="208" t="e">
        <f t="shared" ca="1" si="5"/>
        <v>#DIV/0!</v>
      </c>
      <c r="N18" s="208" t="e">
        <f t="shared" ca="1" si="6"/>
        <v>#DIV/0!</v>
      </c>
    </row>
    <row r="19" spans="1:14" ht="20.100000000000001" customHeight="1" thickBot="1">
      <c r="A19" s="496">
        <f ca="1">IF(ROW()-ROW($A$6)&lt;'الف-ب-ج'!$L$9,INDIRECT("BudgetDB!EX"&amp;('الف-ب-ج'!$M$9+ROW()-ROW($A$6))),"")</f>
        <v>0</v>
      </c>
      <c r="B19" s="170"/>
      <c r="C19" s="1432" cm="1">
        <f t="array" aca="1" ref="C19" ca="1">IF(ROW()-ROW($A$6)&lt;'الف-ب-ج'!$L$9,IF(روکش!$F$9="سه ماهه",INDIRECT("BudgetDB!EY"&amp;('الف-ب-ج'!$M$9+ROW()-ROW($A$6))),INDIRECT("BudgetDB!EZ"&amp;('الف-ب-ج'!$M$9+ROW()-ROW($A$6)))),"")</f>
        <v>0</v>
      </c>
      <c r="D19" s="246"/>
      <c r="E19" s="536" t="str">
        <f t="shared" si="0"/>
        <v>-</v>
      </c>
      <c r="F19" s="2201" t="str">
        <f t="shared" ca="1" si="1"/>
        <v>-</v>
      </c>
      <c r="G19" s="498">
        <f t="shared" ca="1" si="4"/>
        <v>500</v>
      </c>
      <c r="I19" s="1360" t="str">
        <f t="shared" ca="1" si="7"/>
        <v>-</v>
      </c>
      <c r="J19" s="208"/>
      <c r="K19" s="208"/>
      <c r="L19" s="1423">
        <f t="shared" ca="1" si="8"/>
        <v>0</v>
      </c>
      <c r="M19" s="208" t="e">
        <f t="shared" ca="1" si="5"/>
        <v>#DIV/0!</v>
      </c>
      <c r="N19" s="208" t="e">
        <f t="shared" ca="1" si="6"/>
        <v>#DIV/0!</v>
      </c>
    </row>
    <row r="20" spans="1:14" ht="21.75" thickBot="1">
      <c r="A20" s="492" t="s">
        <v>437</v>
      </c>
      <c r="B20" s="1430">
        <f>SUM(B6:B19)</f>
        <v>0</v>
      </c>
      <c r="C20" s="1430">
        <f ca="1">SUM(C6:C19)</f>
        <v>0</v>
      </c>
      <c r="D20" s="494">
        <f>SUM(D6:D19)</f>
        <v>0</v>
      </c>
      <c r="E20" s="537" t="str">
        <f t="shared" si="0"/>
        <v>-</v>
      </c>
      <c r="F20" s="2204" t="str">
        <f t="shared" ca="1" si="1"/>
        <v>-</v>
      </c>
      <c r="G20" s="2205">
        <f t="shared" ca="1" si="4"/>
        <v>500</v>
      </c>
      <c r="I20" s="1360" t="s">
        <v>206</v>
      </c>
      <c r="J20" s="208"/>
      <c r="K20" s="208"/>
      <c r="L20" s="1423" t="s">
        <v>206</v>
      </c>
      <c r="M20" s="208" t="e">
        <f t="shared" si="5"/>
        <v>#DIV/0!</v>
      </c>
      <c r="N20" s="208" t="e">
        <f t="shared" si="6"/>
        <v>#DIV/0!</v>
      </c>
    </row>
    <row r="21" spans="1:14" ht="20.100000000000001" customHeight="1">
      <c r="A21" s="1424">
        <f ca="1">IF(ROW()-ROW($A$21)&lt;'الف-ب-ج'!$L$9,INDIRECT("BudgetDB!FA"&amp;('الف-ب-ج'!$M$9+ROW()-ROW($A$21))),"")</f>
        <v>0</v>
      </c>
      <c r="B21" s="1118"/>
      <c r="C21" s="1426" cm="1">
        <f t="array" aca="1" ref="C21" ca="1">IF(ROW()-ROW($A$21)&lt;'الف-ب-ج'!$L$9,IF(روکش!$F$9="سه ماهه",INDIRECT("BudgetDB!FB"&amp;('الف-ب-ج'!$M$9+ROW()-ROW($A$21))),INDIRECT("BudgetDB!FC"&amp;('الف-ب-ج'!$M$9+ROW()-ROW($A$21)))),"")</f>
        <v>0</v>
      </c>
      <c r="D21" s="246"/>
      <c r="E21" s="536" t="str">
        <f t="shared" si="0"/>
        <v>-</v>
      </c>
      <c r="F21" s="2201" t="str">
        <f t="shared" ca="1" si="1"/>
        <v>-</v>
      </c>
      <c r="G21" s="498">
        <f t="shared" ca="1" si="4"/>
        <v>500</v>
      </c>
      <c r="I21" s="1360" t="str">
        <f t="shared" ref="I21:I29" ca="1" si="9">IF(AND(C21=0,D21&gt;0),100,IFERROR(ABS(F21-100),"-"))</f>
        <v>-</v>
      </c>
      <c r="J21" s="208"/>
      <c r="K21" s="208"/>
      <c r="L21" s="1423">
        <f t="shared" ref="L21:L29" ca="1" si="10">B21+C21+D21</f>
        <v>0</v>
      </c>
      <c r="M21" s="208" t="e">
        <f ca="1">AND(COUNTIF($A21,"*سایر*")=1,$B21/$B$41&gt;0.2)</f>
        <v>#DIV/0!</v>
      </c>
      <c r="N21" s="208" t="e">
        <f ca="1">AND(COUNTIF($A21,"*سایر*")=1,$D21/$D$41&gt;0.2)</f>
        <v>#DIV/0!</v>
      </c>
    </row>
    <row r="22" spans="1:14" ht="20.100000000000001" customHeight="1">
      <c r="A22" s="1511">
        <f ca="1">IF(ROW()-ROW($A$21)&lt;'الف-ب-ج'!$L$9,INDIRECT("BudgetDB!FA"&amp;('الف-ب-ج'!$M$9+ROW()-ROW($A$21))),"")</f>
        <v>0</v>
      </c>
      <c r="B22" s="170"/>
      <c r="C22" s="1432" cm="1">
        <f t="array" aca="1" ref="C22" ca="1">IF(ROW()-ROW($A$21)&lt;'الف-ب-ج'!$L$9,IF(روکش!$F$9="سه ماهه",INDIRECT("BudgetDB!FB"&amp;('الف-ب-ج'!$M$9+ROW()-ROW($A$21))),INDIRECT("BudgetDB!FC"&amp;('الف-ب-ج'!$M$9+ROW()-ROW($A$21)))),"")</f>
        <v>0</v>
      </c>
      <c r="D22" s="246"/>
      <c r="E22" s="536" t="str">
        <f t="shared" si="0"/>
        <v>-</v>
      </c>
      <c r="F22" s="2201" t="str">
        <f t="shared" ca="1" si="1"/>
        <v>-</v>
      </c>
      <c r="G22" s="498">
        <f t="shared" ca="1" si="4"/>
        <v>500</v>
      </c>
      <c r="I22" s="1360" t="str">
        <f t="shared" ca="1" si="9"/>
        <v>-</v>
      </c>
      <c r="J22" s="208"/>
      <c r="K22" s="208"/>
      <c r="L22" s="1423">
        <f t="shared" ca="1" si="10"/>
        <v>0</v>
      </c>
      <c r="M22" s="208" t="e">
        <f t="shared" ref="M22:M40" ca="1" si="11">AND(COUNTIF($A22,"*سایر*")=1,$B22/$B$41&gt;0.2)</f>
        <v>#DIV/0!</v>
      </c>
      <c r="N22" s="208" t="e">
        <f t="shared" ref="N22:N39" ca="1" si="12">AND(COUNTIF($A22,"*سایر*")=1,$D22/$D$41&gt;0.2)</f>
        <v>#DIV/0!</v>
      </c>
    </row>
    <row r="23" spans="1:14" ht="20.100000000000001" customHeight="1">
      <c r="A23" s="1511">
        <f ca="1">IF(ROW()-ROW($A$21)&lt;'الف-ب-ج'!$L$9,INDIRECT("BudgetDB!FA"&amp;('الف-ب-ج'!$M$9+ROW()-ROW($A$21))),"")</f>
        <v>0</v>
      </c>
      <c r="B23" s="170"/>
      <c r="C23" s="1432" cm="1">
        <f t="array" aca="1" ref="C23" ca="1">IF(ROW()-ROW($A$21)&lt;'الف-ب-ج'!$L$9,IF(روکش!$F$9="سه ماهه",INDIRECT("BudgetDB!FB"&amp;('الف-ب-ج'!$M$9+ROW()-ROW($A$21))),INDIRECT("BudgetDB!FC"&amp;('الف-ب-ج'!$M$9+ROW()-ROW($A$21)))),"")</f>
        <v>0</v>
      </c>
      <c r="D23" s="246"/>
      <c r="E23" s="536" t="str">
        <f t="shared" si="0"/>
        <v>-</v>
      </c>
      <c r="F23" s="2201" t="str">
        <f t="shared" ca="1" si="1"/>
        <v>-</v>
      </c>
      <c r="G23" s="498">
        <f t="shared" ca="1" si="4"/>
        <v>500</v>
      </c>
      <c r="I23" s="1360" t="str">
        <f t="shared" ca="1" si="9"/>
        <v>-</v>
      </c>
      <c r="J23" s="208"/>
      <c r="K23" s="208"/>
      <c r="L23" s="1423">
        <f t="shared" ca="1" si="10"/>
        <v>0</v>
      </c>
      <c r="M23" s="208" t="e">
        <f t="shared" ca="1" si="11"/>
        <v>#DIV/0!</v>
      </c>
      <c r="N23" s="208" t="e">
        <f t="shared" ca="1" si="12"/>
        <v>#DIV/0!</v>
      </c>
    </row>
    <row r="24" spans="1:14" ht="20.100000000000001" customHeight="1">
      <c r="A24" s="1511">
        <f ca="1">IF(ROW()-ROW($A$21)&lt;'الف-ب-ج'!$L$9,INDIRECT("BudgetDB!FA"&amp;('الف-ب-ج'!$M$9+ROW()-ROW($A$21))),"")</f>
        <v>0</v>
      </c>
      <c r="B24" s="170"/>
      <c r="C24" s="1432" cm="1">
        <f t="array" aca="1" ref="C24" ca="1">IF(ROW()-ROW($A$21)&lt;'الف-ب-ج'!$L$9,IF(روکش!$F$9="سه ماهه",INDIRECT("BudgetDB!FB"&amp;('الف-ب-ج'!$M$9+ROW()-ROW($A$21))),INDIRECT("BudgetDB!FC"&amp;('الف-ب-ج'!$M$9+ROW()-ROW($A$21)))),"")</f>
        <v>0</v>
      </c>
      <c r="D24" s="246"/>
      <c r="E24" s="536" t="str">
        <f t="shared" si="0"/>
        <v>-</v>
      </c>
      <c r="F24" s="2201" t="str">
        <f t="shared" ca="1" si="1"/>
        <v>-</v>
      </c>
      <c r="G24" s="498">
        <f t="shared" ca="1" si="4"/>
        <v>500</v>
      </c>
      <c r="I24" s="1360" t="str">
        <f t="shared" ca="1" si="9"/>
        <v>-</v>
      </c>
      <c r="J24" s="208"/>
      <c r="K24" s="208"/>
      <c r="L24" s="1423">
        <f t="shared" ca="1" si="10"/>
        <v>0</v>
      </c>
      <c r="M24" s="208" t="e">
        <f t="shared" ca="1" si="11"/>
        <v>#DIV/0!</v>
      </c>
      <c r="N24" s="208" t="e">
        <f t="shared" ca="1" si="12"/>
        <v>#DIV/0!</v>
      </c>
    </row>
    <row r="25" spans="1:14" ht="20.100000000000001" customHeight="1">
      <c r="A25" s="1511">
        <f ca="1">IF(ROW()-ROW($A$21)&lt;'الف-ب-ج'!$L$9,INDIRECT("BudgetDB!FA"&amp;('الف-ب-ج'!$M$9+ROW()-ROW($A$21))),"")</f>
        <v>0</v>
      </c>
      <c r="B25" s="170"/>
      <c r="C25" s="1432" cm="1">
        <f t="array" aca="1" ref="C25" ca="1">IF(ROW()-ROW($A$21)&lt;'الف-ب-ج'!$L$9,IF(روکش!$F$9="سه ماهه",INDIRECT("BudgetDB!FB"&amp;('الف-ب-ج'!$M$9+ROW()-ROW($A$21))),INDIRECT("BudgetDB!FC"&amp;('الف-ب-ج'!$M$9+ROW()-ROW($A$21)))),"")</f>
        <v>0</v>
      </c>
      <c r="D25" s="246"/>
      <c r="E25" s="536" t="str">
        <f t="shared" si="0"/>
        <v>-</v>
      </c>
      <c r="F25" s="2201" t="str">
        <f t="shared" ca="1" si="1"/>
        <v>-</v>
      </c>
      <c r="G25" s="498">
        <f t="shared" ca="1" si="4"/>
        <v>500</v>
      </c>
      <c r="I25" s="1360" t="str">
        <f t="shared" ca="1" si="9"/>
        <v>-</v>
      </c>
      <c r="J25" s="208"/>
      <c r="K25" s="208"/>
      <c r="L25" s="1423">
        <f t="shared" ca="1" si="10"/>
        <v>0</v>
      </c>
      <c r="M25" s="208" t="e">
        <f t="shared" ca="1" si="11"/>
        <v>#DIV/0!</v>
      </c>
      <c r="N25" s="208" t="e">
        <f t="shared" ca="1" si="12"/>
        <v>#DIV/0!</v>
      </c>
    </row>
    <row r="26" spans="1:14" ht="20.100000000000001" customHeight="1">
      <c r="A26" s="1511">
        <f ca="1">IF(ROW()-ROW($A$21)&lt;'الف-ب-ج'!$L$9,INDIRECT("BudgetDB!FA"&amp;('الف-ب-ج'!$M$9+ROW()-ROW($A$21))),"")</f>
        <v>0</v>
      </c>
      <c r="B26" s="170"/>
      <c r="C26" s="1432" cm="1">
        <f t="array" aca="1" ref="C26" ca="1">IF(ROW()-ROW($A$21)&lt;'الف-ب-ج'!$L$9,IF(روکش!$F$9="سه ماهه",INDIRECT("BudgetDB!FB"&amp;('الف-ب-ج'!$M$9+ROW()-ROW($A$21))),INDIRECT("BudgetDB!FC"&amp;('الف-ب-ج'!$M$9+ROW()-ROW($A$21)))),"")</f>
        <v>0</v>
      </c>
      <c r="D26" s="246"/>
      <c r="E26" s="536" t="str">
        <f t="shared" si="0"/>
        <v>-</v>
      </c>
      <c r="F26" s="2201" t="str">
        <f t="shared" ca="1" si="1"/>
        <v>-</v>
      </c>
      <c r="G26" s="498">
        <f t="shared" ca="1" si="4"/>
        <v>500</v>
      </c>
      <c r="I26" s="1360" t="str">
        <f t="shared" ca="1" si="9"/>
        <v>-</v>
      </c>
      <c r="J26" s="208"/>
      <c r="K26" s="208"/>
      <c r="L26" s="1423">
        <f t="shared" ca="1" si="10"/>
        <v>0</v>
      </c>
      <c r="M26" s="208" t="e">
        <f t="shared" ca="1" si="11"/>
        <v>#DIV/0!</v>
      </c>
      <c r="N26" s="208" t="e">
        <f t="shared" ca="1" si="12"/>
        <v>#DIV/0!</v>
      </c>
    </row>
    <row r="27" spans="1:14" ht="20.100000000000001" customHeight="1">
      <c r="A27" s="1511">
        <f ca="1">IF(ROW()-ROW($A$21)&lt;'الف-ب-ج'!$L$9,INDIRECT("BudgetDB!FA"&amp;('الف-ب-ج'!$M$9+ROW()-ROW($A$21))),"")</f>
        <v>0</v>
      </c>
      <c r="B27" s="170"/>
      <c r="C27" s="1432" cm="1">
        <f t="array" aca="1" ref="C27" ca="1">IF(ROW()-ROW($A$21)&lt;'الف-ب-ج'!$L$9,IF(روکش!$F$9="سه ماهه",INDIRECT("BudgetDB!FB"&amp;('الف-ب-ج'!$M$9+ROW()-ROW($A$21))),INDIRECT("BudgetDB!FC"&amp;('الف-ب-ج'!$M$9+ROW()-ROW($A$21)))),"")</f>
        <v>0</v>
      </c>
      <c r="D27" s="246"/>
      <c r="E27" s="536" t="str">
        <f t="shared" si="0"/>
        <v>-</v>
      </c>
      <c r="F27" s="2201" t="str">
        <f t="shared" ca="1" si="1"/>
        <v>-</v>
      </c>
      <c r="G27" s="498">
        <f t="shared" ca="1" si="4"/>
        <v>500</v>
      </c>
      <c r="I27" s="1360" t="str">
        <f t="shared" ca="1" si="9"/>
        <v>-</v>
      </c>
      <c r="J27" s="208"/>
      <c r="K27" s="208"/>
      <c r="L27" s="1423">
        <f t="shared" ca="1" si="10"/>
        <v>0</v>
      </c>
      <c r="M27" s="208" t="e">
        <f t="shared" ca="1" si="11"/>
        <v>#DIV/0!</v>
      </c>
      <c r="N27" s="208" t="e">
        <f t="shared" ca="1" si="12"/>
        <v>#DIV/0!</v>
      </c>
    </row>
    <row r="28" spans="1:14" ht="20.100000000000001" customHeight="1">
      <c r="A28" s="1511">
        <f ca="1">IF(ROW()-ROW($A$21)&lt;'الف-ب-ج'!$L$9,INDIRECT("BudgetDB!FA"&amp;('الف-ب-ج'!$M$9+ROW()-ROW($A$21))),"")</f>
        <v>0</v>
      </c>
      <c r="B28" s="170"/>
      <c r="C28" s="1432" cm="1">
        <f t="array" aca="1" ref="C28" ca="1">IF(ROW()-ROW($A$21)&lt;'الف-ب-ج'!$L$9,IF(روکش!$F$9="سه ماهه",INDIRECT("BudgetDB!FB"&amp;('الف-ب-ج'!$M$9+ROW()-ROW($A$21))),INDIRECT("BudgetDB!FC"&amp;('الف-ب-ج'!$M$9+ROW()-ROW($A$21)))),"")</f>
        <v>0</v>
      </c>
      <c r="D28" s="246"/>
      <c r="E28" s="536" t="str">
        <f t="shared" si="0"/>
        <v>-</v>
      </c>
      <c r="F28" s="2201" t="str">
        <f t="shared" ca="1" si="1"/>
        <v>-</v>
      </c>
      <c r="G28" s="498">
        <f t="shared" ca="1" si="4"/>
        <v>500</v>
      </c>
      <c r="I28" s="1360" t="str">
        <f t="shared" ca="1" si="9"/>
        <v>-</v>
      </c>
      <c r="J28" s="208"/>
      <c r="K28" s="208"/>
      <c r="L28" s="1423">
        <f t="shared" ca="1" si="10"/>
        <v>0</v>
      </c>
      <c r="M28" s="208" t="e">
        <f t="shared" ca="1" si="11"/>
        <v>#DIV/0!</v>
      </c>
      <c r="N28" s="208" t="e">
        <f t="shared" ca="1" si="12"/>
        <v>#DIV/0!</v>
      </c>
    </row>
    <row r="29" spans="1:14" ht="20.100000000000001" customHeight="1">
      <c r="A29" s="1511">
        <f ca="1">IF(ROW()-ROW($A$21)&lt;'الف-ب-ج'!$L$9,INDIRECT("BudgetDB!FA"&amp;('الف-ب-ج'!$M$9+ROW()-ROW($A$21))),"")</f>
        <v>0</v>
      </c>
      <c r="B29" s="170"/>
      <c r="C29" s="1432" cm="1">
        <f t="array" aca="1" ref="C29" ca="1">IF(ROW()-ROW($A$21)&lt;'الف-ب-ج'!$L$9,IF(روکش!$F$9="سه ماهه",INDIRECT("BudgetDB!FB"&amp;('الف-ب-ج'!$M$9+ROW()-ROW($A$21))),INDIRECT("BudgetDB!FC"&amp;('الف-ب-ج'!$M$9+ROW()-ROW($A$21)))),"")</f>
        <v>0</v>
      </c>
      <c r="D29" s="246"/>
      <c r="E29" s="536" t="str">
        <f t="shared" si="0"/>
        <v>-</v>
      </c>
      <c r="F29" s="2201" t="str">
        <f t="shared" ca="1" si="1"/>
        <v>-</v>
      </c>
      <c r="G29" s="498">
        <f t="shared" ca="1" si="4"/>
        <v>500</v>
      </c>
      <c r="I29" s="1360" t="str">
        <f t="shared" ca="1" si="9"/>
        <v>-</v>
      </c>
      <c r="J29" s="208"/>
      <c r="K29" s="208"/>
      <c r="L29" s="1423">
        <f t="shared" ca="1" si="10"/>
        <v>0</v>
      </c>
      <c r="M29" s="208" t="e">
        <f t="shared" ca="1" si="11"/>
        <v>#DIV/0!</v>
      </c>
      <c r="N29" s="208" t="e">
        <f t="shared" ca="1" si="12"/>
        <v>#DIV/0!</v>
      </c>
    </row>
    <row r="30" spans="1:14" ht="20.100000000000001" customHeight="1">
      <c r="A30" s="1511">
        <f ca="1">IF(ROW()-ROW($A$21)&lt;'الف-ب-ج'!$L$9,INDIRECT("BudgetDB!FA"&amp;('الف-ب-ج'!$M$9+ROW()-ROW($A$21))),"")</f>
        <v>0</v>
      </c>
      <c r="B30" s="170"/>
      <c r="C30" s="1432" cm="1">
        <f t="array" aca="1" ref="C30" ca="1">IF(ROW()-ROW($A$21)&lt;'الف-ب-ج'!$L$9,IF(روکش!$F$9="سه ماهه",INDIRECT("BudgetDB!FB"&amp;('الف-ب-ج'!$M$9+ROW()-ROW($A$21))),INDIRECT("BudgetDB!FC"&amp;('الف-ب-ج'!$M$9+ROW()-ROW($A$21)))),"")</f>
        <v>0</v>
      </c>
      <c r="D30" s="246"/>
      <c r="E30" s="536" t="str">
        <f t="shared" si="0"/>
        <v>-</v>
      </c>
      <c r="F30" s="2201" t="str">
        <f t="shared" ca="1" si="1"/>
        <v>-</v>
      </c>
      <c r="G30" s="498">
        <f t="shared" ca="1" si="4"/>
        <v>500</v>
      </c>
      <c r="I30" s="1360" t="str">
        <f t="shared" ref="I30:I40" ca="1" si="13">IF(AND(C30=0,D30&gt;0),100,IFERROR(ABS(F30-100),"-"))</f>
        <v>-</v>
      </c>
      <c r="J30" s="208"/>
      <c r="K30" s="208"/>
      <c r="L30" s="1423">
        <f t="shared" ref="L30:L40" ca="1" si="14">B30+C30+D30</f>
        <v>0</v>
      </c>
      <c r="M30" s="208" t="e">
        <f t="shared" ca="1" si="11"/>
        <v>#DIV/0!</v>
      </c>
      <c r="N30" s="208" t="e">
        <f t="shared" ca="1" si="12"/>
        <v>#DIV/0!</v>
      </c>
    </row>
    <row r="31" spans="1:14" ht="20.100000000000001" customHeight="1">
      <c r="A31" s="963">
        <f ca="1">IF(ROW()-ROW($A$21)&lt;'الف-ب-ج'!$L$9,INDIRECT("BudgetDB!FA"&amp;('الف-ب-ج'!$M$9+ROW()-ROW($A$21))),"")</f>
        <v>0</v>
      </c>
      <c r="B31" s="170"/>
      <c r="C31" s="1432" cm="1">
        <f t="array" aca="1" ref="C31" ca="1">IF(ROW()-ROW($A$21)&lt;'الف-ب-ج'!$L$9,IF(روکش!$F$9="سه ماهه",INDIRECT("BudgetDB!FB"&amp;('الف-ب-ج'!$M$9+ROW()-ROW($A$21))),INDIRECT("BudgetDB!FC"&amp;('الف-ب-ج'!$M$9+ROW()-ROW($A$21)))),"")</f>
        <v>0</v>
      </c>
      <c r="D31" s="246"/>
      <c r="E31" s="536" t="str">
        <f t="shared" si="0"/>
        <v>-</v>
      </c>
      <c r="F31" s="2201" t="str">
        <f t="shared" ca="1" si="1"/>
        <v>-</v>
      </c>
      <c r="G31" s="498">
        <f t="shared" ca="1" si="4"/>
        <v>500</v>
      </c>
      <c r="I31" s="1360" t="str">
        <f t="shared" ca="1" si="13"/>
        <v>-</v>
      </c>
      <c r="J31" s="208"/>
      <c r="K31" s="208"/>
      <c r="L31" s="1423">
        <f t="shared" ca="1" si="14"/>
        <v>0</v>
      </c>
      <c r="M31" s="208" t="e">
        <f t="shared" ca="1" si="11"/>
        <v>#DIV/0!</v>
      </c>
      <c r="N31" s="208" t="e">
        <f t="shared" ca="1" si="12"/>
        <v>#DIV/0!</v>
      </c>
    </row>
    <row r="32" spans="1:14" ht="20.100000000000001" customHeight="1">
      <c r="A32" s="963">
        <f ca="1">IF(ROW()-ROW($A$21)&lt;'الف-ب-ج'!$L$9,INDIRECT("BudgetDB!FA"&amp;('الف-ب-ج'!$M$9+ROW()-ROW($A$21))),"")</f>
        <v>0</v>
      </c>
      <c r="B32" s="170"/>
      <c r="C32" s="1432" cm="1">
        <f t="array" aca="1" ref="C32" ca="1">IF(ROW()-ROW($A$21)&lt;'الف-ب-ج'!$L$9,IF(روکش!$F$9="سه ماهه",INDIRECT("BudgetDB!FB"&amp;('الف-ب-ج'!$M$9+ROW()-ROW($A$21))),INDIRECT("BudgetDB!FC"&amp;('الف-ب-ج'!$M$9+ROW()-ROW($A$21)))),"")</f>
        <v>0</v>
      </c>
      <c r="D32" s="246"/>
      <c r="E32" s="536" t="str">
        <f t="shared" si="0"/>
        <v>-</v>
      </c>
      <c r="F32" s="2201" t="str">
        <f t="shared" ca="1" si="1"/>
        <v>-</v>
      </c>
      <c r="G32" s="498">
        <f t="shared" ca="1" si="4"/>
        <v>500</v>
      </c>
      <c r="I32" s="1360" t="str">
        <f t="shared" ca="1" si="13"/>
        <v>-</v>
      </c>
      <c r="J32" s="208"/>
      <c r="K32" s="208"/>
      <c r="L32" s="1423">
        <f t="shared" ca="1" si="14"/>
        <v>0</v>
      </c>
      <c r="M32" s="208" t="e">
        <f t="shared" ca="1" si="11"/>
        <v>#DIV/0!</v>
      </c>
      <c r="N32" s="208" t="e">
        <f t="shared" ca="1" si="12"/>
        <v>#DIV/0!</v>
      </c>
    </row>
    <row r="33" spans="1:14" ht="20.100000000000001" customHeight="1">
      <c r="A33" s="963">
        <f ca="1">IF(ROW()-ROW($A$21)&lt;'الف-ب-ج'!$L$9,INDIRECT("BudgetDB!FA"&amp;('الف-ب-ج'!$M$9+ROW()-ROW($A$21))),"")</f>
        <v>0</v>
      </c>
      <c r="B33" s="170"/>
      <c r="C33" s="1432" cm="1">
        <f t="array" aca="1" ref="C33" ca="1">IF(ROW()-ROW($A$21)&lt;'الف-ب-ج'!$L$9,IF(روکش!$F$9="سه ماهه",INDIRECT("BudgetDB!FB"&amp;('الف-ب-ج'!$M$9+ROW()-ROW($A$21))),INDIRECT("BudgetDB!FC"&amp;('الف-ب-ج'!$M$9+ROW()-ROW($A$21)))),"")</f>
        <v>0</v>
      </c>
      <c r="D33" s="246"/>
      <c r="E33" s="536" t="str">
        <f>IFERROR((D33-B33)*100/B33,"-")</f>
        <v>-</v>
      </c>
      <c r="F33" s="2201" t="str">
        <f ca="1">IFERROR(D33*100/C33,"-")</f>
        <v>-</v>
      </c>
      <c r="G33" s="498">
        <f t="shared" ca="1" si="4"/>
        <v>500</v>
      </c>
      <c r="I33" s="1360" t="str">
        <f t="shared" ca="1" si="13"/>
        <v>-</v>
      </c>
      <c r="J33" s="208"/>
      <c r="K33" s="208"/>
      <c r="L33" s="1423">
        <f t="shared" ca="1" si="14"/>
        <v>0</v>
      </c>
      <c r="M33" s="208" t="e">
        <f t="shared" ca="1" si="11"/>
        <v>#DIV/0!</v>
      </c>
      <c r="N33" s="208" t="e">
        <f t="shared" ca="1" si="12"/>
        <v>#DIV/0!</v>
      </c>
    </row>
    <row r="34" spans="1:14" ht="20.100000000000001" customHeight="1">
      <c r="A34" s="963">
        <f ca="1">IF(ROW()-ROW($A$21)&lt;'الف-ب-ج'!$L$9,INDIRECT("BudgetDB!FA"&amp;('الف-ب-ج'!$M$9+ROW()-ROW($A$21))),"")</f>
        <v>0</v>
      </c>
      <c r="B34" s="170"/>
      <c r="C34" s="1432" cm="1">
        <f t="array" aca="1" ref="C34" ca="1">IF(ROW()-ROW($A$21)&lt;'الف-ب-ج'!$L$9,IF(روکش!$F$9="سه ماهه",INDIRECT("BudgetDB!FB"&amp;('الف-ب-ج'!$M$9+ROW()-ROW($A$21))),INDIRECT("BudgetDB!FC"&amp;('الف-ب-ج'!$M$9+ROW()-ROW($A$21)))),"")</f>
        <v>0</v>
      </c>
      <c r="D34" s="246"/>
      <c r="E34" s="536" t="str">
        <f>IFERROR((D34-B34)*100/B34,"-")</f>
        <v>-</v>
      </c>
      <c r="F34" s="2201" t="str">
        <f ca="1">IFERROR(D34*100/C34,"-")</f>
        <v>-</v>
      </c>
      <c r="G34" s="498">
        <f t="shared" ca="1" si="4"/>
        <v>500</v>
      </c>
      <c r="I34" s="1360" t="str">
        <f t="shared" ca="1" si="13"/>
        <v>-</v>
      </c>
      <c r="J34" s="208"/>
      <c r="K34" s="208"/>
      <c r="L34" s="1423">
        <f t="shared" ca="1" si="14"/>
        <v>0</v>
      </c>
      <c r="M34" s="208" t="e">
        <f t="shared" ca="1" si="11"/>
        <v>#DIV/0!</v>
      </c>
      <c r="N34" s="208" t="e">
        <f t="shared" ca="1" si="12"/>
        <v>#DIV/0!</v>
      </c>
    </row>
    <row r="35" spans="1:14" ht="20.100000000000001" customHeight="1">
      <c r="A35" s="963">
        <f ca="1">IF(ROW()-ROW($A$21)&lt;'الف-ب-ج'!$L$9,INDIRECT("BudgetDB!FA"&amp;('الف-ب-ج'!$M$9+ROW()-ROW($A$21))),"")</f>
        <v>0</v>
      </c>
      <c r="B35" s="170"/>
      <c r="C35" s="1432" cm="1">
        <f t="array" aca="1" ref="C35" ca="1">IF(ROW()-ROW($A$21)&lt;'الف-ب-ج'!$L$9,IF(روکش!$F$9="سه ماهه",INDIRECT("BudgetDB!FB"&amp;('الف-ب-ج'!$M$9+ROW()-ROW($A$21))),INDIRECT("BudgetDB!FC"&amp;('الف-ب-ج'!$M$9+ROW()-ROW($A$21)))),"")</f>
        <v>0</v>
      </c>
      <c r="D35" s="246"/>
      <c r="E35" s="536" t="str">
        <f>IFERROR((D35-B35)*100/B35,"-")</f>
        <v>-</v>
      </c>
      <c r="F35" s="2201" t="str">
        <f ca="1">IFERROR(D35*100/C35,"-")</f>
        <v>-</v>
      </c>
      <c r="G35" s="498">
        <f t="shared" ca="1" si="4"/>
        <v>500</v>
      </c>
      <c r="I35" s="1360" t="str">
        <f t="shared" ca="1" si="13"/>
        <v>-</v>
      </c>
      <c r="J35" s="208"/>
      <c r="K35" s="208"/>
      <c r="L35" s="1423">
        <f t="shared" ca="1" si="14"/>
        <v>0</v>
      </c>
      <c r="M35" s="208" t="e">
        <f t="shared" ca="1" si="11"/>
        <v>#DIV/0!</v>
      </c>
      <c r="N35" s="208" t="e">
        <f t="shared" ca="1" si="12"/>
        <v>#DIV/0!</v>
      </c>
    </row>
    <row r="36" spans="1:14" ht="20.100000000000001" customHeight="1">
      <c r="A36" s="496">
        <f ca="1">IF(ROW()-ROW($A$21)&lt;'الف-ب-ج'!$L$9,INDIRECT("BudgetDB!FA"&amp;('الف-ب-ج'!$M$9+ROW()-ROW($A$21))),"")</f>
        <v>0</v>
      </c>
      <c r="B36" s="170"/>
      <c r="C36" s="1432" cm="1">
        <f t="array" aca="1" ref="C36" ca="1">IF(ROW()-ROW($A$21)&lt;'الف-ب-ج'!$L$9,IF(روکش!$F$9="سه ماهه",INDIRECT("BudgetDB!FB"&amp;('الف-ب-ج'!$M$9+ROW()-ROW($A$21))),INDIRECT("BudgetDB!FC"&amp;('الف-ب-ج'!$M$9+ROW()-ROW($A$21)))),"")</f>
        <v>0</v>
      </c>
      <c r="D36" s="246"/>
      <c r="E36" s="536" t="str">
        <f t="shared" ref="E36:E40" si="15">IFERROR((D36-B36)*100/B36,"-")</f>
        <v>-</v>
      </c>
      <c r="F36" s="2201" t="str">
        <f t="shared" ref="F36:F40" ca="1" si="16">IFERROR(D36*100/C36,"-")</f>
        <v>-</v>
      </c>
      <c r="G36" s="498">
        <f t="shared" ca="1" si="4"/>
        <v>500</v>
      </c>
      <c r="I36" s="1360" t="str">
        <f t="shared" ca="1" si="13"/>
        <v>-</v>
      </c>
      <c r="J36" s="208"/>
      <c r="K36" s="208"/>
      <c r="L36" s="1423">
        <f t="shared" ca="1" si="14"/>
        <v>0</v>
      </c>
      <c r="M36" s="208" t="e">
        <f t="shared" ca="1" si="11"/>
        <v>#DIV/0!</v>
      </c>
      <c r="N36" s="208" t="e">
        <f t="shared" ca="1" si="12"/>
        <v>#DIV/0!</v>
      </c>
    </row>
    <row r="37" spans="1:14" ht="20.100000000000001" customHeight="1">
      <c r="A37" s="496">
        <f ca="1">IF(ROW()-ROW($A$21)&lt;'الف-ب-ج'!$L$9,INDIRECT("BudgetDB!FA"&amp;('الف-ب-ج'!$M$9+ROW()-ROW($A$21))),"")</f>
        <v>0</v>
      </c>
      <c r="B37" s="170"/>
      <c r="C37" s="1432" cm="1">
        <f t="array" aca="1" ref="C37" ca="1">IF(ROW()-ROW($A$21)&lt;'الف-ب-ج'!$L$9,IF(روکش!$F$9="سه ماهه",INDIRECT("BudgetDB!FB"&amp;('الف-ب-ج'!$M$9+ROW()-ROW($A$21))),INDIRECT("BudgetDB!FC"&amp;('الف-ب-ج'!$M$9+ROW()-ROW($A$21)))),"")</f>
        <v>0</v>
      </c>
      <c r="D37" s="246"/>
      <c r="E37" s="536" t="str">
        <f t="shared" si="15"/>
        <v>-</v>
      </c>
      <c r="F37" s="2201" t="str">
        <f t="shared" ca="1" si="16"/>
        <v>-</v>
      </c>
      <c r="G37" s="498">
        <f t="shared" ca="1" si="4"/>
        <v>500</v>
      </c>
      <c r="I37" s="1360" t="str">
        <f t="shared" ca="1" si="13"/>
        <v>-</v>
      </c>
      <c r="J37" s="208"/>
      <c r="K37" s="208"/>
      <c r="L37" s="1423">
        <f t="shared" ca="1" si="14"/>
        <v>0</v>
      </c>
      <c r="M37" s="208" t="e">
        <f t="shared" ca="1" si="11"/>
        <v>#DIV/0!</v>
      </c>
      <c r="N37" s="208" t="e">
        <f t="shared" ca="1" si="12"/>
        <v>#DIV/0!</v>
      </c>
    </row>
    <row r="38" spans="1:14" ht="20.100000000000001" customHeight="1">
      <c r="A38" s="496">
        <f ca="1">IF(ROW()-ROW($A$21)&lt;'الف-ب-ج'!$L$9,INDIRECT("BudgetDB!FA"&amp;('الف-ب-ج'!$M$9+ROW()-ROW($A$21))),"")</f>
        <v>0</v>
      </c>
      <c r="B38" s="170"/>
      <c r="C38" s="1432" cm="1">
        <f t="array" aca="1" ref="C38" ca="1">IF(ROW()-ROW($A$21)&lt;'الف-ب-ج'!$L$9,IF(روکش!$F$9="سه ماهه",INDIRECT("BudgetDB!FB"&amp;('الف-ب-ج'!$M$9+ROW()-ROW($A$21))),INDIRECT("BudgetDB!FC"&amp;('الف-ب-ج'!$M$9+ROW()-ROW($A$21)))),"")</f>
        <v>0</v>
      </c>
      <c r="D38" s="246"/>
      <c r="E38" s="536" t="str">
        <f t="shared" si="15"/>
        <v>-</v>
      </c>
      <c r="F38" s="2201" t="str">
        <f t="shared" ca="1" si="16"/>
        <v>-</v>
      </c>
      <c r="G38" s="498">
        <f t="shared" ca="1" si="4"/>
        <v>500</v>
      </c>
      <c r="I38" s="1360" t="str">
        <f t="shared" ca="1" si="13"/>
        <v>-</v>
      </c>
      <c r="J38" s="208"/>
      <c r="K38" s="208"/>
      <c r="L38" s="1423">
        <f t="shared" ca="1" si="14"/>
        <v>0</v>
      </c>
      <c r="M38" s="208" t="e">
        <f t="shared" ca="1" si="11"/>
        <v>#DIV/0!</v>
      </c>
      <c r="N38" s="208" t="e">
        <f t="shared" ca="1" si="12"/>
        <v>#DIV/0!</v>
      </c>
    </row>
    <row r="39" spans="1:14" ht="20.100000000000001" customHeight="1">
      <c r="A39" s="496">
        <f ca="1">IF(ROW()-ROW($A$21)&lt;'الف-ب-ج'!$L$9,INDIRECT("BudgetDB!FA"&amp;('الف-ب-ج'!$M$9+ROW()-ROW($A$21))),"")</f>
        <v>0</v>
      </c>
      <c r="B39" s="170"/>
      <c r="C39" s="1432" cm="1">
        <f t="array" aca="1" ref="C39" ca="1">IF(ROW()-ROW($A$21)&lt;'الف-ب-ج'!$L$9,IF(روکش!$F$9="سه ماهه",INDIRECT("BudgetDB!FB"&amp;('الف-ب-ج'!$M$9+ROW()-ROW($A$21))),INDIRECT("BudgetDB!FC"&amp;('الف-ب-ج'!$M$9+ROW()-ROW($A$21)))),"")</f>
        <v>0</v>
      </c>
      <c r="D39" s="246"/>
      <c r="E39" s="536" t="str">
        <f t="shared" si="15"/>
        <v>-</v>
      </c>
      <c r="F39" s="2201" t="str">
        <f t="shared" ca="1" si="16"/>
        <v>-</v>
      </c>
      <c r="G39" s="498">
        <f t="shared" ca="1" si="4"/>
        <v>500</v>
      </c>
      <c r="I39" s="1360" t="str">
        <f t="shared" ca="1" si="13"/>
        <v>-</v>
      </c>
      <c r="J39" s="208"/>
      <c r="K39" s="208"/>
      <c r="L39" s="1423">
        <f t="shared" ca="1" si="14"/>
        <v>0</v>
      </c>
      <c r="M39" s="208" t="e">
        <f t="shared" ca="1" si="11"/>
        <v>#DIV/0!</v>
      </c>
      <c r="N39" s="208" t="e">
        <f t="shared" ca="1" si="12"/>
        <v>#DIV/0!</v>
      </c>
    </row>
    <row r="40" spans="1:14" ht="20.100000000000001" customHeight="1" thickBot="1">
      <c r="A40" s="496">
        <f ca="1">IF(ROW()-ROW($A$21)&lt;'الف-ب-ج'!$L$9,INDIRECT("BudgetDB!FA"&amp;('الف-ب-ج'!$M$9+ROW()-ROW($A$21))),"")</f>
        <v>0</v>
      </c>
      <c r="B40" s="170"/>
      <c r="C40" s="1432" cm="1">
        <f t="array" aca="1" ref="C40" ca="1">IF(ROW()-ROW($A$21)&lt;'الف-ب-ج'!$L$9,IF(روکش!$F$9="سه ماهه",INDIRECT("BudgetDB!FB"&amp;('الف-ب-ج'!$M$9+ROW()-ROW($A$21))),INDIRECT("BudgetDB!FC"&amp;('الف-ب-ج'!$M$9+ROW()-ROW($A$21)))),"")</f>
        <v>0</v>
      </c>
      <c r="D40" s="246"/>
      <c r="E40" s="536" t="str">
        <f t="shared" si="15"/>
        <v>-</v>
      </c>
      <c r="F40" s="2201" t="str">
        <f t="shared" ca="1" si="16"/>
        <v>-</v>
      </c>
      <c r="G40" s="498">
        <f t="shared" ca="1" si="4"/>
        <v>500</v>
      </c>
      <c r="I40" s="1360" t="str">
        <f t="shared" ca="1" si="13"/>
        <v>-</v>
      </c>
      <c r="J40" s="208"/>
      <c r="K40" s="208"/>
      <c r="L40" s="1423">
        <f t="shared" ca="1" si="14"/>
        <v>0</v>
      </c>
      <c r="M40" s="208" t="e">
        <f t="shared" ca="1" si="11"/>
        <v>#DIV/0!</v>
      </c>
      <c r="N40" s="208" t="e">
        <f ca="1">AND(COUNTIF($A40,"*سایر*")=1,$D40/$D$41&gt;0.2)</f>
        <v>#DIV/0!</v>
      </c>
    </row>
    <row r="41" spans="1:14" ht="21.75" thickBot="1">
      <c r="A41" s="492" t="s">
        <v>1437</v>
      </c>
      <c r="B41" s="1430">
        <f>SUM(B21:B40)</f>
        <v>0</v>
      </c>
      <c r="C41" s="1430">
        <f ca="1">SUM(C21:C40)</f>
        <v>0</v>
      </c>
      <c r="D41" s="494">
        <f>SUM(D21:D40)</f>
        <v>0</v>
      </c>
      <c r="E41" s="537" t="str">
        <f t="shared" si="0"/>
        <v>-</v>
      </c>
      <c r="F41" s="2204" t="str">
        <f t="shared" ca="1" si="1"/>
        <v>-</v>
      </c>
      <c r="G41" s="2205">
        <f t="shared" ca="1" si="4"/>
        <v>500</v>
      </c>
      <c r="I41" s="1360" t="s">
        <v>206</v>
      </c>
      <c r="J41" s="208"/>
      <c r="K41" s="208"/>
      <c r="L41" s="1423" t="s">
        <v>206</v>
      </c>
      <c r="N41" s="208"/>
    </row>
    <row r="42" spans="1:14" ht="21.75" thickBot="1">
      <c r="A42" s="492" t="s">
        <v>438</v>
      </c>
      <c r="B42" s="1430">
        <f>B20+B41</f>
        <v>0</v>
      </c>
      <c r="C42" s="1430">
        <f ca="1">C20+C41</f>
        <v>0</v>
      </c>
      <c r="D42" s="494">
        <f>D20+D41</f>
        <v>0</v>
      </c>
      <c r="E42" s="537" t="str">
        <f t="shared" si="0"/>
        <v>-</v>
      </c>
      <c r="F42" s="2204" t="str">
        <f t="shared" ca="1" si="1"/>
        <v>-</v>
      </c>
      <c r="G42" s="2205">
        <f t="shared" ca="1" si="4"/>
        <v>500</v>
      </c>
      <c r="I42" s="1360" t="s">
        <v>206</v>
      </c>
      <c r="J42" s="208"/>
      <c r="K42" s="208"/>
      <c r="L42" s="1423" t="s">
        <v>206</v>
      </c>
    </row>
    <row r="43" spans="1:14" ht="21.75" thickBot="1">
      <c r="A43" s="495" t="s">
        <v>1555</v>
      </c>
      <c r="B43" s="170"/>
      <c r="C43" s="1432" cm="1">
        <f t="array" aca="1" ref="C43" ca="1">IF(روکش!$F$9="سه ماهه",INDIRECT("BudgetDB!FD"&amp;('الف-ب-ج'!$M$9+ROW()-ROW($A$43))),INDIRECT("BudgetDB!FE"&amp;('الف-ب-ج'!$M$9+ROW()-ROW($A$43))))</f>
        <v>0</v>
      </c>
      <c r="D43" s="250"/>
      <c r="E43" s="537" t="str">
        <f t="shared" si="0"/>
        <v>-</v>
      </c>
      <c r="F43" s="2204" t="str">
        <f t="shared" ca="1" si="1"/>
        <v>-</v>
      </c>
      <c r="G43" s="2205">
        <f ca="1">IFERROR(ABS(F43-100),500)</f>
        <v>500</v>
      </c>
      <c r="I43" s="1360" t="str">
        <f ca="1">IF(AND(C43=0,D43&gt;0),100,IFERROR(ABS(F43-100),"-"))</f>
        <v>-</v>
      </c>
      <c r="J43" s="208"/>
      <c r="K43" s="208"/>
      <c r="L43" s="1423" t="s">
        <v>206</v>
      </c>
    </row>
    <row r="44" spans="1:14" ht="21.75" thickBot="1">
      <c r="A44" s="492" t="s">
        <v>436</v>
      </c>
      <c r="B44" s="1430">
        <f>B42+B43</f>
        <v>0</v>
      </c>
      <c r="C44" s="1430">
        <f ca="1">C42+C43</f>
        <v>0</v>
      </c>
      <c r="D44" s="494">
        <f>D42+D43</f>
        <v>0</v>
      </c>
      <c r="E44" s="537" t="str">
        <f>IFERROR((D44-B44)*100/B44,"-")</f>
        <v>-</v>
      </c>
      <c r="F44" s="2204" t="str">
        <f t="shared" ca="1" si="1"/>
        <v>-</v>
      </c>
      <c r="G44" s="2205">
        <f t="shared" ca="1" si="4"/>
        <v>500</v>
      </c>
      <c r="I44" s="1360" t="s">
        <v>206</v>
      </c>
      <c r="J44" s="208"/>
      <c r="K44" s="208"/>
      <c r="L44" s="1423" t="s">
        <v>206</v>
      </c>
    </row>
    <row r="45" spans="1:14" ht="10.5" customHeight="1">
      <c r="A45" s="2906"/>
      <c r="B45" s="2906"/>
      <c r="C45" s="2906"/>
      <c r="D45" s="857"/>
      <c r="E45" s="857"/>
      <c r="F45" s="857"/>
      <c r="I45" s="37" t="s">
        <v>206</v>
      </c>
      <c r="L45" s="856">
        <f>B45+C45+D45</f>
        <v>0</v>
      </c>
    </row>
    <row r="46" spans="1:14" ht="5.25" customHeight="1">
      <c r="L46" s="856" t="s">
        <v>206</v>
      </c>
    </row>
    <row r="47" spans="1:14" ht="21">
      <c r="A47" s="8"/>
      <c r="B47" s="2752"/>
      <c r="C47" s="2752"/>
      <c r="E47" s="8"/>
      <c r="L47" s="856" t="s">
        <v>206</v>
      </c>
    </row>
    <row r="48" spans="1:14">
      <c r="L48" s="856" t="s">
        <v>206</v>
      </c>
    </row>
    <row r="49" spans="12:12">
      <c r="L49" s="856" t="s">
        <v>206</v>
      </c>
    </row>
    <row r="50" spans="12:12">
      <c r="L50" s="856" t="s">
        <v>206</v>
      </c>
    </row>
    <row r="51" spans="12:12">
      <c r="L51" s="856" t="s">
        <v>206</v>
      </c>
    </row>
    <row r="52" spans="12:12">
      <c r="L52" s="856" t="s">
        <v>206</v>
      </c>
    </row>
    <row r="53" spans="12:12">
      <c r="L53" s="856" t="s">
        <v>206</v>
      </c>
    </row>
    <row r="54" spans="12:12">
      <c r="L54" s="856" t="s">
        <v>206</v>
      </c>
    </row>
    <row r="55" spans="12:12">
      <c r="L55" s="856" t="s">
        <v>206</v>
      </c>
    </row>
    <row r="56" spans="12:12">
      <c r="L56" s="856" t="s">
        <v>206</v>
      </c>
    </row>
    <row r="57" spans="12:12">
      <c r="L57" s="856" t="s">
        <v>206</v>
      </c>
    </row>
    <row r="58" spans="12:12">
      <c r="L58" s="856" t="s">
        <v>206</v>
      </c>
    </row>
    <row r="59" spans="12:12">
      <c r="L59" s="856" t="s">
        <v>206</v>
      </c>
    </row>
    <row r="60" spans="12:12">
      <c r="L60" s="856" t="s">
        <v>206</v>
      </c>
    </row>
    <row r="61" spans="12:12">
      <c r="L61" s="856" t="s">
        <v>206</v>
      </c>
    </row>
    <row r="62" spans="12:12">
      <c r="L62" s="856" t="s">
        <v>206</v>
      </c>
    </row>
    <row r="63" spans="12:12">
      <c r="L63" s="856" t="s">
        <v>206</v>
      </c>
    </row>
    <row r="64" spans="12:12">
      <c r="L64" s="856" t="s">
        <v>206</v>
      </c>
    </row>
    <row r="65" spans="12:12">
      <c r="L65" s="856" t="s">
        <v>206</v>
      </c>
    </row>
    <row r="66" spans="12:12">
      <c r="L66" s="856" t="s">
        <v>206</v>
      </c>
    </row>
    <row r="67" spans="12:12">
      <c r="L67" s="856" t="s">
        <v>206</v>
      </c>
    </row>
    <row r="68" spans="12:12">
      <c r="L68" s="856" t="s">
        <v>206</v>
      </c>
    </row>
    <row r="69" spans="12:12">
      <c r="L69" s="856" t="s">
        <v>206</v>
      </c>
    </row>
    <row r="70" spans="12:12">
      <c r="L70" s="856" t="s">
        <v>206</v>
      </c>
    </row>
    <row r="71" spans="12:12">
      <c r="L71" s="856" t="s">
        <v>206</v>
      </c>
    </row>
    <row r="72" spans="12:12">
      <c r="L72" s="856" t="s">
        <v>206</v>
      </c>
    </row>
    <row r="73" spans="12:12">
      <c r="L73" s="856" t="s">
        <v>206</v>
      </c>
    </row>
    <row r="74" spans="12:12">
      <c r="L74" s="856" t="s">
        <v>206</v>
      </c>
    </row>
    <row r="75" spans="12:12">
      <c r="L75" s="856" t="s">
        <v>206</v>
      </c>
    </row>
    <row r="76" spans="12:12">
      <c r="L76" s="856" t="s">
        <v>206</v>
      </c>
    </row>
    <row r="77" spans="12:12">
      <c r="L77" s="856" t="s">
        <v>206</v>
      </c>
    </row>
    <row r="78" spans="12:12">
      <c r="L78" s="856" t="s">
        <v>206</v>
      </c>
    </row>
    <row r="79" spans="12:12">
      <c r="L79" s="856" t="s">
        <v>206</v>
      </c>
    </row>
    <row r="80" spans="12:12">
      <c r="L80" s="856" t="s">
        <v>206</v>
      </c>
    </row>
    <row r="81" spans="12:12">
      <c r="L81" s="856" t="s">
        <v>206</v>
      </c>
    </row>
    <row r="82" spans="12:12">
      <c r="L82" s="856" t="s">
        <v>206</v>
      </c>
    </row>
  </sheetData>
  <mergeCells count="6">
    <mergeCell ref="A4:A5"/>
    <mergeCell ref="B4:B5"/>
    <mergeCell ref="A45:C45"/>
    <mergeCell ref="B47:C47"/>
    <mergeCell ref="A1:G1"/>
    <mergeCell ref="F5:G5"/>
  </mergeCells>
  <conditionalFormatting sqref="A6:A41">
    <cfRule type="expression" dxfId="396" priority="5">
      <formula>AND($A6=0,OR($B6&lt;&gt;0,$D6&lt;&gt;0))</formula>
    </cfRule>
  </conditionalFormatting>
  <conditionalFormatting sqref="B6:B41">
    <cfRule type="expression" dxfId="395" priority="4">
      <formula>$M6=TRUE</formula>
    </cfRule>
  </conditionalFormatting>
  <conditionalFormatting sqref="D6:D41">
    <cfRule type="expression" dxfId="394" priority="3">
      <formula>$N6=TRUE</formula>
    </cfRule>
  </conditionalFormatting>
  <conditionalFormatting sqref="G6:G44">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7BEA94E5-5A9E-4C27-B298-A397FA50C5FF}">
            <x14:iconSet iconSet="3Symbols" custom="1">
              <x14:cfvo type="percent">
                <xm:f>0</xm:f>
              </x14:cfvo>
              <x14:cfvo type="num">
                <xm:f>0</xm:f>
              </x14:cfvo>
              <x14:cfvo type="num">
                <xm:f>0</xm:f>
              </x14:cfvo>
              <x14:cfIcon iconSet="3Symbols" iconId="1"/>
              <x14:cfIcon iconSet="3Symbols" iconId="1"/>
              <x14:cfIcon iconSet="NoIcons" iconId="0"/>
            </x14:iconSet>
          </x14:cfRule>
          <xm:sqref>E6:E44</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3">
    <tabColor rgb="FF00B050"/>
    <pageSetUpPr fitToPage="1"/>
  </sheetPr>
  <dimension ref="A1:AC60"/>
  <sheetViews>
    <sheetView rightToLeft="1" view="pageBreakPreview" zoomScale="60" zoomScaleNormal="85" workbookViewId="0">
      <selection activeCell="O13" sqref="O13"/>
    </sheetView>
  </sheetViews>
  <sheetFormatPr defaultColWidth="9" defaultRowHeight="15"/>
  <cols>
    <col min="1" max="1" width="5.85546875" style="5" customWidth="1"/>
    <col min="2" max="2" width="31.28515625" style="5" bestFit="1" customWidth="1"/>
    <col min="3" max="3" width="13.7109375" style="5" bestFit="1" customWidth="1"/>
    <col min="4" max="13" width="11.5703125" style="5" customWidth="1"/>
    <col min="14" max="14" width="3.7109375" style="5" customWidth="1"/>
    <col min="15" max="15" width="11.5703125" style="5" customWidth="1"/>
    <col min="16" max="16" width="3.7109375" style="5" customWidth="1"/>
    <col min="17" max="17" width="11.5703125" style="5" customWidth="1"/>
    <col min="18" max="18" width="9.5703125" style="5" customWidth="1"/>
    <col min="19" max="19" width="3.7109375" style="5" customWidth="1"/>
    <col min="20" max="20" width="9.5703125" style="5" customWidth="1"/>
    <col min="21" max="21" width="3.7109375" style="5" customWidth="1"/>
    <col min="22" max="22" width="9.5703125" style="5" customWidth="1"/>
    <col min="23" max="23" width="9" style="79"/>
    <col min="24" max="24" width="0" style="212" hidden="1" customWidth="1"/>
    <col min="25" max="28" width="9" style="212" hidden="1" customWidth="1"/>
    <col min="29" max="29" width="9" style="5" hidden="1" customWidth="1"/>
    <col min="30" max="30" width="0" style="5" hidden="1" customWidth="1"/>
    <col min="31" max="16384" width="9" style="5"/>
  </cols>
  <sheetData>
    <row r="1" spans="1:29" ht="24">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c r="U1" s="2685"/>
      <c r="V1" s="2685"/>
    </row>
    <row r="2" spans="1:29" ht="28.5">
      <c r="A2" s="1206" t="str">
        <f>"گزارش گردش کالای تجاری (بازرگانی) در دوره " &amp; روکش!F9 &amp; " سال " &amp; روکش!D9</f>
        <v>گزارش گردش کالای تجاری (بازرگانی) در دوره شش ماهه سال 1405</v>
      </c>
      <c r="B2" s="1205"/>
      <c r="C2" s="1205"/>
      <c r="D2" s="1205"/>
      <c r="E2" s="1205"/>
      <c r="F2" s="1205"/>
      <c r="G2" s="1205"/>
      <c r="H2" s="1205"/>
      <c r="I2" s="1205"/>
      <c r="J2" s="1205"/>
      <c r="K2" s="1205"/>
      <c r="L2" s="1205"/>
      <c r="M2" s="1205"/>
      <c r="N2" s="1205"/>
      <c r="O2" s="1205"/>
      <c r="P2" s="1205"/>
      <c r="Q2" s="1202"/>
      <c r="R2" s="1202"/>
      <c r="S2" s="1202"/>
      <c r="T2" s="1202"/>
      <c r="U2" s="1202"/>
      <c r="V2" s="1202"/>
      <c r="W2" s="81"/>
      <c r="X2" s="251"/>
      <c r="Y2" s="935"/>
    </row>
    <row r="3" spans="1:29" ht="20.100000000000001" customHeight="1" thickBot="1">
      <c r="A3" s="3069"/>
      <c r="B3" s="3069"/>
      <c r="C3" s="3069"/>
      <c r="D3" s="3069"/>
      <c r="E3" s="3069"/>
      <c r="F3" s="3069"/>
      <c r="G3" s="538"/>
      <c r="H3" s="1515"/>
      <c r="I3" s="1515"/>
      <c r="J3" s="1515"/>
      <c r="K3" s="1515"/>
      <c r="L3" s="1515"/>
      <c r="M3" s="1516"/>
      <c r="N3" s="1516"/>
      <c r="O3" s="1516"/>
      <c r="P3" s="2239"/>
      <c r="Q3" s="1388"/>
      <c r="R3" s="1207" t="s">
        <v>3</v>
      </c>
      <c r="S3" s="1207"/>
      <c r="T3" s="1343"/>
      <c r="U3" s="1343"/>
      <c r="V3" s="1208" t="s">
        <v>30</v>
      </c>
    </row>
    <row r="4" spans="1:29" ht="24">
      <c r="A4" s="3074" t="s">
        <v>20</v>
      </c>
      <c r="B4" s="3076" t="s">
        <v>21</v>
      </c>
      <c r="C4" s="3070" t="s">
        <v>22</v>
      </c>
      <c r="D4" s="1389" t="s">
        <v>172</v>
      </c>
      <c r="E4" s="1390"/>
      <c r="F4" s="1391"/>
      <c r="G4" s="1391"/>
      <c r="H4" s="1392"/>
      <c r="I4" s="1393"/>
      <c r="J4" s="1394" t="s">
        <v>688</v>
      </c>
      <c r="K4" s="1395"/>
      <c r="L4" s="1395"/>
      <c r="M4" s="1395"/>
      <c r="N4" s="1395"/>
      <c r="O4" s="1395"/>
      <c r="P4" s="1395"/>
      <c r="Q4" s="1395"/>
      <c r="R4" s="1395"/>
      <c r="S4" s="1395"/>
      <c r="T4" s="1395"/>
      <c r="U4" s="1395"/>
      <c r="V4" s="1396"/>
    </row>
    <row r="5" spans="1:29" ht="21">
      <c r="A5" s="3075"/>
      <c r="B5" s="3077"/>
      <c r="C5" s="3071"/>
      <c r="D5" s="1397" t="s">
        <v>229</v>
      </c>
      <c r="E5" s="1398"/>
      <c r="F5" s="1399"/>
      <c r="G5" s="1400" t="s">
        <v>228</v>
      </c>
      <c r="H5" s="1398"/>
      <c r="I5" s="1401"/>
      <c r="J5" s="1397" t="s">
        <v>53</v>
      </c>
      <c r="K5" s="1398"/>
      <c r="L5" s="1399"/>
      <c r="M5" s="1397" t="s">
        <v>216</v>
      </c>
      <c r="N5" s="1398"/>
      <c r="O5" s="1398"/>
      <c r="P5" s="1398"/>
      <c r="Q5" s="1399"/>
      <c r="R5" s="1400" t="s">
        <v>687</v>
      </c>
      <c r="S5" s="1398"/>
      <c r="T5" s="1398"/>
      <c r="U5" s="1398"/>
      <c r="V5" s="2128"/>
    </row>
    <row r="6" spans="1:29" ht="21.75" thickBot="1">
      <c r="A6" s="3075"/>
      <c r="B6" s="3078"/>
      <c r="C6" s="3071"/>
      <c r="D6" s="465" t="s">
        <v>8</v>
      </c>
      <c r="E6" s="466" t="s">
        <v>9</v>
      </c>
      <c r="F6" s="468" t="s">
        <v>10</v>
      </c>
      <c r="G6" s="467" t="s">
        <v>8</v>
      </c>
      <c r="H6" s="466" t="s">
        <v>9</v>
      </c>
      <c r="I6" s="475" t="s">
        <v>10</v>
      </c>
      <c r="J6" s="465" t="s">
        <v>8</v>
      </c>
      <c r="K6" s="466" t="s">
        <v>9</v>
      </c>
      <c r="L6" s="468" t="s">
        <v>10</v>
      </c>
      <c r="M6" s="2190" t="s">
        <v>8</v>
      </c>
      <c r="N6" s="2184"/>
      <c r="O6" s="2186" t="s">
        <v>9</v>
      </c>
      <c r="P6" s="2190"/>
      <c r="Q6" s="468" t="s">
        <v>10</v>
      </c>
      <c r="R6" s="2190" t="s">
        <v>8</v>
      </c>
      <c r="S6" s="2184"/>
      <c r="T6" s="2186" t="s">
        <v>9</v>
      </c>
      <c r="U6" s="2190"/>
      <c r="V6" s="468" t="s">
        <v>10</v>
      </c>
      <c r="Y6" s="1081" t="s">
        <v>784</v>
      </c>
      <c r="Z6" s="1081"/>
      <c r="AA6" s="1275" t="s">
        <v>786</v>
      </c>
      <c r="AB6" s="1275" t="s">
        <v>785</v>
      </c>
      <c r="AC6" s="41"/>
    </row>
    <row r="7" spans="1:29" ht="21">
      <c r="A7" s="1512">
        <v>1</v>
      </c>
      <c r="B7" s="850">
        <f ca="1">IF(ROW()-ROW($A$7)&lt;'الف-ب-ج'!$L$9,INDIRECT("BudgetDB!FF"&amp;('الف-ب-ج'!$M$9+ROW()-ROW($A$7))),"")</f>
        <v>0</v>
      </c>
      <c r="C7" s="851">
        <f ca="1">IF(ROW()-ROW($A$7)&lt;'الف-ب-ج'!$L$9,INDIRECT("BudgetDB!FG"&amp;('الف-ب-ج'!$M$9+ROW()-ROW($A$7))),"")</f>
        <v>0</v>
      </c>
      <c r="D7" s="215"/>
      <c r="E7" s="216"/>
      <c r="F7" s="1369">
        <f>IFERROR(E7*D7/1000000,0)</f>
        <v>0</v>
      </c>
      <c r="G7" s="215"/>
      <c r="H7" s="216"/>
      <c r="I7" s="478">
        <f>IFERROR(H7*G7/1000000,0)</f>
        <v>0</v>
      </c>
      <c r="J7" s="1366" cm="1">
        <f t="array" aca="1" ref="J7" ca="1">IF(ROW()-ROW($A$7)&lt;'الف-ب-ج'!$L$9,IF(روکش!$F$9="سه ماهه",INDIRECT("BudgetDB!FH"&amp;('الف-ب-ج'!$M$9+ROW()-ROW($A$7))),INDIRECT("BudgetDB!FI"&amp;('الف-ب-ج'!$M$9+ROW()-ROW($A$7)))),"")</f>
        <v>0</v>
      </c>
      <c r="K7" s="838" cm="1">
        <f t="array" aca="1" ref="K7" ca="1">IF(ROW()-ROW($A$7)&lt;'الف-ب-ج'!$L$9,IF(روکش!$F$9="سه ماهه",INDIRECT("BudgetDB!FJ"&amp;('الف-ب-ج'!$M$9+ROW()-ROW($A$7))),INDIRECT("BudgetDB!FK"&amp;('الف-ب-ج'!$M$9+ROW()-ROW($A$7)))),"")</f>
        <v>0</v>
      </c>
      <c r="L7" s="1369">
        <f ca="1">IFERROR(K7*J7/1000000,0)</f>
        <v>0</v>
      </c>
      <c r="M7" s="2194"/>
      <c r="N7" s="2191"/>
      <c r="O7" s="2194"/>
      <c r="P7" s="2191"/>
      <c r="Q7" s="1369">
        <f>IFERROR(O7*M7/1000000,0)</f>
        <v>0</v>
      </c>
      <c r="R7" s="2119" t="str">
        <f ca="1">IFERROR(M7*100/J7,"-")</f>
        <v>-</v>
      </c>
      <c r="S7" s="2163">
        <f ca="1">IFERROR(ABS(R7-100),500)</f>
        <v>500</v>
      </c>
      <c r="T7" s="2169" t="str">
        <f ca="1">IFERROR(O7*100/K7,"-")</f>
        <v>-</v>
      </c>
      <c r="U7" s="2163">
        <f ca="1">IFERROR(ABS(T7-100),500)</f>
        <v>500</v>
      </c>
      <c r="V7" s="415" t="str">
        <f ca="1">IFERROR(Q7*100/L7,"-")</f>
        <v>-</v>
      </c>
      <c r="Y7" s="1360" t="str">
        <f ca="1">IF(AND(J7=0,M7&gt;0),100,IFERROR(ABS(R7-100),"-"))</f>
        <v>-</v>
      </c>
      <c r="Z7" s="1360" t="str">
        <f ca="1">IF(AND(K7=0,O7&gt;0),100,IFERROR(ABS(T7-100),"-"))</f>
        <v>-</v>
      </c>
      <c r="AA7" s="1275">
        <f>ROW(B7)</f>
        <v>7</v>
      </c>
      <c r="AB7" s="1275">
        <f ca="1">COUNTIF(B7:B29,"&lt;&gt;0")+AA7-1</f>
        <v>6</v>
      </c>
      <c r="AC7" s="41">
        <f ca="1">COUNTIF(B7:B29,"&lt;&gt;0")</f>
        <v>0</v>
      </c>
    </row>
    <row r="8" spans="1:29" ht="21">
      <c r="A8" s="1513">
        <v>2</v>
      </c>
      <c r="B8" s="852">
        <f ca="1">IF(ROW()-ROW($A$7)&lt;'الف-ب-ج'!$L$9,INDIRECT("BudgetDB!FF"&amp;('الف-ب-ج'!$M$9+ROW()-ROW($A$7))),"")</f>
        <v>0</v>
      </c>
      <c r="C8" s="853">
        <f ca="1">IF(ROW()-ROW($A$7)&lt;'الف-ب-ج'!$L$9,INDIRECT("BudgetDB!FG"&amp;('الف-ب-ج'!$M$9+ROW()-ROW($A$7))),"")</f>
        <v>0</v>
      </c>
      <c r="D8" s="217"/>
      <c r="E8" s="218"/>
      <c r="F8" s="457">
        <f t="shared" ref="F8:F20" si="0">IFERROR(E8*D8/1000000,0)</f>
        <v>0</v>
      </c>
      <c r="G8" s="217"/>
      <c r="H8" s="218"/>
      <c r="I8" s="480">
        <f t="shared" ref="I8:I20" si="1">IFERROR(H8*G8/1000000,0)</f>
        <v>0</v>
      </c>
      <c r="J8" s="1367" cm="1">
        <f t="array" aca="1" ref="J8" ca="1">IF(ROW()-ROW($A$7)&lt;'الف-ب-ج'!$L$9,IF(روکش!$F$9="سه ماهه",INDIRECT("BudgetDB!FH"&amp;('الف-ب-ج'!$M$9+ROW()-ROW($A$7))),INDIRECT("BudgetDB!FI"&amp;('الف-ب-ج'!$M$9+ROW()-ROW($A$7)))),"")</f>
        <v>0</v>
      </c>
      <c r="K8" s="839" cm="1">
        <f t="array" aca="1" ref="K8" ca="1">IF(ROW()-ROW($A$7)&lt;'الف-ب-ج'!$L$9,IF(روکش!$F$9="سه ماهه",INDIRECT("BudgetDB!FJ"&amp;('الف-ب-ج'!$M$9+ROW()-ROW($A$7))),INDIRECT("BudgetDB!FK"&amp;('الف-ب-ج'!$M$9+ROW()-ROW($A$7)))),"")</f>
        <v>0</v>
      </c>
      <c r="L8" s="457">
        <f t="shared" ref="L8:L20" ca="1" si="2">IFERROR(K8*J8/1000000,0)</f>
        <v>0</v>
      </c>
      <c r="M8" s="2195"/>
      <c r="N8" s="2192"/>
      <c r="O8" s="2195"/>
      <c r="P8" s="2192"/>
      <c r="Q8" s="457">
        <f t="shared" ref="Q8:Q21" si="3">IFERROR(O8*M8/1000000,0)</f>
        <v>0</v>
      </c>
      <c r="R8" s="2120" t="str">
        <f t="shared" ref="R8:R21" ca="1" si="4">IFERROR(M8*100/J8,"-")</f>
        <v>-</v>
      </c>
      <c r="S8" s="2164">
        <f t="shared" ref="S8:U21" ca="1" si="5">IFERROR(ABS(R8-100),500)</f>
        <v>500</v>
      </c>
      <c r="T8" s="2170" t="str">
        <f t="shared" ref="T8:T21" ca="1" si="6">IFERROR(O8*100/K8,"-")</f>
        <v>-</v>
      </c>
      <c r="U8" s="2164">
        <f t="shared" ca="1" si="5"/>
        <v>500</v>
      </c>
      <c r="V8" s="418" t="str">
        <f t="shared" ref="V8:V21" ca="1" si="7">IFERROR(Q8*100/L8,"-")</f>
        <v>-</v>
      </c>
      <c r="Y8" s="1360" t="str">
        <f t="shared" ref="Y8:Y29" ca="1" si="8">IF(AND(J8=0,M8&gt;0),100,IFERROR(ABS(R8-100),"-"))</f>
        <v>-</v>
      </c>
      <c r="Z8" s="1360" t="str">
        <f t="shared" ref="Z8:Z29" ca="1" si="9">IF(AND(K8=0,O8&gt;0),100,IFERROR(ABS(T8-100),"-"))</f>
        <v>-</v>
      </c>
      <c r="AA8" s="1081"/>
      <c r="AB8" s="1360"/>
      <c r="AC8" s="41"/>
    </row>
    <row r="9" spans="1:29" ht="21">
      <c r="A9" s="1513">
        <v>3</v>
      </c>
      <c r="B9" s="852">
        <f ca="1">IF(ROW()-ROW($A$7)&lt;'الف-ب-ج'!$L$9,INDIRECT("BudgetDB!FF"&amp;('الف-ب-ج'!$M$9+ROW()-ROW($A$7))),"")</f>
        <v>0</v>
      </c>
      <c r="C9" s="853">
        <f ca="1">IF(ROW()-ROW($A$7)&lt;'الف-ب-ج'!$L$9,INDIRECT("BudgetDB!FG"&amp;('الف-ب-ج'!$M$9+ROW()-ROW($A$7))),"")</f>
        <v>0</v>
      </c>
      <c r="D9" s="217"/>
      <c r="E9" s="218"/>
      <c r="F9" s="457">
        <f t="shared" si="0"/>
        <v>0</v>
      </c>
      <c r="G9" s="217"/>
      <c r="H9" s="218"/>
      <c r="I9" s="480">
        <f t="shared" si="1"/>
        <v>0</v>
      </c>
      <c r="J9" s="1367" cm="1">
        <f t="array" aca="1" ref="J9" ca="1">IF(ROW()-ROW($A$7)&lt;'الف-ب-ج'!$L$9,IF(روکش!$F$9="سه ماهه",INDIRECT("BudgetDB!FH"&amp;('الف-ب-ج'!$M$9+ROW()-ROW($A$7))),INDIRECT("BudgetDB!FI"&amp;('الف-ب-ج'!$M$9+ROW()-ROW($A$7)))),"")</f>
        <v>0</v>
      </c>
      <c r="K9" s="839" cm="1">
        <f t="array" aca="1" ref="K9" ca="1">IF(ROW()-ROW($A$7)&lt;'الف-ب-ج'!$L$9,IF(روکش!$F$9="سه ماهه",INDIRECT("BudgetDB!FJ"&amp;('الف-ب-ج'!$M$9+ROW()-ROW($A$7))),INDIRECT("BudgetDB!FK"&amp;('الف-ب-ج'!$M$9+ROW()-ROW($A$7)))),"")</f>
        <v>0</v>
      </c>
      <c r="L9" s="457">
        <f t="shared" ca="1" si="2"/>
        <v>0</v>
      </c>
      <c r="M9" s="2195"/>
      <c r="N9" s="2192"/>
      <c r="O9" s="2195"/>
      <c r="P9" s="2192"/>
      <c r="Q9" s="457">
        <f t="shared" si="3"/>
        <v>0</v>
      </c>
      <c r="R9" s="2120" t="str">
        <f t="shared" ca="1" si="4"/>
        <v>-</v>
      </c>
      <c r="S9" s="2164">
        <f t="shared" ca="1" si="5"/>
        <v>500</v>
      </c>
      <c r="T9" s="2170" t="str">
        <f t="shared" ca="1" si="6"/>
        <v>-</v>
      </c>
      <c r="U9" s="2164">
        <f t="shared" ca="1" si="5"/>
        <v>500</v>
      </c>
      <c r="V9" s="418" t="str">
        <f t="shared" ca="1" si="7"/>
        <v>-</v>
      </c>
      <c r="Y9" s="1360" t="str">
        <f t="shared" ca="1" si="8"/>
        <v>-</v>
      </c>
      <c r="Z9" s="1360" t="str">
        <f t="shared" ca="1" si="9"/>
        <v>-</v>
      </c>
      <c r="AA9" s="1081"/>
      <c r="AB9" s="1360"/>
      <c r="AC9" s="41"/>
    </row>
    <row r="10" spans="1:29" ht="21">
      <c r="A10" s="1513">
        <v>4</v>
      </c>
      <c r="B10" s="2143">
        <f ca="1">IF(ROW()-ROW($A$7)&lt;'الف-ب-ج'!$L$9,INDIRECT("BudgetDB!FF"&amp;('الف-ب-ج'!$M$9+ROW()-ROW($A$7))),"")</f>
        <v>0</v>
      </c>
      <c r="C10" s="853">
        <f ca="1">IF(ROW()-ROW($A$7)&lt;'الف-ب-ج'!$L$9,INDIRECT("BudgetDB!FG"&amp;('الف-ب-ج'!$M$9+ROW()-ROW($A$7))),"")</f>
        <v>0</v>
      </c>
      <c r="D10" s="175"/>
      <c r="E10" s="176"/>
      <c r="F10" s="457">
        <f t="shared" si="0"/>
        <v>0</v>
      </c>
      <c r="G10" s="463"/>
      <c r="H10" s="176"/>
      <c r="I10" s="457">
        <f t="shared" si="1"/>
        <v>0</v>
      </c>
      <c r="J10" s="1367" cm="1">
        <f t="array" aca="1" ref="J10" ca="1">IF(ROW()-ROW($A$7)&lt;'الف-ب-ج'!$L$9,IF(روکش!$F$9="سه ماهه",INDIRECT("BudgetDB!FH"&amp;('الف-ب-ج'!$M$9+ROW()-ROW($A$7))),INDIRECT("BudgetDB!FI"&amp;('الف-ب-ج'!$M$9+ROW()-ROW($A$7)))),"")</f>
        <v>0</v>
      </c>
      <c r="K10" s="839" cm="1">
        <f t="array" aca="1" ref="K10" ca="1">IF(ROW()-ROW($A$7)&lt;'الف-ب-ج'!$L$9,IF(روکش!$F$9="سه ماهه",INDIRECT("BudgetDB!FJ"&amp;('الف-ب-ج'!$M$9+ROW()-ROW($A$7))),INDIRECT("BudgetDB!FK"&amp;('الف-ب-ج'!$M$9+ROW()-ROW($A$7)))),"")</f>
        <v>0</v>
      </c>
      <c r="L10" s="457">
        <f t="shared" ca="1" si="2"/>
        <v>0</v>
      </c>
      <c r="M10" s="2195"/>
      <c r="N10" s="2192"/>
      <c r="O10" s="2195"/>
      <c r="P10" s="2192"/>
      <c r="Q10" s="457">
        <f t="shared" si="3"/>
        <v>0</v>
      </c>
      <c r="R10" s="2120" t="str">
        <f t="shared" ca="1" si="4"/>
        <v>-</v>
      </c>
      <c r="S10" s="2164">
        <f t="shared" ca="1" si="5"/>
        <v>500</v>
      </c>
      <c r="T10" s="2170" t="str">
        <f t="shared" ca="1" si="6"/>
        <v>-</v>
      </c>
      <c r="U10" s="2164">
        <f t="shared" ca="1" si="5"/>
        <v>500</v>
      </c>
      <c r="V10" s="418" t="str">
        <f t="shared" ca="1" si="7"/>
        <v>-</v>
      </c>
      <c r="Y10" s="1360" t="str">
        <f t="shared" ca="1" si="8"/>
        <v>-</v>
      </c>
      <c r="Z10" s="1360" t="str">
        <f t="shared" ca="1" si="9"/>
        <v>-</v>
      </c>
      <c r="AA10" s="1081"/>
      <c r="AB10" s="1360"/>
      <c r="AC10" s="41"/>
    </row>
    <row r="11" spans="1:29" ht="21">
      <c r="A11" s="1513">
        <v>5</v>
      </c>
      <c r="B11" s="2143">
        <f ca="1">IF(ROW()-ROW($A$7)&lt;'الف-ب-ج'!$L$9,INDIRECT("BudgetDB!FF"&amp;('الف-ب-ج'!$M$9+ROW()-ROW($A$7))),"")</f>
        <v>0</v>
      </c>
      <c r="C11" s="853">
        <f ca="1">IF(ROW()-ROW($A$7)&lt;'الف-ب-ج'!$L$9,INDIRECT("BudgetDB!FG"&amp;('الف-ب-ج'!$M$9+ROW()-ROW($A$7))),"")</f>
        <v>0</v>
      </c>
      <c r="D11" s="175"/>
      <c r="E11" s="176"/>
      <c r="F11" s="457">
        <f t="shared" si="0"/>
        <v>0</v>
      </c>
      <c r="G11" s="463"/>
      <c r="H11" s="176"/>
      <c r="I11" s="457">
        <f t="shared" si="1"/>
        <v>0</v>
      </c>
      <c r="J11" s="1367" cm="1">
        <f t="array" aca="1" ref="J11" ca="1">IF(ROW()-ROW($A$7)&lt;'الف-ب-ج'!$L$9,IF(روکش!$F$9="سه ماهه",INDIRECT("BudgetDB!FH"&amp;('الف-ب-ج'!$M$9+ROW()-ROW($A$7))),INDIRECT("BudgetDB!FI"&amp;('الف-ب-ج'!$M$9+ROW()-ROW($A$7)))),"")</f>
        <v>0</v>
      </c>
      <c r="K11" s="839" cm="1">
        <f t="array" aca="1" ref="K11" ca="1">IF(ROW()-ROW($A$7)&lt;'الف-ب-ج'!$L$9,IF(روکش!$F$9="سه ماهه",INDIRECT("BudgetDB!FJ"&amp;('الف-ب-ج'!$M$9+ROW()-ROW($A$7))),INDIRECT("BudgetDB!FK"&amp;('الف-ب-ج'!$M$9+ROW()-ROW($A$7)))),"")</f>
        <v>0</v>
      </c>
      <c r="L11" s="457">
        <f t="shared" ca="1" si="2"/>
        <v>0</v>
      </c>
      <c r="M11" s="2195"/>
      <c r="N11" s="2192"/>
      <c r="O11" s="2195"/>
      <c r="P11" s="2192"/>
      <c r="Q11" s="457">
        <f t="shared" si="3"/>
        <v>0</v>
      </c>
      <c r="R11" s="2120" t="str">
        <f t="shared" ca="1" si="4"/>
        <v>-</v>
      </c>
      <c r="S11" s="2164">
        <f t="shared" ca="1" si="5"/>
        <v>500</v>
      </c>
      <c r="T11" s="2170" t="str">
        <f t="shared" ca="1" si="6"/>
        <v>-</v>
      </c>
      <c r="U11" s="2164">
        <f t="shared" ca="1" si="5"/>
        <v>500</v>
      </c>
      <c r="V11" s="418" t="str">
        <f t="shared" ca="1" si="7"/>
        <v>-</v>
      </c>
      <c r="Y11" s="1360" t="str">
        <f t="shared" ca="1" si="8"/>
        <v>-</v>
      </c>
      <c r="Z11" s="1360" t="str">
        <f t="shared" ca="1" si="9"/>
        <v>-</v>
      </c>
      <c r="AA11" s="1081"/>
      <c r="AB11" s="1360"/>
      <c r="AC11" s="41"/>
    </row>
    <row r="12" spans="1:29" ht="21">
      <c r="A12" s="1513">
        <v>6</v>
      </c>
      <c r="B12" s="2143">
        <f ca="1">IF(ROW()-ROW($A$7)&lt;'الف-ب-ج'!$L$9,INDIRECT("BudgetDB!FF"&amp;('الف-ب-ج'!$M$9+ROW()-ROW($A$7))),"")</f>
        <v>0</v>
      </c>
      <c r="C12" s="853">
        <f ca="1">IF(ROW()-ROW($A$7)&lt;'الف-ب-ج'!$L$9,INDIRECT("BudgetDB!FG"&amp;('الف-ب-ج'!$M$9+ROW()-ROW($A$7))),"")</f>
        <v>0</v>
      </c>
      <c r="D12" s="175"/>
      <c r="E12" s="176"/>
      <c r="F12" s="457">
        <f t="shared" si="0"/>
        <v>0</v>
      </c>
      <c r="G12" s="463"/>
      <c r="H12" s="176"/>
      <c r="I12" s="457">
        <f t="shared" si="1"/>
        <v>0</v>
      </c>
      <c r="J12" s="1367" cm="1">
        <f t="array" aca="1" ref="J12" ca="1">IF(ROW()-ROW($A$7)&lt;'الف-ب-ج'!$L$9,IF(روکش!$F$9="سه ماهه",INDIRECT("BudgetDB!FH"&amp;('الف-ب-ج'!$M$9+ROW()-ROW($A$7))),INDIRECT("BudgetDB!FI"&amp;('الف-ب-ج'!$M$9+ROW()-ROW($A$7)))),"")</f>
        <v>0</v>
      </c>
      <c r="K12" s="839" cm="1">
        <f t="array" aca="1" ref="K12" ca="1">IF(ROW()-ROW($A$7)&lt;'الف-ب-ج'!$L$9,IF(روکش!$F$9="سه ماهه",INDIRECT("BudgetDB!FJ"&amp;('الف-ب-ج'!$M$9+ROW()-ROW($A$7))),INDIRECT("BudgetDB!FK"&amp;('الف-ب-ج'!$M$9+ROW()-ROW($A$7)))),"")</f>
        <v>0</v>
      </c>
      <c r="L12" s="457">
        <f t="shared" ca="1" si="2"/>
        <v>0</v>
      </c>
      <c r="M12" s="2195"/>
      <c r="N12" s="2192"/>
      <c r="O12" s="2195"/>
      <c r="P12" s="2192"/>
      <c r="Q12" s="457">
        <f t="shared" si="3"/>
        <v>0</v>
      </c>
      <c r="R12" s="2120" t="str">
        <f t="shared" ca="1" si="4"/>
        <v>-</v>
      </c>
      <c r="S12" s="2164">
        <f t="shared" ca="1" si="5"/>
        <v>500</v>
      </c>
      <c r="T12" s="2170" t="str">
        <f t="shared" ca="1" si="6"/>
        <v>-</v>
      </c>
      <c r="U12" s="2164">
        <f t="shared" ca="1" si="5"/>
        <v>500</v>
      </c>
      <c r="V12" s="418" t="str">
        <f t="shared" ca="1" si="7"/>
        <v>-</v>
      </c>
      <c r="Y12" s="1360" t="str">
        <f t="shared" ca="1" si="8"/>
        <v>-</v>
      </c>
      <c r="Z12" s="1360" t="str">
        <f t="shared" ca="1" si="9"/>
        <v>-</v>
      </c>
      <c r="AA12" s="1081"/>
      <c r="AB12" s="1360"/>
      <c r="AC12" s="41"/>
    </row>
    <row r="13" spans="1:29" ht="21">
      <c r="A13" s="1513">
        <v>7</v>
      </c>
      <c r="B13" s="2143">
        <f ca="1">IF(ROW()-ROW($A$7)&lt;'الف-ب-ج'!$L$9,INDIRECT("BudgetDB!FF"&amp;('الف-ب-ج'!$M$9+ROW()-ROW($A$7))),"")</f>
        <v>0</v>
      </c>
      <c r="C13" s="853">
        <f ca="1">IF(ROW()-ROW($A$7)&lt;'الف-ب-ج'!$L$9,INDIRECT("BudgetDB!FG"&amp;('الف-ب-ج'!$M$9+ROW()-ROW($A$7))),"")</f>
        <v>0</v>
      </c>
      <c r="D13" s="175"/>
      <c r="E13" s="176"/>
      <c r="F13" s="457">
        <f t="shared" si="0"/>
        <v>0</v>
      </c>
      <c r="G13" s="463"/>
      <c r="H13" s="176"/>
      <c r="I13" s="457">
        <f t="shared" si="1"/>
        <v>0</v>
      </c>
      <c r="J13" s="1367" cm="1">
        <f t="array" aca="1" ref="J13" ca="1">IF(ROW()-ROW($A$7)&lt;'الف-ب-ج'!$L$9,IF(روکش!$F$9="سه ماهه",INDIRECT("BudgetDB!FH"&amp;('الف-ب-ج'!$M$9+ROW()-ROW($A$7))),INDIRECT("BudgetDB!FI"&amp;('الف-ب-ج'!$M$9+ROW()-ROW($A$7)))),"")</f>
        <v>0</v>
      </c>
      <c r="K13" s="839" cm="1">
        <f t="array" aca="1" ref="K13" ca="1">IF(ROW()-ROW($A$7)&lt;'الف-ب-ج'!$L$9,IF(روکش!$F$9="سه ماهه",INDIRECT("BudgetDB!FJ"&amp;('الف-ب-ج'!$M$9+ROW()-ROW($A$7))),INDIRECT("BudgetDB!FK"&amp;('الف-ب-ج'!$M$9+ROW()-ROW($A$7)))),"")</f>
        <v>0</v>
      </c>
      <c r="L13" s="457">
        <f t="shared" ca="1" si="2"/>
        <v>0</v>
      </c>
      <c r="M13" s="2195"/>
      <c r="N13" s="2192"/>
      <c r="O13" s="2195"/>
      <c r="P13" s="2192"/>
      <c r="Q13" s="457">
        <f t="shared" si="3"/>
        <v>0</v>
      </c>
      <c r="R13" s="2120" t="str">
        <f t="shared" ca="1" si="4"/>
        <v>-</v>
      </c>
      <c r="S13" s="2164">
        <f t="shared" ca="1" si="5"/>
        <v>500</v>
      </c>
      <c r="T13" s="2170" t="str">
        <f t="shared" ca="1" si="6"/>
        <v>-</v>
      </c>
      <c r="U13" s="2164">
        <f t="shared" ca="1" si="5"/>
        <v>500</v>
      </c>
      <c r="V13" s="418" t="str">
        <f t="shared" ca="1" si="7"/>
        <v>-</v>
      </c>
      <c r="Y13" s="1360" t="str">
        <f t="shared" ca="1" si="8"/>
        <v>-</v>
      </c>
      <c r="Z13" s="1360" t="str">
        <f t="shared" ca="1" si="9"/>
        <v>-</v>
      </c>
      <c r="AA13" s="1081"/>
      <c r="AB13" s="1360"/>
      <c r="AC13" s="41"/>
    </row>
    <row r="14" spans="1:29" ht="21">
      <c r="A14" s="1513">
        <v>8</v>
      </c>
      <c r="B14" s="2143">
        <f ca="1">IF(ROW()-ROW($A$7)&lt;'الف-ب-ج'!$L$9,INDIRECT("BudgetDB!FF"&amp;('الف-ب-ج'!$M$9+ROW()-ROW($A$7))),"")</f>
        <v>0</v>
      </c>
      <c r="C14" s="853">
        <f ca="1">IF(ROW()-ROW($A$7)&lt;'الف-ب-ج'!$L$9,INDIRECT("BudgetDB!FG"&amp;('الف-ب-ج'!$M$9+ROW()-ROW($A$7))),"")</f>
        <v>0</v>
      </c>
      <c r="D14" s="175"/>
      <c r="E14" s="176"/>
      <c r="F14" s="457">
        <f t="shared" si="0"/>
        <v>0</v>
      </c>
      <c r="G14" s="463"/>
      <c r="H14" s="176"/>
      <c r="I14" s="457">
        <f t="shared" si="1"/>
        <v>0</v>
      </c>
      <c r="J14" s="1367" cm="1">
        <f t="array" aca="1" ref="J14" ca="1">IF(ROW()-ROW($A$7)&lt;'الف-ب-ج'!$L$9,IF(روکش!$F$9="سه ماهه",INDIRECT("BudgetDB!FH"&amp;('الف-ب-ج'!$M$9+ROW()-ROW($A$7))),INDIRECT("BudgetDB!FI"&amp;('الف-ب-ج'!$M$9+ROW()-ROW($A$7)))),"")</f>
        <v>0</v>
      </c>
      <c r="K14" s="839" cm="1">
        <f t="array" aca="1" ref="K14" ca="1">IF(ROW()-ROW($A$7)&lt;'الف-ب-ج'!$L$9,IF(روکش!$F$9="سه ماهه",INDIRECT("BudgetDB!FJ"&amp;('الف-ب-ج'!$M$9+ROW()-ROW($A$7))),INDIRECT("BudgetDB!FK"&amp;('الف-ب-ج'!$M$9+ROW()-ROW($A$7)))),"")</f>
        <v>0</v>
      </c>
      <c r="L14" s="457">
        <f t="shared" ca="1" si="2"/>
        <v>0</v>
      </c>
      <c r="M14" s="2195"/>
      <c r="N14" s="2192"/>
      <c r="O14" s="2195"/>
      <c r="P14" s="2192"/>
      <c r="Q14" s="457">
        <f t="shared" si="3"/>
        <v>0</v>
      </c>
      <c r="R14" s="2120" t="str">
        <f t="shared" ca="1" si="4"/>
        <v>-</v>
      </c>
      <c r="S14" s="2164">
        <f t="shared" ca="1" si="5"/>
        <v>500</v>
      </c>
      <c r="T14" s="2170" t="str">
        <f t="shared" ca="1" si="6"/>
        <v>-</v>
      </c>
      <c r="U14" s="2164">
        <f t="shared" ca="1" si="5"/>
        <v>500</v>
      </c>
      <c r="V14" s="418" t="str">
        <f t="shared" ca="1" si="7"/>
        <v>-</v>
      </c>
      <c r="Y14" s="1360" t="str">
        <f t="shared" ca="1" si="8"/>
        <v>-</v>
      </c>
      <c r="Z14" s="1360" t="str">
        <f t="shared" ca="1" si="9"/>
        <v>-</v>
      </c>
      <c r="AA14" s="1081"/>
      <c r="AB14" s="1360"/>
      <c r="AC14" s="41"/>
    </row>
    <row r="15" spans="1:29" ht="21">
      <c r="A15" s="1513">
        <v>9</v>
      </c>
      <c r="B15" s="2143">
        <f ca="1">IF(ROW()-ROW($A$7)&lt;'الف-ب-ج'!$L$9,INDIRECT("BudgetDB!FF"&amp;('الف-ب-ج'!$M$9+ROW()-ROW($A$7))),"")</f>
        <v>0</v>
      </c>
      <c r="C15" s="853">
        <f ca="1">IF(ROW()-ROW($A$7)&lt;'الف-ب-ج'!$L$9,INDIRECT("BudgetDB!FG"&amp;('الف-ب-ج'!$M$9+ROW()-ROW($A$7))),"")</f>
        <v>0</v>
      </c>
      <c r="D15" s="175"/>
      <c r="E15" s="176"/>
      <c r="F15" s="457">
        <f t="shared" si="0"/>
        <v>0</v>
      </c>
      <c r="G15" s="463"/>
      <c r="H15" s="176"/>
      <c r="I15" s="457">
        <f t="shared" si="1"/>
        <v>0</v>
      </c>
      <c r="J15" s="1367" cm="1">
        <f t="array" aca="1" ref="J15" ca="1">IF(ROW()-ROW($A$7)&lt;'الف-ب-ج'!$L$9,IF(روکش!$F$9="سه ماهه",INDIRECT("BudgetDB!FH"&amp;('الف-ب-ج'!$M$9+ROW()-ROW($A$7))),INDIRECT("BudgetDB!FI"&amp;('الف-ب-ج'!$M$9+ROW()-ROW($A$7)))),"")</f>
        <v>0</v>
      </c>
      <c r="K15" s="839" cm="1">
        <f t="array" aca="1" ref="K15" ca="1">IF(ROW()-ROW($A$7)&lt;'الف-ب-ج'!$L$9,IF(روکش!$F$9="سه ماهه",INDIRECT("BudgetDB!FJ"&amp;('الف-ب-ج'!$M$9+ROW()-ROW($A$7))),INDIRECT("BudgetDB!FK"&amp;('الف-ب-ج'!$M$9+ROW()-ROW($A$7)))),"")</f>
        <v>0</v>
      </c>
      <c r="L15" s="457">
        <f t="shared" ca="1" si="2"/>
        <v>0</v>
      </c>
      <c r="M15" s="2195"/>
      <c r="N15" s="2192"/>
      <c r="O15" s="2195"/>
      <c r="P15" s="2192"/>
      <c r="Q15" s="457">
        <f t="shared" si="3"/>
        <v>0</v>
      </c>
      <c r="R15" s="2120" t="str">
        <f t="shared" ca="1" si="4"/>
        <v>-</v>
      </c>
      <c r="S15" s="2164">
        <f t="shared" ca="1" si="5"/>
        <v>500</v>
      </c>
      <c r="T15" s="2170" t="str">
        <f t="shared" ca="1" si="6"/>
        <v>-</v>
      </c>
      <c r="U15" s="2164">
        <f t="shared" ca="1" si="5"/>
        <v>500</v>
      </c>
      <c r="V15" s="418" t="str">
        <f t="shared" ca="1" si="7"/>
        <v>-</v>
      </c>
      <c r="Y15" s="1360" t="str">
        <f t="shared" ca="1" si="8"/>
        <v>-</v>
      </c>
      <c r="Z15" s="1360" t="str">
        <f t="shared" ca="1" si="9"/>
        <v>-</v>
      </c>
      <c r="AA15" s="1081"/>
      <c r="AB15" s="1360"/>
      <c r="AC15" s="41"/>
    </row>
    <row r="16" spans="1:29" ht="21">
      <c r="A16" s="1513">
        <v>10</v>
      </c>
      <c r="B16" s="2144">
        <f ca="1">IF(ROW()-ROW($A$7)&lt;'الف-ب-ج'!$L$9,INDIRECT("BudgetDB!FF"&amp;('الف-ب-ج'!$M$9+ROW()-ROW($A$7))),"")</f>
        <v>0</v>
      </c>
      <c r="C16" s="2146">
        <f ca="1">IF(ROW()-ROW($A$7)&lt;'الف-ب-ج'!$L$9,INDIRECT("BudgetDB!FG"&amp;('الف-ب-ج'!$M$9+ROW()-ROW($A$7))),"")</f>
        <v>0</v>
      </c>
      <c r="D16" s="175"/>
      <c r="E16" s="176"/>
      <c r="F16" s="457">
        <f t="shared" si="0"/>
        <v>0</v>
      </c>
      <c r="G16" s="463"/>
      <c r="H16" s="176"/>
      <c r="I16" s="457">
        <f t="shared" si="1"/>
        <v>0</v>
      </c>
      <c r="J16" s="1367" cm="1">
        <f t="array" aca="1" ref="J16" ca="1">IF(ROW()-ROW($A$7)&lt;'الف-ب-ج'!$L$9,IF(روکش!$F$9="سه ماهه",INDIRECT("BudgetDB!FH"&amp;('الف-ب-ج'!$M$9+ROW()-ROW($A$7))),INDIRECT("BudgetDB!FI"&amp;('الف-ب-ج'!$M$9+ROW()-ROW($A$7)))),"")</f>
        <v>0</v>
      </c>
      <c r="K16" s="839" cm="1">
        <f t="array" aca="1" ref="K16" ca="1">IF(ROW()-ROW($A$7)&lt;'الف-ب-ج'!$L$9,IF(روکش!$F$9="سه ماهه",INDIRECT("BudgetDB!FJ"&amp;('الف-ب-ج'!$M$9+ROW()-ROW($A$7))),INDIRECT("BudgetDB!FK"&amp;('الف-ب-ج'!$M$9+ROW()-ROW($A$7)))),"")</f>
        <v>0</v>
      </c>
      <c r="L16" s="457">
        <f t="shared" ca="1" si="2"/>
        <v>0</v>
      </c>
      <c r="M16" s="2195"/>
      <c r="N16" s="2192"/>
      <c r="O16" s="2195"/>
      <c r="P16" s="2192"/>
      <c r="Q16" s="457">
        <f t="shared" si="3"/>
        <v>0</v>
      </c>
      <c r="R16" s="2120" t="str">
        <f t="shared" ca="1" si="4"/>
        <v>-</v>
      </c>
      <c r="S16" s="2164">
        <f t="shared" ca="1" si="5"/>
        <v>500</v>
      </c>
      <c r="T16" s="2170" t="str">
        <f t="shared" ca="1" si="6"/>
        <v>-</v>
      </c>
      <c r="U16" s="2164">
        <f t="shared" ca="1" si="5"/>
        <v>500</v>
      </c>
      <c r="V16" s="418" t="str">
        <f t="shared" ca="1" si="7"/>
        <v>-</v>
      </c>
      <c r="Y16" s="1360" t="str">
        <f t="shared" ca="1" si="8"/>
        <v>-</v>
      </c>
      <c r="Z16" s="1360" t="str">
        <f t="shared" ca="1" si="9"/>
        <v>-</v>
      </c>
      <c r="AA16" s="1081"/>
      <c r="AB16" s="1360"/>
      <c r="AC16" s="41"/>
    </row>
    <row r="17" spans="1:29" ht="21">
      <c r="A17" s="1513">
        <v>11</v>
      </c>
      <c r="B17" s="2144">
        <f ca="1">IF(ROW()-ROW($A$7)&lt;'الف-ب-ج'!$L$9,INDIRECT("BudgetDB!FF"&amp;('الف-ب-ج'!$M$9+ROW()-ROW($A$7))),"")</f>
        <v>0</v>
      </c>
      <c r="C17" s="2146">
        <f ca="1">IF(ROW()-ROW($A$7)&lt;'الف-ب-ج'!$L$9,INDIRECT("BudgetDB!FG"&amp;('الف-ب-ج'!$M$9+ROW()-ROW($A$7))),"")</f>
        <v>0</v>
      </c>
      <c r="D17" s="175"/>
      <c r="E17" s="176"/>
      <c r="F17" s="457">
        <f t="shared" si="0"/>
        <v>0</v>
      </c>
      <c r="G17" s="463"/>
      <c r="H17" s="176"/>
      <c r="I17" s="457">
        <f t="shared" si="1"/>
        <v>0</v>
      </c>
      <c r="J17" s="1367" cm="1">
        <f t="array" aca="1" ref="J17" ca="1">IF(ROW()-ROW($A$7)&lt;'الف-ب-ج'!$L$9,IF(روکش!$F$9="سه ماهه",INDIRECT("BudgetDB!FH"&amp;('الف-ب-ج'!$M$9+ROW()-ROW($A$7))),INDIRECT("BudgetDB!FI"&amp;('الف-ب-ج'!$M$9+ROW()-ROW($A$7)))),"")</f>
        <v>0</v>
      </c>
      <c r="K17" s="839" cm="1">
        <f t="array" aca="1" ref="K17" ca="1">IF(ROW()-ROW($A$7)&lt;'الف-ب-ج'!$L$9,IF(روکش!$F$9="سه ماهه",INDIRECT("BudgetDB!FJ"&amp;('الف-ب-ج'!$M$9+ROW()-ROW($A$7))),INDIRECT("BudgetDB!FK"&amp;('الف-ب-ج'!$M$9+ROW()-ROW($A$7)))),"")</f>
        <v>0</v>
      </c>
      <c r="L17" s="457">
        <f t="shared" ca="1" si="2"/>
        <v>0</v>
      </c>
      <c r="M17" s="2195"/>
      <c r="N17" s="2192"/>
      <c r="O17" s="2195"/>
      <c r="P17" s="2192"/>
      <c r="Q17" s="1370">
        <f t="shared" si="3"/>
        <v>0</v>
      </c>
      <c r="R17" s="2120" t="str">
        <f t="shared" ca="1" si="4"/>
        <v>-</v>
      </c>
      <c r="S17" s="2164">
        <f t="shared" ca="1" si="5"/>
        <v>500</v>
      </c>
      <c r="T17" s="2170" t="str">
        <f t="shared" ca="1" si="6"/>
        <v>-</v>
      </c>
      <c r="U17" s="2164">
        <f t="shared" ca="1" si="5"/>
        <v>500</v>
      </c>
      <c r="V17" s="418" t="str">
        <f t="shared" ca="1" si="7"/>
        <v>-</v>
      </c>
      <c r="Y17" s="1360" t="str">
        <f t="shared" ca="1" si="8"/>
        <v>-</v>
      </c>
      <c r="Z17" s="1360" t="str">
        <f t="shared" ca="1" si="9"/>
        <v>-</v>
      </c>
      <c r="AA17" s="1081"/>
      <c r="AB17" s="1360"/>
      <c r="AC17" s="41"/>
    </row>
    <row r="18" spans="1:29" ht="21">
      <c r="A18" s="1513">
        <v>12</v>
      </c>
      <c r="B18" s="2144">
        <f ca="1">IF(ROW()-ROW($A$7)&lt;'الف-ب-ج'!$L$9,INDIRECT("BudgetDB!FF"&amp;('الف-ب-ج'!$M$9+ROW()-ROW($A$7))),"")</f>
        <v>0</v>
      </c>
      <c r="C18" s="2146">
        <f ca="1">IF(ROW()-ROW($A$7)&lt;'الف-ب-ج'!$L$9,INDIRECT("BudgetDB!FG"&amp;('الف-ب-ج'!$M$9+ROW()-ROW($A$7))),"")</f>
        <v>0</v>
      </c>
      <c r="D18" s="175"/>
      <c r="E18" s="176"/>
      <c r="F18" s="457">
        <f t="shared" si="0"/>
        <v>0</v>
      </c>
      <c r="G18" s="463"/>
      <c r="H18" s="176"/>
      <c r="I18" s="457">
        <f t="shared" si="1"/>
        <v>0</v>
      </c>
      <c r="J18" s="1367" cm="1">
        <f t="array" aca="1" ref="J18" ca="1">IF(ROW()-ROW($A$7)&lt;'الف-ب-ج'!$L$9,IF(روکش!$F$9="سه ماهه",INDIRECT("BudgetDB!FH"&amp;('الف-ب-ج'!$M$9+ROW()-ROW($A$7))),INDIRECT("BudgetDB!FI"&amp;('الف-ب-ج'!$M$9+ROW()-ROW($A$7)))),"")</f>
        <v>0</v>
      </c>
      <c r="K18" s="839" cm="1">
        <f t="array" aca="1" ref="K18" ca="1">IF(ROW()-ROW($A$7)&lt;'الف-ب-ج'!$L$9,IF(روکش!$F$9="سه ماهه",INDIRECT("BudgetDB!FJ"&amp;('الف-ب-ج'!$M$9+ROW()-ROW($A$7))),INDIRECT("BudgetDB!FK"&amp;('الف-ب-ج'!$M$9+ROW()-ROW($A$7)))),"")</f>
        <v>0</v>
      </c>
      <c r="L18" s="457">
        <f t="shared" ca="1" si="2"/>
        <v>0</v>
      </c>
      <c r="M18" s="2195"/>
      <c r="N18" s="2192"/>
      <c r="O18" s="2195"/>
      <c r="P18" s="2192"/>
      <c r="Q18" s="1370">
        <f t="shared" si="3"/>
        <v>0</v>
      </c>
      <c r="R18" s="2120" t="str">
        <f t="shared" ca="1" si="4"/>
        <v>-</v>
      </c>
      <c r="S18" s="2164">
        <f t="shared" ca="1" si="5"/>
        <v>500</v>
      </c>
      <c r="T18" s="2170" t="str">
        <f t="shared" ca="1" si="6"/>
        <v>-</v>
      </c>
      <c r="U18" s="2164">
        <f t="shared" ca="1" si="5"/>
        <v>500</v>
      </c>
      <c r="V18" s="418" t="str">
        <f t="shared" ca="1" si="7"/>
        <v>-</v>
      </c>
      <c r="Y18" s="1360" t="str">
        <f t="shared" ca="1" si="8"/>
        <v>-</v>
      </c>
      <c r="Z18" s="1360" t="str">
        <f t="shared" ca="1" si="9"/>
        <v>-</v>
      </c>
      <c r="AA18" s="1081"/>
      <c r="AB18" s="1360"/>
      <c r="AC18" s="41"/>
    </row>
    <row r="19" spans="1:29" ht="21">
      <c r="A19" s="1513">
        <v>13</v>
      </c>
      <c r="B19" s="2144">
        <f ca="1">IF(ROW()-ROW($A$7)&lt;'الف-ب-ج'!$L$9,INDIRECT("BudgetDB!FF"&amp;('الف-ب-ج'!$M$9+ROW()-ROW($A$7))),"")</f>
        <v>0</v>
      </c>
      <c r="C19" s="2146">
        <f ca="1">IF(ROW()-ROW($A$7)&lt;'الف-ب-ج'!$L$9,INDIRECT("BudgetDB!FG"&amp;('الف-ب-ج'!$M$9+ROW()-ROW($A$7))),"")</f>
        <v>0</v>
      </c>
      <c r="D19" s="175"/>
      <c r="E19" s="176"/>
      <c r="F19" s="457">
        <f t="shared" si="0"/>
        <v>0</v>
      </c>
      <c r="G19" s="463"/>
      <c r="H19" s="176"/>
      <c r="I19" s="457">
        <f t="shared" si="1"/>
        <v>0</v>
      </c>
      <c r="J19" s="1367" cm="1">
        <f t="array" aca="1" ref="J19" ca="1">IF(ROW()-ROW($A$7)&lt;'الف-ب-ج'!$L$9,IF(روکش!$F$9="سه ماهه",INDIRECT("BudgetDB!FH"&amp;('الف-ب-ج'!$M$9+ROW()-ROW($A$7))),INDIRECT("BudgetDB!FI"&amp;('الف-ب-ج'!$M$9+ROW()-ROW($A$7)))),"")</f>
        <v>0</v>
      </c>
      <c r="K19" s="839" cm="1">
        <f t="array" aca="1" ref="K19" ca="1">IF(ROW()-ROW($A$7)&lt;'الف-ب-ج'!$L$9,IF(روکش!$F$9="سه ماهه",INDIRECT("BudgetDB!FJ"&amp;('الف-ب-ج'!$M$9+ROW()-ROW($A$7))),INDIRECT("BudgetDB!FK"&amp;('الف-ب-ج'!$M$9+ROW()-ROW($A$7)))),"")</f>
        <v>0</v>
      </c>
      <c r="L19" s="457">
        <f t="shared" ca="1" si="2"/>
        <v>0</v>
      </c>
      <c r="M19" s="2195"/>
      <c r="N19" s="2192"/>
      <c r="O19" s="2195"/>
      <c r="P19" s="2192"/>
      <c r="Q19" s="1370">
        <f t="shared" si="3"/>
        <v>0</v>
      </c>
      <c r="R19" s="2120" t="str">
        <f t="shared" ca="1" si="4"/>
        <v>-</v>
      </c>
      <c r="S19" s="2164">
        <f t="shared" ca="1" si="5"/>
        <v>500</v>
      </c>
      <c r="T19" s="2170" t="str">
        <f t="shared" ca="1" si="6"/>
        <v>-</v>
      </c>
      <c r="U19" s="2164">
        <f t="shared" ca="1" si="5"/>
        <v>500</v>
      </c>
      <c r="V19" s="418" t="str">
        <f t="shared" ca="1" si="7"/>
        <v>-</v>
      </c>
      <c r="Y19" s="1360" t="str">
        <f t="shared" ca="1" si="8"/>
        <v>-</v>
      </c>
      <c r="Z19" s="1360" t="str">
        <f t="shared" ca="1" si="9"/>
        <v>-</v>
      </c>
      <c r="AA19" s="1081"/>
      <c r="AB19" s="1360"/>
      <c r="AC19" s="41"/>
    </row>
    <row r="20" spans="1:29" ht="21">
      <c r="A20" s="1513">
        <v>14</v>
      </c>
      <c r="B20" s="2144">
        <f ca="1">IF(ROW()-ROW($A$7)&lt;'الف-ب-ج'!$L$9,INDIRECT("BudgetDB!FF"&amp;('الف-ب-ج'!$M$9+ROW()-ROW($A$7))),"")</f>
        <v>0</v>
      </c>
      <c r="C20" s="2146">
        <f ca="1">IF(ROW()-ROW($A$7)&lt;'الف-ب-ج'!$L$9,INDIRECT("BudgetDB!FG"&amp;('الف-ب-ج'!$M$9+ROW()-ROW($A$7))),"")</f>
        <v>0</v>
      </c>
      <c r="D20" s="175"/>
      <c r="E20" s="176"/>
      <c r="F20" s="457">
        <f t="shared" si="0"/>
        <v>0</v>
      </c>
      <c r="G20" s="463"/>
      <c r="H20" s="176"/>
      <c r="I20" s="457">
        <f t="shared" si="1"/>
        <v>0</v>
      </c>
      <c r="J20" s="1367" cm="1">
        <f t="array" aca="1" ref="J20" ca="1">IF(ROW()-ROW($A$7)&lt;'الف-ب-ج'!$L$9,IF(روکش!$F$9="سه ماهه",INDIRECT("BudgetDB!FH"&amp;('الف-ب-ج'!$M$9+ROW()-ROW($A$7))),INDIRECT("BudgetDB!FI"&amp;('الف-ب-ج'!$M$9+ROW()-ROW($A$7)))),"")</f>
        <v>0</v>
      </c>
      <c r="K20" s="839" cm="1">
        <f t="array" aca="1" ref="K20" ca="1">IF(ROW()-ROW($A$7)&lt;'الف-ب-ج'!$L$9,IF(روکش!$F$9="سه ماهه",INDIRECT("BudgetDB!FJ"&amp;('الف-ب-ج'!$M$9+ROW()-ROW($A$7))),INDIRECT("BudgetDB!FK"&amp;('الف-ب-ج'!$M$9+ROW()-ROW($A$7)))),"")</f>
        <v>0</v>
      </c>
      <c r="L20" s="457">
        <f t="shared" ca="1" si="2"/>
        <v>0</v>
      </c>
      <c r="M20" s="2195"/>
      <c r="N20" s="2192"/>
      <c r="O20" s="2195"/>
      <c r="P20" s="2192"/>
      <c r="Q20" s="1370">
        <f t="shared" si="3"/>
        <v>0</v>
      </c>
      <c r="R20" s="2120" t="str">
        <f t="shared" ca="1" si="4"/>
        <v>-</v>
      </c>
      <c r="S20" s="2164">
        <f t="shared" ca="1" si="5"/>
        <v>500</v>
      </c>
      <c r="T20" s="2170" t="str">
        <f t="shared" ca="1" si="6"/>
        <v>-</v>
      </c>
      <c r="U20" s="2164">
        <f t="shared" ca="1" si="5"/>
        <v>500</v>
      </c>
      <c r="V20" s="418" t="str">
        <f t="shared" ca="1" si="7"/>
        <v>-</v>
      </c>
      <c r="Y20" s="1360" t="str">
        <f t="shared" ca="1" si="8"/>
        <v>-</v>
      </c>
      <c r="Z20" s="1360" t="str">
        <f t="shared" ca="1" si="9"/>
        <v>-</v>
      </c>
      <c r="AA20" s="1081"/>
      <c r="AB20" s="1360"/>
      <c r="AC20" s="41"/>
    </row>
    <row r="21" spans="1:29" ht="21">
      <c r="A21" s="1514">
        <v>15</v>
      </c>
      <c r="B21" s="2144">
        <f ca="1">IF(ROW()-ROW($A$7)&lt;'الف-ب-ج'!$L$9,INDIRECT("BudgetDB!FF"&amp;('الف-ب-ج'!$M$9+ROW()-ROW($A$7))),"")</f>
        <v>0</v>
      </c>
      <c r="C21" s="2146">
        <f ca="1">IF(ROW()-ROW($A$7)&lt;'الف-ب-ج'!$L$9,INDIRECT("BudgetDB!FG"&amp;('الف-ب-ج'!$M$9+ROW()-ROW($A$7))),"")</f>
        <v>0</v>
      </c>
      <c r="D21" s="175"/>
      <c r="E21" s="176"/>
      <c r="F21" s="457">
        <f>IFERROR(E21*D21/1000000,0)</f>
        <v>0</v>
      </c>
      <c r="G21" s="463"/>
      <c r="H21" s="176"/>
      <c r="I21" s="457">
        <f>IFERROR(H21*G21/1000000,0)</f>
        <v>0</v>
      </c>
      <c r="J21" s="1367" cm="1">
        <f t="array" aca="1" ref="J21" ca="1">IF(ROW()-ROW($A$7)&lt;'الف-ب-ج'!$L$9,IF(روکش!$F$9="سه ماهه",INDIRECT("BudgetDB!FH"&amp;('الف-ب-ج'!$M$9+ROW()-ROW($A$7))),INDIRECT("BudgetDB!FI"&amp;('الف-ب-ج'!$M$9+ROW()-ROW($A$7)))),"")</f>
        <v>0</v>
      </c>
      <c r="K21" s="839" cm="1">
        <f t="array" aca="1" ref="K21" ca="1">IF(ROW()-ROW($A$7)&lt;'الف-ب-ج'!$L$9,IF(روکش!$F$9="سه ماهه",INDIRECT("BudgetDB!FJ"&amp;('الف-ب-ج'!$M$9+ROW()-ROW($A$7))),INDIRECT("BudgetDB!FK"&amp;('الف-ب-ج'!$M$9+ROW()-ROW($A$7)))),"")</f>
        <v>0</v>
      </c>
      <c r="L21" s="457">
        <f ca="1">IFERROR(K21*J21/1000000,0)</f>
        <v>0</v>
      </c>
      <c r="M21" s="2195"/>
      <c r="N21" s="2192"/>
      <c r="O21" s="2195"/>
      <c r="P21" s="2192"/>
      <c r="Q21" s="1370">
        <f t="shared" si="3"/>
        <v>0</v>
      </c>
      <c r="R21" s="2120" t="str">
        <f t="shared" ca="1" si="4"/>
        <v>-</v>
      </c>
      <c r="S21" s="2164">
        <f t="shared" ca="1" si="5"/>
        <v>500</v>
      </c>
      <c r="T21" s="2170" t="str">
        <f t="shared" ca="1" si="6"/>
        <v>-</v>
      </c>
      <c r="U21" s="2164">
        <f t="shared" ca="1" si="5"/>
        <v>500</v>
      </c>
      <c r="V21" s="418" t="str">
        <f t="shared" ca="1" si="7"/>
        <v>-</v>
      </c>
      <c r="Y21" s="1360" t="str">
        <f ca="1">IF(AND(J21=0,M21&gt;0),100,IFERROR(ABS(R21-100),"-"))</f>
        <v>-</v>
      </c>
      <c r="Z21" s="1360" t="str">
        <f ca="1">IF(AND(K21=0,O21&gt;0),100,IFERROR(ABS(T21-100),"-"))</f>
        <v>-</v>
      </c>
      <c r="AA21" s="1081"/>
      <c r="AB21" s="1360"/>
      <c r="AC21" s="41"/>
    </row>
    <row r="22" spans="1:29" ht="21">
      <c r="A22" s="1514">
        <v>16</v>
      </c>
      <c r="B22" s="2144">
        <f ca="1">IF(ROW()-ROW($A$7)&lt;'الف-ب-ج'!$L$9,INDIRECT("BudgetDB!FF"&amp;('الف-ب-ج'!$M$9+ROW()-ROW($A$7))),"")</f>
        <v>0</v>
      </c>
      <c r="C22" s="2146">
        <f ca="1">IF(ROW()-ROW($A$7)&lt;'الف-ب-ج'!$L$9,INDIRECT("BudgetDB!FG"&amp;('الف-ب-ج'!$M$9+ROW()-ROW($A$7))),"")</f>
        <v>0</v>
      </c>
      <c r="D22" s="175"/>
      <c r="E22" s="176"/>
      <c r="F22" s="457">
        <f>IFERROR(E22*D22/1000000,0)</f>
        <v>0</v>
      </c>
      <c r="G22" s="463"/>
      <c r="H22" s="176"/>
      <c r="I22" s="457">
        <f>IFERROR(H22*G22/1000000,0)</f>
        <v>0</v>
      </c>
      <c r="J22" s="1367" cm="1">
        <f t="array" aca="1" ref="J22" ca="1">IF(ROW()-ROW($A$7)&lt;'الف-ب-ج'!$L$9,IF(روکش!$F$9="سه ماهه",INDIRECT("BudgetDB!FH"&amp;('الف-ب-ج'!$M$9+ROW()-ROW($A$7))),INDIRECT("BudgetDB!FI"&amp;('الف-ب-ج'!$M$9+ROW()-ROW($A$7)))),"")</f>
        <v>0</v>
      </c>
      <c r="K22" s="839" cm="1">
        <f t="array" aca="1" ref="K22" ca="1">IF(ROW()-ROW($A$7)&lt;'الف-ب-ج'!$L$9,IF(روکش!$F$9="سه ماهه",INDIRECT("BudgetDB!FJ"&amp;('الف-ب-ج'!$M$9+ROW()-ROW($A$7))),INDIRECT("BudgetDB!FK"&amp;('الف-ب-ج'!$M$9+ROW()-ROW($A$7)))),"")</f>
        <v>0</v>
      </c>
      <c r="L22" s="457">
        <f ca="1">IFERROR(K22*J22/1000000,0)</f>
        <v>0</v>
      </c>
      <c r="M22" s="2195"/>
      <c r="N22" s="2192"/>
      <c r="O22" s="2195"/>
      <c r="P22" s="2192"/>
      <c r="Q22" s="1370">
        <f t="shared" ref="Q22:Q29" si="10">IFERROR(O22*M22/1000000,0)</f>
        <v>0</v>
      </c>
      <c r="R22" s="2120" t="str">
        <f t="shared" ref="R22:R29" ca="1" si="11">IFERROR(M22*100/J22,"-")</f>
        <v>-</v>
      </c>
      <c r="S22" s="2164">
        <f t="shared" ref="S22:S29" ca="1" si="12">IFERROR(ABS(R22-100),500)</f>
        <v>500</v>
      </c>
      <c r="T22" s="2170" t="str">
        <f t="shared" ref="T22:T29" ca="1" si="13">IFERROR(O22*100/K22,"-")</f>
        <v>-</v>
      </c>
      <c r="U22" s="2164">
        <f t="shared" ref="U22:U29" ca="1" si="14">IFERROR(ABS(T22-100),500)</f>
        <v>500</v>
      </c>
      <c r="V22" s="1493" t="str">
        <f ca="1">IFERROR(Q22*100/L22,"-")</f>
        <v>-</v>
      </c>
      <c r="Y22" s="1360" t="str">
        <f ca="1">IF(AND(J22=0,M22&gt;0),100,IFERROR(ABS(R22-100),"-"))</f>
        <v>-</v>
      </c>
      <c r="Z22" s="1360" t="str">
        <f ca="1">IF(AND(K22=0,O22&gt;0),100,IFERROR(ABS(T22-100),"-"))</f>
        <v>-</v>
      </c>
      <c r="AA22" s="1081"/>
      <c r="AB22" s="1360"/>
      <c r="AC22" s="41"/>
    </row>
    <row r="23" spans="1:29" ht="21">
      <c r="A23" s="1514">
        <v>17</v>
      </c>
      <c r="B23" s="2144">
        <f ca="1">IF(ROW()-ROW($A$7)&lt;'الف-ب-ج'!$L$9,INDIRECT("BudgetDB!FF"&amp;('الف-ب-ج'!$M$9+ROW()-ROW($A$7))),"")</f>
        <v>0</v>
      </c>
      <c r="C23" s="2146">
        <f ca="1">IF(ROW()-ROW($A$7)&lt;'الف-ب-ج'!$L$9,INDIRECT("BudgetDB!FG"&amp;('الف-ب-ج'!$M$9+ROW()-ROW($A$7))),"")</f>
        <v>0</v>
      </c>
      <c r="D23" s="175"/>
      <c r="E23" s="176"/>
      <c r="F23" s="457">
        <f>IFERROR(E23*D23/1000000,0)</f>
        <v>0</v>
      </c>
      <c r="G23" s="463"/>
      <c r="H23" s="176"/>
      <c r="I23" s="457">
        <f>IFERROR(H23*G23/1000000,0)</f>
        <v>0</v>
      </c>
      <c r="J23" s="1367" cm="1">
        <f t="array" aca="1" ref="J23" ca="1">IF(ROW()-ROW($A$7)&lt;'الف-ب-ج'!$L$9,IF(روکش!$F$9="سه ماهه",INDIRECT("BudgetDB!FH"&amp;('الف-ب-ج'!$M$9+ROW()-ROW($A$7))),INDIRECT("BudgetDB!FI"&amp;('الف-ب-ج'!$M$9+ROW()-ROW($A$7)))),"")</f>
        <v>0</v>
      </c>
      <c r="K23" s="839" cm="1">
        <f t="array" aca="1" ref="K23" ca="1">IF(ROW()-ROW($A$7)&lt;'الف-ب-ج'!$L$9,IF(روکش!$F$9="سه ماهه",INDIRECT("BudgetDB!FJ"&amp;('الف-ب-ج'!$M$9+ROW()-ROW($A$7))),INDIRECT("BudgetDB!FK"&amp;('الف-ب-ج'!$M$9+ROW()-ROW($A$7)))),"")</f>
        <v>0</v>
      </c>
      <c r="L23" s="457">
        <f ca="1">IFERROR(K23*J23/1000000,0)</f>
        <v>0</v>
      </c>
      <c r="M23" s="2195"/>
      <c r="N23" s="2192"/>
      <c r="O23" s="2195"/>
      <c r="P23" s="2192"/>
      <c r="Q23" s="1370">
        <f t="shared" si="10"/>
        <v>0</v>
      </c>
      <c r="R23" s="2120" t="str">
        <f t="shared" ca="1" si="11"/>
        <v>-</v>
      </c>
      <c r="S23" s="2164">
        <f t="shared" ca="1" si="12"/>
        <v>500</v>
      </c>
      <c r="T23" s="2170" t="str">
        <f t="shared" ca="1" si="13"/>
        <v>-</v>
      </c>
      <c r="U23" s="2164">
        <f t="shared" ca="1" si="14"/>
        <v>500</v>
      </c>
      <c r="V23" s="1493" t="str">
        <f ca="1">IFERROR(Q23*100/L23,"-")</f>
        <v>-</v>
      </c>
      <c r="Y23" s="1360" t="str">
        <f ca="1">IF(AND(J23=0,M23&gt;0),100,IFERROR(ABS(R23-100),"-"))</f>
        <v>-</v>
      </c>
      <c r="Z23" s="1360" t="str">
        <f ca="1">IF(AND(K23=0,O23&gt;0),100,IFERROR(ABS(T23-100),"-"))</f>
        <v>-</v>
      </c>
      <c r="AA23" s="1081"/>
      <c r="AB23" s="1360"/>
      <c r="AC23" s="41"/>
    </row>
    <row r="24" spans="1:29" ht="21">
      <c r="A24" s="1514">
        <v>18</v>
      </c>
      <c r="B24" s="2144">
        <f ca="1">IF(ROW()-ROW($A$7)&lt;'الف-ب-ج'!$L$9,INDIRECT("BudgetDB!FF"&amp;('الف-ب-ج'!$M$9+ROW()-ROW($A$7))),"")</f>
        <v>0</v>
      </c>
      <c r="C24" s="2146">
        <f ca="1">IF(ROW()-ROW($A$7)&lt;'الف-ب-ج'!$L$9,INDIRECT("BudgetDB!FG"&amp;('الف-ب-ج'!$M$9+ROW()-ROW($A$7))),"")</f>
        <v>0</v>
      </c>
      <c r="D24" s="175"/>
      <c r="E24" s="176"/>
      <c r="F24" s="457">
        <f t="shared" ref="F24:F29" si="15">IFERROR(E24*D24/1000000,0)</f>
        <v>0</v>
      </c>
      <c r="G24" s="463"/>
      <c r="H24" s="176"/>
      <c r="I24" s="457">
        <f t="shared" ref="I24:I29" si="16">IFERROR(H24*G24/1000000,0)</f>
        <v>0</v>
      </c>
      <c r="J24" s="1367" cm="1">
        <f t="array" aca="1" ref="J24" ca="1">IF(ROW()-ROW($A$7)&lt;'الف-ب-ج'!$L$9,IF(روکش!$F$9="سه ماهه",INDIRECT("BudgetDB!FH"&amp;('الف-ب-ج'!$M$9+ROW()-ROW($A$7))),INDIRECT("BudgetDB!FI"&amp;('الف-ب-ج'!$M$9+ROW()-ROW($A$7)))),"")</f>
        <v>0</v>
      </c>
      <c r="K24" s="839" cm="1">
        <f t="array" aca="1" ref="K24" ca="1">IF(ROW()-ROW($A$7)&lt;'الف-ب-ج'!$L$9,IF(روکش!$F$9="سه ماهه",INDIRECT("BudgetDB!FJ"&amp;('الف-ب-ج'!$M$9+ROW()-ROW($A$7))),INDIRECT("BudgetDB!FK"&amp;('الف-ب-ج'!$M$9+ROW()-ROW($A$7)))),"")</f>
        <v>0</v>
      </c>
      <c r="L24" s="457">
        <f t="shared" ref="L24:L29" ca="1" si="17">IFERROR(K24*J24/1000000,0)</f>
        <v>0</v>
      </c>
      <c r="M24" s="2195"/>
      <c r="N24" s="2192"/>
      <c r="O24" s="2195"/>
      <c r="P24" s="2192"/>
      <c r="Q24" s="1370">
        <f t="shared" si="10"/>
        <v>0</v>
      </c>
      <c r="R24" s="2120" t="str">
        <f t="shared" ca="1" si="11"/>
        <v>-</v>
      </c>
      <c r="S24" s="2164">
        <f t="shared" ca="1" si="12"/>
        <v>500</v>
      </c>
      <c r="T24" s="2170" t="str">
        <f t="shared" ca="1" si="13"/>
        <v>-</v>
      </c>
      <c r="U24" s="2164">
        <f t="shared" ca="1" si="14"/>
        <v>500</v>
      </c>
      <c r="V24" s="1493" t="str">
        <f t="shared" ref="V24:V29" ca="1" si="18">IFERROR(Q24*100/L24,"-")</f>
        <v>-</v>
      </c>
      <c r="Y24" s="1360"/>
      <c r="Z24" s="1360"/>
      <c r="AA24" s="1081"/>
      <c r="AB24" s="1360"/>
      <c r="AC24" s="41"/>
    </row>
    <row r="25" spans="1:29" ht="21">
      <c r="A25" s="1514">
        <v>19</v>
      </c>
      <c r="B25" s="2144">
        <f ca="1">IF(ROW()-ROW($A$7)&lt;'الف-ب-ج'!$L$9,INDIRECT("BudgetDB!FF"&amp;('الف-ب-ج'!$M$9+ROW()-ROW($A$7))),"")</f>
        <v>0</v>
      </c>
      <c r="C25" s="2146">
        <f ca="1">IF(ROW()-ROW($A$7)&lt;'الف-ب-ج'!$L$9,INDIRECT("BudgetDB!FG"&amp;('الف-ب-ج'!$M$9+ROW()-ROW($A$7))),"")</f>
        <v>0</v>
      </c>
      <c r="D25" s="175"/>
      <c r="E25" s="176"/>
      <c r="F25" s="457">
        <f t="shared" si="15"/>
        <v>0</v>
      </c>
      <c r="G25" s="463"/>
      <c r="H25" s="176"/>
      <c r="I25" s="457">
        <f t="shared" si="16"/>
        <v>0</v>
      </c>
      <c r="J25" s="1367" cm="1">
        <f t="array" aca="1" ref="J25" ca="1">IF(ROW()-ROW($A$7)&lt;'الف-ب-ج'!$L$9,IF(روکش!$F$9="سه ماهه",INDIRECT("BudgetDB!FH"&amp;('الف-ب-ج'!$M$9+ROW()-ROW($A$7))),INDIRECT("BudgetDB!FI"&amp;('الف-ب-ج'!$M$9+ROW()-ROW($A$7)))),"")</f>
        <v>0</v>
      </c>
      <c r="K25" s="839" cm="1">
        <f t="array" aca="1" ref="K25" ca="1">IF(ROW()-ROW($A$7)&lt;'الف-ب-ج'!$L$9,IF(روکش!$F$9="سه ماهه",INDIRECT("BudgetDB!FJ"&amp;('الف-ب-ج'!$M$9+ROW()-ROW($A$7))),INDIRECT("BudgetDB!FK"&amp;('الف-ب-ج'!$M$9+ROW()-ROW($A$7)))),"")</f>
        <v>0</v>
      </c>
      <c r="L25" s="457">
        <f t="shared" ca="1" si="17"/>
        <v>0</v>
      </c>
      <c r="M25" s="2195"/>
      <c r="N25" s="2192"/>
      <c r="O25" s="2195"/>
      <c r="P25" s="2192"/>
      <c r="Q25" s="1370">
        <f t="shared" si="10"/>
        <v>0</v>
      </c>
      <c r="R25" s="2120" t="str">
        <f t="shared" ca="1" si="11"/>
        <v>-</v>
      </c>
      <c r="S25" s="2164">
        <f t="shared" ca="1" si="12"/>
        <v>500</v>
      </c>
      <c r="T25" s="2170" t="str">
        <f t="shared" ca="1" si="13"/>
        <v>-</v>
      </c>
      <c r="U25" s="2164">
        <f t="shared" ca="1" si="14"/>
        <v>500</v>
      </c>
      <c r="V25" s="1493" t="str">
        <f t="shared" ca="1" si="18"/>
        <v>-</v>
      </c>
      <c r="Y25" s="1360"/>
      <c r="Z25" s="1360"/>
      <c r="AA25" s="1081"/>
      <c r="AB25" s="1360"/>
      <c r="AC25" s="41"/>
    </row>
    <row r="26" spans="1:29" ht="21">
      <c r="A26" s="1514">
        <v>20</v>
      </c>
      <c r="B26" s="2144">
        <f ca="1">IF(ROW()-ROW($A$7)&lt;'الف-ب-ج'!$L$9,INDIRECT("BudgetDB!FF"&amp;('الف-ب-ج'!$M$9+ROW()-ROW($A$7))),"")</f>
        <v>0</v>
      </c>
      <c r="C26" s="2146">
        <f ca="1">IF(ROW()-ROW($A$7)&lt;'الف-ب-ج'!$L$9,INDIRECT("BudgetDB!FG"&amp;('الف-ب-ج'!$M$9+ROW()-ROW($A$7))),"")</f>
        <v>0</v>
      </c>
      <c r="D26" s="175"/>
      <c r="E26" s="176"/>
      <c r="F26" s="457">
        <f t="shared" si="15"/>
        <v>0</v>
      </c>
      <c r="G26" s="463"/>
      <c r="H26" s="176"/>
      <c r="I26" s="457">
        <f t="shared" si="16"/>
        <v>0</v>
      </c>
      <c r="J26" s="1367" cm="1">
        <f t="array" aca="1" ref="J26" ca="1">IF(ROW()-ROW($A$7)&lt;'الف-ب-ج'!$L$9,IF(روکش!$F$9="سه ماهه",INDIRECT("BudgetDB!FH"&amp;('الف-ب-ج'!$M$9+ROW()-ROW($A$7))),INDIRECT("BudgetDB!FI"&amp;('الف-ب-ج'!$M$9+ROW()-ROW($A$7)))),"")</f>
        <v>0</v>
      </c>
      <c r="K26" s="839" cm="1">
        <f t="array" aca="1" ref="K26" ca="1">IF(ROW()-ROW($A$7)&lt;'الف-ب-ج'!$L$9,IF(روکش!$F$9="سه ماهه",INDIRECT("BudgetDB!FJ"&amp;('الف-ب-ج'!$M$9+ROW()-ROW($A$7))),INDIRECT("BudgetDB!FK"&amp;('الف-ب-ج'!$M$9+ROW()-ROW($A$7)))),"")</f>
        <v>0</v>
      </c>
      <c r="L26" s="457">
        <f t="shared" ca="1" si="17"/>
        <v>0</v>
      </c>
      <c r="M26" s="2195"/>
      <c r="N26" s="2192"/>
      <c r="O26" s="2195"/>
      <c r="P26" s="2192"/>
      <c r="Q26" s="1370">
        <f t="shared" si="10"/>
        <v>0</v>
      </c>
      <c r="R26" s="2120" t="str">
        <f t="shared" ca="1" si="11"/>
        <v>-</v>
      </c>
      <c r="S26" s="2164">
        <f t="shared" ca="1" si="12"/>
        <v>500</v>
      </c>
      <c r="T26" s="2170" t="str">
        <f t="shared" ca="1" si="13"/>
        <v>-</v>
      </c>
      <c r="U26" s="2164">
        <f t="shared" ca="1" si="14"/>
        <v>500</v>
      </c>
      <c r="V26" s="1493" t="str">
        <f t="shared" ca="1" si="18"/>
        <v>-</v>
      </c>
      <c r="Y26" s="1360"/>
      <c r="Z26" s="1360"/>
      <c r="AA26" s="1081"/>
      <c r="AB26" s="1360"/>
      <c r="AC26" s="41"/>
    </row>
    <row r="27" spans="1:29" ht="21">
      <c r="A27" s="1514">
        <v>21</v>
      </c>
      <c r="B27" s="2145">
        <f ca="1">IF(ROW()-ROW($A$7)&lt;'الف-ب-ج'!$L$9,INDIRECT("BudgetDB!FF"&amp;('الف-ب-ج'!$M$9+ROW()-ROW($A$7))),"")</f>
        <v>0</v>
      </c>
      <c r="C27" s="2147">
        <f ca="1">IF(ROW()-ROW($A$7)&lt;'الف-ب-ج'!$L$9,INDIRECT("BudgetDB!FG"&amp;('الف-ب-ج'!$M$9+ROW()-ROW($A$7))),"")</f>
        <v>0</v>
      </c>
      <c r="D27" s="175"/>
      <c r="E27" s="176"/>
      <c r="F27" s="457">
        <f t="shared" si="15"/>
        <v>0</v>
      </c>
      <c r="G27" s="463"/>
      <c r="H27" s="176"/>
      <c r="I27" s="457">
        <f t="shared" si="16"/>
        <v>0</v>
      </c>
      <c r="J27" s="1367" cm="1">
        <f t="array" aca="1" ref="J27" ca="1">IF(ROW()-ROW($A$7)&lt;'الف-ب-ج'!$L$9,IF(روکش!$F$9="سه ماهه",INDIRECT("BudgetDB!FH"&amp;('الف-ب-ج'!$M$9+ROW()-ROW($A$7))),INDIRECT("BudgetDB!FI"&amp;('الف-ب-ج'!$M$9+ROW()-ROW($A$7)))),"")</f>
        <v>0</v>
      </c>
      <c r="K27" s="839" cm="1">
        <f t="array" aca="1" ref="K27" ca="1">IF(ROW()-ROW($A$7)&lt;'الف-ب-ج'!$L$9,IF(روکش!$F$9="سه ماهه",INDIRECT("BudgetDB!FJ"&amp;('الف-ب-ج'!$M$9+ROW()-ROW($A$7))),INDIRECT("BudgetDB!FK"&amp;('الف-ب-ج'!$M$9+ROW()-ROW($A$7)))),"")</f>
        <v>0</v>
      </c>
      <c r="L27" s="457">
        <f t="shared" ca="1" si="17"/>
        <v>0</v>
      </c>
      <c r="M27" s="2195"/>
      <c r="N27" s="2192"/>
      <c r="O27" s="2195"/>
      <c r="P27" s="2192"/>
      <c r="Q27" s="1370">
        <f t="shared" si="10"/>
        <v>0</v>
      </c>
      <c r="R27" s="2120" t="str">
        <f t="shared" ca="1" si="11"/>
        <v>-</v>
      </c>
      <c r="S27" s="2164">
        <f t="shared" ca="1" si="12"/>
        <v>500</v>
      </c>
      <c r="T27" s="2170" t="str">
        <f t="shared" ca="1" si="13"/>
        <v>-</v>
      </c>
      <c r="U27" s="2164">
        <f t="shared" ca="1" si="14"/>
        <v>500</v>
      </c>
      <c r="V27" s="1493" t="str">
        <f t="shared" ca="1" si="18"/>
        <v>-</v>
      </c>
      <c r="Y27" s="1360" t="str">
        <f ca="1">IF(AND(J27=0,M27&gt;0),100,IFERROR(ABS(R27-100),"-"))</f>
        <v>-</v>
      </c>
      <c r="Z27" s="1360" t="str">
        <f ca="1">IF(AND(K27=0,O27&gt;0),100,IFERROR(ABS(T27-100),"-"))</f>
        <v>-</v>
      </c>
      <c r="AA27" s="1081"/>
      <c r="AB27" s="1360"/>
      <c r="AC27" s="41"/>
    </row>
    <row r="28" spans="1:29" ht="21">
      <c r="A28" s="1514">
        <v>22</v>
      </c>
      <c r="B28" s="2145">
        <f ca="1">IF(ROW()-ROW($A$7)&lt;'الف-ب-ج'!$L$9,INDIRECT("BudgetDB!FF"&amp;('الف-ب-ج'!$M$9+ROW()-ROW($A$7))),"")</f>
        <v>0</v>
      </c>
      <c r="C28" s="2147">
        <f ca="1">IF(ROW()-ROW($A$7)&lt;'الف-ب-ج'!$L$9,INDIRECT("BudgetDB!FG"&amp;('الف-ب-ج'!$M$9+ROW()-ROW($A$7))),"")</f>
        <v>0</v>
      </c>
      <c r="D28" s="175"/>
      <c r="E28" s="176"/>
      <c r="F28" s="457">
        <f t="shared" si="15"/>
        <v>0</v>
      </c>
      <c r="G28" s="463"/>
      <c r="H28" s="176"/>
      <c r="I28" s="457">
        <f t="shared" si="16"/>
        <v>0</v>
      </c>
      <c r="J28" s="1367" cm="1">
        <f t="array" aca="1" ref="J28" ca="1">IF(ROW()-ROW($A$7)&lt;'الف-ب-ج'!$L$9,IF(روکش!$F$9="سه ماهه",INDIRECT("BudgetDB!FH"&amp;('الف-ب-ج'!$M$9+ROW()-ROW($A$7))),INDIRECT("BudgetDB!FI"&amp;('الف-ب-ج'!$M$9+ROW()-ROW($A$7)))),"")</f>
        <v>0</v>
      </c>
      <c r="K28" s="839" cm="1">
        <f t="array" aca="1" ref="K28" ca="1">IF(ROW()-ROW($A$7)&lt;'الف-ب-ج'!$L$9,IF(روکش!$F$9="سه ماهه",INDIRECT("BudgetDB!FJ"&amp;('الف-ب-ج'!$M$9+ROW()-ROW($A$7))),INDIRECT("BudgetDB!FK"&amp;('الف-ب-ج'!$M$9+ROW()-ROW($A$7)))),"")</f>
        <v>0</v>
      </c>
      <c r="L28" s="457">
        <f t="shared" ca="1" si="17"/>
        <v>0</v>
      </c>
      <c r="M28" s="2195"/>
      <c r="N28" s="2192"/>
      <c r="O28" s="2195"/>
      <c r="P28" s="2192"/>
      <c r="Q28" s="1370">
        <f t="shared" si="10"/>
        <v>0</v>
      </c>
      <c r="R28" s="2120" t="str">
        <f t="shared" ca="1" si="11"/>
        <v>-</v>
      </c>
      <c r="S28" s="2164">
        <f t="shared" ca="1" si="12"/>
        <v>500</v>
      </c>
      <c r="T28" s="2170" t="str">
        <f t="shared" ca="1" si="13"/>
        <v>-</v>
      </c>
      <c r="U28" s="2164">
        <f t="shared" ca="1" si="14"/>
        <v>500</v>
      </c>
      <c r="V28" s="1493" t="str">
        <f t="shared" ca="1" si="18"/>
        <v>-</v>
      </c>
      <c r="Y28" s="1360" t="str">
        <f ca="1">IF(AND(J28=0,M28&gt;0),100,IFERROR(ABS(R28-100),"-"))</f>
        <v>-</v>
      </c>
      <c r="Z28" s="1360" t="str">
        <f ca="1">IF(AND(K28=0,O28&gt;0),100,IFERROR(ABS(T28-100),"-"))</f>
        <v>-</v>
      </c>
      <c r="AA28" s="1081"/>
      <c r="AB28" s="1360"/>
      <c r="AC28" s="41"/>
    </row>
    <row r="29" spans="1:29" ht="21.75" thickBot="1">
      <c r="A29" s="1514">
        <v>23</v>
      </c>
      <c r="B29" s="2145">
        <f ca="1">IF(ROW()-ROW($A$7)&lt;'الف-ب-ج'!$L$9,INDIRECT("BudgetDB!FF"&amp;('الف-ب-ج'!$M$9+ROW()-ROW($A$7))),"")</f>
        <v>0</v>
      </c>
      <c r="C29" s="2147">
        <f ca="1">IF(ROW()-ROW($A$7)&lt;'الف-ب-ج'!$L$9,INDIRECT("BudgetDB!FG"&amp;('الف-ب-ج'!$M$9+ROW()-ROW($A$7))),"")</f>
        <v>0</v>
      </c>
      <c r="D29" s="1108"/>
      <c r="E29" s="233"/>
      <c r="F29" s="1370">
        <f t="shared" si="15"/>
        <v>0</v>
      </c>
      <c r="G29" s="2052"/>
      <c r="H29" s="233"/>
      <c r="I29" s="1370">
        <f t="shared" si="16"/>
        <v>0</v>
      </c>
      <c r="J29" s="1368" cm="1">
        <f t="array" aca="1" ref="J29" ca="1">IF(ROW()-ROW($A$7)&lt;'الف-ب-ج'!$L$9,IF(روکش!$F$9="سه ماهه",INDIRECT("BudgetDB!FH"&amp;('الف-ب-ج'!$M$9+ROW()-ROW($A$7))),INDIRECT("BudgetDB!FI"&amp;('الف-ب-ج'!$M$9+ROW()-ROW($A$7)))),"")</f>
        <v>0</v>
      </c>
      <c r="K29" s="840" cm="1">
        <f t="array" aca="1" ref="K29" ca="1">IF(ROW()-ROW($A$7)&lt;'الف-ب-ج'!$L$9,IF(روکش!$F$9="سه ماهه",INDIRECT("BudgetDB!FJ"&amp;('الف-ب-ج'!$M$9+ROW()-ROW($A$7))),INDIRECT("BudgetDB!FK"&amp;('الف-ب-ج'!$M$9+ROW()-ROW($A$7)))),"")</f>
        <v>0</v>
      </c>
      <c r="L29" s="1370">
        <f t="shared" ca="1" si="17"/>
        <v>0</v>
      </c>
      <c r="M29" s="2195"/>
      <c r="N29" s="2192"/>
      <c r="O29" s="2195"/>
      <c r="P29" s="2192"/>
      <c r="Q29" s="1370">
        <f t="shared" si="10"/>
        <v>0</v>
      </c>
      <c r="R29" s="2120" t="str">
        <f t="shared" ca="1" si="11"/>
        <v>-</v>
      </c>
      <c r="S29" s="2164">
        <f t="shared" ca="1" si="12"/>
        <v>500</v>
      </c>
      <c r="T29" s="2170" t="str">
        <f t="shared" ca="1" si="13"/>
        <v>-</v>
      </c>
      <c r="U29" s="2164">
        <f t="shared" ca="1" si="14"/>
        <v>500</v>
      </c>
      <c r="V29" s="2152" t="str">
        <f t="shared" ca="1" si="18"/>
        <v>-</v>
      </c>
      <c r="Y29" s="37" t="str">
        <f t="shared" ca="1" si="8"/>
        <v>-</v>
      </c>
      <c r="Z29" s="37" t="str">
        <f t="shared" ca="1" si="9"/>
        <v>-</v>
      </c>
      <c r="AB29" s="37"/>
    </row>
    <row r="30" spans="1:29" ht="24.75" thickBot="1">
      <c r="A30" s="3072" t="s">
        <v>24</v>
      </c>
      <c r="B30" s="3073"/>
      <c r="C30" s="3073"/>
      <c r="D30" s="2053"/>
      <c r="E30" s="2054"/>
      <c r="F30" s="2055">
        <f>SUM(F7:F29)</f>
        <v>0</v>
      </c>
      <c r="G30" s="2056"/>
      <c r="H30" s="2054"/>
      <c r="I30" s="2055">
        <f>SUM(I7:I29)</f>
        <v>0</v>
      </c>
      <c r="J30" s="2053"/>
      <c r="K30" s="2054"/>
      <c r="L30" s="2055">
        <f ca="1">SUM(L7:L29)</f>
        <v>0</v>
      </c>
      <c r="M30" s="3081"/>
      <c r="N30" s="3082"/>
      <c r="O30" s="3083"/>
      <c r="P30" s="3082"/>
      <c r="Q30" s="2055">
        <f>SUM(Q7:Q29)</f>
        <v>0</v>
      </c>
      <c r="R30" s="2764"/>
      <c r="S30" s="2765"/>
      <c r="T30" s="2766"/>
      <c r="U30" s="2765"/>
      <c r="V30" s="1554" t="str">
        <f t="shared" ref="V30" ca="1" si="19">IFERROR(Q30*100/L30,"-")</f>
        <v>-</v>
      </c>
    </row>
    <row r="31" spans="1:29" ht="18.75" thickBot="1">
      <c r="A31" s="55"/>
      <c r="B31" s="936"/>
      <c r="C31" s="936"/>
      <c r="D31" s="936"/>
      <c r="E31" s="936"/>
      <c r="F31" s="936"/>
      <c r="G31" s="936"/>
      <c r="H31" s="936"/>
      <c r="I31" s="936"/>
      <c r="J31" s="936"/>
      <c r="K31" s="936"/>
      <c r="L31" s="936"/>
      <c r="M31" s="936"/>
      <c r="N31" s="936"/>
      <c r="O31" s="936"/>
      <c r="P31" s="936"/>
      <c r="Q31" s="936"/>
      <c r="R31" s="936"/>
      <c r="S31" s="936"/>
      <c r="T31" s="936"/>
      <c r="U31" s="936"/>
      <c r="V31" s="936"/>
    </row>
    <row r="32" spans="1:29" ht="24" customHeight="1">
      <c r="A32" s="2885" t="s">
        <v>5</v>
      </c>
      <c r="B32" s="2888" t="s">
        <v>21</v>
      </c>
      <c r="C32" s="2891" t="s">
        <v>22</v>
      </c>
      <c r="D32" s="1389" t="s">
        <v>691</v>
      </c>
      <c r="E32" s="1390"/>
      <c r="F32" s="1391"/>
      <c r="G32" s="1391"/>
      <c r="H32" s="1392"/>
      <c r="I32" s="1393"/>
      <c r="J32" s="1389" t="s">
        <v>1625</v>
      </c>
      <c r="K32" s="1390"/>
      <c r="L32" s="1391"/>
      <c r="M32" s="1391"/>
      <c r="N32" s="1392"/>
      <c r="O32" s="1392"/>
      <c r="P32" s="1392"/>
      <c r="Q32" s="1393"/>
      <c r="R32" s="2894" t="s">
        <v>692</v>
      </c>
      <c r="S32" s="2895"/>
      <c r="T32" s="2895"/>
      <c r="U32" s="2895"/>
      <c r="V32" s="2896"/>
    </row>
    <row r="33" spans="1:22" ht="21" customHeight="1">
      <c r="A33" s="2886"/>
      <c r="B33" s="2889"/>
      <c r="C33" s="2892"/>
      <c r="D33" s="1397" t="s">
        <v>689</v>
      </c>
      <c r="E33" s="1398"/>
      <c r="F33" s="1399"/>
      <c r="G33" s="1397" t="s">
        <v>1624</v>
      </c>
      <c r="H33" s="1398"/>
      <c r="I33" s="1399"/>
      <c r="J33" s="1397" t="s">
        <v>852</v>
      </c>
      <c r="K33" s="1398"/>
      <c r="L33" s="1399"/>
      <c r="M33" s="1400" t="s">
        <v>641</v>
      </c>
      <c r="N33" s="1398"/>
      <c r="O33" s="1398"/>
      <c r="P33" s="1398"/>
      <c r="Q33" s="1402"/>
      <c r="R33" s="2897"/>
      <c r="S33" s="2898"/>
      <c r="T33" s="2898"/>
      <c r="U33" s="2898"/>
      <c r="V33" s="2899"/>
    </row>
    <row r="34" spans="1:22" ht="21.75" thickBot="1">
      <c r="A34" s="2886"/>
      <c r="B34" s="2890"/>
      <c r="C34" s="2892"/>
      <c r="D34" s="465" t="s">
        <v>8</v>
      </c>
      <c r="E34" s="466" t="s">
        <v>9</v>
      </c>
      <c r="F34" s="468" t="s">
        <v>10</v>
      </c>
      <c r="G34" s="465" t="s">
        <v>8</v>
      </c>
      <c r="H34" s="466" t="s">
        <v>9</v>
      </c>
      <c r="I34" s="468" t="s">
        <v>10</v>
      </c>
      <c r="J34" s="465" t="s">
        <v>8</v>
      </c>
      <c r="K34" s="466" t="s">
        <v>9</v>
      </c>
      <c r="L34" s="468" t="s">
        <v>10</v>
      </c>
      <c r="M34" s="2184" t="s">
        <v>8</v>
      </c>
      <c r="N34" s="2184"/>
      <c r="O34" s="2185" t="s">
        <v>9</v>
      </c>
      <c r="P34" s="2185"/>
      <c r="Q34" s="2197" t="s">
        <v>10</v>
      </c>
      <c r="R34" s="2900" t="s">
        <v>8</v>
      </c>
      <c r="S34" s="2901"/>
      <c r="T34" s="2902" t="s">
        <v>9</v>
      </c>
      <c r="U34" s="2901"/>
      <c r="V34" s="468" t="s">
        <v>10</v>
      </c>
    </row>
    <row r="35" spans="1:22" ht="21">
      <c r="A35" s="424">
        <v>1</v>
      </c>
      <c r="B35" s="1410">
        <f t="shared" ref="B35:C50" ca="1" si="20">B7</f>
        <v>0</v>
      </c>
      <c r="C35" s="1411">
        <f t="shared" ca="1" si="20"/>
        <v>0</v>
      </c>
      <c r="D35" s="215"/>
      <c r="E35" s="216"/>
      <c r="F35" s="1369">
        <f>IFERROR(E35*D35/1000000,0)</f>
        <v>0</v>
      </c>
      <c r="G35" s="215"/>
      <c r="H35" s="216"/>
      <c r="I35" s="478">
        <f>IFERROR(H35*G35/1000000,0)</f>
        <v>0</v>
      </c>
      <c r="J35" s="1367" cm="1">
        <f t="array" aca="1" ref="J35" ca="1">IF(ROW()-ROW($A$35)&lt;'الف-ب-ج'!$L$9,IF(روکش!$F$9="سه ماهه",INDIRECT("BudgetDB!FL"&amp;('الف-ب-ج'!$M$9+ROW()-ROW($A$35))),INDIRECT("BudgetDB!FM"&amp;('الف-ب-ج'!$M$9+ROW()-ROW($A$35)))),"")</f>
        <v>0</v>
      </c>
      <c r="K35" s="838" cm="1">
        <f t="array" aca="1" ref="K35" ca="1">IF(ROW()-ROW($A$35)&lt;'الف-ب-ج'!$L$9,IF(روکش!$F$9="سه ماهه",INDIRECT("BudgetDB!FN"&amp;('الف-ب-ج'!$M$9+ROW()-ROW($A$35))),INDIRECT("BudgetDB!FO"&amp;('الف-ب-ج'!$M$9+ROW()-ROW($A$35)))),"")</f>
        <v>0</v>
      </c>
      <c r="L35" s="1369">
        <f ca="1">IFERROR(K35*J35/1000000,0)</f>
        <v>0</v>
      </c>
      <c r="M35" s="2119" t="str">
        <f ca="1">IFERROR((G35*100/J35),"-")</f>
        <v>-</v>
      </c>
      <c r="N35" s="2163">
        <f ca="1">IFERROR(ABS(M35-100),500)</f>
        <v>500</v>
      </c>
      <c r="O35" s="2169" t="str">
        <f ca="1">IFERROR((H35*100/K35),"-")</f>
        <v>-</v>
      </c>
      <c r="P35" s="2163">
        <f ca="1">IFERROR(ABS(O35-100),500)</f>
        <v>500</v>
      </c>
      <c r="Q35" s="415" t="str">
        <f ca="1">IFERROR((I35*100/L35),"-")</f>
        <v>-</v>
      </c>
      <c r="R35" s="2206">
        <f>G7+M7-D35-G35</f>
        <v>0</v>
      </c>
      <c r="S35" s="2207"/>
      <c r="T35" s="2180" t="str">
        <f>IFERROR(V35*1000000/R35,"-")</f>
        <v>-</v>
      </c>
      <c r="U35" s="2181"/>
      <c r="V35" s="2122">
        <f>I7+Q7-F35-I35</f>
        <v>0</v>
      </c>
    </row>
    <row r="36" spans="1:22" ht="21">
      <c r="A36" s="425">
        <v>2</v>
      </c>
      <c r="B36" s="1412">
        <f t="shared" ca="1" si="20"/>
        <v>0</v>
      </c>
      <c r="C36" s="1413">
        <f t="shared" ca="1" si="20"/>
        <v>0</v>
      </c>
      <c r="D36" s="217"/>
      <c r="E36" s="218"/>
      <c r="F36" s="457">
        <f t="shared" ref="F36:F50" si="21">IFERROR(E36*D36/1000000,0)</f>
        <v>0</v>
      </c>
      <c r="G36" s="217"/>
      <c r="H36" s="218"/>
      <c r="I36" s="480">
        <f t="shared" ref="I36:I50" si="22">IFERROR(H36*G36/1000000,0)</f>
        <v>0</v>
      </c>
      <c r="J36" s="1367" cm="1">
        <f t="array" aca="1" ref="J36" ca="1">IF(ROW()-ROW($A$35)&lt;'الف-ب-ج'!$L$9,IF(روکش!$F$9="سه ماهه",INDIRECT("BudgetDB!FL"&amp;('الف-ب-ج'!$M$9+ROW()-ROW($A$35))),INDIRECT("BudgetDB!FM"&amp;('الف-ب-ج'!$M$9+ROW()-ROW($A$35)))),"")</f>
        <v>0</v>
      </c>
      <c r="K36" s="839" cm="1">
        <f t="array" aca="1" ref="K36" ca="1">IF(ROW()-ROW($A$35)&lt;'الف-ب-ج'!$L$9,IF(روکش!$F$9="سه ماهه",INDIRECT("BudgetDB!FN"&amp;('الف-ب-ج'!$M$9+ROW()-ROW($A$35))),INDIRECT("BudgetDB!FO"&amp;('الف-ب-ج'!$M$9+ROW()-ROW($A$35)))),"")</f>
        <v>0</v>
      </c>
      <c r="L36" s="457">
        <f t="shared" ref="L36:L48" ca="1" si="23">IFERROR(K36*J36/1000000,0)</f>
        <v>0</v>
      </c>
      <c r="M36" s="2120" t="str">
        <f t="shared" ref="M36" ca="1" si="24">IFERROR((G36*100/J36),"-")</f>
        <v>-</v>
      </c>
      <c r="N36" s="2164">
        <f t="shared" ref="N36" ca="1" si="25">IFERROR(ABS(M36-100),500)</f>
        <v>500</v>
      </c>
      <c r="O36" s="2170" t="str">
        <f t="shared" ref="O36" ca="1" si="26">IFERROR((H36*100/K36),"-")</f>
        <v>-</v>
      </c>
      <c r="P36" s="2164">
        <f t="shared" ref="P36" ca="1" si="27">IFERROR(ABS(O36-100),500)</f>
        <v>500</v>
      </c>
      <c r="Q36" s="418" t="str">
        <f t="shared" ref="Q36" ca="1" si="28">IFERROR((I36*100/L36),"-")</f>
        <v>-</v>
      </c>
      <c r="R36" s="2208">
        <f>G8+M8-D36-G36</f>
        <v>0</v>
      </c>
      <c r="S36" s="2179"/>
      <c r="T36" s="2180" t="str">
        <f t="shared" ref="T36" si="29">IFERROR(V36*1000000/R36,"-")</f>
        <v>-</v>
      </c>
      <c r="U36" s="2181"/>
      <c r="V36" s="2105">
        <f>I8+Q8-F36-I36</f>
        <v>0</v>
      </c>
    </row>
    <row r="37" spans="1:22" ht="21">
      <c r="A37" s="425">
        <v>3</v>
      </c>
      <c r="B37" s="1412">
        <f t="shared" ca="1" si="20"/>
        <v>0</v>
      </c>
      <c r="C37" s="1413">
        <f t="shared" ca="1" si="20"/>
        <v>0</v>
      </c>
      <c r="D37" s="217"/>
      <c r="E37" s="218"/>
      <c r="F37" s="457">
        <f t="shared" si="21"/>
        <v>0</v>
      </c>
      <c r="G37" s="217"/>
      <c r="H37" s="218"/>
      <c r="I37" s="480">
        <f t="shared" si="22"/>
        <v>0</v>
      </c>
      <c r="J37" s="1367" cm="1">
        <f t="array" aca="1" ref="J37" ca="1">IF(ROW()-ROW($A$35)&lt;'الف-ب-ج'!$L$9,IF(روکش!$F$9="سه ماهه",INDIRECT("BudgetDB!FL"&amp;('الف-ب-ج'!$M$9+ROW()-ROW($A$35))),INDIRECT("BudgetDB!FM"&amp;('الف-ب-ج'!$M$9+ROW()-ROW($A$35)))),"")</f>
        <v>0</v>
      </c>
      <c r="K37" s="839" cm="1">
        <f t="array" aca="1" ref="K37" ca="1">IF(ROW()-ROW($A$35)&lt;'الف-ب-ج'!$L$9,IF(روکش!$F$9="سه ماهه",INDIRECT("BudgetDB!FN"&amp;('الف-ب-ج'!$M$9+ROW()-ROW($A$35))),INDIRECT("BudgetDB!FO"&amp;('الف-ب-ج'!$M$9+ROW()-ROW($A$35)))),"")</f>
        <v>0</v>
      </c>
      <c r="L37" s="457">
        <f t="shared" ca="1" si="23"/>
        <v>0</v>
      </c>
      <c r="M37" s="2120" t="str">
        <f t="shared" ref="M37:M57" ca="1" si="30">IFERROR((G37*100/J37),"-")</f>
        <v>-</v>
      </c>
      <c r="N37" s="2164">
        <f t="shared" ref="N37:N57" ca="1" si="31">IFERROR(ABS(M37-100),500)</f>
        <v>500</v>
      </c>
      <c r="O37" s="2170" t="str">
        <f t="shared" ref="O37:O57" ca="1" si="32">IFERROR((H37*100/K37),"-")</f>
        <v>-</v>
      </c>
      <c r="P37" s="2164">
        <f t="shared" ref="P37:P57" ca="1" si="33">IFERROR(ABS(O37-100),500)</f>
        <v>500</v>
      </c>
      <c r="Q37" s="418" t="str">
        <f t="shared" ref="Q37:Q57" ca="1" si="34">IFERROR((I37*100/L37),"-")</f>
        <v>-</v>
      </c>
      <c r="R37" s="2208">
        <f t="shared" ref="R37:R57" si="35">G9+M9-D37-G37</f>
        <v>0</v>
      </c>
      <c r="S37" s="2179"/>
      <c r="T37" s="2180" t="str">
        <f t="shared" ref="T37:T57" si="36">IFERROR(V37*1000000/R37,"-")</f>
        <v>-</v>
      </c>
      <c r="U37" s="2181"/>
      <c r="V37" s="2105">
        <f t="shared" ref="V37:V57" si="37">I9+Q9-F37-I37</f>
        <v>0</v>
      </c>
    </row>
    <row r="38" spans="1:22" ht="21">
      <c r="A38" s="425">
        <v>4</v>
      </c>
      <c r="B38" s="1412">
        <f t="shared" ca="1" si="20"/>
        <v>0</v>
      </c>
      <c r="C38" s="1413">
        <f t="shared" ca="1" si="20"/>
        <v>0</v>
      </c>
      <c r="D38" s="217"/>
      <c r="E38" s="218"/>
      <c r="F38" s="457">
        <f t="shared" si="21"/>
        <v>0</v>
      </c>
      <c r="G38" s="217"/>
      <c r="H38" s="218"/>
      <c r="I38" s="480">
        <f t="shared" si="22"/>
        <v>0</v>
      </c>
      <c r="J38" s="1367" cm="1">
        <f t="array" aca="1" ref="J38" ca="1">IF(ROW()-ROW($A$35)&lt;'الف-ب-ج'!$L$9,IF(روکش!$F$9="سه ماهه",INDIRECT("BudgetDB!FL"&amp;('الف-ب-ج'!$M$9+ROW()-ROW($A$35))),INDIRECT("BudgetDB!FM"&amp;('الف-ب-ج'!$M$9+ROW()-ROW($A$35)))),"")</f>
        <v>0</v>
      </c>
      <c r="K38" s="839" cm="1">
        <f t="array" aca="1" ref="K38" ca="1">IF(ROW()-ROW($A$35)&lt;'الف-ب-ج'!$L$9,IF(روکش!$F$9="سه ماهه",INDIRECT("BudgetDB!FN"&amp;('الف-ب-ج'!$M$9+ROW()-ROW($A$35))),INDIRECT("BudgetDB!FO"&amp;('الف-ب-ج'!$M$9+ROW()-ROW($A$35)))),"")</f>
        <v>0</v>
      </c>
      <c r="L38" s="457">
        <f t="shared" ca="1" si="23"/>
        <v>0</v>
      </c>
      <c r="M38" s="2120" t="str">
        <f t="shared" ca="1" si="30"/>
        <v>-</v>
      </c>
      <c r="N38" s="2164">
        <f t="shared" ca="1" si="31"/>
        <v>500</v>
      </c>
      <c r="O38" s="2170" t="str">
        <f t="shared" ca="1" si="32"/>
        <v>-</v>
      </c>
      <c r="P38" s="2164">
        <f t="shared" ca="1" si="33"/>
        <v>500</v>
      </c>
      <c r="Q38" s="418" t="str">
        <f t="shared" ca="1" si="34"/>
        <v>-</v>
      </c>
      <c r="R38" s="2208">
        <f t="shared" si="35"/>
        <v>0</v>
      </c>
      <c r="S38" s="2179"/>
      <c r="T38" s="2180" t="str">
        <f t="shared" si="36"/>
        <v>-</v>
      </c>
      <c r="U38" s="2181"/>
      <c r="V38" s="2105">
        <f t="shared" si="37"/>
        <v>0</v>
      </c>
    </row>
    <row r="39" spans="1:22" ht="21">
      <c r="A39" s="425">
        <v>5</v>
      </c>
      <c r="B39" s="1412">
        <f t="shared" ca="1" si="20"/>
        <v>0</v>
      </c>
      <c r="C39" s="1413">
        <f t="shared" ca="1" si="20"/>
        <v>0</v>
      </c>
      <c r="D39" s="175"/>
      <c r="E39" s="176"/>
      <c r="F39" s="1369">
        <f t="shared" si="21"/>
        <v>0</v>
      </c>
      <c r="G39" s="175"/>
      <c r="H39" s="176"/>
      <c r="I39" s="1369">
        <f t="shared" si="22"/>
        <v>0</v>
      </c>
      <c r="J39" s="1367" cm="1">
        <f t="array" aca="1" ref="J39" ca="1">IF(ROW()-ROW($A$35)&lt;'الف-ب-ج'!$L$9,IF(روکش!$F$9="سه ماهه",INDIRECT("BudgetDB!FL"&amp;('الف-ب-ج'!$M$9+ROW()-ROW($A$35))),INDIRECT("BudgetDB!FM"&amp;('الف-ب-ج'!$M$9+ROW()-ROW($A$35)))),"")</f>
        <v>0</v>
      </c>
      <c r="K39" s="838" cm="1">
        <f t="array" aca="1" ref="K39" ca="1">IF(ROW()-ROW($A$35)&lt;'الف-ب-ج'!$L$9,IF(روکش!$F$9="سه ماهه",INDIRECT("BudgetDB!FN"&amp;('الف-ب-ج'!$M$9+ROW()-ROW($A$35))),INDIRECT("BudgetDB!FO"&amp;('الف-ب-ج'!$M$9+ROW()-ROW($A$35)))),"")</f>
        <v>0</v>
      </c>
      <c r="L39" s="1369">
        <f t="shared" ca="1" si="23"/>
        <v>0</v>
      </c>
      <c r="M39" s="2120" t="str">
        <f t="shared" ca="1" si="30"/>
        <v>-</v>
      </c>
      <c r="N39" s="2164">
        <f t="shared" ca="1" si="31"/>
        <v>500</v>
      </c>
      <c r="O39" s="2170" t="str">
        <f t="shared" ca="1" si="32"/>
        <v>-</v>
      </c>
      <c r="P39" s="2164">
        <f t="shared" ca="1" si="33"/>
        <v>500</v>
      </c>
      <c r="Q39" s="418" t="str">
        <f t="shared" ca="1" si="34"/>
        <v>-</v>
      </c>
      <c r="R39" s="2208">
        <f t="shared" si="35"/>
        <v>0</v>
      </c>
      <c r="S39" s="2179"/>
      <c r="T39" s="2180" t="str">
        <f t="shared" si="36"/>
        <v>-</v>
      </c>
      <c r="U39" s="2181"/>
      <c r="V39" s="2105">
        <f t="shared" si="37"/>
        <v>0</v>
      </c>
    </row>
    <row r="40" spans="1:22" ht="21">
      <c r="A40" s="425">
        <v>6</v>
      </c>
      <c r="B40" s="1412">
        <f t="shared" ca="1" si="20"/>
        <v>0</v>
      </c>
      <c r="C40" s="1413">
        <f t="shared" ca="1" si="20"/>
        <v>0</v>
      </c>
      <c r="D40" s="175"/>
      <c r="E40" s="176"/>
      <c r="F40" s="1369">
        <f t="shared" si="21"/>
        <v>0</v>
      </c>
      <c r="G40" s="175"/>
      <c r="H40" s="176"/>
      <c r="I40" s="1369">
        <f t="shared" si="22"/>
        <v>0</v>
      </c>
      <c r="J40" s="1367" cm="1">
        <f t="array" aca="1" ref="J40" ca="1">IF(ROW()-ROW($A$35)&lt;'الف-ب-ج'!$L$9,IF(روکش!$F$9="سه ماهه",INDIRECT("BudgetDB!FL"&amp;('الف-ب-ج'!$M$9+ROW()-ROW($A$35))),INDIRECT("BudgetDB!FM"&amp;('الف-ب-ج'!$M$9+ROW()-ROW($A$35)))),"")</f>
        <v>0</v>
      </c>
      <c r="K40" s="838" cm="1">
        <f t="array" aca="1" ref="K40" ca="1">IF(ROW()-ROW($A$35)&lt;'الف-ب-ج'!$L$9,IF(روکش!$F$9="سه ماهه",INDIRECT("BudgetDB!FN"&amp;('الف-ب-ج'!$M$9+ROW()-ROW($A$35))),INDIRECT("BudgetDB!FO"&amp;('الف-ب-ج'!$M$9+ROW()-ROW($A$35)))),"")</f>
        <v>0</v>
      </c>
      <c r="L40" s="1369">
        <f t="shared" ca="1" si="23"/>
        <v>0</v>
      </c>
      <c r="M40" s="2120" t="str">
        <f t="shared" ca="1" si="30"/>
        <v>-</v>
      </c>
      <c r="N40" s="2164">
        <f t="shared" ca="1" si="31"/>
        <v>500</v>
      </c>
      <c r="O40" s="2170" t="str">
        <f t="shared" ca="1" si="32"/>
        <v>-</v>
      </c>
      <c r="P40" s="2164">
        <f t="shared" ca="1" si="33"/>
        <v>500</v>
      </c>
      <c r="Q40" s="418" t="str">
        <f t="shared" ca="1" si="34"/>
        <v>-</v>
      </c>
      <c r="R40" s="2208">
        <f t="shared" si="35"/>
        <v>0</v>
      </c>
      <c r="S40" s="2179"/>
      <c r="T40" s="2180" t="str">
        <f t="shared" si="36"/>
        <v>-</v>
      </c>
      <c r="U40" s="2181"/>
      <c r="V40" s="2105">
        <f t="shared" si="37"/>
        <v>0</v>
      </c>
    </row>
    <row r="41" spans="1:22" ht="21">
      <c r="A41" s="425">
        <v>7</v>
      </c>
      <c r="B41" s="1412">
        <f t="shared" ca="1" si="20"/>
        <v>0</v>
      </c>
      <c r="C41" s="1413">
        <f t="shared" ca="1" si="20"/>
        <v>0</v>
      </c>
      <c r="D41" s="175"/>
      <c r="E41" s="176"/>
      <c r="F41" s="1369">
        <f t="shared" si="21"/>
        <v>0</v>
      </c>
      <c r="G41" s="175"/>
      <c r="H41" s="176"/>
      <c r="I41" s="1369">
        <f t="shared" si="22"/>
        <v>0</v>
      </c>
      <c r="J41" s="1367" cm="1">
        <f t="array" aca="1" ref="J41" ca="1">IF(ROW()-ROW($A$35)&lt;'الف-ب-ج'!$L$9,IF(روکش!$F$9="سه ماهه",INDIRECT("BudgetDB!FL"&amp;('الف-ب-ج'!$M$9+ROW()-ROW($A$35))),INDIRECT("BudgetDB!FM"&amp;('الف-ب-ج'!$M$9+ROW()-ROW($A$35)))),"")</f>
        <v>0</v>
      </c>
      <c r="K41" s="838" cm="1">
        <f t="array" aca="1" ref="K41" ca="1">IF(ROW()-ROW($A$35)&lt;'الف-ب-ج'!$L$9,IF(روکش!$F$9="سه ماهه",INDIRECT("BudgetDB!FN"&amp;('الف-ب-ج'!$M$9+ROW()-ROW($A$35))),INDIRECT("BudgetDB!FO"&amp;('الف-ب-ج'!$M$9+ROW()-ROW($A$35)))),"")</f>
        <v>0</v>
      </c>
      <c r="L41" s="1369">
        <f t="shared" ca="1" si="23"/>
        <v>0</v>
      </c>
      <c r="M41" s="2120" t="str">
        <f t="shared" ca="1" si="30"/>
        <v>-</v>
      </c>
      <c r="N41" s="2164">
        <f t="shared" ca="1" si="31"/>
        <v>500</v>
      </c>
      <c r="O41" s="2170" t="str">
        <f t="shared" ca="1" si="32"/>
        <v>-</v>
      </c>
      <c r="P41" s="2164">
        <f t="shared" ca="1" si="33"/>
        <v>500</v>
      </c>
      <c r="Q41" s="418" t="str">
        <f t="shared" ca="1" si="34"/>
        <v>-</v>
      </c>
      <c r="R41" s="2208">
        <f t="shared" si="35"/>
        <v>0</v>
      </c>
      <c r="S41" s="2179"/>
      <c r="T41" s="2180" t="str">
        <f t="shared" si="36"/>
        <v>-</v>
      </c>
      <c r="U41" s="2181"/>
      <c r="V41" s="2105">
        <f t="shared" si="37"/>
        <v>0</v>
      </c>
    </row>
    <row r="42" spans="1:22" ht="21">
      <c r="A42" s="425">
        <v>8</v>
      </c>
      <c r="B42" s="1412">
        <f t="shared" ca="1" si="20"/>
        <v>0</v>
      </c>
      <c r="C42" s="1413">
        <f t="shared" ca="1" si="20"/>
        <v>0</v>
      </c>
      <c r="D42" s="175"/>
      <c r="E42" s="176"/>
      <c r="F42" s="1369">
        <f t="shared" si="21"/>
        <v>0</v>
      </c>
      <c r="G42" s="175"/>
      <c r="H42" s="176"/>
      <c r="I42" s="1369">
        <f t="shared" si="22"/>
        <v>0</v>
      </c>
      <c r="J42" s="1367" cm="1">
        <f t="array" aca="1" ref="J42" ca="1">IF(ROW()-ROW($A$35)&lt;'الف-ب-ج'!$L$9,IF(روکش!$F$9="سه ماهه",INDIRECT("BudgetDB!FL"&amp;('الف-ب-ج'!$M$9+ROW()-ROW($A$35))),INDIRECT("BudgetDB!FM"&amp;('الف-ب-ج'!$M$9+ROW()-ROW($A$35)))),"")</f>
        <v>0</v>
      </c>
      <c r="K42" s="838" cm="1">
        <f t="array" aca="1" ref="K42" ca="1">IF(ROW()-ROW($A$35)&lt;'الف-ب-ج'!$L$9,IF(روکش!$F$9="سه ماهه",INDIRECT("BudgetDB!FN"&amp;('الف-ب-ج'!$M$9+ROW()-ROW($A$35))),INDIRECT("BudgetDB!FO"&amp;('الف-ب-ج'!$M$9+ROW()-ROW($A$35)))),"")</f>
        <v>0</v>
      </c>
      <c r="L42" s="1369">
        <f t="shared" ca="1" si="23"/>
        <v>0</v>
      </c>
      <c r="M42" s="2120" t="str">
        <f t="shared" ca="1" si="30"/>
        <v>-</v>
      </c>
      <c r="N42" s="2164">
        <f t="shared" ca="1" si="31"/>
        <v>500</v>
      </c>
      <c r="O42" s="2170" t="str">
        <f t="shared" ca="1" si="32"/>
        <v>-</v>
      </c>
      <c r="P42" s="2164">
        <f t="shared" ca="1" si="33"/>
        <v>500</v>
      </c>
      <c r="Q42" s="418" t="str">
        <f t="shared" ca="1" si="34"/>
        <v>-</v>
      </c>
      <c r="R42" s="2208">
        <f t="shared" si="35"/>
        <v>0</v>
      </c>
      <c r="S42" s="2179"/>
      <c r="T42" s="2180" t="str">
        <f t="shared" si="36"/>
        <v>-</v>
      </c>
      <c r="U42" s="2181"/>
      <c r="V42" s="2105">
        <f t="shared" si="37"/>
        <v>0</v>
      </c>
    </row>
    <row r="43" spans="1:22" ht="21">
      <c r="A43" s="425">
        <v>9</v>
      </c>
      <c r="B43" s="1412">
        <f t="shared" ca="1" si="20"/>
        <v>0</v>
      </c>
      <c r="C43" s="1413">
        <f t="shared" ca="1" si="20"/>
        <v>0</v>
      </c>
      <c r="D43" s="175"/>
      <c r="E43" s="176"/>
      <c r="F43" s="1369">
        <f t="shared" si="21"/>
        <v>0</v>
      </c>
      <c r="G43" s="175"/>
      <c r="H43" s="176"/>
      <c r="I43" s="1369">
        <f t="shared" si="22"/>
        <v>0</v>
      </c>
      <c r="J43" s="1367" cm="1">
        <f t="array" aca="1" ref="J43" ca="1">IF(ROW()-ROW($A$35)&lt;'الف-ب-ج'!$L$9,IF(روکش!$F$9="سه ماهه",INDIRECT("BudgetDB!FL"&amp;('الف-ب-ج'!$M$9+ROW()-ROW($A$35))),INDIRECT("BudgetDB!FM"&amp;('الف-ب-ج'!$M$9+ROW()-ROW($A$35)))),"")</f>
        <v>0</v>
      </c>
      <c r="K43" s="838" cm="1">
        <f t="array" aca="1" ref="K43" ca="1">IF(ROW()-ROW($A$35)&lt;'الف-ب-ج'!$L$9,IF(روکش!$F$9="سه ماهه",INDIRECT("BudgetDB!FN"&amp;('الف-ب-ج'!$M$9+ROW()-ROW($A$35))),INDIRECT("BudgetDB!FO"&amp;('الف-ب-ج'!$M$9+ROW()-ROW($A$35)))),"")</f>
        <v>0</v>
      </c>
      <c r="L43" s="1369">
        <f t="shared" ca="1" si="23"/>
        <v>0</v>
      </c>
      <c r="M43" s="2120" t="str">
        <f t="shared" ca="1" si="30"/>
        <v>-</v>
      </c>
      <c r="N43" s="2164">
        <f t="shared" ca="1" si="31"/>
        <v>500</v>
      </c>
      <c r="O43" s="2170" t="str">
        <f t="shared" ca="1" si="32"/>
        <v>-</v>
      </c>
      <c r="P43" s="2164">
        <f t="shared" ca="1" si="33"/>
        <v>500</v>
      </c>
      <c r="Q43" s="418" t="str">
        <f t="shared" ca="1" si="34"/>
        <v>-</v>
      </c>
      <c r="R43" s="2208">
        <f t="shared" si="35"/>
        <v>0</v>
      </c>
      <c r="S43" s="2179"/>
      <c r="T43" s="2180" t="str">
        <f t="shared" si="36"/>
        <v>-</v>
      </c>
      <c r="U43" s="2181"/>
      <c r="V43" s="2105">
        <f t="shared" si="37"/>
        <v>0</v>
      </c>
    </row>
    <row r="44" spans="1:22" ht="21">
      <c r="A44" s="425">
        <v>10</v>
      </c>
      <c r="B44" s="1412">
        <f t="shared" ca="1" si="20"/>
        <v>0</v>
      </c>
      <c r="C44" s="1413">
        <f t="shared" ca="1" si="20"/>
        <v>0</v>
      </c>
      <c r="D44" s="175"/>
      <c r="E44" s="176"/>
      <c r="F44" s="1369">
        <f t="shared" si="21"/>
        <v>0</v>
      </c>
      <c r="G44" s="175"/>
      <c r="H44" s="176"/>
      <c r="I44" s="1369">
        <f t="shared" si="22"/>
        <v>0</v>
      </c>
      <c r="J44" s="1367" cm="1">
        <f t="array" aca="1" ref="J44" ca="1">IF(ROW()-ROW($A$35)&lt;'الف-ب-ج'!$L$9,IF(روکش!$F$9="سه ماهه",INDIRECT("BudgetDB!FL"&amp;('الف-ب-ج'!$M$9+ROW()-ROW($A$35))),INDIRECT("BudgetDB!FM"&amp;('الف-ب-ج'!$M$9+ROW()-ROW($A$35)))),"")</f>
        <v>0</v>
      </c>
      <c r="K44" s="838" cm="1">
        <f t="array" aca="1" ref="K44" ca="1">IF(ROW()-ROW($A$35)&lt;'الف-ب-ج'!$L$9,IF(روکش!$F$9="سه ماهه",INDIRECT("BudgetDB!FN"&amp;('الف-ب-ج'!$M$9+ROW()-ROW($A$35))),INDIRECT("BudgetDB!FO"&amp;('الف-ب-ج'!$M$9+ROW()-ROW($A$35)))),"")</f>
        <v>0</v>
      </c>
      <c r="L44" s="1369">
        <f t="shared" ca="1" si="23"/>
        <v>0</v>
      </c>
      <c r="M44" s="2120" t="str">
        <f t="shared" ca="1" si="30"/>
        <v>-</v>
      </c>
      <c r="N44" s="2164">
        <f t="shared" ca="1" si="31"/>
        <v>500</v>
      </c>
      <c r="O44" s="2170" t="str">
        <f t="shared" ca="1" si="32"/>
        <v>-</v>
      </c>
      <c r="P44" s="2164">
        <f t="shared" ca="1" si="33"/>
        <v>500</v>
      </c>
      <c r="Q44" s="418" t="str">
        <f t="shared" ca="1" si="34"/>
        <v>-</v>
      </c>
      <c r="R44" s="2208">
        <f t="shared" si="35"/>
        <v>0</v>
      </c>
      <c r="S44" s="2179"/>
      <c r="T44" s="2180" t="str">
        <f t="shared" si="36"/>
        <v>-</v>
      </c>
      <c r="U44" s="2181"/>
      <c r="V44" s="2105">
        <f t="shared" si="37"/>
        <v>0</v>
      </c>
    </row>
    <row r="45" spans="1:22" ht="21">
      <c r="A45" s="425">
        <v>11</v>
      </c>
      <c r="B45" s="1414">
        <f t="shared" ca="1" si="20"/>
        <v>0</v>
      </c>
      <c r="C45" s="1413">
        <f t="shared" ca="1" si="20"/>
        <v>0</v>
      </c>
      <c r="D45" s="175"/>
      <c r="E45" s="176"/>
      <c r="F45" s="1369">
        <f t="shared" si="21"/>
        <v>0</v>
      </c>
      <c r="G45" s="175"/>
      <c r="H45" s="176"/>
      <c r="I45" s="1369">
        <f t="shared" si="22"/>
        <v>0</v>
      </c>
      <c r="J45" s="1367" cm="1">
        <f t="array" aca="1" ref="J45" ca="1">IF(ROW()-ROW($A$35)&lt;'الف-ب-ج'!$L$9,IF(روکش!$F$9="سه ماهه",INDIRECT("BudgetDB!FL"&amp;('الف-ب-ج'!$M$9+ROW()-ROW($A$35))),INDIRECT("BudgetDB!FM"&amp;('الف-ب-ج'!$M$9+ROW()-ROW($A$35)))),"")</f>
        <v>0</v>
      </c>
      <c r="K45" s="838" cm="1">
        <f t="array" aca="1" ref="K45" ca="1">IF(ROW()-ROW($A$35)&lt;'الف-ب-ج'!$L$9,IF(روکش!$F$9="سه ماهه",INDIRECT("BudgetDB!FN"&amp;('الف-ب-ج'!$M$9+ROW()-ROW($A$35))),INDIRECT("BudgetDB!FO"&amp;('الف-ب-ج'!$M$9+ROW()-ROW($A$35)))),"")</f>
        <v>0</v>
      </c>
      <c r="L45" s="1369">
        <f t="shared" ca="1" si="23"/>
        <v>0</v>
      </c>
      <c r="M45" s="2120" t="str">
        <f t="shared" ca="1" si="30"/>
        <v>-</v>
      </c>
      <c r="N45" s="2164">
        <f t="shared" ca="1" si="31"/>
        <v>500</v>
      </c>
      <c r="O45" s="2170" t="str">
        <f t="shared" ca="1" si="32"/>
        <v>-</v>
      </c>
      <c r="P45" s="2164">
        <f t="shared" ca="1" si="33"/>
        <v>500</v>
      </c>
      <c r="Q45" s="418" t="str">
        <f t="shared" ca="1" si="34"/>
        <v>-</v>
      </c>
      <c r="R45" s="2208">
        <f t="shared" si="35"/>
        <v>0</v>
      </c>
      <c r="S45" s="2179"/>
      <c r="T45" s="2180" t="str">
        <f t="shared" si="36"/>
        <v>-</v>
      </c>
      <c r="U45" s="2181"/>
      <c r="V45" s="2105">
        <f t="shared" si="37"/>
        <v>0</v>
      </c>
    </row>
    <row r="46" spans="1:22" ht="21">
      <c r="A46" s="425">
        <v>12</v>
      </c>
      <c r="B46" s="1414">
        <f t="shared" ca="1" si="20"/>
        <v>0</v>
      </c>
      <c r="C46" s="1413">
        <f t="shared" ca="1" si="20"/>
        <v>0</v>
      </c>
      <c r="D46" s="175"/>
      <c r="E46" s="176"/>
      <c r="F46" s="1369">
        <f t="shared" si="21"/>
        <v>0</v>
      </c>
      <c r="G46" s="175"/>
      <c r="H46" s="176"/>
      <c r="I46" s="1369">
        <f t="shared" si="22"/>
        <v>0</v>
      </c>
      <c r="J46" s="1367" cm="1">
        <f t="array" aca="1" ref="J46" ca="1">IF(ROW()-ROW($A$35)&lt;'الف-ب-ج'!$L$9,IF(روکش!$F$9="سه ماهه",INDIRECT("BudgetDB!FL"&amp;('الف-ب-ج'!$M$9+ROW()-ROW($A$35))),INDIRECT("BudgetDB!FM"&amp;('الف-ب-ج'!$M$9+ROW()-ROW($A$35)))),"")</f>
        <v>0</v>
      </c>
      <c r="K46" s="838" cm="1">
        <f t="array" aca="1" ref="K46" ca="1">IF(ROW()-ROW($A$35)&lt;'الف-ب-ج'!$L$9,IF(روکش!$F$9="سه ماهه",INDIRECT("BudgetDB!FN"&amp;('الف-ب-ج'!$M$9+ROW()-ROW($A$35))),INDIRECT("BudgetDB!FO"&amp;('الف-ب-ج'!$M$9+ROW()-ROW($A$35)))),"")</f>
        <v>0</v>
      </c>
      <c r="L46" s="1369">
        <f t="shared" ca="1" si="23"/>
        <v>0</v>
      </c>
      <c r="M46" s="2120" t="str">
        <f t="shared" ca="1" si="30"/>
        <v>-</v>
      </c>
      <c r="N46" s="2164">
        <f t="shared" ca="1" si="31"/>
        <v>500</v>
      </c>
      <c r="O46" s="2170" t="str">
        <f t="shared" ca="1" si="32"/>
        <v>-</v>
      </c>
      <c r="P46" s="2164">
        <f t="shared" ca="1" si="33"/>
        <v>500</v>
      </c>
      <c r="Q46" s="418" t="str">
        <f t="shared" ca="1" si="34"/>
        <v>-</v>
      </c>
      <c r="R46" s="2208">
        <f t="shared" si="35"/>
        <v>0</v>
      </c>
      <c r="S46" s="2179"/>
      <c r="T46" s="2180" t="str">
        <f t="shared" si="36"/>
        <v>-</v>
      </c>
      <c r="U46" s="2181"/>
      <c r="V46" s="2105">
        <f t="shared" si="37"/>
        <v>0</v>
      </c>
    </row>
    <row r="47" spans="1:22" ht="21">
      <c r="A47" s="425">
        <v>13</v>
      </c>
      <c r="B47" s="1414">
        <f t="shared" ca="1" si="20"/>
        <v>0</v>
      </c>
      <c r="C47" s="1413">
        <f t="shared" ca="1" si="20"/>
        <v>0</v>
      </c>
      <c r="D47" s="175"/>
      <c r="E47" s="176"/>
      <c r="F47" s="1369">
        <f t="shared" si="21"/>
        <v>0</v>
      </c>
      <c r="G47" s="175"/>
      <c r="H47" s="176"/>
      <c r="I47" s="1369">
        <f t="shared" si="22"/>
        <v>0</v>
      </c>
      <c r="J47" s="1367" cm="1">
        <f t="array" aca="1" ref="J47" ca="1">IF(ROW()-ROW($A$35)&lt;'الف-ب-ج'!$L$9,IF(روکش!$F$9="سه ماهه",INDIRECT("BudgetDB!FL"&amp;('الف-ب-ج'!$M$9+ROW()-ROW($A$35))),INDIRECT("BudgetDB!FM"&amp;('الف-ب-ج'!$M$9+ROW()-ROW($A$35)))),"")</f>
        <v>0</v>
      </c>
      <c r="K47" s="838" cm="1">
        <f t="array" aca="1" ref="K47" ca="1">IF(ROW()-ROW($A$35)&lt;'الف-ب-ج'!$L$9,IF(روکش!$F$9="سه ماهه",INDIRECT("BudgetDB!FN"&amp;('الف-ب-ج'!$M$9+ROW()-ROW($A$35))),INDIRECT("BudgetDB!FO"&amp;('الف-ب-ج'!$M$9+ROW()-ROW($A$35)))),"")</f>
        <v>0</v>
      </c>
      <c r="L47" s="1369">
        <f t="shared" ca="1" si="23"/>
        <v>0</v>
      </c>
      <c r="M47" s="2120" t="str">
        <f t="shared" ca="1" si="30"/>
        <v>-</v>
      </c>
      <c r="N47" s="2164">
        <f t="shared" ca="1" si="31"/>
        <v>500</v>
      </c>
      <c r="O47" s="2170" t="str">
        <f t="shared" ca="1" si="32"/>
        <v>-</v>
      </c>
      <c r="P47" s="2164">
        <f t="shared" ca="1" si="33"/>
        <v>500</v>
      </c>
      <c r="Q47" s="418" t="str">
        <f t="shared" ca="1" si="34"/>
        <v>-</v>
      </c>
      <c r="R47" s="2208">
        <f t="shared" si="35"/>
        <v>0</v>
      </c>
      <c r="S47" s="2179"/>
      <c r="T47" s="2180" t="str">
        <f t="shared" si="36"/>
        <v>-</v>
      </c>
      <c r="U47" s="2181"/>
      <c r="V47" s="2105">
        <f t="shared" si="37"/>
        <v>0</v>
      </c>
    </row>
    <row r="48" spans="1:22" ht="21">
      <c r="A48" s="425">
        <v>14</v>
      </c>
      <c r="B48" s="1414">
        <f t="shared" ca="1" si="20"/>
        <v>0</v>
      </c>
      <c r="C48" s="1413">
        <f t="shared" ca="1" si="20"/>
        <v>0</v>
      </c>
      <c r="D48" s="175"/>
      <c r="E48" s="176"/>
      <c r="F48" s="1369">
        <f t="shared" si="21"/>
        <v>0</v>
      </c>
      <c r="G48" s="175"/>
      <c r="H48" s="176"/>
      <c r="I48" s="1369">
        <f t="shared" si="22"/>
        <v>0</v>
      </c>
      <c r="J48" s="1367" cm="1">
        <f t="array" aca="1" ref="J48" ca="1">IF(ROW()-ROW($A$35)&lt;'الف-ب-ج'!$L$9,IF(روکش!$F$9="سه ماهه",INDIRECT("BudgetDB!FL"&amp;('الف-ب-ج'!$M$9+ROW()-ROW($A$35))),INDIRECT("BudgetDB!FM"&amp;('الف-ب-ج'!$M$9+ROW()-ROW($A$35)))),"")</f>
        <v>0</v>
      </c>
      <c r="K48" s="838" cm="1">
        <f t="array" aca="1" ref="K48" ca="1">IF(ROW()-ROW($A$35)&lt;'الف-ب-ج'!$L$9,IF(روکش!$F$9="سه ماهه",INDIRECT("BudgetDB!FN"&amp;('الف-ب-ج'!$M$9+ROW()-ROW($A$35))),INDIRECT("BudgetDB!FO"&amp;('الف-ب-ج'!$M$9+ROW()-ROW($A$35)))),"")</f>
        <v>0</v>
      </c>
      <c r="L48" s="1369">
        <f t="shared" ca="1" si="23"/>
        <v>0</v>
      </c>
      <c r="M48" s="2120" t="str">
        <f t="shared" ca="1" si="30"/>
        <v>-</v>
      </c>
      <c r="N48" s="2164">
        <f t="shared" ca="1" si="31"/>
        <v>500</v>
      </c>
      <c r="O48" s="2170" t="str">
        <f t="shared" ca="1" si="32"/>
        <v>-</v>
      </c>
      <c r="P48" s="2164">
        <f t="shared" ca="1" si="33"/>
        <v>500</v>
      </c>
      <c r="Q48" s="418" t="str">
        <f t="shared" ca="1" si="34"/>
        <v>-</v>
      </c>
      <c r="R48" s="2208">
        <f t="shared" si="35"/>
        <v>0</v>
      </c>
      <c r="S48" s="2179"/>
      <c r="T48" s="2180" t="str">
        <f t="shared" si="36"/>
        <v>-</v>
      </c>
      <c r="U48" s="2181"/>
      <c r="V48" s="2105">
        <f t="shared" si="37"/>
        <v>0</v>
      </c>
    </row>
    <row r="49" spans="1:22" ht="21">
      <c r="A49" s="425">
        <v>15</v>
      </c>
      <c r="B49" s="1414">
        <f t="shared" ca="1" si="20"/>
        <v>0</v>
      </c>
      <c r="C49" s="1413">
        <f t="shared" ca="1" si="20"/>
        <v>0</v>
      </c>
      <c r="D49" s="1108"/>
      <c r="E49" s="233"/>
      <c r="F49" s="1369">
        <f t="shared" si="21"/>
        <v>0</v>
      </c>
      <c r="G49" s="1108"/>
      <c r="H49" s="233"/>
      <c r="I49" s="1369">
        <f t="shared" si="22"/>
        <v>0</v>
      </c>
      <c r="J49" s="1367" cm="1">
        <f t="array" aca="1" ref="J49" ca="1">IF(ROW()-ROW($A$35)&lt;'الف-ب-ج'!$L$9,IF(روکش!$F$9="سه ماهه",INDIRECT("BudgetDB!FL"&amp;('الف-ب-ج'!$M$9+ROW()-ROW($A$35))),INDIRECT("BudgetDB!FM"&amp;('الف-ب-ج'!$M$9+ROW()-ROW($A$35)))),"")</f>
        <v>0</v>
      </c>
      <c r="K49" s="838" cm="1">
        <f t="array" aca="1" ref="K49" ca="1">IF(ROW()-ROW($A$35)&lt;'الف-ب-ج'!$L$9,IF(روکش!$F$9="سه ماهه",INDIRECT("BudgetDB!FN"&amp;('الف-ب-ج'!$M$9+ROW()-ROW($A$35))),INDIRECT("BudgetDB!FO"&amp;('الف-ب-ج'!$M$9+ROW()-ROW($A$35)))),"")</f>
        <v>0</v>
      </c>
      <c r="L49" s="1369">
        <f t="shared" ref="L49:L50" ca="1" si="38">IFERROR(K49*J49/1000000,0)</f>
        <v>0</v>
      </c>
      <c r="M49" s="2120" t="str">
        <f t="shared" ca="1" si="30"/>
        <v>-</v>
      </c>
      <c r="N49" s="2164">
        <f t="shared" ca="1" si="31"/>
        <v>500</v>
      </c>
      <c r="O49" s="2170" t="str">
        <f t="shared" ca="1" si="32"/>
        <v>-</v>
      </c>
      <c r="P49" s="2164">
        <f t="shared" ca="1" si="33"/>
        <v>500</v>
      </c>
      <c r="Q49" s="418" t="str">
        <f t="shared" ca="1" si="34"/>
        <v>-</v>
      </c>
      <c r="R49" s="2208">
        <f t="shared" si="35"/>
        <v>0</v>
      </c>
      <c r="S49" s="2179"/>
      <c r="T49" s="2180" t="str">
        <f t="shared" si="36"/>
        <v>-</v>
      </c>
      <c r="U49" s="2181"/>
      <c r="V49" s="2105">
        <f t="shared" si="37"/>
        <v>0</v>
      </c>
    </row>
    <row r="50" spans="1:22" ht="21">
      <c r="A50" s="425">
        <v>16</v>
      </c>
      <c r="B50" s="1414">
        <f t="shared" ca="1" si="20"/>
        <v>0</v>
      </c>
      <c r="C50" s="1413">
        <f t="shared" ca="1" si="20"/>
        <v>0</v>
      </c>
      <c r="D50" s="1108"/>
      <c r="E50" s="233"/>
      <c r="F50" s="1369">
        <f t="shared" si="21"/>
        <v>0</v>
      </c>
      <c r="G50" s="1108"/>
      <c r="H50" s="233"/>
      <c r="I50" s="1369">
        <f t="shared" si="22"/>
        <v>0</v>
      </c>
      <c r="J50" s="1367" cm="1">
        <f t="array" aca="1" ref="J50" ca="1">IF(ROW()-ROW($A$35)&lt;'الف-ب-ج'!$L$9,IF(روکش!$F$9="سه ماهه",INDIRECT("BudgetDB!FL"&amp;('الف-ب-ج'!$M$9+ROW()-ROW($A$35))),INDIRECT("BudgetDB!FM"&amp;('الف-ب-ج'!$M$9+ROW()-ROW($A$35)))),"")</f>
        <v>0</v>
      </c>
      <c r="K50" s="838" cm="1">
        <f t="array" aca="1" ref="K50" ca="1">IF(ROW()-ROW($A$35)&lt;'الف-ب-ج'!$L$9,IF(روکش!$F$9="سه ماهه",INDIRECT("BudgetDB!FN"&amp;('الف-ب-ج'!$M$9+ROW()-ROW($A$35))),INDIRECT("BudgetDB!FO"&amp;('الف-ب-ج'!$M$9+ROW()-ROW($A$35)))),"")</f>
        <v>0</v>
      </c>
      <c r="L50" s="1369">
        <f t="shared" ca="1" si="38"/>
        <v>0</v>
      </c>
      <c r="M50" s="2120" t="str">
        <f t="shared" ca="1" si="30"/>
        <v>-</v>
      </c>
      <c r="N50" s="2164">
        <f t="shared" ca="1" si="31"/>
        <v>500</v>
      </c>
      <c r="O50" s="2170" t="str">
        <f t="shared" ca="1" si="32"/>
        <v>-</v>
      </c>
      <c r="P50" s="2164">
        <f t="shared" ca="1" si="33"/>
        <v>500</v>
      </c>
      <c r="Q50" s="418" t="str">
        <f t="shared" ca="1" si="34"/>
        <v>-</v>
      </c>
      <c r="R50" s="2208">
        <f t="shared" si="35"/>
        <v>0</v>
      </c>
      <c r="S50" s="2179"/>
      <c r="T50" s="2180" t="str">
        <f t="shared" si="36"/>
        <v>-</v>
      </c>
      <c r="U50" s="2181"/>
      <c r="V50" s="2105">
        <f t="shared" si="37"/>
        <v>0</v>
      </c>
    </row>
    <row r="51" spans="1:22" ht="21">
      <c r="A51" s="425">
        <v>17</v>
      </c>
      <c r="B51" s="1414">
        <f t="shared" ref="B51:C51" ca="1" si="39">B23</f>
        <v>0</v>
      </c>
      <c r="C51" s="1413">
        <f t="shared" ca="1" si="39"/>
        <v>0</v>
      </c>
      <c r="D51" s="1108"/>
      <c r="E51" s="233"/>
      <c r="F51" s="1369">
        <f t="shared" ref="F51:F57" si="40">IFERROR(E51*D51/1000000,0)</f>
        <v>0</v>
      </c>
      <c r="G51" s="1108"/>
      <c r="H51" s="233"/>
      <c r="I51" s="1369">
        <f t="shared" ref="I51:I57" si="41">IFERROR(H51*G51/1000000,0)</f>
        <v>0</v>
      </c>
      <c r="J51" s="1367" cm="1">
        <f t="array" aca="1" ref="J51" ca="1">IF(ROW()-ROW($A$35)&lt;'الف-ب-ج'!$L$9,IF(روکش!$F$9="سه ماهه",INDIRECT("BudgetDB!FL"&amp;('الف-ب-ج'!$M$9+ROW()-ROW($A$35))),INDIRECT("BudgetDB!FM"&amp;('الف-ب-ج'!$M$9+ROW()-ROW($A$35)))),"")</f>
        <v>0</v>
      </c>
      <c r="K51" s="838" cm="1">
        <f t="array" aca="1" ref="K51" ca="1">IF(ROW()-ROW($A$35)&lt;'الف-ب-ج'!$L$9,IF(روکش!$F$9="سه ماهه",INDIRECT("BudgetDB!FN"&amp;('الف-ب-ج'!$M$9+ROW()-ROW($A$35))),INDIRECT("BudgetDB!FO"&amp;('الف-ب-ج'!$M$9+ROW()-ROW($A$35)))),"")</f>
        <v>0</v>
      </c>
      <c r="L51" s="1369">
        <f t="shared" ref="L51:L57" ca="1" si="42">IFERROR(K51*J51/1000000,0)</f>
        <v>0</v>
      </c>
      <c r="M51" s="2120" t="str">
        <f t="shared" ca="1" si="30"/>
        <v>-</v>
      </c>
      <c r="N51" s="2164">
        <f t="shared" ca="1" si="31"/>
        <v>500</v>
      </c>
      <c r="O51" s="2170" t="str">
        <f t="shared" ca="1" si="32"/>
        <v>-</v>
      </c>
      <c r="P51" s="2164">
        <f t="shared" ca="1" si="33"/>
        <v>500</v>
      </c>
      <c r="Q51" s="418" t="str">
        <f t="shared" ca="1" si="34"/>
        <v>-</v>
      </c>
      <c r="R51" s="2208">
        <f t="shared" si="35"/>
        <v>0</v>
      </c>
      <c r="S51" s="2179"/>
      <c r="T51" s="2180" t="str">
        <f t="shared" si="36"/>
        <v>-</v>
      </c>
      <c r="U51" s="2181"/>
      <c r="V51" s="2105">
        <f t="shared" si="37"/>
        <v>0</v>
      </c>
    </row>
    <row r="52" spans="1:22" ht="21">
      <c r="A52" s="425">
        <v>18</v>
      </c>
      <c r="B52" s="1414">
        <f t="shared" ref="B52:C52" ca="1" si="43">B24</f>
        <v>0</v>
      </c>
      <c r="C52" s="1413">
        <f t="shared" ca="1" si="43"/>
        <v>0</v>
      </c>
      <c r="D52" s="1108"/>
      <c r="E52" s="233"/>
      <c r="F52" s="1369">
        <f t="shared" si="40"/>
        <v>0</v>
      </c>
      <c r="G52" s="1108"/>
      <c r="H52" s="233"/>
      <c r="I52" s="1369">
        <f t="shared" si="41"/>
        <v>0</v>
      </c>
      <c r="J52" s="1367" cm="1">
        <f t="array" aca="1" ref="J52" ca="1">IF(ROW()-ROW($A$35)&lt;'الف-ب-ج'!$L$9,IF(روکش!$F$9="سه ماهه",INDIRECT("BudgetDB!FL"&amp;('الف-ب-ج'!$M$9+ROW()-ROW($A$35))),INDIRECT("BudgetDB!FM"&amp;('الف-ب-ج'!$M$9+ROW()-ROW($A$35)))),"")</f>
        <v>0</v>
      </c>
      <c r="K52" s="838" cm="1">
        <f t="array" aca="1" ref="K52" ca="1">IF(ROW()-ROW($A$35)&lt;'الف-ب-ج'!$L$9,IF(روکش!$F$9="سه ماهه",INDIRECT("BudgetDB!FN"&amp;('الف-ب-ج'!$M$9+ROW()-ROW($A$35))),INDIRECT("BudgetDB!FO"&amp;('الف-ب-ج'!$M$9+ROW()-ROW($A$35)))),"")</f>
        <v>0</v>
      </c>
      <c r="L52" s="1369">
        <f t="shared" ca="1" si="42"/>
        <v>0</v>
      </c>
      <c r="M52" s="2120" t="str">
        <f t="shared" ca="1" si="30"/>
        <v>-</v>
      </c>
      <c r="N52" s="2164">
        <f t="shared" ca="1" si="31"/>
        <v>500</v>
      </c>
      <c r="O52" s="2170" t="str">
        <f t="shared" ca="1" si="32"/>
        <v>-</v>
      </c>
      <c r="P52" s="2164">
        <f t="shared" ca="1" si="33"/>
        <v>500</v>
      </c>
      <c r="Q52" s="418" t="str">
        <f t="shared" ca="1" si="34"/>
        <v>-</v>
      </c>
      <c r="R52" s="2208">
        <f t="shared" si="35"/>
        <v>0</v>
      </c>
      <c r="S52" s="2179"/>
      <c r="T52" s="2180" t="str">
        <f t="shared" si="36"/>
        <v>-</v>
      </c>
      <c r="U52" s="2181"/>
      <c r="V52" s="2105">
        <f t="shared" si="37"/>
        <v>0</v>
      </c>
    </row>
    <row r="53" spans="1:22" ht="21">
      <c r="A53" s="425">
        <v>19</v>
      </c>
      <c r="B53" s="1414">
        <f t="shared" ref="B53:C53" ca="1" si="44">B25</f>
        <v>0</v>
      </c>
      <c r="C53" s="1413">
        <f t="shared" ca="1" si="44"/>
        <v>0</v>
      </c>
      <c r="D53" s="1108"/>
      <c r="E53" s="233"/>
      <c r="F53" s="1369">
        <f t="shared" si="40"/>
        <v>0</v>
      </c>
      <c r="G53" s="1108"/>
      <c r="H53" s="233"/>
      <c r="I53" s="1369">
        <f t="shared" si="41"/>
        <v>0</v>
      </c>
      <c r="J53" s="1367" cm="1">
        <f t="array" aca="1" ref="J53" ca="1">IF(ROW()-ROW($A$35)&lt;'الف-ب-ج'!$L$9,IF(روکش!$F$9="سه ماهه",INDIRECT("BudgetDB!FL"&amp;('الف-ب-ج'!$M$9+ROW()-ROW($A$35))),INDIRECT("BudgetDB!FM"&amp;('الف-ب-ج'!$M$9+ROW()-ROW($A$35)))),"")</f>
        <v>0</v>
      </c>
      <c r="K53" s="838" cm="1">
        <f t="array" aca="1" ref="K53" ca="1">IF(ROW()-ROW($A$35)&lt;'الف-ب-ج'!$L$9,IF(روکش!$F$9="سه ماهه",INDIRECT("BudgetDB!FN"&amp;('الف-ب-ج'!$M$9+ROW()-ROW($A$35))),INDIRECT("BudgetDB!FO"&amp;('الف-ب-ج'!$M$9+ROW()-ROW($A$35)))),"")</f>
        <v>0</v>
      </c>
      <c r="L53" s="1369">
        <f t="shared" ca="1" si="42"/>
        <v>0</v>
      </c>
      <c r="M53" s="2120" t="str">
        <f t="shared" ca="1" si="30"/>
        <v>-</v>
      </c>
      <c r="N53" s="2164">
        <f t="shared" ca="1" si="31"/>
        <v>500</v>
      </c>
      <c r="O53" s="2170" t="str">
        <f t="shared" ca="1" si="32"/>
        <v>-</v>
      </c>
      <c r="P53" s="2164">
        <f t="shared" ca="1" si="33"/>
        <v>500</v>
      </c>
      <c r="Q53" s="418" t="str">
        <f t="shared" ca="1" si="34"/>
        <v>-</v>
      </c>
      <c r="R53" s="2208">
        <f t="shared" si="35"/>
        <v>0</v>
      </c>
      <c r="S53" s="2179"/>
      <c r="T53" s="2180" t="str">
        <f t="shared" si="36"/>
        <v>-</v>
      </c>
      <c r="U53" s="2181"/>
      <c r="V53" s="2105">
        <f t="shared" si="37"/>
        <v>0</v>
      </c>
    </row>
    <row r="54" spans="1:22" ht="21">
      <c r="A54" s="425">
        <v>20</v>
      </c>
      <c r="B54" s="1414">
        <f t="shared" ref="B54:C54" ca="1" si="45">B26</f>
        <v>0</v>
      </c>
      <c r="C54" s="1413">
        <f t="shared" ca="1" si="45"/>
        <v>0</v>
      </c>
      <c r="D54" s="1108"/>
      <c r="E54" s="233"/>
      <c r="F54" s="1369">
        <f t="shared" si="40"/>
        <v>0</v>
      </c>
      <c r="G54" s="1108"/>
      <c r="H54" s="233"/>
      <c r="I54" s="1369">
        <f t="shared" si="41"/>
        <v>0</v>
      </c>
      <c r="J54" s="1367" cm="1">
        <f t="array" aca="1" ref="J54" ca="1">IF(ROW()-ROW($A$35)&lt;'الف-ب-ج'!$L$9,IF(روکش!$F$9="سه ماهه",INDIRECT("BudgetDB!FL"&amp;('الف-ب-ج'!$M$9+ROW()-ROW($A$35))),INDIRECT("BudgetDB!FM"&amp;('الف-ب-ج'!$M$9+ROW()-ROW($A$35)))),"")</f>
        <v>0</v>
      </c>
      <c r="K54" s="838" cm="1">
        <f t="array" aca="1" ref="K54" ca="1">IF(ROW()-ROW($A$35)&lt;'الف-ب-ج'!$L$9,IF(روکش!$F$9="سه ماهه",INDIRECT("BudgetDB!FN"&amp;('الف-ب-ج'!$M$9+ROW()-ROW($A$35))),INDIRECT("BudgetDB!FO"&amp;('الف-ب-ج'!$M$9+ROW()-ROW($A$35)))),"")</f>
        <v>0</v>
      </c>
      <c r="L54" s="1369">
        <f t="shared" ca="1" si="42"/>
        <v>0</v>
      </c>
      <c r="M54" s="2120" t="str">
        <f t="shared" ca="1" si="30"/>
        <v>-</v>
      </c>
      <c r="N54" s="2164">
        <f t="shared" ca="1" si="31"/>
        <v>500</v>
      </c>
      <c r="O54" s="2170" t="str">
        <f t="shared" ca="1" si="32"/>
        <v>-</v>
      </c>
      <c r="P54" s="2164">
        <f t="shared" ca="1" si="33"/>
        <v>500</v>
      </c>
      <c r="Q54" s="418" t="str">
        <f t="shared" ca="1" si="34"/>
        <v>-</v>
      </c>
      <c r="R54" s="2208">
        <f t="shared" si="35"/>
        <v>0</v>
      </c>
      <c r="S54" s="2179"/>
      <c r="T54" s="2180" t="str">
        <f t="shared" si="36"/>
        <v>-</v>
      </c>
      <c r="U54" s="2181"/>
      <c r="V54" s="2105">
        <f t="shared" si="37"/>
        <v>0</v>
      </c>
    </row>
    <row r="55" spans="1:22" ht="21">
      <c r="A55" s="425">
        <v>21</v>
      </c>
      <c r="B55" s="1414">
        <f t="shared" ref="B55:C55" ca="1" si="46">B27</f>
        <v>0</v>
      </c>
      <c r="C55" s="1413">
        <f t="shared" ca="1" si="46"/>
        <v>0</v>
      </c>
      <c r="D55" s="1108"/>
      <c r="E55" s="233"/>
      <c r="F55" s="1369">
        <f t="shared" si="40"/>
        <v>0</v>
      </c>
      <c r="G55" s="1108"/>
      <c r="H55" s="233"/>
      <c r="I55" s="1369">
        <f t="shared" si="41"/>
        <v>0</v>
      </c>
      <c r="J55" s="1367" cm="1">
        <f t="array" aca="1" ref="J55" ca="1">IF(ROW()-ROW($A$35)&lt;'الف-ب-ج'!$L$9,IF(روکش!$F$9="سه ماهه",INDIRECT("BudgetDB!FL"&amp;('الف-ب-ج'!$M$9+ROW()-ROW($A$35))),INDIRECT("BudgetDB!FM"&amp;('الف-ب-ج'!$M$9+ROW()-ROW($A$35)))),"")</f>
        <v>0</v>
      </c>
      <c r="K55" s="838" cm="1">
        <f t="array" aca="1" ref="K55" ca="1">IF(ROW()-ROW($A$35)&lt;'الف-ب-ج'!$L$9,IF(روکش!$F$9="سه ماهه",INDIRECT("BudgetDB!FN"&amp;('الف-ب-ج'!$M$9+ROW()-ROW($A$35))),INDIRECT("BudgetDB!FO"&amp;('الف-ب-ج'!$M$9+ROW()-ROW($A$35)))),"")</f>
        <v>0</v>
      </c>
      <c r="L55" s="1369">
        <f t="shared" ca="1" si="42"/>
        <v>0</v>
      </c>
      <c r="M55" s="2120" t="str">
        <f t="shared" ca="1" si="30"/>
        <v>-</v>
      </c>
      <c r="N55" s="2164">
        <f t="shared" ca="1" si="31"/>
        <v>500</v>
      </c>
      <c r="O55" s="2170" t="str">
        <f t="shared" ca="1" si="32"/>
        <v>-</v>
      </c>
      <c r="P55" s="2164">
        <f t="shared" ca="1" si="33"/>
        <v>500</v>
      </c>
      <c r="Q55" s="418" t="str">
        <f t="shared" ca="1" si="34"/>
        <v>-</v>
      </c>
      <c r="R55" s="2208">
        <f t="shared" si="35"/>
        <v>0</v>
      </c>
      <c r="S55" s="2179"/>
      <c r="T55" s="2180" t="str">
        <f t="shared" si="36"/>
        <v>-</v>
      </c>
      <c r="U55" s="2181"/>
      <c r="V55" s="2105">
        <f t="shared" si="37"/>
        <v>0</v>
      </c>
    </row>
    <row r="56" spans="1:22" ht="21">
      <c r="A56" s="425">
        <v>22</v>
      </c>
      <c r="B56" s="1414">
        <f t="shared" ref="B56:C56" ca="1" si="47">B28</f>
        <v>0</v>
      </c>
      <c r="C56" s="1413">
        <f t="shared" ca="1" si="47"/>
        <v>0</v>
      </c>
      <c r="D56" s="1108"/>
      <c r="E56" s="233"/>
      <c r="F56" s="1369">
        <f t="shared" si="40"/>
        <v>0</v>
      </c>
      <c r="G56" s="1108"/>
      <c r="H56" s="233"/>
      <c r="I56" s="1369">
        <f t="shared" si="41"/>
        <v>0</v>
      </c>
      <c r="J56" s="1367" cm="1">
        <f t="array" aca="1" ref="J56" ca="1">IF(ROW()-ROW($A$35)&lt;'الف-ب-ج'!$L$9,IF(روکش!$F$9="سه ماهه",INDIRECT("BudgetDB!FL"&amp;('الف-ب-ج'!$M$9+ROW()-ROW($A$35))),INDIRECT("BudgetDB!FM"&amp;('الف-ب-ج'!$M$9+ROW()-ROW($A$35)))),"")</f>
        <v>0</v>
      </c>
      <c r="K56" s="838" cm="1">
        <f t="array" aca="1" ref="K56" ca="1">IF(ROW()-ROW($A$35)&lt;'الف-ب-ج'!$L$9,IF(روکش!$F$9="سه ماهه",INDIRECT("BudgetDB!FN"&amp;('الف-ب-ج'!$M$9+ROW()-ROW($A$35))),INDIRECT("BudgetDB!FO"&amp;('الف-ب-ج'!$M$9+ROW()-ROW($A$35)))),"")</f>
        <v>0</v>
      </c>
      <c r="L56" s="1369">
        <f t="shared" ca="1" si="42"/>
        <v>0</v>
      </c>
      <c r="M56" s="2120" t="str">
        <f t="shared" ca="1" si="30"/>
        <v>-</v>
      </c>
      <c r="N56" s="2164">
        <f t="shared" ca="1" si="31"/>
        <v>500</v>
      </c>
      <c r="O56" s="2170" t="str">
        <f t="shared" ca="1" si="32"/>
        <v>-</v>
      </c>
      <c r="P56" s="2164">
        <f t="shared" ca="1" si="33"/>
        <v>500</v>
      </c>
      <c r="Q56" s="418" t="str">
        <f t="shared" ca="1" si="34"/>
        <v>-</v>
      </c>
      <c r="R56" s="2208">
        <f t="shared" si="35"/>
        <v>0</v>
      </c>
      <c r="S56" s="2179"/>
      <c r="T56" s="2180" t="str">
        <f t="shared" si="36"/>
        <v>-</v>
      </c>
      <c r="U56" s="2181"/>
      <c r="V56" s="2105">
        <f t="shared" si="37"/>
        <v>0</v>
      </c>
    </row>
    <row r="57" spans="1:22" ht="21">
      <c r="A57" s="425">
        <v>23</v>
      </c>
      <c r="B57" s="1414">
        <f t="shared" ref="B57:C57" ca="1" si="48">B29</f>
        <v>0</v>
      </c>
      <c r="C57" s="1413">
        <f t="shared" ca="1" si="48"/>
        <v>0</v>
      </c>
      <c r="D57" s="252"/>
      <c r="E57" s="253"/>
      <c r="F57" s="1369">
        <f t="shared" si="40"/>
        <v>0</v>
      </c>
      <c r="G57" s="252"/>
      <c r="H57" s="253"/>
      <c r="I57" s="1369">
        <f t="shared" si="41"/>
        <v>0</v>
      </c>
      <c r="J57" s="1367" cm="1">
        <f t="array" aca="1" ref="J57" ca="1">IF(ROW()-ROW($A$35)&lt;'الف-ب-ج'!$L$9,IF(روکش!$F$9="سه ماهه",INDIRECT("BudgetDB!FL"&amp;('الف-ب-ج'!$M$9+ROW()-ROW($A$35))),INDIRECT("BudgetDB!FM"&amp;('الف-ب-ج'!$M$9+ROW()-ROW($A$35)))),"")</f>
        <v>0</v>
      </c>
      <c r="K57" s="838" cm="1">
        <f t="array" aca="1" ref="K57" ca="1">IF(ROW()-ROW($A$35)&lt;'الف-ب-ج'!$L$9,IF(روکش!$F$9="سه ماهه",INDIRECT("BudgetDB!FN"&amp;('الف-ب-ج'!$M$9+ROW()-ROW($A$35))),INDIRECT("BudgetDB!FO"&amp;('الف-ب-ج'!$M$9+ROW()-ROW($A$35)))),"")</f>
        <v>0</v>
      </c>
      <c r="L57" s="1369">
        <f t="shared" ca="1" si="42"/>
        <v>0</v>
      </c>
      <c r="M57" s="2120" t="str">
        <f t="shared" ca="1" si="30"/>
        <v>-</v>
      </c>
      <c r="N57" s="2164">
        <f t="shared" ca="1" si="31"/>
        <v>500</v>
      </c>
      <c r="O57" s="2170" t="str">
        <f t="shared" ca="1" si="32"/>
        <v>-</v>
      </c>
      <c r="P57" s="2164">
        <f t="shared" ca="1" si="33"/>
        <v>500</v>
      </c>
      <c r="Q57" s="418" t="str">
        <f t="shared" ca="1" si="34"/>
        <v>-</v>
      </c>
      <c r="R57" s="2208">
        <f t="shared" si="35"/>
        <v>0</v>
      </c>
      <c r="S57" s="2179"/>
      <c r="T57" s="2180" t="str">
        <f t="shared" si="36"/>
        <v>-</v>
      </c>
      <c r="U57" s="2181"/>
      <c r="V57" s="2105">
        <f t="shared" si="37"/>
        <v>0</v>
      </c>
    </row>
    <row r="58" spans="1:22" ht="21.75" thickBot="1">
      <c r="A58" s="3079" t="s">
        <v>31</v>
      </c>
      <c r="B58" s="3080"/>
      <c r="C58" s="1403"/>
      <c r="D58" s="1404"/>
      <c r="E58" s="1405"/>
      <c r="F58" s="1517">
        <f>SUM(F35:F57)</f>
        <v>0</v>
      </c>
      <c r="G58" s="1404"/>
      <c r="H58" s="1405"/>
      <c r="I58" s="1517">
        <f>SUM(I35:I57)</f>
        <v>0</v>
      </c>
      <c r="J58" s="1404"/>
      <c r="K58" s="1405"/>
      <c r="L58" s="1517">
        <f ca="1">SUM(L35:L57)</f>
        <v>0</v>
      </c>
      <c r="M58" s="3063"/>
      <c r="N58" s="3064"/>
      <c r="O58" s="3065"/>
      <c r="P58" s="3064"/>
      <c r="Q58" s="1518"/>
      <c r="R58" s="3066"/>
      <c r="S58" s="3067"/>
      <c r="T58" s="3068"/>
      <c r="U58" s="3067"/>
      <c r="V58" s="2129">
        <f>SUM(V35:V57)</f>
        <v>0</v>
      </c>
    </row>
    <row r="59" spans="1:22" ht="18">
      <c r="A59" s="9"/>
      <c r="B59" s="936"/>
      <c r="C59" s="936"/>
      <c r="D59" s="936"/>
      <c r="E59" s="936"/>
      <c r="F59" s="936"/>
      <c r="G59" s="936"/>
      <c r="H59" s="936"/>
      <c r="I59" s="936"/>
      <c r="J59" s="936"/>
      <c r="K59" s="936"/>
      <c r="L59" s="936"/>
      <c r="M59" s="936"/>
      <c r="N59" s="936"/>
      <c r="O59" s="936"/>
      <c r="P59" s="936"/>
      <c r="Q59" s="936"/>
      <c r="R59" s="936"/>
      <c r="S59" s="936"/>
      <c r="T59" s="936"/>
      <c r="U59" s="936"/>
      <c r="V59" s="936"/>
    </row>
    <row r="60" spans="1:22" ht="21">
      <c r="A60" s="8"/>
      <c r="B60" s="8"/>
      <c r="C60" s="9"/>
      <c r="D60" s="9"/>
      <c r="E60" s="9"/>
      <c r="F60" s="9"/>
      <c r="G60" s="2752"/>
      <c r="H60" s="2752"/>
      <c r="I60" s="9"/>
      <c r="L60" s="2834"/>
      <c r="M60" s="2834"/>
      <c r="N60" s="847"/>
    </row>
  </sheetData>
  <mergeCells count="23">
    <mergeCell ref="G60:H60"/>
    <mergeCell ref="L60:M60"/>
    <mergeCell ref="A1:V1"/>
    <mergeCell ref="A3:F3"/>
    <mergeCell ref="C4:C6"/>
    <mergeCell ref="A30:C30"/>
    <mergeCell ref="A4:A6"/>
    <mergeCell ref="B4:B6"/>
    <mergeCell ref="A58:B58"/>
    <mergeCell ref="A32:A34"/>
    <mergeCell ref="B32:B34"/>
    <mergeCell ref="C32:C34"/>
    <mergeCell ref="R30:S30"/>
    <mergeCell ref="T30:U30"/>
    <mergeCell ref="M30:N30"/>
    <mergeCell ref="O30:P30"/>
    <mergeCell ref="R32:V33"/>
    <mergeCell ref="R34:S34"/>
    <mergeCell ref="T34:U34"/>
    <mergeCell ref="M58:N58"/>
    <mergeCell ref="O58:P58"/>
    <mergeCell ref="R58:S58"/>
    <mergeCell ref="T58:U58"/>
  </mergeCells>
  <conditionalFormatting sqref="H7:H29">
    <cfRule type="expression" dxfId="393" priority="22">
      <formula>AND(C7="میلیون ریال",H7&lt;&gt;1000000,H7&lt;&gt;"")</formula>
    </cfRule>
  </conditionalFormatting>
  <conditionalFormatting sqref="E7:E29">
    <cfRule type="expression" dxfId="392" priority="21">
      <formula>AND(C7="میلیون ریال",E7&lt;&gt;1000000,E7&lt;&gt;"")</formula>
    </cfRule>
  </conditionalFormatting>
  <conditionalFormatting sqref="B7:C29">
    <cfRule type="expression" dxfId="391" priority="15">
      <formula>AND($B7=0,OR($D7&lt;&gt;0,$G7&lt;&gt;0,$M7&lt;&gt;0,$D35&lt;&gt;0,$G35&lt;&gt;0))</formula>
    </cfRule>
  </conditionalFormatting>
  <conditionalFormatting sqref="E35:E57">
    <cfRule type="expression" dxfId="390" priority="7">
      <formula>OR($H35&gt;MAX($O7,$H7),$H35&lt;MIN($O7,$H7))</formula>
    </cfRule>
    <cfRule type="expression" dxfId="389" priority="14">
      <formula>AND(C35="میلیون ریال",E35&lt;&gt;1000000,E35&lt;&gt;"")</formula>
    </cfRule>
  </conditionalFormatting>
  <conditionalFormatting sqref="H35:H57">
    <cfRule type="expression" dxfId="388" priority="13">
      <formula>AND(C35="میلیون ریال",H35&lt;&gt;1000000,H35&lt;&gt;"")</formula>
    </cfRule>
  </conditionalFormatting>
  <conditionalFormatting sqref="S7:S29">
    <cfRule type="iconSet" priority="6">
      <iconSet iconSet="3Symbols" showValue="0" reverse="1">
        <cfvo type="percent" val="0"/>
        <cfvo type="num" val="10" gte="0"/>
        <cfvo type="num" val="40"/>
      </iconSet>
    </cfRule>
  </conditionalFormatting>
  <conditionalFormatting sqref="U7:U29">
    <cfRule type="iconSet" priority="5">
      <iconSet iconSet="3Symbols" showValue="0" reverse="1">
        <cfvo type="percent" val="0"/>
        <cfvo type="num" val="10" gte="0"/>
        <cfvo type="num" val="40"/>
      </iconSet>
    </cfRule>
  </conditionalFormatting>
  <conditionalFormatting sqref="N35:N57">
    <cfRule type="iconSet" priority="2">
      <iconSet iconSet="3Symbols" showValue="0" reverse="1">
        <cfvo type="percent" val="0"/>
        <cfvo type="num" val="10" gte="0"/>
        <cfvo type="num" val="40"/>
      </iconSet>
    </cfRule>
  </conditionalFormatting>
  <conditionalFormatting sqref="P35:P57">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4" id="{ABBC40FF-E02F-4D34-85BA-8458648288EF}">
            <x14:iconSet iconSet="3Symbols" custom="1">
              <x14:cfvo type="percent">
                <xm:f>0</xm:f>
              </x14:cfvo>
              <x14:cfvo type="num">
                <xm:f>0</xm:f>
              </x14:cfvo>
              <x14:cfvo type="num">
                <xm:f>0</xm:f>
              </x14:cfvo>
              <x14:cfIcon iconSet="3Symbols" iconId="0"/>
              <x14:cfIcon iconSet="NoIcons" iconId="0"/>
              <x14:cfIcon iconSet="NoIcons" iconId="0"/>
            </x14:iconSet>
          </x14:cfRule>
          <xm:sqref>R35:S57</xm:sqref>
        </x14:conditionalFormatting>
        <x14:conditionalFormatting xmlns:xm="http://schemas.microsoft.com/office/excel/2006/main">
          <x14:cfRule type="iconSet" priority="3" id="{60515F6E-83B8-4060-A2AB-8D663A3BF76A}">
            <x14:iconSet iconSet="3Symbols" custom="1">
              <x14:cfvo type="percent">
                <xm:f>0</xm:f>
              </x14:cfvo>
              <x14:cfvo type="num">
                <xm:f>0</xm:f>
              </x14:cfvo>
              <x14:cfvo type="num">
                <xm:f>0</xm:f>
              </x14:cfvo>
              <x14:cfIcon iconSet="3Symbols" iconId="0"/>
              <x14:cfIcon iconSet="NoIcons" iconId="0"/>
              <x14:cfIcon iconSet="NoIcons" iconId="0"/>
            </x14:iconSet>
          </x14:cfRule>
          <xm:sqref>V35:V57</xm:sqref>
        </x14:conditionalFormatting>
      </x14:conditionalFormatting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3">
    <tabColor rgb="FF00B050"/>
    <pageSetUpPr fitToPage="1"/>
  </sheetPr>
  <dimension ref="A1:G13"/>
  <sheetViews>
    <sheetView rightToLeft="1" view="pageBreakPreview" zoomScale="60" zoomScaleNormal="100" workbookViewId="0">
      <selection activeCell="C6" sqref="C6"/>
    </sheetView>
  </sheetViews>
  <sheetFormatPr defaultColWidth="9" defaultRowHeight="64.5" customHeight="1"/>
  <cols>
    <col min="1" max="1" width="34.42578125" style="939" bestFit="1" customWidth="1"/>
    <col min="2" max="4" width="20.5703125" style="940" customWidth="1"/>
    <col min="5" max="6" width="15.5703125" style="937" customWidth="1"/>
    <col min="7" max="7" width="3.7109375" style="937" customWidth="1"/>
    <col min="8" max="16384" width="9" style="937"/>
  </cols>
  <sheetData>
    <row r="1" spans="1:7" s="5" customFormat="1" ht="24" customHeight="1">
      <c r="A1" s="2685" t="str">
        <f>روکش!D4</f>
        <v>انبارهای عمومی و خدمات گمرکی ایران</v>
      </c>
      <c r="B1" s="2685"/>
      <c r="C1" s="2685"/>
      <c r="D1" s="2685"/>
      <c r="E1" s="2685"/>
      <c r="F1" s="2685"/>
      <c r="G1" s="2685"/>
    </row>
    <row r="2" spans="1:7" s="5" customFormat="1" ht="28.5" customHeight="1">
      <c r="A2" s="1206" t="s">
        <v>1402</v>
      </c>
      <c r="B2" s="1205"/>
      <c r="C2" s="1202"/>
      <c r="D2" s="1202"/>
      <c r="E2" s="1202"/>
      <c r="F2" s="1202"/>
      <c r="G2" s="2233"/>
    </row>
    <row r="3" spans="1:7" ht="20.100000000000001" customHeight="1" thickBot="1">
      <c r="A3" s="1519"/>
      <c r="B3" s="1520"/>
      <c r="C3" s="1521"/>
      <c r="D3" s="1522"/>
      <c r="E3" s="1523"/>
      <c r="F3" s="1208" t="s">
        <v>30</v>
      </c>
    </row>
    <row r="4" spans="1:7" ht="33" customHeight="1">
      <c r="A4" s="2753" t="s">
        <v>0</v>
      </c>
      <c r="B4" s="2914" t="s">
        <v>693</v>
      </c>
      <c r="C4" s="1434" t="s">
        <v>642</v>
      </c>
      <c r="D4" s="1435"/>
      <c r="E4" s="1435"/>
      <c r="F4" s="2213"/>
      <c r="G4" s="1376"/>
    </row>
    <row r="5" spans="1:7" ht="66.75" customHeight="1" thickBot="1">
      <c r="A5" s="2913"/>
      <c r="B5" s="2915"/>
      <c r="C5" s="713" t="s">
        <v>53</v>
      </c>
      <c r="D5" s="714" t="s">
        <v>216</v>
      </c>
      <c r="E5" s="714" t="s">
        <v>804</v>
      </c>
      <c r="F5" s="2875" t="s">
        <v>230</v>
      </c>
      <c r="G5" s="2876"/>
    </row>
    <row r="6" spans="1:7" ht="48" customHeight="1">
      <c r="A6" s="1524" t="s">
        <v>54</v>
      </c>
      <c r="B6" s="1130"/>
      <c r="C6" s="1545" cm="1">
        <f t="array" aca="1" ref="C6" ca="1">INDIRECT("BudgetDB!FP"&amp;('الف-ب-ج'!$M$9+ROW()-ROW($A$6)))</f>
        <v>0</v>
      </c>
      <c r="D6" s="1544">
        <f>'خرید کالای تجاری'!I30</f>
        <v>0</v>
      </c>
      <c r="E6" s="510" t="str">
        <f t="shared" ref="E6:E11" si="0">IFERROR((D6-B6)*100/B6,"-")</f>
        <v>-</v>
      </c>
      <c r="F6" s="2169" t="str">
        <f t="shared" ref="F6:F11" ca="1" si="1">IFERROR(D6*100/C6,"-")</f>
        <v>-</v>
      </c>
      <c r="G6" s="415">
        <f ca="1">IFERROR(ABS(F6-100),500)</f>
        <v>500</v>
      </c>
    </row>
    <row r="7" spans="1:7" ht="48" customHeight="1" thickBot="1">
      <c r="A7" s="1525" t="s">
        <v>1438</v>
      </c>
      <c r="B7" s="1131"/>
      <c r="C7" s="1541">
        <f ca="1">'خرید کالای تجاری'!L30</f>
        <v>0</v>
      </c>
      <c r="D7" s="1542">
        <f>'خرید کالای تجاری'!Q30</f>
        <v>0</v>
      </c>
      <c r="E7" s="1543" t="str">
        <f t="shared" si="0"/>
        <v>-</v>
      </c>
      <c r="F7" s="2170" t="str">
        <f t="shared" ca="1" si="1"/>
        <v>-</v>
      </c>
      <c r="G7" s="418">
        <f t="shared" ref="G7:G10" ca="1" si="2">IFERROR(ABS(F7-100),500)</f>
        <v>500</v>
      </c>
    </row>
    <row r="8" spans="1:7" ht="48" customHeight="1">
      <c r="A8" s="1526" t="s">
        <v>55</v>
      </c>
      <c r="B8" s="1529">
        <f>B6+B7</f>
        <v>0</v>
      </c>
      <c r="C8" s="1530">
        <f ca="1">C6+C7</f>
        <v>0</v>
      </c>
      <c r="D8" s="1531">
        <f>D6+D7</f>
        <v>0</v>
      </c>
      <c r="E8" s="1532" t="str">
        <f t="shared" si="0"/>
        <v>-</v>
      </c>
      <c r="F8" s="2240" t="str">
        <f t="shared" ca="1" si="1"/>
        <v>-</v>
      </c>
      <c r="G8" s="2241">
        <f t="shared" ca="1" si="2"/>
        <v>500</v>
      </c>
    </row>
    <row r="9" spans="1:7" ht="48" customHeight="1">
      <c r="A9" s="1527" t="s">
        <v>1439</v>
      </c>
      <c r="B9" s="1132"/>
      <c r="C9" s="1545" cm="1">
        <f t="array" aca="1" ref="C9" ca="1">IF(ROW()-ROW($A$9)&lt;'الف-ب-ج'!$L$9,IF(روکش!$F$9="سه ماهه",INDIRECT("BudgetDB!FQ"&amp;('الف-ب-ج'!$M$9+ROW()-ROW($A$9))),INDIRECT("BudgetDB!FR"&amp;('الف-ب-ج'!$M$9+ROW()-ROW($A$9)))),"")</f>
        <v>0</v>
      </c>
      <c r="D9" s="1533">
        <f>'خرید کالای تجاری'!V58</f>
        <v>0</v>
      </c>
      <c r="E9" s="1534" t="str">
        <f t="shared" si="0"/>
        <v>-</v>
      </c>
      <c r="F9" s="2242" t="str">
        <f t="shared" ca="1" si="1"/>
        <v>-</v>
      </c>
      <c r="G9" s="2243">
        <f t="shared" ca="1" si="2"/>
        <v>500</v>
      </c>
    </row>
    <row r="10" spans="1:7" ht="48" customHeight="1" thickBot="1">
      <c r="A10" s="1525" t="s">
        <v>1626</v>
      </c>
      <c r="B10" s="1131"/>
      <c r="C10" s="941" cm="1">
        <f t="array" aca="1" ref="C10" ca="1">IF(ROW()-ROW($A$9)&lt;'الف-ب-ج'!$L$9,IF(روکش!$F$9="سه ماهه",INDIRECT("BudgetDB!FQ"&amp;('الف-ب-ج'!$M$9+ROW()-ROW($A$9))),INDIRECT("BudgetDB!FR"&amp;('الف-ب-ج'!$M$9+ROW()-ROW($A$9)))),"")</f>
        <v>0</v>
      </c>
      <c r="D10" s="1535">
        <f>'خرید کالای تجاری'!I58</f>
        <v>0</v>
      </c>
      <c r="E10" s="1536" t="str">
        <f t="shared" si="0"/>
        <v>-</v>
      </c>
      <c r="F10" s="2244" t="str">
        <f t="shared" ca="1" si="1"/>
        <v>-</v>
      </c>
      <c r="G10" s="2245">
        <f t="shared" ca="1" si="2"/>
        <v>500</v>
      </c>
    </row>
    <row r="11" spans="1:7" ht="48" customHeight="1" thickBot="1">
      <c r="A11" s="1528" t="s">
        <v>56</v>
      </c>
      <c r="B11" s="1539">
        <f>B8-B9-B10</f>
        <v>0</v>
      </c>
      <c r="C11" s="1540">
        <f ca="1">C8-C9-C10</f>
        <v>0</v>
      </c>
      <c r="D11" s="1537">
        <f>D8-D9-D10</f>
        <v>0</v>
      </c>
      <c r="E11" s="1538" t="str">
        <f t="shared" si="0"/>
        <v>-</v>
      </c>
      <c r="F11" s="2246" t="str">
        <f t="shared" ca="1" si="1"/>
        <v>-</v>
      </c>
      <c r="G11" s="2247">
        <f ca="1">IFERROR(ABS(F11-100),500)</f>
        <v>500</v>
      </c>
    </row>
    <row r="12" spans="1:7" ht="23.25" customHeight="1">
      <c r="A12" s="3084"/>
      <c r="B12" s="3084"/>
      <c r="C12" s="3084"/>
      <c r="D12" s="3084"/>
      <c r="G12" s="938"/>
    </row>
    <row r="13" spans="1:7" ht="64.5" customHeight="1">
      <c r="A13" s="3084"/>
      <c r="B13" s="3084"/>
      <c r="C13" s="3084"/>
      <c r="D13" s="3084"/>
    </row>
  </sheetData>
  <dataConsolidate/>
  <mergeCells count="6">
    <mergeCell ref="A12:D12"/>
    <mergeCell ref="A13:D13"/>
    <mergeCell ref="A4:A5"/>
    <mergeCell ref="B4:B5"/>
    <mergeCell ref="A1:G1"/>
    <mergeCell ref="F5:G5"/>
  </mergeCells>
  <conditionalFormatting sqref="G6:G11">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34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E6:E11</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05">
    <pageSetUpPr fitToPage="1"/>
  </sheetPr>
  <dimension ref="A1:AC16"/>
  <sheetViews>
    <sheetView rightToLeft="1" workbookViewId="0">
      <selection sqref="A1:H1"/>
    </sheetView>
  </sheetViews>
  <sheetFormatPr defaultColWidth="9" defaultRowHeight="21"/>
  <cols>
    <col min="1" max="1" width="32.140625" style="942" customWidth="1"/>
    <col min="2" max="25" width="8.140625" style="942" customWidth="1"/>
    <col min="26" max="28" width="9" style="942"/>
    <col min="29" max="29" width="9" style="942" hidden="1" customWidth="1"/>
    <col min="30" max="16384" width="9" style="942"/>
  </cols>
  <sheetData>
    <row r="1" spans="1:29" s="5" customFormat="1" ht="15.75" customHeight="1">
      <c r="A1" s="2759"/>
      <c r="B1" s="2759"/>
      <c r="C1" s="2759"/>
      <c r="D1" s="2759"/>
      <c r="E1" s="2759"/>
      <c r="F1" s="2759"/>
      <c r="G1" s="2759"/>
      <c r="H1" s="2759"/>
      <c r="I1" s="407"/>
      <c r="J1" s="407"/>
      <c r="K1" s="407"/>
      <c r="L1" s="407"/>
      <c r="M1" s="407"/>
      <c r="N1" s="407"/>
      <c r="O1" s="407"/>
      <c r="P1" s="407"/>
      <c r="Q1" s="407"/>
      <c r="R1" s="407"/>
      <c r="S1" s="407"/>
      <c r="T1"/>
      <c r="U1"/>
      <c r="V1"/>
      <c r="W1"/>
      <c r="X1"/>
      <c r="Y1"/>
    </row>
    <row r="2" spans="1:29" s="5" customFormat="1" ht="24">
      <c r="A2" s="2685" t="str">
        <f>'بهای کالای تجاری'!A1:F1</f>
        <v>انبارهای عمومی و خدمات گمرکی ایران</v>
      </c>
      <c r="B2" s="2685"/>
      <c r="C2" s="2685"/>
      <c r="D2" s="2685"/>
      <c r="E2" s="2685"/>
      <c r="F2" s="2685"/>
      <c r="G2" s="2685"/>
      <c r="H2" s="2685"/>
      <c r="I2" s="2685"/>
      <c r="J2" s="2685"/>
      <c r="K2" s="2685"/>
      <c r="L2" s="2685"/>
      <c r="M2" s="2685"/>
      <c r="N2" s="2685"/>
      <c r="O2" s="2685"/>
      <c r="P2" s="2685"/>
      <c r="Q2" s="2685"/>
      <c r="R2" s="2685"/>
      <c r="S2" s="2685"/>
      <c r="T2" s="2685"/>
      <c r="U2" s="2685"/>
      <c r="V2" s="2685"/>
      <c r="W2" s="2685"/>
      <c r="X2"/>
      <c r="Y2"/>
    </row>
    <row r="3" spans="1:29" s="5" customFormat="1" ht="20.25" customHeight="1">
      <c r="A3" s="396"/>
      <c r="B3" s="396"/>
      <c r="C3" s="396"/>
      <c r="D3" s="396"/>
      <c r="E3" s="396"/>
      <c r="F3" s="396"/>
      <c r="G3" s="396"/>
      <c r="H3" s="396"/>
      <c r="I3" s="396"/>
      <c r="J3" s="396"/>
      <c r="K3" s="396"/>
      <c r="L3" s="396"/>
      <c r="M3" s="396"/>
      <c r="N3" s="396"/>
      <c r="O3" s="396"/>
      <c r="P3" s="396"/>
      <c r="Q3"/>
      <c r="R3"/>
      <c r="S3"/>
      <c r="T3"/>
      <c r="U3"/>
      <c r="V3"/>
      <c r="W3"/>
      <c r="X3"/>
      <c r="Y3"/>
    </row>
    <row r="4" spans="1:29" s="5" customFormat="1" ht="24" customHeight="1">
      <c r="A4" s="1110" t="s">
        <v>141</v>
      </c>
      <c r="B4" s="1110"/>
      <c r="C4" s="1110"/>
      <c r="D4" s="1110"/>
      <c r="E4" s="1110"/>
      <c r="F4" s="1110"/>
      <c r="G4" s="1110"/>
      <c r="H4" s="1110"/>
      <c r="I4" s="1110"/>
      <c r="J4" s="1110"/>
      <c r="K4" s="1110"/>
      <c r="L4" s="1110"/>
      <c r="M4" s="1110"/>
      <c r="N4" s="1110"/>
      <c r="O4" s="1110"/>
      <c r="P4" s="1110"/>
      <c r="Q4" s="1110"/>
      <c r="R4" s="1110"/>
      <c r="S4" s="1110"/>
      <c r="T4" s="3085" t="s">
        <v>1246</v>
      </c>
      <c r="U4" s="3085"/>
      <c r="V4" s="1089" t="str">
        <f>روکش!$F$9</f>
        <v>شش ماهه</v>
      </c>
      <c r="W4" s="1089" t="s">
        <v>379</v>
      </c>
      <c r="X4" s="1088">
        <f>روکش!$D$9</f>
        <v>1405</v>
      </c>
      <c r="Y4" s="1088"/>
    </row>
    <row r="5" spans="1:29" s="5" customFormat="1" ht="15.75" customHeight="1" thickBot="1">
      <c r="A5" s="539"/>
      <c r="B5" s="539"/>
      <c r="C5" s="539"/>
      <c r="D5" s="539"/>
      <c r="E5" s="539"/>
      <c r="F5" s="539"/>
      <c r="G5" s="539"/>
      <c r="H5" s="539"/>
      <c r="I5" s="539"/>
      <c r="J5" s="539"/>
      <c r="K5" s="539"/>
      <c r="L5" s="539"/>
      <c r="M5" s="539"/>
      <c r="N5" s="539"/>
      <c r="O5" s="539"/>
      <c r="P5" s="540"/>
      <c r="Q5" s="541"/>
      <c r="R5" s="541"/>
      <c r="S5" s="541"/>
      <c r="T5"/>
      <c r="U5"/>
      <c r="V5"/>
      <c r="W5"/>
      <c r="X5"/>
      <c r="Y5"/>
    </row>
    <row r="6" spans="1:29" ht="24" customHeight="1" thickBot="1">
      <c r="A6" s="2907" t="s">
        <v>21</v>
      </c>
      <c r="B6" s="3018" t="s">
        <v>716</v>
      </c>
      <c r="C6" s="3019"/>
      <c r="D6" s="3019"/>
      <c r="E6" s="3019"/>
      <c r="F6" s="3019"/>
      <c r="G6" s="3020"/>
      <c r="H6" s="3018" t="s">
        <v>674</v>
      </c>
      <c r="I6" s="3019"/>
      <c r="J6" s="3019"/>
      <c r="K6" s="3019"/>
      <c r="L6" s="3019"/>
      <c r="M6" s="3020"/>
      <c r="N6" s="3018" t="s">
        <v>675</v>
      </c>
      <c r="O6" s="3019"/>
      <c r="P6" s="3019"/>
      <c r="Q6" s="3019"/>
      <c r="R6" s="3019"/>
      <c r="S6" s="3020"/>
      <c r="T6" s="3086" t="s">
        <v>717</v>
      </c>
      <c r="U6" s="3087"/>
      <c r="V6" s="3087"/>
      <c r="W6" s="3087"/>
      <c r="X6" s="3087"/>
      <c r="Y6" s="3087"/>
      <c r="AC6" s="1133">
        <f>IF(V4="سه ماهه", 3.25,6.5)</f>
        <v>6.5</v>
      </c>
    </row>
    <row r="7" spans="1:29" s="44" customFormat="1" ht="66.75" customHeight="1" thickBot="1">
      <c r="A7" s="2908"/>
      <c r="B7" s="542" t="s">
        <v>60</v>
      </c>
      <c r="C7" s="543" t="s">
        <v>61</v>
      </c>
      <c r="D7" s="544" t="s">
        <v>62</v>
      </c>
      <c r="E7" s="722" t="s">
        <v>1</v>
      </c>
      <c r="F7" s="722" t="s">
        <v>1403</v>
      </c>
      <c r="G7" s="721" t="s">
        <v>1404</v>
      </c>
      <c r="H7" s="542" t="s">
        <v>60</v>
      </c>
      <c r="I7" s="543" t="s">
        <v>61</v>
      </c>
      <c r="J7" s="544" t="s">
        <v>62</v>
      </c>
      <c r="K7" s="545" t="s">
        <v>1</v>
      </c>
      <c r="L7" s="722" t="s">
        <v>1403</v>
      </c>
      <c r="M7" s="721" t="s">
        <v>1404</v>
      </c>
      <c r="N7" s="542" t="s">
        <v>60</v>
      </c>
      <c r="O7" s="543" t="s">
        <v>61</v>
      </c>
      <c r="P7" s="544" t="s">
        <v>62</v>
      </c>
      <c r="Q7" s="545" t="s">
        <v>1</v>
      </c>
      <c r="R7" s="722" t="s">
        <v>1403</v>
      </c>
      <c r="S7" s="721" t="s">
        <v>1404</v>
      </c>
      <c r="T7" s="542" t="s">
        <v>60</v>
      </c>
      <c r="U7" s="543" t="s">
        <v>61</v>
      </c>
      <c r="V7" s="544" t="s">
        <v>62</v>
      </c>
      <c r="W7" s="545" t="s">
        <v>1</v>
      </c>
      <c r="X7" s="722" t="s">
        <v>1403</v>
      </c>
      <c r="Y7" s="721" t="s">
        <v>1404</v>
      </c>
    </row>
    <row r="8" spans="1:29" ht="39" customHeight="1">
      <c r="A8" s="944" t="s">
        <v>854</v>
      </c>
      <c r="B8" s="172"/>
      <c r="C8" s="173"/>
      <c r="D8" s="174"/>
      <c r="E8" s="945">
        <f t="shared" ref="E8:E13" si="0">SUM(B8:D8)</f>
        <v>0</v>
      </c>
      <c r="F8" s="946">
        <f>IFERROR(IF(BudgetDB!$FP$3093="پرسنلی",('نگهداری آزادراه'!$B$20/E8)/$AC$6,('نگهداری آزادراه'!$B$20/(C8+B8))/$AC$6),0)</f>
        <v>0</v>
      </c>
      <c r="G8" s="946"/>
      <c r="H8" s="172"/>
      <c r="I8" s="173"/>
      <c r="J8" s="174"/>
      <c r="K8" s="551">
        <f t="shared" ref="K8:K13" si="1">SUM(H8:J8)</f>
        <v>0</v>
      </c>
      <c r="L8" s="684">
        <f ca="1">IFERROR(IF(BudgetDB!$FP$3093="پرسنلی",('نگهداری آزادراه'!$C$20/K8)/$AC$6,('نگهداری آزادراه'!$C$20/(I8+H8))/$AC$6),0)</f>
        <v>0</v>
      </c>
      <c r="M8" s="684"/>
      <c r="N8" s="172"/>
      <c r="O8" s="173"/>
      <c r="P8" s="174"/>
      <c r="Q8" s="551">
        <f t="shared" ref="Q8:Q13" si="2">SUM(N8:P8)</f>
        <v>0</v>
      </c>
      <c r="R8" s="684">
        <f>IFERROR(IF(BudgetDB!$FP$3093="پرسنلی",('نگهداری آزادراه'!$D$20/Q8)/$AC$6,('نگهداری آزادراه'!$D$20/(O8+N8))/$AC$6),0)</f>
        <v>0</v>
      </c>
      <c r="S8" s="1189"/>
      <c r="T8" s="557" t="str">
        <f t="shared" ref="T8:X10" si="3">IFERROR(N8*100/H8,"-")</f>
        <v>-</v>
      </c>
      <c r="U8" s="558" t="str">
        <f t="shared" si="3"/>
        <v>-</v>
      </c>
      <c r="V8" s="559" t="str">
        <f t="shared" si="3"/>
        <v>-</v>
      </c>
      <c r="W8" s="560" t="str">
        <f t="shared" si="3"/>
        <v>-</v>
      </c>
      <c r="X8" s="560" t="str">
        <f t="shared" ca="1" si="3"/>
        <v>-</v>
      </c>
      <c r="Y8" s="1190"/>
    </row>
    <row r="9" spans="1:29" ht="39" customHeight="1">
      <c r="A9" s="947" t="s">
        <v>855</v>
      </c>
      <c r="B9" s="175"/>
      <c r="C9" s="176"/>
      <c r="D9" s="177"/>
      <c r="E9" s="948">
        <f t="shared" si="0"/>
        <v>0</v>
      </c>
      <c r="F9" s="949">
        <f>IFERROR(IF(BudgetDB!$FP$3093="پرسنلی",('بهره برداری آزادراه'!$B$20/E9)/$AC$6,('بهره برداری آزادراه'!$B$20/(C9+B9))/$AC$6),0)</f>
        <v>0</v>
      </c>
      <c r="G9" s="949"/>
      <c r="H9" s="175"/>
      <c r="I9" s="176"/>
      <c r="J9" s="177"/>
      <c r="K9" s="552">
        <f t="shared" si="1"/>
        <v>0</v>
      </c>
      <c r="L9" s="685">
        <f ca="1">IFERROR(IF(BudgetDB!$FP$3093="پرسنلی",('بهره برداری آزادراه'!$C$20/K9)/$AC$6,('بهره برداری آزادراه'!$C$20/(I9+H9))/$AC$6),0)</f>
        <v>0</v>
      </c>
      <c r="M9" s="685"/>
      <c r="N9" s="175"/>
      <c r="O9" s="176"/>
      <c r="P9" s="177"/>
      <c r="Q9" s="552">
        <f t="shared" si="2"/>
        <v>0</v>
      </c>
      <c r="R9" s="685">
        <f>IFERROR(IF(BudgetDB!$FP$3093="پرسنلی",('بهره برداری آزادراه'!$D$20/Q9)/$AC$6,('بهره برداری آزادراه'!$D$20/(O9+N9))/$AC$6),0)</f>
        <v>0</v>
      </c>
      <c r="S9" s="685"/>
      <c r="T9" s="561" t="str">
        <f t="shared" si="3"/>
        <v>-</v>
      </c>
      <c r="U9" s="518" t="str">
        <f t="shared" si="3"/>
        <v>-</v>
      </c>
      <c r="V9" s="562" t="str">
        <f t="shared" si="3"/>
        <v>-</v>
      </c>
      <c r="W9" s="563" t="str">
        <f t="shared" si="3"/>
        <v>-</v>
      </c>
      <c r="X9" s="563" t="str">
        <f t="shared" ca="1" si="3"/>
        <v>-</v>
      </c>
      <c r="Y9" s="1190"/>
    </row>
    <row r="10" spans="1:29" ht="39" customHeight="1">
      <c r="A10" s="947" t="s">
        <v>856</v>
      </c>
      <c r="B10" s="175"/>
      <c r="C10" s="176"/>
      <c r="D10" s="177"/>
      <c r="E10" s="948">
        <f t="shared" si="0"/>
        <v>0</v>
      </c>
      <c r="F10" s="949">
        <f>IFERROR(IF(BudgetDB!$FP$3093="پرسنلی",('بهسازی آزادراه'!$B$20/E10)/$AC$6,('بهسازی آزادراه'!$B$20/(C10+B10))/$AC$6),0)</f>
        <v>0</v>
      </c>
      <c r="G10" s="949"/>
      <c r="H10" s="175"/>
      <c r="I10" s="176"/>
      <c r="J10" s="177"/>
      <c r="K10" s="552">
        <f t="shared" si="1"/>
        <v>0</v>
      </c>
      <c r="L10" s="685">
        <f ca="1">IFERROR(IF(BudgetDB!$FP$3093="پرسنلی",('بهسازی آزادراه'!$C$20/K10)/$AC$6,('بهسازی آزادراه'!$C$20/(I10+H10))/$AC$6),0)</f>
        <v>0</v>
      </c>
      <c r="M10" s="685"/>
      <c r="N10" s="175"/>
      <c r="O10" s="176"/>
      <c r="P10" s="177"/>
      <c r="Q10" s="552">
        <f t="shared" si="2"/>
        <v>0</v>
      </c>
      <c r="R10" s="685">
        <f>IFERROR(IF(BudgetDB!$FP$3093="پرسنلی",('بهسازی آزادراه'!$D$20/Q10)/$AC$6,('بهسازی آزادراه'!$D$20/(O10+N10))/$AC$6),0)</f>
        <v>0</v>
      </c>
      <c r="S10" s="685"/>
      <c r="T10" s="561" t="str">
        <f t="shared" si="3"/>
        <v>-</v>
      </c>
      <c r="U10" s="518" t="str">
        <f t="shared" si="3"/>
        <v>-</v>
      </c>
      <c r="V10" s="562" t="str">
        <f t="shared" si="3"/>
        <v>-</v>
      </c>
      <c r="W10" s="563" t="str">
        <f t="shared" si="3"/>
        <v>-</v>
      </c>
      <c r="X10" s="563" t="str">
        <f t="shared" ca="1" si="3"/>
        <v>-</v>
      </c>
      <c r="Y10" s="1190"/>
    </row>
    <row r="11" spans="1:29" ht="39" customHeight="1">
      <c r="A11" s="947" t="s">
        <v>857</v>
      </c>
      <c r="B11" s="175"/>
      <c r="C11" s="176"/>
      <c r="D11" s="177"/>
      <c r="E11" s="948">
        <f t="shared" si="0"/>
        <v>0</v>
      </c>
      <c r="F11" s="949">
        <f>IFERROR(IF(BudgetDB!$FP$3093="پرسنلی",('هزینه پرسنلی مستقیم خدمات 2'!$B$53/E11)/$AC$6,('هزینه پرسنلی مستقیم خدمات 2'!$B$53/(C11+B11))/$AC$6),0)</f>
        <v>0</v>
      </c>
      <c r="G11" s="949"/>
      <c r="H11" s="175"/>
      <c r="I11" s="176"/>
      <c r="J11" s="177"/>
      <c r="K11" s="552">
        <f t="shared" si="1"/>
        <v>0</v>
      </c>
      <c r="L11" s="685">
        <f>IFERROR(IF(BudgetDB!$FP$3093="پرسنلی",('هزینه پرسنلی مستقیم خدمات 2'!$C$53/K11)/$AC$6,('هزینه پرسنلی مستقیم خدمات 2'!$C$53/(I11+H11))/$AC$6),0)</f>
        <v>0</v>
      </c>
      <c r="M11" s="685"/>
      <c r="N11" s="175"/>
      <c r="O11" s="176"/>
      <c r="P11" s="177"/>
      <c r="Q11" s="552">
        <f t="shared" si="2"/>
        <v>0</v>
      </c>
      <c r="R11" s="685">
        <f>IFERROR(IF(BudgetDB!$FP$3093="پرسنلی",('هزینه پرسنلی مستقیم خدمات 2'!$D$53/Q11)/$AC$6,('هزینه پرسنلی مستقیم خدمات 2'!$D$53/(O11+N11))/$AC$6),0)</f>
        <v>0</v>
      </c>
      <c r="S11" s="685"/>
      <c r="T11" s="561" t="str">
        <f>IFERROR(N11*100/H11,"-")</f>
        <v>-</v>
      </c>
      <c r="U11" s="518" t="str">
        <f>IFERROR(O11*100/I11,"-")</f>
        <v>-</v>
      </c>
      <c r="V11" s="562" t="str">
        <f>IFERROR(P11*100/J11,"-")</f>
        <v>-</v>
      </c>
      <c r="W11" s="563" t="str">
        <f t="shared" ref="W11:X14" si="4">IFERROR(Q11*100/K11,"-")</f>
        <v>-</v>
      </c>
      <c r="X11" s="563" t="str">
        <f t="shared" si="4"/>
        <v>-</v>
      </c>
      <c r="Y11" s="1190"/>
    </row>
    <row r="12" spans="1:29" ht="39" customHeight="1">
      <c r="A12" s="947" t="s">
        <v>858</v>
      </c>
      <c r="B12" s="175"/>
      <c r="C12" s="176"/>
      <c r="D12" s="177"/>
      <c r="E12" s="948">
        <f t="shared" si="0"/>
        <v>0</v>
      </c>
      <c r="F12" s="949">
        <f>IFERROR(IF(BudgetDB!$FP$3093="پرسنلی",('هزینه پرسنلی غیرمستقیم خدمات 2'!$B$53/E12)/$AC$6,('هزینه پرسنلی غیرمستقیم خدمات 2'!$B$53/(C12+B12))/$AC$6),0)</f>
        <v>0</v>
      </c>
      <c r="G12" s="949"/>
      <c r="H12" s="175"/>
      <c r="I12" s="176"/>
      <c r="J12" s="177"/>
      <c r="K12" s="552">
        <f t="shared" si="1"/>
        <v>0</v>
      </c>
      <c r="L12" s="685">
        <f>IFERROR(IF(BudgetDB!$FP$3093="پرسنلی",('هزینه پرسنلی غیرمستقیم خدمات 2'!$C$53/K12)/$AC$6,('هزینه پرسنلی غیرمستقیم خدمات 2'!$C$53/(I12+H12))/$AC$6),0)</f>
        <v>0</v>
      </c>
      <c r="M12" s="685"/>
      <c r="N12" s="175"/>
      <c r="O12" s="176"/>
      <c r="P12" s="177"/>
      <c r="Q12" s="552">
        <f t="shared" si="2"/>
        <v>0</v>
      </c>
      <c r="R12" s="685">
        <f>IFERROR(IF(BudgetDB!$FP$3093="پرسنلی",('هزینه پرسنلی غیرمستقیم خدمات 2'!$D$53/Q12)/$AC$6,('هزینه پرسنلی غیرمستقیم خدمات 2'!$D$53/(O12+N12))/$AC$6),0)</f>
        <v>0</v>
      </c>
      <c r="S12" s="685"/>
      <c r="T12" s="561" t="str">
        <f t="shared" ref="T12:V14" si="5">IFERROR(N12*100/H12,"-")</f>
        <v>-</v>
      </c>
      <c r="U12" s="518" t="str">
        <f t="shared" si="5"/>
        <v>-</v>
      </c>
      <c r="V12" s="562" t="str">
        <f t="shared" si="5"/>
        <v>-</v>
      </c>
      <c r="W12" s="563" t="str">
        <f t="shared" si="4"/>
        <v>-</v>
      </c>
      <c r="X12" s="563" t="str">
        <f t="shared" si="4"/>
        <v>-</v>
      </c>
      <c r="Y12" s="1190"/>
    </row>
    <row r="13" spans="1:29" ht="39" customHeight="1" thickBot="1">
      <c r="A13" s="950" t="s">
        <v>859</v>
      </c>
      <c r="B13" s="178"/>
      <c r="C13" s="179"/>
      <c r="D13" s="180"/>
      <c r="E13" s="951">
        <f t="shared" si="0"/>
        <v>0</v>
      </c>
      <c r="F13" s="952">
        <f>IFERROR(IF(BudgetDB!$FP$3093="پرسنلی",('هزینه اداری عمومی آزادراه'!$B$26/E13)/$AC$6,('هزینه اداری عمومی آزادراه'!$B$26/(C13+B13))/$AC$6),0)</f>
        <v>0</v>
      </c>
      <c r="G13" s="952"/>
      <c r="H13" s="178"/>
      <c r="I13" s="179"/>
      <c r="J13" s="180"/>
      <c r="K13" s="553">
        <f t="shared" si="1"/>
        <v>0</v>
      </c>
      <c r="L13" s="686">
        <f ca="1">IFERROR(IF(BudgetDB!$FP$3093="پرسنلی",('هزینه اداری عمومی آزادراه'!$C$26/K13)/$AC$6,('هزینه اداری عمومی آزادراه'!$C$26/(I13+H13))/$AC$6),0)</f>
        <v>0</v>
      </c>
      <c r="M13" s="686"/>
      <c r="N13" s="178"/>
      <c r="O13" s="179"/>
      <c r="P13" s="180"/>
      <c r="Q13" s="553">
        <f t="shared" si="2"/>
        <v>0</v>
      </c>
      <c r="R13" s="686">
        <f>IFERROR(IF(BudgetDB!$FP$3093="پرسنلی",('هزینه اداری عمومی آزادراه'!$D$26/Q13)/$AC$6,('هزینه اداری عمومی آزادراه'!$D$26/(O13+N13))/$AC$6),0)</f>
        <v>0</v>
      </c>
      <c r="S13" s="686"/>
      <c r="T13" s="564" t="str">
        <f t="shared" si="5"/>
        <v>-</v>
      </c>
      <c r="U13" s="519" t="str">
        <f t="shared" si="5"/>
        <v>-</v>
      </c>
      <c r="V13" s="520" t="str">
        <f t="shared" si="5"/>
        <v>-</v>
      </c>
      <c r="W13" s="565" t="str">
        <f t="shared" si="4"/>
        <v>-</v>
      </c>
      <c r="X13" s="565" t="str">
        <f t="shared" ca="1" si="4"/>
        <v>-</v>
      </c>
      <c r="Y13" s="1190"/>
    </row>
    <row r="14" spans="1:29" ht="39" customHeight="1" thickBot="1">
      <c r="A14" s="546" t="s">
        <v>1</v>
      </c>
      <c r="B14" s="547">
        <f t="shared" ref="B14:P14" si="6">SUM(B8:B13)</f>
        <v>0</v>
      </c>
      <c r="C14" s="548">
        <f t="shared" si="6"/>
        <v>0</v>
      </c>
      <c r="D14" s="549">
        <f t="shared" si="6"/>
        <v>0</v>
      </c>
      <c r="E14" s="550">
        <f>SUM(E8:E13)</f>
        <v>0</v>
      </c>
      <c r="F14" s="687">
        <f>IFERROR(IF(BudgetDB!$FP$3093="پرسنلی",(SUMPRODUCT(F8:F13,E8:E13)/E14),((SUM(F8*(C8+B8),F9*(C9+B9),F10*(C10+B10),F11*(C11+B11),F12*(C12+B12),F13*(C13+B13)))/E14)),0)</f>
        <v>0</v>
      </c>
      <c r="G14" s="687"/>
      <c r="H14" s="547">
        <f>SUM(H8:H13)</f>
        <v>0</v>
      </c>
      <c r="I14" s="548">
        <f t="shared" si="6"/>
        <v>0</v>
      </c>
      <c r="J14" s="549">
        <f t="shared" si="6"/>
        <v>0</v>
      </c>
      <c r="K14" s="550">
        <f>SUM(K8:K13)</f>
        <v>0</v>
      </c>
      <c r="L14" s="687">
        <f ca="1">IFERROR(IF(BudgetDB!$FP$3093="پرسنلی",(SUMPRODUCT(L8:L13,K8:K13)/K14),((SUM(L8*(I8+H8),L9*(I9+H9),L10*(I10+H10),L11*(I11+H11),L12*(I12+H12),L13*(I13+H13)))/K14)),0)</f>
        <v>0</v>
      </c>
      <c r="M14" s="687"/>
      <c r="N14" s="547">
        <f t="shared" si="6"/>
        <v>0</v>
      </c>
      <c r="O14" s="548">
        <f t="shared" si="6"/>
        <v>0</v>
      </c>
      <c r="P14" s="549">
        <f t="shared" si="6"/>
        <v>0</v>
      </c>
      <c r="Q14" s="550">
        <f>SUM(Q8:Q13)</f>
        <v>0</v>
      </c>
      <c r="R14" s="687">
        <f>IFERROR(IF(BudgetDB!$FP$3093="پرسنلی",(SUMPRODUCT(R8:R13,Q8:Q13)/Q14),((SUM(R8*(O8+N8),R9*(O9+N9),R10*(O10+N10),R11*(O11+N11),R12*(O12+N12),R13*(O13+N13)))/Q14)),0)</f>
        <v>0</v>
      </c>
      <c r="S14" s="687"/>
      <c r="T14" s="554" t="str">
        <f t="shared" si="5"/>
        <v>-</v>
      </c>
      <c r="U14" s="555" t="str">
        <f t="shared" si="5"/>
        <v>-</v>
      </c>
      <c r="V14" s="556" t="str">
        <f t="shared" si="5"/>
        <v>-</v>
      </c>
      <c r="W14" s="688" t="str">
        <f t="shared" si="4"/>
        <v>-</v>
      </c>
      <c r="X14" s="688" t="str">
        <f t="shared" ca="1" si="4"/>
        <v>-</v>
      </c>
      <c r="Y14" s="1190"/>
    </row>
    <row r="15" spans="1:29" ht="16.5" customHeight="1" thickTop="1">
      <c r="A15" s="943"/>
      <c r="B15" s="943"/>
      <c r="C15" s="943"/>
      <c r="D15" s="943"/>
      <c r="E15" s="943"/>
      <c r="F15" s="943"/>
      <c r="G15" s="943"/>
      <c r="H15" s="943"/>
      <c r="I15" s="943"/>
      <c r="J15" s="943"/>
      <c r="K15" s="943"/>
      <c r="L15" s="943"/>
      <c r="M15" s="943"/>
      <c r="N15" s="943"/>
      <c r="O15" s="943"/>
      <c r="P15" s="943"/>
      <c r="Q15" s="943"/>
      <c r="R15" s="943"/>
      <c r="S15" s="943"/>
      <c r="T15" s="943"/>
      <c r="U15" s="943"/>
      <c r="V15" s="943"/>
      <c r="W15" s="943"/>
    </row>
    <row r="16" spans="1:29" ht="8.25" customHeight="1">
      <c r="A16" s="943"/>
      <c r="B16" s="943"/>
      <c r="C16" s="943"/>
      <c r="D16" s="943"/>
      <c r="E16" s="943"/>
      <c r="F16" s="943"/>
      <c r="G16" s="943"/>
      <c r="H16" s="943"/>
      <c r="I16" s="943"/>
      <c r="J16" s="943"/>
      <c r="K16" s="943"/>
      <c r="L16" s="943"/>
      <c r="M16" s="943"/>
      <c r="N16" s="943"/>
      <c r="O16" s="943"/>
      <c r="P16" s="943"/>
      <c r="Q16" s="943"/>
      <c r="R16" s="943"/>
      <c r="S16" s="943"/>
      <c r="T16" s="943"/>
      <c r="U16" s="943"/>
      <c r="V16" s="943"/>
      <c r="W16" s="943"/>
    </row>
  </sheetData>
  <mergeCells count="8">
    <mergeCell ref="A1:H1"/>
    <mergeCell ref="A2:W2"/>
    <mergeCell ref="T4:U4"/>
    <mergeCell ref="A6:A7"/>
    <mergeCell ref="B6:G6"/>
    <mergeCell ref="H6:M6"/>
    <mergeCell ref="N6:S6"/>
    <mergeCell ref="T6:Y6"/>
  </mergeCells>
  <printOptions horizontalCentered="1"/>
  <pageMargins left="0.19685039370078741" right="0.19685039370078741" top="0.59055118110236227" bottom="0.78740157480314965" header="0.19685039370078741" footer="0.19685039370078741"/>
  <pageSetup paperSize="9" scale="6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9">
    <tabColor rgb="FFFFA07A"/>
    <pageSetUpPr fitToPage="1"/>
  </sheetPr>
  <dimension ref="A1:AH11"/>
  <sheetViews>
    <sheetView rightToLeft="1" view="pageBreakPreview" zoomScale="60" zoomScaleNormal="85" workbookViewId="0">
      <selection activeCell="G5" sqref="G5"/>
    </sheetView>
  </sheetViews>
  <sheetFormatPr defaultColWidth="9" defaultRowHeight="21"/>
  <cols>
    <col min="1" max="1" width="32.140625" style="942" customWidth="1"/>
    <col min="2" max="20" width="8.140625" style="942" customWidth="1"/>
    <col min="21" max="21" width="3.7109375" style="942" customWidth="1"/>
    <col min="22" max="22" width="8.140625" style="942" customWidth="1"/>
    <col min="23" max="23" width="3.7109375" style="942" customWidth="1"/>
    <col min="24" max="24" width="8.140625" style="942" customWidth="1"/>
    <col min="25" max="25" width="3.7109375" style="942" customWidth="1"/>
    <col min="26" max="27" width="8.140625" style="942" customWidth="1"/>
    <col min="28" max="28" width="3.7109375" style="942" customWidth="1"/>
    <col min="29" max="29" width="8.140625" style="942" customWidth="1"/>
    <col min="30" max="30" width="3.7109375" style="942" customWidth="1"/>
    <col min="31" max="32" width="9" style="942"/>
    <col min="33" max="33" width="0" style="942" hidden="1" customWidth="1"/>
    <col min="34" max="34" width="9" style="942" hidden="1" customWidth="1"/>
    <col min="35" max="35" width="0" style="942" hidden="1" customWidth="1"/>
    <col min="36" max="16384" width="9" style="942"/>
  </cols>
  <sheetData>
    <row r="1" spans="1:34" s="5"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R1" s="2685"/>
      <c r="S1" s="2685"/>
      <c r="T1" s="2685"/>
      <c r="U1" s="2685"/>
      <c r="V1" s="2685"/>
      <c r="W1" s="2685"/>
      <c r="X1" s="2685"/>
      <c r="Y1" s="2685"/>
      <c r="Z1" s="2685"/>
      <c r="AA1" s="2685"/>
      <c r="AB1" s="2685"/>
      <c r="AC1" s="2685"/>
      <c r="AD1" s="2685"/>
    </row>
    <row r="2" spans="1:34" s="5" customFormat="1" ht="28.5" customHeight="1" thickBot="1">
      <c r="A2" s="1206" t="str">
        <f>"گزارش تعداد پرسنل و سرانه هزینه پرسنلی به تفکیک نوع قرارداد در دوره " &amp; روکش!F9 &amp; " سال " &amp; روکش!D9</f>
        <v>گزارش تعداد پرسنل و سرانه هزینه پرسنلی به تفکیک نوع قرارداد در دوره شش ماهه سال 1405</v>
      </c>
      <c r="B2" s="1205"/>
      <c r="C2" s="1205"/>
      <c r="D2" s="1205"/>
      <c r="E2" s="1205"/>
      <c r="F2" s="1205"/>
      <c r="G2" s="1205"/>
      <c r="H2" s="1205"/>
      <c r="I2" s="1205"/>
      <c r="J2" s="1205"/>
      <c r="K2" s="1205"/>
      <c r="L2" s="1205"/>
      <c r="M2" s="1205"/>
      <c r="N2" s="1205"/>
      <c r="O2" s="1205"/>
      <c r="P2" s="1205"/>
      <c r="Q2" s="1205"/>
      <c r="R2" s="1205"/>
      <c r="S2" s="1205"/>
      <c r="T2" s="1202"/>
      <c r="U2" s="1202"/>
      <c r="V2" s="1202"/>
      <c r="W2" s="1202"/>
      <c r="X2" s="1202"/>
      <c r="Y2" s="1202"/>
      <c r="Z2" s="1202"/>
      <c r="AA2" s="1202"/>
      <c r="AB2" s="1202"/>
      <c r="AC2" s="1202"/>
      <c r="AD2" s="1202"/>
    </row>
    <row r="3" spans="1:34" ht="35.25" customHeight="1" thickBot="1">
      <c r="A3" s="2907" t="s">
        <v>21</v>
      </c>
      <c r="B3" s="1546" t="s">
        <v>716</v>
      </c>
      <c r="C3" s="1546"/>
      <c r="D3" s="1546"/>
      <c r="E3" s="1546"/>
      <c r="F3" s="1546"/>
      <c r="G3" s="1546"/>
      <c r="H3" s="1546" t="s">
        <v>674</v>
      </c>
      <c r="I3" s="1546"/>
      <c r="J3" s="1546"/>
      <c r="K3" s="1546"/>
      <c r="L3" s="1546"/>
      <c r="M3" s="1546"/>
      <c r="N3" s="1546" t="s">
        <v>675</v>
      </c>
      <c r="O3" s="1546"/>
      <c r="P3" s="1546"/>
      <c r="Q3" s="1546"/>
      <c r="R3" s="1546"/>
      <c r="S3" s="1546"/>
      <c r="T3" s="1546" t="s">
        <v>717</v>
      </c>
      <c r="U3" s="1546"/>
      <c r="V3" s="1546"/>
      <c r="W3" s="1546"/>
      <c r="X3" s="1546"/>
      <c r="Y3" s="1546"/>
      <c r="Z3" s="1546"/>
      <c r="AA3" s="1546"/>
      <c r="AB3" s="1546"/>
      <c r="AC3" s="1546"/>
      <c r="AD3" s="2252"/>
      <c r="AH3" s="1557">
        <f>IF(روکش!$F$9="سه ماهه", 3,6)</f>
        <v>6</v>
      </c>
    </row>
    <row r="4" spans="1:34" s="44" customFormat="1" ht="66.75" customHeight="1" thickBot="1">
      <c r="A4" s="2908"/>
      <c r="B4" s="542" t="s">
        <v>60</v>
      </c>
      <c r="C4" s="543" t="s">
        <v>61</v>
      </c>
      <c r="D4" s="544" t="s">
        <v>62</v>
      </c>
      <c r="E4" s="722" t="s">
        <v>1</v>
      </c>
      <c r="F4" s="542" t="s">
        <v>1403</v>
      </c>
      <c r="G4" s="544" t="s">
        <v>1404</v>
      </c>
      <c r="H4" s="542" t="s">
        <v>60</v>
      </c>
      <c r="I4" s="543" t="s">
        <v>61</v>
      </c>
      <c r="J4" s="544" t="s">
        <v>62</v>
      </c>
      <c r="K4" s="545" t="s">
        <v>1</v>
      </c>
      <c r="L4" s="542" t="s">
        <v>1403</v>
      </c>
      <c r="M4" s="544" t="s">
        <v>1404</v>
      </c>
      <c r="N4" s="542" t="s">
        <v>60</v>
      </c>
      <c r="O4" s="543" t="s">
        <v>61</v>
      </c>
      <c r="P4" s="544" t="s">
        <v>62</v>
      </c>
      <c r="Q4" s="545" t="s">
        <v>1</v>
      </c>
      <c r="R4" s="542" t="s">
        <v>1403</v>
      </c>
      <c r="S4" s="544" t="s">
        <v>1404</v>
      </c>
      <c r="T4" s="2928" t="s">
        <v>60</v>
      </c>
      <c r="U4" s="3028"/>
      <c r="V4" s="3027" t="s">
        <v>61</v>
      </c>
      <c r="W4" s="3028"/>
      <c r="X4" s="3027" t="s">
        <v>62</v>
      </c>
      <c r="Y4" s="2930"/>
      <c r="Z4" s="2150" t="s">
        <v>1</v>
      </c>
      <c r="AA4" s="2928" t="s">
        <v>1403</v>
      </c>
      <c r="AB4" s="3028"/>
      <c r="AC4" s="3027" t="s">
        <v>1404</v>
      </c>
      <c r="AD4" s="2930"/>
      <c r="AH4" s="1558" t="s">
        <v>1634</v>
      </c>
    </row>
    <row r="5" spans="1:34" ht="55.5" customHeight="1">
      <c r="A5" s="1547" t="s">
        <v>854</v>
      </c>
      <c r="B5" s="172"/>
      <c r="C5" s="173"/>
      <c r="D5" s="174"/>
      <c r="E5" s="551">
        <f>SUM(B5:D5)</f>
        <v>0</v>
      </c>
      <c r="F5" s="1561">
        <f>IFERROR(('نگهداری آزادراه'!$B$20/(C5+B5))/$AH$3,0)</f>
        <v>0</v>
      </c>
      <c r="G5" s="1562">
        <f ca="1">IFERROR((VLOOKUP($AH$4,'نگهداری آزادراه'!$A:$F,2,FALSE)/D5)/$AH$3,0)</f>
        <v>0</v>
      </c>
      <c r="H5" s="1499" cm="1">
        <f t="array" aca="1" ref="H5" ca="1">IF(ROW()-ROW($A$5)&lt;'الف-ب-ج'!$L$9,IF(روکش!$F$9="سه ماهه",INDIRECT("BudgetDB!FS"&amp;('الف-ب-ج'!$M$9+ROW()-ROW($A$5))),INDIRECT("BudgetDB!FV"&amp;('الف-ب-ج'!$M$9+ROW()-ROW($A$5)))),"")</f>
        <v>0</v>
      </c>
      <c r="I5" s="1555" cm="1">
        <f t="array" aca="1" ref="I5" ca="1">IF(ROW()-ROW($A$5)&lt;'الف-ب-ج'!$L$9,IF(روکش!$F$9="سه ماهه",INDIRECT("BudgetDB!FT"&amp;('الف-ب-ج'!$M$9+ROW()-ROW($A$5))),INDIRECT("BudgetDB!FW"&amp;('الف-ب-ج'!$M$9+ROW()-ROW($A$5)))),"")</f>
        <v>0</v>
      </c>
      <c r="J5" s="1556" cm="1">
        <f t="array" aca="1" ref="J5" ca="1">IF(ROW()-ROW($A$5)&lt;'الف-ب-ج'!$L$9,IF(روکش!$F$9="سه ماهه",INDIRECT("BudgetDB!FU"&amp;('الف-ب-ج'!$M$9+ROW()-ROW($A$5))),INDIRECT("BudgetDB!FX"&amp;('الف-ب-ج'!$M$9+ROW()-ROW($A$5)))),"")</f>
        <v>0</v>
      </c>
      <c r="K5" s="551">
        <f ca="1">SUM(H5:J5)</f>
        <v>0</v>
      </c>
      <c r="L5" s="1561">
        <f ca="1">IFERROR(('نگهداری آزادراه'!$C$20/(I5+H5))/$AH$3,0)</f>
        <v>0</v>
      </c>
      <c r="M5" s="1562">
        <f ca="1">IFERROR((VLOOKUP($AH$4,'نگهداری آزادراه'!$A:$F,3,FALSE)/J5)/$AH$3,0)</f>
        <v>0</v>
      </c>
      <c r="N5" s="172"/>
      <c r="O5" s="173"/>
      <c r="P5" s="174"/>
      <c r="Q5" s="551">
        <f>SUM(N5:P5)</f>
        <v>0</v>
      </c>
      <c r="R5" s="1561">
        <f>IFERROR(('نگهداری آزادراه'!$D$20/(O5+N5))/$AH$3,0)</f>
        <v>0</v>
      </c>
      <c r="S5" s="1562">
        <f ca="1">IFERROR((VLOOKUP($AH$4,'نگهداری آزادراه'!$A:$F,4,FALSE)/P5)/$AH$3,0)</f>
        <v>0</v>
      </c>
      <c r="T5" s="2119" t="str">
        <f t="shared" ref="T5:T9" ca="1" si="0">IFERROR(N5*100/H5,"-")</f>
        <v>-</v>
      </c>
      <c r="U5" s="2163">
        <f ca="1">IFERROR(ABS(T5-100),500)</f>
        <v>500</v>
      </c>
      <c r="V5" s="2169" t="str">
        <f ca="1">IFERROR(O5*100/I5,"-")</f>
        <v>-</v>
      </c>
      <c r="W5" s="2163">
        <f ca="1">IFERROR(ABS(V5-100),500)</f>
        <v>500</v>
      </c>
      <c r="X5" s="2169" t="str">
        <f ca="1">IFERROR(P5*100/J5,"-")</f>
        <v>-</v>
      </c>
      <c r="Y5" s="2163">
        <f ca="1">IFERROR(ABS(X5-100),500)</f>
        <v>500</v>
      </c>
      <c r="Z5" s="402" t="str">
        <f t="shared" ref="Z5:AA9" ca="1" si="1">IFERROR(Q5*100/K5,"-")</f>
        <v>-</v>
      </c>
      <c r="AA5" s="2119" t="str">
        <f t="shared" ca="1" si="1"/>
        <v>-</v>
      </c>
      <c r="AB5" s="2163">
        <f ca="1">IFERROR(ABS(AA5-100),500)</f>
        <v>500</v>
      </c>
      <c r="AC5" s="2169" t="str">
        <f ca="1">IFERROR(S5*100/M5,"-")</f>
        <v>-</v>
      </c>
      <c r="AD5" s="415">
        <f ca="1">IFERROR(ABS(AC5-100),500)</f>
        <v>500</v>
      </c>
    </row>
    <row r="6" spans="1:34" ht="55.5" customHeight="1">
      <c r="A6" s="1548" t="s">
        <v>855</v>
      </c>
      <c r="B6" s="175"/>
      <c r="C6" s="176"/>
      <c r="D6" s="177"/>
      <c r="E6" s="552">
        <f>SUM(B6:D6)</f>
        <v>0</v>
      </c>
      <c r="F6" s="561">
        <f>IFERROR(('بهره برداری آزادراه'!$B$20/(C6+B6))/$AH$3,0)</f>
        <v>0</v>
      </c>
      <c r="G6" s="1493">
        <f ca="1">IFERROR((VLOOKUP($AH$4,'بهره برداری آزادراه'!$A:$F,2,FALSE)/D6)/$AH$3,0)</f>
        <v>0</v>
      </c>
      <c r="H6" s="1367" cm="1">
        <f t="array" aca="1" ref="H6" ca="1">IF(ROW()-ROW($A$5)&lt;'الف-ب-ج'!$L$9,IF(روکش!$F$9="سه ماهه",INDIRECT("BudgetDB!FS"&amp;('الف-ب-ج'!$M$9+ROW()-ROW($A$5))),INDIRECT("BudgetDB!FV"&amp;('الف-ب-ج'!$M$9+ROW()-ROW($A$5)))),"")</f>
        <v>0</v>
      </c>
      <c r="I6" s="839" cm="1">
        <f t="array" aca="1" ref="I6" ca="1">IF(ROW()-ROW($A$5)&lt;'الف-ب-ج'!$L$9,IF(روکش!$F$9="سه ماهه",INDIRECT("BudgetDB!FT"&amp;('الف-ب-ج'!$M$9+ROW()-ROW($A$5))),INDIRECT("BudgetDB!FW"&amp;('الف-ب-ج'!$M$9+ROW()-ROW($A$5)))),"")</f>
        <v>0</v>
      </c>
      <c r="J6" s="1363" cm="1">
        <f t="array" aca="1" ref="J6" ca="1">IF(ROW()-ROW($A$5)&lt;'الف-ب-ج'!$L$9,IF(روکش!$F$9="سه ماهه",INDIRECT("BudgetDB!FU"&amp;('الف-ب-ج'!$M$9+ROW()-ROW($A$5))),INDIRECT("BudgetDB!FX"&amp;('الف-ب-ج'!$M$9+ROW()-ROW($A$5)))),"")</f>
        <v>0</v>
      </c>
      <c r="K6" s="552">
        <f ca="1">SUM(H6:J6)</f>
        <v>0</v>
      </c>
      <c r="L6" s="561">
        <f ca="1">IFERROR(('بهره برداری آزادراه'!$C$20/(I6+H6))/$AH$3,0)</f>
        <v>0</v>
      </c>
      <c r="M6" s="1493">
        <f ca="1">IFERROR((VLOOKUP($AH$4,'بهره برداری آزادراه'!$A:$F,3,FALSE)/J6)/$AH$3,0)</f>
        <v>0</v>
      </c>
      <c r="N6" s="175"/>
      <c r="O6" s="176"/>
      <c r="P6" s="177"/>
      <c r="Q6" s="552">
        <f>SUM(N6:P6)</f>
        <v>0</v>
      </c>
      <c r="R6" s="561">
        <f>IFERROR(('بهره برداری آزادراه'!$D$20/(O6+N6))/$AH$3,0)</f>
        <v>0</v>
      </c>
      <c r="S6" s="1493">
        <f ca="1">IFERROR((VLOOKUP($AH$4,'بهره برداری آزادراه'!$A:$F,4,FALSE)/P6)/$AH$3,0)</f>
        <v>0</v>
      </c>
      <c r="T6" s="2120" t="str">
        <f t="shared" ca="1" si="0"/>
        <v>-</v>
      </c>
      <c r="U6" s="2164">
        <f ca="1">IFERROR(ABS(T6-100),500)</f>
        <v>500</v>
      </c>
      <c r="V6" s="2170" t="str">
        <f ca="1">IFERROR(O6*100/I6,"-")</f>
        <v>-</v>
      </c>
      <c r="W6" s="2164">
        <f ca="1">IFERROR(ABS(V6-100),500)</f>
        <v>500</v>
      </c>
      <c r="X6" s="2170" t="str">
        <f ca="1">IFERROR(P6*100/J6,"-")</f>
        <v>-</v>
      </c>
      <c r="Y6" s="2164">
        <f ca="1">IFERROR(ABS(X6-100),500)</f>
        <v>500</v>
      </c>
      <c r="Z6" s="406" t="str">
        <f t="shared" ca="1" si="1"/>
        <v>-</v>
      </c>
      <c r="AA6" s="2120" t="str">
        <f t="shared" ca="1" si="1"/>
        <v>-</v>
      </c>
      <c r="AB6" s="2164">
        <f ca="1">IFERROR(ABS(AA6-100),500)</f>
        <v>500</v>
      </c>
      <c r="AC6" s="2170" t="str">
        <f ca="1">IFERROR(S6*100/M6,"-")</f>
        <v>-</v>
      </c>
      <c r="AD6" s="418">
        <f ca="1">IFERROR(ABS(AC6-100),500)</f>
        <v>500</v>
      </c>
    </row>
    <row r="7" spans="1:34" ht="55.5" customHeight="1">
      <c r="A7" s="1548" t="s">
        <v>856</v>
      </c>
      <c r="B7" s="175"/>
      <c r="C7" s="176"/>
      <c r="D7" s="177"/>
      <c r="E7" s="552">
        <f>SUM(B7:D7)</f>
        <v>0</v>
      </c>
      <c r="F7" s="561">
        <f>IFERROR(('بهسازی آزادراه'!$B$20/(C7+B7))/$AH$3,0)</f>
        <v>0</v>
      </c>
      <c r="G7" s="1493">
        <f ca="1">IFERROR((VLOOKUP($AH$4,'بهسازی آزادراه'!$A:$F,2,FALSE)/D7)/$AH$3,0)</f>
        <v>0</v>
      </c>
      <c r="H7" s="1367" cm="1">
        <f t="array" aca="1" ref="H7" ca="1">IF(ROW()-ROW($A$5)&lt;'الف-ب-ج'!$L$9,IF(روکش!$F$9="سه ماهه",INDIRECT("BudgetDB!FS"&amp;('الف-ب-ج'!$M$9+ROW()-ROW($A$5))),INDIRECT("BudgetDB!FV"&amp;('الف-ب-ج'!$M$9+ROW()-ROW($A$5)))),"")</f>
        <v>0</v>
      </c>
      <c r="I7" s="839" cm="1">
        <f t="array" aca="1" ref="I7" ca="1">IF(ROW()-ROW($A$5)&lt;'الف-ب-ج'!$L$9,IF(روکش!$F$9="سه ماهه",INDIRECT("BudgetDB!FT"&amp;('الف-ب-ج'!$M$9+ROW()-ROW($A$5))),INDIRECT("BudgetDB!FW"&amp;('الف-ب-ج'!$M$9+ROW()-ROW($A$5)))),"")</f>
        <v>0</v>
      </c>
      <c r="J7" s="1363" cm="1">
        <f t="array" aca="1" ref="J7" ca="1">IF(ROW()-ROW($A$5)&lt;'الف-ب-ج'!$L$9,IF(روکش!$F$9="سه ماهه",INDIRECT("BudgetDB!FU"&amp;('الف-ب-ج'!$M$9+ROW()-ROW($A$5))),INDIRECT("BudgetDB!FX"&amp;('الف-ب-ج'!$M$9+ROW()-ROW($A$5)))),"")</f>
        <v>0</v>
      </c>
      <c r="K7" s="552">
        <f ca="1">SUM(H7:J7)</f>
        <v>0</v>
      </c>
      <c r="L7" s="561">
        <f ca="1">IFERROR(('بهسازی آزادراه'!$C$20/(I7+H7))/$AH$3,0)</f>
        <v>0</v>
      </c>
      <c r="M7" s="1493">
        <f ca="1">IFERROR((VLOOKUP($AH$4,'بهسازی آزادراه'!$A:$F,3,FALSE)/J7)/$AH$3,0)</f>
        <v>0</v>
      </c>
      <c r="N7" s="175"/>
      <c r="O7" s="176"/>
      <c r="P7" s="177"/>
      <c r="Q7" s="552">
        <f>SUM(N7:P7)</f>
        <v>0</v>
      </c>
      <c r="R7" s="561">
        <f>IFERROR(('بهسازی آزادراه'!$D$20/(O7+N7))/$AH$3,0)</f>
        <v>0</v>
      </c>
      <c r="S7" s="1493">
        <f ca="1">IFERROR((VLOOKUP($AH$4,'بهسازی آزادراه'!$A:$F,4,FALSE)/P7)/$AH$3,0)</f>
        <v>0</v>
      </c>
      <c r="T7" s="2231" t="str">
        <f t="shared" ca="1" si="0"/>
        <v>-</v>
      </c>
      <c r="U7" s="2232">
        <f ca="1">IFERROR(ABS(T7-100),500)</f>
        <v>500</v>
      </c>
      <c r="V7" s="562" t="str">
        <f ca="1">IFERROR(O7*100/I7,"-")</f>
        <v>-</v>
      </c>
      <c r="W7" s="2232">
        <f ca="1">IFERROR(ABS(V7-100),500)</f>
        <v>500</v>
      </c>
      <c r="X7" s="562" t="str">
        <f ca="1">IFERROR(P7*100/J7,"-")</f>
        <v>-</v>
      </c>
      <c r="Y7" s="2232">
        <f ca="1">IFERROR(ABS(X7-100),500)</f>
        <v>500</v>
      </c>
      <c r="Z7" s="561" t="str">
        <f t="shared" ca="1" si="1"/>
        <v>-</v>
      </c>
      <c r="AA7" s="2231" t="str">
        <f t="shared" ca="1" si="1"/>
        <v>-</v>
      </c>
      <c r="AB7" s="2232">
        <f ca="1">IFERROR(ABS(AA7-100),500)</f>
        <v>500</v>
      </c>
      <c r="AC7" s="562" t="str">
        <f ca="1">IFERROR(S7*100/M7,"-")</f>
        <v>-</v>
      </c>
      <c r="AD7" s="2253">
        <f ca="1">IFERROR(ABS(AC7-100),500)</f>
        <v>500</v>
      </c>
    </row>
    <row r="8" spans="1:34" ht="55.5" customHeight="1" thickBot="1">
      <c r="A8" s="1549" t="s">
        <v>859</v>
      </c>
      <c r="B8" s="178"/>
      <c r="C8" s="179"/>
      <c r="D8" s="180"/>
      <c r="E8" s="553">
        <f>SUM(B8:D8)</f>
        <v>0</v>
      </c>
      <c r="F8" s="564">
        <f>IFERROR(('هزینه اداری عمومی آزادراه'!$B$26/(C8+B8))/$AH$3,0)</f>
        <v>0</v>
      </c>
      <c r="G8" s="520">
        <f ca="1">IFERROR((VLOOKUP($AH$4,'هزینه اداری عمومی آزادراه'!$A:$F,2,FALSE)/D8)/$AH$3,0)</f>
        <v>0</v>
      </c>
      <c r="H8" s="1494" cm="1">
        <f t="array" aca="1" ref="H8" ca="1">IF(ROW()-ROW($A$5)&lt;'الف-ب-ج'!$L$9,IF(روکش!$F$9="سه ماهه",INDIRECT("BudgetDB!FS"&amp;('الف-ب-ج'!$M$9+ROW()-ROW($A$5))),INDIRECT("BudgetDB!FV"&amp;('الف-ب-ج'!$M$9+ROW()-ROW($A$5)))),"")</f>
        <v>0</v>
      </c>
      <c r="I8" s="1497" cm="1">
        <f t="array" aca="1" ref="I8" ca="1">IF(ROW()-ROW($A$5)&lt;'الف-ب-ج'!$L$9,IF(روکش!$F$9="سه ماهه",INDIRECT("BudgetDB!FT"&amp;('الف-ب-ج'!$M$9+ROW()-ROW($A$5))),INDIRECT("BudgetDB!FW"&amp;('الف-ب-ج'!$M$9+ROW()-ROW($A$5)))),"")</f>
        <v>0</v>
      </c>
      <c r="J8" s="1498" cm="1">
        <f t="array" aca="1" ref="J8" ca="1">IF(ROW()-ROW($A$5)&lt;'الف-ب-ج'!$L$9,IF(روکش!$F$9="سه ماهه",INDIRECT("BudgetDB!FU"&amp;('الف-ب-ج'!$M$9+ROW()-ROW($A$5))),INDIRECT("BudgetDB!FX"&amp;('الف-ب-ج'!$M$9+ROW()-ROW($A$5)))),"")</f>
        <v>0</v>
      </c>
      <c r="K8" s="553">
        <f ca="1">SUM(H8:J8)</f>
        <v>0</v>
      </c>
      <c r="L8" s="564">
        <f ca="1">IFERROR(('هزینه اداری عمومی آزادراه'!$C$26/(I8+H8))/$AH$3,0)</f>
        <v>0</v>
      </c>
      <c r="M8" s="520">
        <f ca="1">IFERROR((VLOOKUP($AH$4,'هزینه اداری عمومی آزادراه'!$A:$F,3,FALSE)/J8)/$AH$3,0)</f>
        <v>0</v>
      </c>
      <c r="N8" s="178"/>
      <c r="O8" s="179"/>
      <c r="P8" s="180"/>
      <c r="Q8" s="553">
        <f>SUM(N8:P8)</f>
        <v>0</v>
      </c>
      <c r="R8" s="564">
        <f>IFERROR(('هزینه اداری عمومی آزادراه'!$D$26/(O8+N8))/$AH$3,0)</f>
        <v>0</v>
      </c>
      <c r="S8" s="520">
        <f ca="1">IFERROR((VLOOKUP($AH$4,'هزینه اداری عمومی آزادراه'!$A:$F,4,FALSE)/P8)/$AH$3,0)</f>
        <v>0</v>
      </c>
      <c r="T8" s="2255" t="str">
        <f t="shared" ca="1" si="0"/>
        <v>-</v>
      </c>
      <c r="U8" s="2248">
        <f ca="1">IFERROR(ABS(T8-100),500)</f>
        <v>500</v>
      </c>
      <c r="V8" s="2250" t="str">
        <f ca="1">IFERROR(O8*100/I8,"-")</f>
        <v>-</v>
      </c>
      <c r="W8" s="2248">
        <f ca="1">IFERROR(ABS(V8-100),500)</f>
        <v>500</v>
      </c>
      <c r="X8" s="2250" t="str">
        <f ca="1">IFERROR(P8*100/J8,"-")</f>
        <v>-</v>
      </c>
      <c r="Y8" s="2248">
        <f ca="1">IFERROR(ABS(X8-100),500)</f>
        <v>500</v>
      </c>
      <c r="Z8" s="564" t="str">
        <f t="shared" ca="1" si="1"/>
        <v>-</v>
      </c>
      <c r="AA8" s="2255" t="str">
        <f t="shared" ca="1" si="1"/>
        <v>-</v>
      </c>
      <c r="AB8" s="2248">
        <f ca="1">IFERROR(ABS(AA8-100),500)</f>
        <v>500</v>
      </c>
      <c r="AC8" s="2250" t="str">
        <f ca="1">IFERROR(S8*100/M8,"-")</f>
        <v>-</v>
      </c>
      <c r="AD8" s="565">
        <f ca="1">IFERROR(ABS(AC8-100),500)</f>
        <v>500</v>
      </c>
    </row>
    <row r="9" spans="1:34" ht="55.5" customHeight="1" thickBot="1">
      <c r="A9" s="1550" t="s">
        <v>1</v>
      </c>
      <c r="B9" s="1430">
        <f>SUM(B5:B8)</f>
        <v>0</v>
      </c>
      <c r="C9" s="1431">
        <f>SUM(C5:C8)</f>
        <v>0</v>
      </c>
      <c r="D9" s="1551">
        <f>SUM(D5:D8)</f>
        <v>0</v>
      </c>
      <c r="E9" s="1552">
        <f>SUM(E5:E8)</f>
        <v>0</v>
      </c>
      <c r="F9" s="1553">
        <f>IFERROR(((SUM(F5*(C5+B5),F6*(C6+B6),F7*(C7+B7),F8*(C8+B8)))/(C9+B9)),0)</f>
        <v>0</v>
      </c>
      <c r="G9" s="1554">
        <f ca="1">IFERROR((G5*D5+G6*D6+G7*D7+G8*D8)/(D9),0)</f>
        <v>0</v>
      </c>
      <c r="H9" s="1430">
        <f ca="1">SUM(H5:H8)</f>
        <v>0</v>
      </c>
      <c r="I9" s="1431">
        <f ca="1">SUM(I5:I8)</f>
        <v>0</v>
      </c>
      <c r="J9" s="1551">
        <f ca="1">SUM(J5:J8)</f>
        <v>0</v>
      </c>
      <c r="K9" s="1552">
        <f ca="1">SUM(K5:K8)</f>
        <v>0</v>
      </c>
      <c r="L9" s="1553">
        <f ca="1">IFERROR(((SUM(L5*(I5+H5),L6*(I6+H6),L7*(I7+H7),L8*(I8+H8)))/(I9+H9)),0)</f>
        <v>0</v>
      </c>
      <c r="M9" s="1554">
        <f ca="1">IFERROR((M5*J5+M6*J6+M7*J7+M8*J8)/(J9),0)</f>
        <v>0</v>
      </c>
      <c r="N9" s="1430">
        <f>SUM(N5:N8)</f>
        <v>0</v>
      </c>
      <c r="O9" s="1431">
        <f>SUM(O5:O8)</f>
        <v>0</v>
      </c>
      <c r="P9" s="1551">
        <f>SUM(P5:P8)</f>
        <v>0</v>
      </c>
      <c r="Q9" s="1552">
        <f>SUM(Q5:Q8)</f>
        <v>0</v>
      </c>
      <c r="R9" s="1553">
        <f>IFERROR(((SUM(R5*(O5+N5),R6*(O6+N6),R7*(O7+N7),R8*(O8+N8)))/(O9+N9)),0)</f>
        <v>0</v>
      </c>
      <c r="S9" s="1554">
        <f ca="1">IFERROR((S5*P5+S6*P6+S7*P7+S8*P8)/(P9),0)</f>
        <v>0</v>
      </c>
      <c r="T9" s="2256" t="str">
        <f t="shared" ca="1" si="0"/>
        <v>-</v>
      </c>
      <c r="U9" s="2249">
        <f ca="1">IFERROR(ABS(T9-100),500)</f>
        <v>500</v>
      </c>
      <c r="V9" s="2251" t="str">
        <f ca="1">IFERROR(O9*100/I9,"-")</f>
        <v>-</v>
      </c>
      <c r="W9" s="2249">
        <f ca="1">IFERROR(ABS(V9-100),500)</f>
        <v>500</v>
      </c>
      <c r="X9" s="2251" t="str">
        <f ca="1">IFERROR(P9*100/J9,"-")</f>
        <v>-</v>
      </c>
      <c r="Y9" s="2249">
        <f ca="1">IFERROR(ABS(X9-100),500)</f>
        <v>500</v>
      </c>
      <c r="Z9" s="1553" t="str">
        <f t="shared" ca="1" si="1"/>
        <v>-</v>
      </c>
      <c r="AA9" s="2256" t="str">
        <f t="shared" ca="1" si="1"/>
        <v>-</v>
      </c>
      <c r="AB9" s="2249">
        <f ca="1">IFERROR(ABS(AA9-100),500)</f>
        <v>500</v>
      </c>
      <c r="AC9" s="2251" t="str">
        <f ca="1">IFERROR(S9*100/M9,"-")</f>
        <v>-</v>
      </c>
      <c r="AD9" s="2254">
        <f ca="1">IFERROR(ABS(AC9-100),500)</f>
        <v>500</v>
      </c>
    </row>
    <row r="10" spans="1:34" ht="16.5" customHeight="1">
      <c r="A10" s="943"/>
      <c r="B10" s="943"/>
      <c r="C10" s="943"/>
      <c r="D10" s="943"/>
      <c r="E10" s="943"/>
      <c r="F10" s="943"/>
      <c r="G10" s="943"/>
      <c r="H10" s="943"/>
      <c r="I10" s="943"/>
      <c r="J10" s="943"/>
      <c r="K10" s="943"/>
      <c r="L10" s="943"/>
      <c r="M10" s="943"/>
      <c r="N10" s="943"/>
      <c r="O10" s="943"/>
      <c r="P10" s="943"/>
      <c r="Q10" s="943"/>
      <c r="R10" s="943"/>
      <c r="S10" s="943"/>
      <c r="T10" s="943"/>
      <c r="U10" s="943"/>
      <c r="V10" s="943"/>
      <c r="W10" s="943"/>
      <c r="X10" s="943"/>
      <c r="Y10" s="943"/>
      <c r="Z10" s="943"/>
    </row>
    <row r="11" spans="1:34" ht="8.25" customHeight="1">
      <c r="A11" s="943"/>
      <c r="B11" s="943"/>
      <c r="C11" s="943"/>
      <c r="D11" s="943"/>
      <c r="E11" s="943"/>
      <c r="F11" s="943"/>
      <c r="G11" s="943"/>
      <c r="H11" s="943"/>
      <c r="I11" s="943"/>
      <c r="J11" s="943"/>
      <c r="K11" s="943"/>
      <c r="L11" s="943"/>
      <c r="M11" s="943"/>
      <c r="N11" s="943"/>
      <c r="O11" s="943"/>
      <c r="P11" s="943"/>
      <c r="Q11" s="943"/>
      <c r="R11" s="943"/>
      <c r="S11" s="943"/>
      <c r="T11" s="943"/>
      <c r="U11" s="943"/>
      <c r="V11" s="943"/>
      <c r="W11" s="943"/>
      <c r="X11" s="943"/>
      <c r="Y11" s="943"/>
      <c r="Z11" s="943"/>
    </row>
  </sheetData>
  <mergeCells count="7">
    <mergeCell ref="A3:A4"/>
    <mergeCell ref="A1:AD1"/>
    <mergeCell ref="AA4:AB4"/>
    <mergeCell ref="AC4:AD4"/>
    <mergeCell ref="X4:Y4"/>
    <mergeCell ref="V4:W4"/>
    <mergeCell ref="T4:U4"/>
  </mergeCells>
  <conditionalFormatting sqref="U5:U9">
    <cfRule type="iconSet" priority="5">
      <iconSet iconSet="3Symbols" showValue="0" reverse="1">
        <cfvo type="percent" val="0"/>
        <cfvo type="num" val="10" gte="0"/>
        <cfvo type="num" val="40"/>
      </iconSet>
    </cfRule>
  </conditionalFormatting>
  <conditionalFormatting sqref="W5:W9">
    <cfRule type="iconSet" priority="4">
      <iconSet iconSet="3Symbols" showValue="0" reverse="1">
        <cfvo type="percent" val="0"/>
        <cfvo type="num" val="10" gte="0"/>
        <cfvo type="num" val="40"/>
      </iconSet>
    </cfRule>
  </conditionalFormatting>
  <conditionalFormatting sqref="Y5:Y9">
    <cfRule type="iconSet" priority="3">
      <iconSet iconSet="3Symbols" showValue="0" reverse="1">
        <cfvo type="percent" val="0"/>
        <cfvo type="num" val="10" gte="0"/>
        <cfvo type="num" val="40"/>
      </iconSet>
    </cfRule>
  </conditionalFormatting>
  <conditionalFormatting sqref="AB5:AB9">
    <cfRule type="iconSet" priority="2">
      <iconSet iconSet="3Symbols" showValue="0" reverse="1">
        <cfvo type="percent" val="0"/>
        <cfvo type="num" val="10" gte="0"/>
        <cfvo type="num" val="40"/>
      </iconSet>
    </cfRule>
  </conditionalFormatting>
  <conditionalFormatting sqref="AD5:AD9">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5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2">
    <tabColor rgb="FFFFA07A"/>
    <pageSetUpPr fitToPage="1"/>
  </sheetPr>
  <dimension ref="A1:I87"/>
  <sheetViews>
    <sheetView rightToLeft="1" view="pageBreakPreview" topLeftCell="A5" zoomScale="60" zoomScaleNormal="100" workbookViewId="0">
      <selection activeCell="A21" sqref="A21"/>
    </sheetView>
  </sheetViews>
  <sheetFormatPr defaultColWidth="9" defaultRowHeight="21"/>
  <cols>
    <col min="1" max="1" width="50.140625" style="1" bestFit="1" customWidth="1"/>
    <col min="2" max="2" width="22" style="1" customWidth="1"/>
    <col min="3" max="3" width="23.28515625" style="1" customWidth="1"/>
    <col min="4" max="6" width="9" style="1"/>
    <col min="7" max="7" width="9" style="1" customWidth="1"/>
    <col min="8" max="8" width="9" style="1193" hidden="1" customWidth="1"/>
    <col min="9" max="9" width="9" style="1" customWidth="1"/>
    <col min="10" max="16384" width="9" style="1"/>
  </cols>
  <sheetData>
    <row r="1" spans="1:9" s="5" customFormat="1" ht="24">
      <c r="A1" s="2685" t="str">
        <f>روکش!D4</f>
        <v>انبارهای عمومی و خدمات گمرکی ایران</v>
      </c>
      <c r="B1" s="2685"/>
      <c r="C1" s="2685"/>
      <c r="F1" s="212"/>
      <c r="G1" s="212"/>
      <c r="H1" s="1081" t="s">
        <v>206</v>
      </c>
      <c r="I1" s="212"/>
    </row>
    <row r="2" spans="1:9" s="5" customFormat="1" ht="28.5" customHeight="1">
      <c r="A2" s="1206" t="str">
        <f>" صورت وضعیت مالی آزادراه در پایان دوره " &amp; روکش!F9 &amp; " سال " &amp; روکش!D9</f>
        <v xml:space="preserve"> صورت وضعیت مالی آزادراه در پایان دوره شش ماهه سال 1405</v>
      </c>
      <c r="B2" s="1203"/>
      <c r="C2" s="1203"/>
      <c r="F2" s="212"/>
      <c r="G2" s="212"/>
      <c r="H2" s="1081" t="s">
        <v>206</v>
      </c>
      <c r="I2" s="212"/>
    </row>
    <row r="3" spans="1:9" ht="20.100000000000001" customHeight="1" thickBot="1">
      <c r="A3" s="3088"/>
      <c r="B3" s="3088"/>
      <c r="C3" s="1238" t="s">
        <v>30</v>
      </c>
      <c r="H3" s="1193" t="s">
        <v>206</v>
      </c>
    </row>
    <row r="4" spans="1:9" ht="48.75" thickBot="1">
      <c r="A4" s="1226" t="s">
        <v>21</v>
      </c>
      <c r="B4" s="1567" t="s">
        <v>187</v>
      </c>
      <c r="C4" s="1567" t="s">
        <v>718</v>
      </c>
      <c r="H4" s="1193" t="s">
        <v>206</v>
      </c>
    </row>
    <row r="5" spans="1:9" ht="21" customHeight="1">
      <c r="A5" s="953" t="s">
        <v>1440</v>
      </c>
      <c r="B5" s="1233"/>
      <c r="C5" s="1240"/>
      <c r="H5" s="1193" t="s">
        <v>206</v>
      </c>
    </row>
    <row r="6" spans="1:9" ht="21" customHeight="1">
      <c r="A6" s="954" t="s">
        <v>1441</v>
      </c>
      <c r="B6" s="1229"/>
      <c r="C6" s="1241"/>
      <c r="H6" s="1501">
        <f t="shared" ref="H6:H15" si="0">B6+C6</f>
        <v>0</v>
      </c>
    </row>
    <row r="7" spans="1:9" ht="21" customHeight="1">
      <c r="A7" s="1800" t="s">
        <v>2230</v>
      </c>
      <c r="B7" s="1229"/>
      <c r="C7" s="1241"/>
      <c r="H7" s="1501">
        <f t="shared" si="0"/>
        <v>0</v>
      </c>
    </row>
    <row r="8" spans="1:9" ht="21" customHeight="1">
      <c r="A8" s="955" t="s">
        <v>1442</v>
      </c>
      <c r="B8" s="1229"/>
      <c r="C8" s="1241"/>
      <c r="H8" s="1501">
        <f t="shared" si="0"/>
        <v>0</v>
      </c>
    </row>
    <row r="9" spans="1:9" ht="21" customHeight="1">
      <c r="A9" s="955" t="s">
        <v>1443</v>
      </c>
      <c r="B9" s="1229"/>
      <c r="C9" s="1241"/>
      <c r="H9" s="1501">
        <f t="shared" si="0"/>
        <v>0</v>
      </c>
    </row>
    <row r="10" spans="1:9" ht="21" customHeight="1">
      <c r="A10" s="955" t="s">
        <v>1444</v>
      </c>
      <c r="B10" s="1229"/>
      <c r="C10" s="1241"/>
      <c r="H10" s="1501">
        <f t="shared" si="0"/>
        <v>0</v>
      </c>
    </row>
    <row r="11" spans="1:9" ht="21" customHeight="1">
      <c r="A11" s="955" t="s">
        <v>1445</v>
      </c>
      <c r="B11" s="1577">
        <f>'اقلام عمده حسابها آزادراه'!B21</f>
        <v>0</v>
      </c>
      <c r="C11" s="1578">
        <f>'اقلام عمده حسابها آزادراه'!C21</f>
        <v>0</v>
      </c>
      <c r="H11" s="1501">
        <f t="shared" si="0"/>
        <v>0</v>
      </c>
    </row>
    <row r="12" spans="1:9" ht="21" customHeight="1">
      <c r="A12" s="955" t="s">
        <v>1446</v>
      </c>
      <c r="B12" s="1229"/>
      <c r="C12" s="1241"/>
      <c r="H12" s="1501">
        <f t="shared" si="0"/>
        <v>0</v>
      </c>
    </row>
    <row r="13" spans="1:9" ht="21" customHeight="1">
      <c r="A13" s="955" t="s">
        <v>1447</v>
      </c>
      <c r="B13" s="1229"/>
      <c r="C13" s="1241"/>
      <c r="H13" s="1501">
        <f t="shared" si="0"/>
        <v>0</v>
      </c>
    </row>
    <row r="14" spans="1:9" ht="21" customHeight="1">
      <c r="A14" s="955" t="s">
        <v>1448</v>
      </c>
      <c r="B14" s="1229"/>
      <c r="C14" s="1241"/>
      <c r="H14" s="1501">
        <f t="shared" si="0"/>
        <v>0</v>
      </c>
    </row>
    <row r="15" spans="1:9" ht="21" customHeight="1">
      <c r="A15" s="955" t="s">
        <v>1449</v>
      </c>
      <c r="B15" s="1229"/>
      <c r="C15" s="1241"/>
      <c r="H15" s="1501">
        <f t="shared" si="0"/>
        <v>0</v>
      </c>
    </row>
    <row r="16" spans="1:9" s="98" customFormat="1" ht="21" customHeight="1">
      <c r="A16" s="956" t="s">
        <v>1450</v>
      </c>
      <c r="B16" s="1230">
        <f>SUM(B6:B15)</f>
        <v>0</v>
      </c>
      <c r="C16" s="1245">
        <f>SUM(C6:C15)</f>
        <v>0</v>
      </c>
      <c r="H16" s="1501" t="s">
        <v>206</v>
      </c>
    </row>
    <row r="17" spans="1:8" ht="21" customHeight="1">
      <c r="A17" s="957" t="s">
        <v>1451</v>
      </c>
      <c r="B17" s="1583"/>
      <c r="C17" s="1584"/>
      <c r="H17" s="1501" t="s">
        <v>206</v>
      </c>
    </row>
    <row r="18" spans="1:8" ht="21" customHeight="1">
      <c r="A18" s="955" t="s">
        <v>1452</v>
      </c>
      <c r="B18" s="1577">
        <f>'اقلام عمده حسابها آزادراه'!B38</f>
        <v>0</v>
      </c>
      <c r="C18" s="1578">
        <f>'اقلام عمده حسابها آزادراه'!C38</f>
        <v>0</v>
      </c>
      <c r="H18" s="1501">
        <f t="shared" ref="H18:H25" si="1">B18+C18</f>
        <v>0</v>
      </c>
    </row>
    <row r="19" spans="1:8" ht="21" customHeight="1">
      <c r="A19" s="955" t="s">
        <v>1453</v>
      </c>
      <c r="B19" s="1577">
        <f>'موجودی مواد و کالا آزادراهی'!B12</f>
        <v>0</v>
      </c>
      <c r="C19" s="1578">
        <f>'موجودی مواد و کالا آزادراهی'!C12</f>
        <v>0</v>
      </c>
      <c r="H19" s="1501">
        <f t="shared" si="1"/>
        <v>0</v>
      </c>
    </row>
    <row r="20" spans="1:8" ht="21" customHeight="1">
      <c r="A20" s="955" t="s">
        <v>1454</v>
      </c>
      <c r="B20" s="1577">
        <f>'اقلام عمده حسابها آزادراه'!B55</f>
        <v>0</v>
      </c>
      <c r="C20" s="1578">
        <f>'اقلام عمده حسابها آزادراه'!C55</f>
        <v>0</v>
      </c>
      <c r="H20" s="1501">
        <f t="shared" si="1"/>
        <v>0</v>
      </c>
    </row>
    <row r="21" spans="1:8" ht="21" customHeight="1">
      <c r="A21" s="955" t="s">
        <v>1647</v>
      </c>
      <c r="B21" s="1229"/>
      <c r="C21" s="1241"/>
      <c r="H21" s="1501">
        <f t="shared" si="1"/>
        <v>0</v>
      </c>
    </row>
    <row r="22" spans="1:8" ht="21" customHeight="1">
      <c r="A22" s="955" t="s">
        <v>1456</v>
      </c>
      <c r="B22" s="1232">
        <f>'صورت جریان وجوه نقد آزادراه'!C58</f>
        <v>0</v>
      </c>
      <c r="C22" s="1244">
        <f>'صورت جریان وجوه نقد آزادراه'!C60</f>
        <v>0</v>
      </c>
      <c r="H22" s="1501">
        <f t="shared" si="1"/>
        <v>0</v>
      </c>
    </row>
    <row r="23" spans="1:8" ht="21" customHeight="1">
      <c r="A23" s="955" t="s">
        <v>2231</v>
      </c>
      <c r="B23" s="1229"/>
      <c r="C23" s="1241"/>
      <c r="H23" s="1501">
        <f t="shared" si="1"/>
        <v>0</v>
      </c>
    </row>
    <row r="24" spans="1:8" ht="21" customHeight="1">
      <c r="A24" s="955" t="s">
        <v>1457</v>
      </c>
      <c r="B24" s="1229"/>
      <c r="C24" s="1241"/>
      <c r="H24" s="1501">
        <f t="shared" si="1"/>
        <v>0</v>
      </c>
    </row>
    <row r="25" spans="1:8" ht="21" customHeight="1">
      <c r="A25" s="955" t="s">
        <v>1458</v>
      </c>
      <c r="B25" s="1229"/>
      <c r="C25" s="1241"/>
      <c r="H25" s="1501">
        <f t="shared" si="1"/>
        <v>0</v>
      </c>
    </row>
    <row r="26" spans="1:8" s="98" customFormat="1" ht="21" customHeight="1">
      <c r="A26" s="956" t="s">
        <v>1459</v>
      </c>
      <c r="B26" s="1230">
        <f>SUM(B18:B25)</f>
        <v>0</v>
      </c>
      <c r="C26" s="1245">
        <f>SUM(C18:C25)</f>
        <v>0</v>
      </c>
      <c r="H26" s="1501" t="s">
        <v>206</v>
      </c>
    </row>
    <row r="27" spans="1:8" ht="21" customHeight="1" thickBot="1">
      <c r="A27" s="958" t="s">
        <v>1460</v>
      </c>
      <c r="B27" s="1231">
        <f>B26+B16</f>
        <v>0</v>
      </c>
      <c r="C27" s="1246">
        <f>C26+C16</f>
        <v>0</v>
      </c>
      <c r="H27" s="1501" t="s">
        <v>206</v>
      </c>
    </row>
    <row r="28" spans="1:8" ht="21" customHeight="1">
      <c r="A28" s="953" t="s">
        <v>63</v>
      </c>
      <c r="B28" s="1096"/>
      <c r="C28" s="1243"/>
      <c r="H28" s="1501" t="s">
        <v>206</v>
      </c>
    </row>
    <row r="29" spans="1:8" ht="21" customHeight="1">
      <c r="A29" s="955" t="s">
        <v>64</v>
      </c>
      <c r="B29" s="1229"/>
      <c r="C29" s="1241"/>
      <c r="H29" s="1501">
        <f t="shared" ref="H29:H40" si="2">B29+C29</f>
        <v>0</v>
      </c>
    </row>
    <row r="30" spans="1:8" ht="21" customHeight="1">
      <c r="A30" s="955" t="s">
        <v>65</v>
      </c>
      <c r="B30" s="1229"/>
      <c r="C30" s="1241"/>
      <c r="H30" s="1501">
        <f t="shared" si="2"/>
        <v>0</v>
      </c>
    </row>
    <row r="31" spans="1:8" ht="21" customHeight="1">
      <c r="A31" s="955" t="s">
        <v>1461</v>
      </c>
      <c r="B31" s="1229"/>
      <c r="C31" s="1241"/>
      <c r="H31" s="1501">
        <f t="shared" si="2"/>
        <v>0</v>
      </c>
    </row>
    <row r="32" spans="1:8" ht="21" customHeight="1">
      <c r="A32" s="955" t="s">
        <v>1462</v>
      </c>
      <c r="B32" s="1229"/>
      <c r="C32" s="1241"/>
      <c r="H32" s="1501">
        <f t="shared" si="2"/>
        <v>0</v>
      </c>
    </row>
    <row r="33" spans="1:8" ht="21" customHeight="1">
      <c r="A33" s="955" t="s">
        <v>302</v>
      </c>
      <c r="B33" s="1229"/>
      <c r="C33" s="1241"/>
      <c r="H33" s="1501">
        <f t="shared" si="2"/>
        <v>0</v>
      </c>
    </row>
    <row r="34" spans="1:8" ht="21" customHeight="1">
      <c r="A34" s="955" t="s">
        <v>303</v>
      </c>
      <c r="B34" s="1229"/>
      <c r="C34" s="1241"/>
      <c r="H34" s="1501">
        <f t="shared" si="2"/>
        <v>0</v>
      </c>
    </row>
    <row r="35" spans="1:8" ht="21" customHeight="1">
      <c r="A35" s="955" t="s">
        <v>304</v>
      </c>
      <c r="B35" s="1229"/>
      <c r="C35" s="1241"/>
      <c r="H35" s="1501">
        <f t="shared" si="2"/>
        <v>0</v>
      </c>
    </row>
    <row r="36" spans="1:8" ht="21" customHeight="1">
      <c r="A36" s="955" t="s">
        <v>1463</v>
      </c>
      <c r="B36" s="1229"/>
      <c r="C36" s="1241"/>
      <c r="H36" s="1501">
        <f t="shared" si="2"/>
        <v>0</v>
      </c>
    </row>
    <row r="37" spans="1:8" ht="21" customHeight="1">
      <c r="A37" s="955" t="s">
        <v>305</v>
      </c>
      <c r="B37" s="1229"/>
      <c r="C37" s="1241"/>
      <c r="H37" s="1501">
        <f t="shared" si="2"/>
        <v>0</v>
      </c>
    </row>
    <row r="38" spans="1:8" ht="21" customHeight="1">
      <c r="A38" s="955" t="s">
        <v>307</v>
      </c>
      <c r="B38" s="1229"/>
      <c r="C38" s="1241"/>
      <c r="H38" s="1501">
        <f t="shared" si="2"/>
        <v>0</v>
      </c>
    </row>
    <row r="39" spans="1:8" ht="21" customHeight="1">
      <c r="A39" s="955" t="s">
        <v>306</v>
      </c>
      <c r="B39" s="1229"/>
      <c r="C39" s="1241"/>
      <c r="H39" s="1501">
        <f t="shared" si="2"/>
        <v>0</v>
      </c>
    </row>
    <row r="40" spans="1:8" ht="21" customHeight="1">
      <c r="A40" s="955" t="s">
        <v>66</v>
      </c>
      <c r="B40" s="1229"/>
      <c r="C40" s="1241"/>
      <c r="H40" s="1501">
        <f t="shared" si="2"/>
        <v>0</v>
      </c>
    </row>
    <row r="41" spans="1:8" s="98" customFormat="1" ht="21" customHeight="1">
      <c r="A41" s="956" t="s">
        <v>67</v>
      </c>
      <c r="B41" s="1230">
        <f>SUM(B29:B40)</f>
        <v>0</v>
      </c>
      <c r="C41" s="1245">
        <f>SUM(C29:C40)</f>
        <v>0</v>
      </c>
      <c r="H41" s="1501" t="s">
        <v>206</v>
      </c>
    </row>
    <row r="42" spans="1:8" ht="21" customHeight="1">
      <c r="A42" s="957" t="s">
        <v>1464</v>
      </c>
      <c r="B42" s="1583"/>
      <c r="C42" s="1584"/>
      <c r="H42" s="1501" t="s">
        <v>206</v>
      </c>
    </row>
    <row r="43" spans="1:8" ht="21" customHeight="1">
      <c r="A43" s="955" t="s">
        <v>1411</v>
      </c>
      <c r="B43" s="1577">
        <f>'اقلام عمده حسابها آزادراه'!B72</f>
        <v>0</v>
      </c>
      <c r="C43" s="1578">
        <f>'اقلام عمده حسابها آزادراه'!C72</f>
        <v>0</v>
      </c>
      <c r="H43" s="1501">
        <f>B43+C43</f>
        <v>0</v>
      </c>
    </row>
    <row r="44" spans="1:8" ht="21" customHeight="1">
      <c r="A44" s="955" t="s">
        <v>68</v>
      </c>
      <c r="B44" s="1229"/>
      <c r="C44" s="1241"/>
      <c r="H44" s="1501">
        <f>B44+C44</f>
        <v>0</v>
      </c>
    </row>
    <row r="45" spans="1:8" ht="21" customHeight="1">
      <c r="A45" s="955" t="s">
        <v>1465</v>
      </c>
      <c r="B45" s="1229"/>
      <c r="C45" s="1241"/>
      <c r="H45" s="1501">
        <f>B45+C45</f>
        <v>0</v>
      </c>
    </row>
    <row r="46" spans="1:8" ht="21" customHeight="1">
      <c r="A46" s="955" t="s">
        <v>1466</v>
      </c>
      <c r="B46" s="1229"/>
      <c r="C46" s="1241"/>
      <c r="H46" s="1501">
        <f>B46+C46</f>
        <v>0</v>
      </c>
    </row>
    <row r="47" spans="1:8" s="98" customFormat="1" ht="21" customHeight="1">
      <c r="A47" s="956" t="s">
        <v>1467</v>
      </c>
      <c r="B47" s="1230">
        <f>SUM(B43:B46)</f>
        <v>0</v>
      </c>
      <c r="C47" s="1245">
        <f>SUM(C43:C46)</f>
        <v>0</v>
      </c>
      <c r="H47" s="1501" t="s">
        <v>206</v>
      </c>
    </row>
    <row r="48" spans="1:8" ht="21" customHeight="1">
      <c r="A48" s="957" t="s">
        <v>1468</v>
      </c>
      <c r="B48" s="1583"/>
      <c r="C48" s="1584"/>
      <c r="H48" s="1501" t="s">
        <v>206</v>
      </c>
    </row>
    <row r="49" spans="1:9" ht="20.100000000000001" customHeight="1">
      <c r="A49" s="955" t="s">
        <v>1469</v>
      </c>
      <c r="B49" s="1579">
        <f>'اقلام عمده حسابها آزادراه'!B106</f>
        <v>0</v>
      </c>
      <c r="C49" s="1580">
        <f>'اقلام عمده حسابها آزادراه'!C106</f>
        <v>0</v>
      </c>
      <c r="H49" s="1501">
        <f t="shared" ref="H49:H56" si="3">B49+C49</f>
        <v>0</v>
      </c>
    </row>
    <row r="50" spans="1:9" ht="20.100000000000001" customHeight="1">
      <c r="A50" s="955" t="s">
        <v>300</v>
      </c>
      <c r="B50" s="1229"/>
      <c r="C50" s="1241"/>
      <c r="H50" s="1501">
        <f t="shared" si="3"/>
        <v>0</v>
      </c>
    </row>
    <row r="51" spans="1:9" ht="20.100000000000001" customHeight="1">
      <c r="A51" s="955" t="s">
        <v>69</v>
      </c>
      <c r="B51" s="1229"/>
      <c r="C51" s="1241"/>
      <c r="H51" s="1501">
        <f t="shared" si="3"/>
        <v>0</v>
      </c>
    </row>
    <row r="52" spans="1:9" ht="20.100000000000001" customHeight="1">
      <c r="A52" s="955" t="s">
        <v>1470</v>
      </c>
      <c r="B52" s="1577">
        <f>'اقلام عمده حسابها آزادراه'!B89</f>
        <v>0</v>
      </c>
      <c r="C52" s="1578">
        <f>'اقلام عمده حسابها آزادراه'!C89</f>
        <v>0</v>
      </c>
      <c r="H52" s="1501">
        <f t="shared" si="3"/>
        <v>0</v>
      </c>
    </row>
    <row r="53" spans="1:9" ht="20.100000000000001" customHeight="1">
      <c r="A53" s="955" t="s">
        <v>1471</v>
      </c>
      <c r="B53" s="1229"/>
      <c r="C53" s="1241"/>
      <c r="H53" s="1501">
        <f t="shared" si="3"/>
        <v>0</v>
      </c>
    </row>
    <row r="54" spans="1:9" ht="20.100000000000001" customHeight="1">
      <c r="A54" s="955" t="s">
        <v>1472</v>
      </c>
      <c r="B54" s="1229"/>
      <c r="C54" s="1241"/>
      <c r="H54" s="1501">
        <f t="shared" si="3"/>
        <v>0</v>
      </c>
    </row>
    <row r="55" spans="1:9" ht="20.100000000000001" customHeight="1">
      <c r="A55" s="955" t="s">
        <v>301</v>
      </c>
      <c r="B55" s="1229"/>
      <c r="C55" s="1241"/>
      <c r="H55" s="1501">
        <f t="shared" si="3"/>
        <v>0</v>
      </c>
    </row>
    <row r="56" spans="1:9" ht="20.100000000000001" customHeight="1">
      <c r="A56" s="955" t="s">
        <v>1473</v>
      </c>
      <c r="B56" s="1229"/>
      <c r="C56" s="1241"/>
      <c r="H56" s="1501">
        <f t="shared" si="3"/>
        <v>0</v>
      </c>
    </row>
    <row r="57" spans="1:9" s="98" customFormat="1" ht="21" customHeight="1">
      <c r="A57" s="956" t="s">
        <v>1474</v>
      </c>
      <c r="B57" s="1230">
        <f>SUM(B49:B56)</f>
        <v>0</v>
      </c>
      <c r="C57" s="1245">
        <f>SUM(C49:C56)</f>
        <v>0</v>
      </c>
      <c r="H57" s="1501" t="s">
        <v>206</v>
      </c>
    </row>
    <row r="58" spans="1:9" s="98" customFormat="1" ht="21" customHeight="1" thickBot="1">
      <c r="A58" s="959" t="s">
        <v>1475</v>
      </c>
      <c r="B58" s="1227">
        <f>B57+B47</f>
        <v>0</v>
      </c>
      <c r="C58" s="1242">
        <f>C57+C47</f>
        <v>0</v>
      </c>
      <c r="H58" s="1501" t="s">
        <v>206</v>
      </c>
    </row>
    <row r="59" spans="1:9" s="43" customFormat="1" ht="21" customHeight="1" thickBot="1">
      <c r="A59" s="960" t="s">
        <v>1476</v>
      </c>
      <c r="B59" s="1228">
        <f>B58+B41</f>
        <v>0</v>
      </c>
      <c r="C59" s="1247">
        <f>C58+C41</f>
        <v>0</v>
      </c>
      <c r="H59" s="1501" t="s">
        <v>206</v>
      </c>
    </row>
    <row r="60" spans="1:9" ht="13.5" customHeight="1">
      <c r="A60" s="25"/>
      <c r="B60" s="26"/>
      <c r="C60" s="26"/>
      <c r="H60" s="1501" t="s">
        <v>206</v>
      </c>
    </row>
    <row r="61" spans="1:9" s="5" customFormat="1">
      <c r="A61" s="718"/>
      <c r="B61" s="8"/>
      <c r="C61" s="8"/>
      <c r="D61" s="9"/>
      <c r="E61" s="8"/>
      <c r="F61" s="8"/>
      <c r="G61" s="8"/>
      <c r="H61" s="1566" t="s">
        <v>206</v>
      </c>
      <c r="I61" s="212"/>
    </row>
    <row r="62" spans="1:9">
      <c r="H62" s="1193" t="s">
        <v>206</v>
      </c>
    </row>
    <row r="63" spans="1:9">
      <c r="H63" s="1193" t="s">
        <v>206</v>
      </c>
    </row>
    <row r="64" spans="1:9">
      <c r="H64" s="1193" t="s">
        <v>206</v>
      </c>
    </row>
    <row r="65" spans="8:8">
      <c r="H65" s="1193" t="s">
        <v>206</v>
      </c>
    </row>
    <row r="66" spans="8:8">
      <c r="H66" s="1193" t="s">
        <v>206</v>
      </c>
    </row>
    <row r="67" spans="8:8">
      <c r="H67" s="1193" t="s">
        <v>206</v>
      </c>
    </row>
    <row r="68" spans="8:8">
      <c r="H68" s="1193" t="s">
        <v>206</v>
      </c>
    </row>
    <row r="69" spans="8:8">
      <c r="H69" s="1193" t="s">
        <v>206</v>
      </c>
    </row>
    <row r="70" spans="8:8">
      <c r="H70" s="1193" t="s">
        <v>206</v>
      </c>
    </row>
    <row r="71" spans="8:8">
      <c r="H71" s="1193" t="s">
        <v>206</v>
      </c>
    </row>
    <row r="72" spans="8:8">
      <c r="H72" s="1193" t="s">
        <v>206</v>
      </c>
    </row>
    <row r="73" spans="8:8">
      <c r="H73" s="1193" t="s">
        <v>206</v>
      </c>
    </row>
    <row r="74" spans="8:8">
      <c r="H74" s="1193" t="s">
        <v>206</v>
      </c>
    </row>
    <row r="75" spans="8:8">
      <c r="H75" s="1193" t="s">
        <v>206</v>
      </c>
    </row>
    <row r="76" spans="8:8">
      <c r="H76" s="1193" t="s">
        <v>206</v>
      </c>
    </row>
    <row r="77" spans="8:8">
      <c r="H77" s="1193" t="s">
        <v>206</v>
      </c>
    </row>
    <row r="78" spans="8:8">
      <c r="H78" s="1193" t="s">
        <v>206</v>
      </c>
    </row>
    <row r="79" spans="8:8">
      <c r="H79" s="1193" t="s">
        <v>206</v>
      </c>
    </row>
    <row r="80" spans="8:8">
      <c r="H80" s="1193" t="s">
        <v>206</v>
      </c>
    </row>
    <row r="81" spans="8:8">
      <c r="H81" s="1193" t="s">
        <v>206</v>
      </c>
    </row>
    <row r="82" spans="8:8">
      <c r="H82" s="1193" t="s">
        <v>206</v>
      </c>
    </row>
    <row r="83" spans="8:8">
      <c r="H83" s="1193" t="s">
        <v>206</v>
      </c>
    </row>
    <row r="84" spans="8:8">
      <c r="H84" s="1193" t="s">
        <v>206</v>
      </c>
    </row>
    <row r="85" spans="8:8">
      <c r="H85" s="1193" t="s">
        <v>206</v>
      </c>
    </row>
    <row r="86" spans="8:8">
      <c r="H86" s="1193" t="s">
        <v>206</v>
      </c>
    </row>
    <row r="87" spans="8:8">
      <c r="H87" s="1193" t="s">
        <v>206</v>
      </c>
    </row>
  </sheetData>
  <mergeCells count="2">
    <mergeCell ref="A1:C1"/>
    <mergeCell ref="A3:B3"/>
  </mergeCells>
  <conditionalFormatting sqref="C5:C59">
    <cfRule type="expression" dxfId="387" priority="3">
      <formula>OR(($C5-$B5)*100/$B5&gt;30,OR(AND($C5=0,$B5&lt;&gt;0),AND($B5=0,$C5&lt;&gt;0)))</formula>
    </cfRule>
  </conditionalFormatting>
  <conditionalFormatting sqref="B59">
    <cfRule type="expression" dxfId="386" priority="2">
      <formula>ABS($B$59-$B$27)&gt;2</formula>
    </cfRule>
  </conditionalFormatting>
  <conditionalFormatting sqref="C59">
    <cfRule type="expression" dxfId="385" priority="1">
      <formula>ABS($C$59-$C$27)&gt;2</formula>
    </cfRule>
  </conditionalFormatting>
  <printOptions horizontalCentered="1"/>
  <pageMargins left="0.59055118110236227" right="0.59055118110236227" top="0.19685039370078741" bottom="0.78740157480314965" header="0.19685039370078741" footer="0.19685039370078741"/>
  <pageSetup paperSize="9" scale="9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33">
    <tabColor rgb="FF32CD32"/>
    <pageSetUpPr fitToPage="1"/>
  </sheetPr>
  <dimension ref="A1:O71"/>
  <sheetViews>
    <sheetView showGridLines="0" rightToLeft="1" view="pageBreakPreview" topLeftCell="A19" zoomScale="90" zoomScaleNormal="100" zoomScaleSheetLayoutView="90" workbookViewId="0">
      <selection activeCell="D41" sqref="D41"/>
    </sheetView>
  </sheetViews>
  <sheetFormatPr defaultColWidth="9" defaultRowHeight="15"/>
  <cols>
    <col min="1" max="1" width="50.5703125" style="5" customWidth="1"/>
    <col min="2" max="4" width="18.5703125" style="5" customWidth="1"/>
    <col min="5" max="5" width="15.42578125" style="5" customWidth="1"/>
    <col min="6" max="6" width="13.5703125" style="5" customWidth="1"/>
    <col min="7" max="7" width="3.7109375" style="79" customWidth="1"/>
    <col min="8" max="8" width="9" style="79"/>
    <col min="9" max="13" width="9" style="1081" hidden="1" customWidth="1"/>
    <col min="14" max="14" width="9" style="41" hidden="1" customWidth="1"/>
    <col min="15" max="15" width="9" style="5" hidden="1" customWidth="1"/>
    <col min="16" max="16384" width="9" style="5"/>
  </cols>
  <sheetData>
    <row r="1" spans="1:14" s="52" customFormat="1" ht="24">
      <c r="A1" s="2685" t="str">
        <f>'سود ناویژه خدمات'!$A$1:$H$1</f>
        <v>انبارهای عمومی و خدمات گمرکی ایران</v>
      </c>
      <c r="B1" s="2685"/>
      <c r="C1" s="2685"/>
      <c r="D1" s="2685"/>
      <c r="E1" s="2685"/>
      <c r="F1" s="2685"/>
      <c r="G1" s="2685"/>
      <c r="H1" s="88"/>
      <c r="I1" s="1671"/>
      <c r="J1" s="1671"/>
      <c r="K1" s="1671"/>
      <c r="L1" s="1081"/>
      <c r="M1" s="1671"/>
      <c r="N1" s="1077"/>
    </row>
    <row r="2" spans="1:14" ht="28.5" customHeight="1">
      <c r="A2" s="1206" t="str">
        <f>"هزينه‌هاي اداري، توزيع و فروش در دوره " &amp; روکش!F9 &amp; " سال " &amp; روکش!D9</f>
        <v>هزينه‌هاي اداري، توزيع و فروش در دوره شش ماهه سال 1405</v>
      </c>
      <c r="B2" s="1205"/>
      <c r="C2" s="1202"/>
      <c r="D2" s="1202"/>
      <c r="E2" s="1202"/>
      <c r="F2" s="1202"/>
      <c r="G2" s="2211"/>
      <c r="H2" s="832"/>
    </row>
    <row r="3" spans="1:14" ht="20.100000000000001" customHeight="1" thickBot="1">
      <c r="A3" s="398"/>
      <c r="B3" s="398"/>
      <c r="C3" s="398"/>
      <c r="D3" s="538"/>
      <c r="E3" s="538"/>
      <c r="F3" s="1225" t="s">
        <v>30</v>
      </c>
    </row>
    <row r="4" spans="1:14" ht="30" customHeight="1">
      <c r="A4" s="2907" t="s">
        <v>21</v>
      </c>
      <c r="B4" s="2907" t="s">
        <v>693</v>
      </c>
      <c r="C4" s="1434" t="s">
        <v>642</v>
      </c>
      <c r="D4" s="1435"/>
      <c r="E4" s="1435"/>
      <c r="F4" s="2213"/>
      <c r="G4" s="1376"/>
      <c r="H4" s="212"/>
    </row>
    <row r="5" spans="1:14" ht="64.5" customHeight="1" thickBot="1">
      <c r="A5" s="2908"/>
      <c r="B5" s="2909"/>
      <c r="C5" s="713" t="s">
        <v>53</v>
      </c>
      <c r="D5" s="714" t="s">
        <v>216</v>
      </c>
      <c r="E5" s="714" t="s">
        <v>804</v>
      </c>
      <c r="F5" s="2875" t="s">
        <v>230</v>
      </c>
      <c r="G5" s="2876"/>
      <c r="H5" s="212"/>
      <c r="I5" s="1081" t="s">
        <v>784</v>
      </c>
      <c r="L5" s="1081" t="s">
        <v>792</v>
      </c>
    </row>
    <row r="6" spans="1:14" ht="20.100000000000001" customHeight="1">
      <c r="A6" s="1424" t="str">
        <f ca="1">IF(ROW()-ROW($A$6)&lt;'الف-ب-ج'!$L$9,INDIRECT("BudgetDB!HD"&amp;('الف-ب-ج'!$M$9+ROW()-ROW($A$6))),"")</f>
        <v>حقوق و مزایای شغل</v>
      </c>
      <c r="B6" s="2277">
        <v>28853</v>
      </c>
      <c r="C6" s="245">
        <v>34395</v>
      </c>
      <c r="D6" s="245">
        <v>42670</v>
      </c>
      <c r="E6" s="535">
        <f t="shared" ref="E6:E58" si="0">IFERROR((D6-B6)*100/B6,"-")</f>
        <v>47.887568017190588</v>
      </c>
      <c r="F6" s="2199">
        <f t="shared" ref="F6:F58" si="1">IFERROR(D6*100/C6,"-")</f>
        <v>124.05872946649222</v>
      </c>
      <c r="G6" s="2200">
        <f t="shared" ref="G6:G37" si="2">IFERROR(ABS(F6-100),500)</f>
        <v>24.058729466492224</v>
      </c>
      <c r="H6" s="212"/>
      <c r="I6" s="1360">
        <f>IF(AND(C6=0,D6&gt;0),100,IFERROR(ABS(F6-100),"-"))</f>
        <v>24.058729466492224</v>
      </c>
      <c r="L6" s="1423">
        <f t="shared" ref="L6:L25" si="3">B6+C6+D6</f>
        <v>105918</v>
      </c>
      <c r="M6" s="1081" t="b">
        <f ca="1">AND(COUNTIF($A6,"*سایر*")=1,$B6/$B$26&gt;0.2)</f>
        <v>0</v>
      </c>
      <c r="N6" s="41" t="b">
        <f ca="1">AND(COUNTIF($A6,"*سایر*")=1,$D6/$D$26&gt;0.2)</f>
        <v>0</v>
      </c>
    </row>
    <row r="7" spans="1:14" ht="20.100000000000001" customHeight="1">
      <c r="A7" s="963" t="str">
        <f ca="1">IF(ROW()-ROW($A$6)&lt;'الف-ب-ج'!$L$9,INDIRECT("BudgetDB!HD"&amp;('الف-ب-ج'!$M$9+ROW()-ROW($A$6))),"")</f>
        <v>اضافه کاری</v>
      </c>
      <c r="B7" s="2278">
        <v>16743</v>
      </c>
      <c r="C7" s="246">
        <v>23298</v>
      </c>
      <c r="D7" s="246">
        <v>24933</v>
      </c>
      <c r="E7" s="536">
        <f t="shared" si="0"/>
        <v>48.915964880845728</v>
      </c>
      <c r="F7" s="2201">
        <f t="shared" si="1"/>
        <v>107.01776976564511</v>
      </c>
      <c r="G7" s="498">
        <f t="shared" si="2"/>
        <v>7.017769765645113</v>
      </c>
      <c r="H7" s="212"/>
      <c r="I7" s="1360">
        <f t="shared" ref="I7:I57" si="4">IF(AND(C7=0,D7&gt;0),100,IFERROR(ABS(F7-100),"-"))</f>
        <v>7.017769765645113</v>
      </c>
      <c r="L7" s="1423">
        <f t="shared" si="3"/>
        <v>64974</v>
      </c>
      <c r="M7" s="1081" t="b">
        <f t="shared" ref="M7:M25" ca="1" si="5">AND(COUNTIF($A7,"*سایر*")=1,$B7/$B$26&gt;0.2)</f>
        <v>0</v>
      </c>
      <c r="N7" s="41" t="b">
        <f t="shared" ref="N7:N26" ca="1" si="6">AND(COUNTIF($A7,"*سایر*")=1,$D7/$D$26&gt;0.2)</f>
        <v>0</v>
      </c>
    </row>
    <row r="8" spans="1:14" ht="20.100000000000001" customHeight="1">
      <c r="A8" s="963" t="str">
        <f ca="1">IF(ROW()-ROW($A$6)&lt;'الف-ب-ج'!$L$9,INDIRECT("BudgetDB!HD"&amp;('الف-ب-ج'!$M$9+ROW()-ROW($A$6))),"")</f>
        <v xml:space="preserve">حق جذب و حق پست </v>
      </c>
      <c r="B8" s="2278">
        <v>10697</v>
      </c>
      <c r="C8" s="246">
        <v>14801</v>
      </c>
      <c r="D8" s="246">
        <v>16678</v>
      </c>
      <c r="E8" s="536">
        <f t="shared" si="0"/>
        <v>55.91287276806581</v>
      </c>
      <c r="F8" s="2201">
        <f t="shared" si="1"/>
        <v>112.6815755692183</v>
      </c>
      <c r="G8" s="498">
        <f t="shared" si="2"/>
        <v>12.681575569218296</v>
      </c>
      <c r="H8" s="212"/>
      <c r="I8" s="1360">
        <f t="shared" si="4"/>
        <v>12.681575569218296</v>
      </c>
      <c r="L8" s="1423">
        <f t="shared" si="3"/>
        <v>42176</v>
      </c>
      <c r="M8" s="1081" t="b">
        <f t="shared" ca="1" si="5"/>
        <v>0</v>
      </c>
      <c r="N8" s="41" t="b">
        <f t="shared" ca="1" si="6"/>
        <v>0</v>
      </c>
    </row>
    <row r="9" spans="1:14" ht="20.100000000000001" customHeight="1">
      <c r="A9" s="963" t="str">
        <f ca="1">IF(ROW()-ROW($A$6)&lt;'الف-ب-ج'!$L$9,INDIRECT("BudgetDB!HD"&amp;('الف-ب-ج'!$M$9+ROW()-ROW($A$6))),"")</f>
        <v>بیمه سهم کارفرما</v>
      </c>
      <c r="B9" s="2278">
        <v>18186</v>
      </c>
      <c r="C9" s="246">
        <v>25697</v>
      </c>
      <c r="D9" s="246">
        <v>24072</v>
      </c>
      <c r="E9" s="536">
        <f t="shared" si="0"/>
        <v>32.365555922137908</v>
      </c>
      <c r="F9" s="2201">
        <f t="shared" si="1"/>
        <v>93.676304626999254</v>
      </c>
      <c r="G9" s="498">
        <f t="shared" si="2"/>
        <v>6.3236953730007457</v>
      </c>
      <c r="H9" s="212"/>
      <c r="I9" s="1360">
        <f t="shared" si="4"/>
        <v>6.3236953730007457</v>
      </c>
      <c r="L9" s="1423">
        <f t="shared" si="3"/>
        <v>67955</v>
      </c>
      <c r="M9" s="1081" t="b">
        <f t="shared" ca="1" si="5"/>
        <v>0</v>
      </c>
      <c r="N9" s="41" t="b">
        <f t="shared" ca="1" si="6"/>
        <v>0</v>
      </c>
    </row>
    <row r="10" spans="1:14" ht="20.100000000000001" customHeight="1">
      <c r="A10" s="963" t="str">
        <f ca="1">IF(ROW()-ROW($A$6)&lt;'الف-ب-ج'!$L$9,INDIRECT("BudgetDB!HD"&amp;('الف-ب-ج'!$M$9+ROW()-ROW($A$6))),"")</f>
        <v>هزینه سنوات خدمت</v>
      </c>
      <c r="B10" s="2278">
        <v>12268</v>
      </c>
      <c r="C10" s="246">
        <v>11041</v>
      </c>
      <c r="D10" s="246">
        <v>24512</v>
      </c>
      <c r="E10" s="536">
        <f t="shared" si="0"/>
        <v>99.804369090316271</v>
      </c>
      <c r="F10" s="2201">
        <f t="shared" si="1"/>
        <v>222.008876007608</v>
      </c>
      <c r="G10" s="498">
        <f t="shared" si="2"/>
        <v>122.008876007608</v>
      </c>
      <c r="H10" s="212"/>
      <c r="I10" s="1360">
        <f t="shared" si="4"/>
        <v>122.008876007608</v>
      </c>
      <c r="L10" s="1423">
        <f t="shared" si="3"/>
        <v>47821</v>
      </c>
      <c r="M10" s="1081" t="b">
        <f t="shared" ca="1" si="5"/>
        <v>0</v>
      </c>
      <c r="N10" s="41" t="b">
        <f t="shared" ca="1" si="6"/>
        <v>0</v>
      </c>
    </row>
    <row r="11" spans="1:14" ht="20.100000000000001" customHeight="1">
      <c r="A11" s="963" t="str">
        <f ca="1">IF(ROW()-ROW($A$6)&lt;'الف-ب-ج'!$L$9,INDIRECT("BudgetDB!HD"&amp;('الف-ب-ج'!$M$9+ROW()-ROW($A$6))),"")</f>
        <v>هزینه غذا</v>
      </c>
      <c r="B11" s="2278">
        <v>3827</v>
      </c>
      <c r="C11" s="246">
        <v>5863</v>
      </c>
      <c r="D11" s="246">
        <v>3592</v>
      </c>
      <c r="E11" s="536">
        <f t="shared" si="0"/>
        <v>-6.1405800888424356</v>
      </c>
      <c r="F11" s="2201">
        <f t="shared" si="1"/>
        <v>61.265563704588097</v>
      </c>
      <c r="G11" s="498">
        <f t="shared" si="2"/>
        <v>38.734436295411903</v>
      </c>
      <c r="H11" s="212"/>
      <c r="I11" s="1360">
        <f t="shared" si="4"/>
        <v>38.734436295411903</v>
      </c>
      <c r="L11" s="1423">
        <f t="shared" si="3"/>
        <v>13282</v>
      </c>
      <c r="M11" s="1081" t="b">
        <f t="shared" ca="1" si="5"/>
        <v>0</v>
      </c>
      <c r="N11" s="41" t="b">
        <f t="shared" ca="1" si="6"/>
        <v>0</v>
      </c>
    </row>
    <row r="12" spans="1:14" ht="20.100000000000001" customHeight="1">
      <c r="A12" s="963" t="str">
        <f ca="1">IF(ROW()-ROW($A$6)&lt;'الف-ب-ج'!$L$9,INDIRECT("BudgetDB!HD"&amp;('الف-ب-ج'!$M$9+ROW()-ROW($A$6))),"")</f>
        <v>عیدی و پاداش</v>
      </c>
      <c r="B12" s="2278">
        <v>15969</v>
      </c>
      <c r="C12" s="246">
        <v>28204</v>
      </c>
      <c r="D12" s="246">
        <v>6030</v>
      </c>
      <c r="E12" s="536">
        <f t="shared" si="0"/>
        <v>-62.239338718767613</v>
      </c>
      <c r="F12" s="2201">
        <f t="shared" si="1"/>
        <v>21.379946106935186</v>
      </c>
      <c r="G12" s="498">
        <f t="shared" si="2"/>
        <v>78.620053893064807</v>
      </c>
      <c r="H12" s="212"/>
      <c r="I12" s="1360">
        <f t="shared" si="4"/>
        <v>78.620053893064807</v>
      </c>
      <c r="L12" s="1423">
        <f t="shared" si="3"/>
        <v>50203</v>
      </c>
      <c r="M12" s="1081" t="b">
        <f t="shared" ca="1" si="5"/>
        <v>0</v>
      </c>
      <c r="N12" s="41" t="b">
        <f t="shared" ca="1" si="6"/>
        <v>0</v>
      </c>
    </row>
    <row r="13" spans="1:14" ht="20.100000000000001" customHeight="1">
      <c r="A13" s="963" t="str">
        <f ca="1">IF(ROW()-ROW($A$6)&lt;'الف-ب-ج'!$L$9,INDIRECT("BudgetDB!HD"&amp;('الف-ب-ج'!$M$9+ROW()-ROW($A$6))),"")</f>
        <v>حق مسکن و حق اولاد</v>
      </c>
      <c r="B13" s="2278">
        <v>3592</v>
      </c>
      <c r="C13" s="246">
        <v>4870</v>
      </c>
      <c r="D13" s="246">
        <v>7873</v>
      </c>
      <c r="E13" s="536">
        <f t="shared" si="0"/>
        <v>119.18151447661469</v>
      </c>
      <c r="F13" s="2201">
        <f t="shared" si="1"/>
        <v>161.66324435318276</v>
      </c>
      <c r="G13" s="498">
        <f t="shared" si="2"/>
        <v>61.663244353182762</v>
      </c>
      <c r="H13" s="212"/>
      <c r="I13" s="1360">
        <f t="shared" si="4"/>
        <v>61.663244353182762</v>
      </c>
      <c r="L13" s="1423">
        <f t="shared" si="3"/>
        <v>16335</v>
      </c>
      <c r="M13" s="1081" t="b">
        <f t="shared" ca="1" si="5"/>
        <v>0</v>
      </c>
      <c r="N13" s="41" t="b">
        <f t="shared" ca="1" si="6"/>
        <v>0</v>
      </c>
    </row>
    <row r="14" spans="1:14" ht="20.100000000000001" customHeight="1">
      <c r="A14" s="963" t="str">
        <f ca="1">IF(ROW()-ROW($A$6)&lt;'الف-ب-ج'!$L$9,INDIRECT("BudgetDB!HD"&amp;('الف-ب-ج'!$M$9+ROW()-ROW($A$6))),"")</f>
        <v xml:space="preserve">كمك‌هاي غيرنقدي </v>
      </c>
      <c r="B14" s="2278">
        <v>10806</v>
      </c>
      <c r="C14" s="246">
        <v>28110</v>
      </c>
      <c r="D14" s="246">
        <v>44425</v>
      </c>
      <c r="E14" s="536">
        <f t="shared" si="0"/>
        <v>311.11419581713864</v>
      </c>
      <c r="F14" s="2201">
        <f t="shared" si="1"/>
        <v>158.03984347207398</v>
      </c>
      <c r="G14" s="498">
        <f t="shared" si="2"/>
        <v>58.039843472073983</v>
      </c>
      <c r="H14" s="212"/>
      <c r="I14" s="1360">
        <f t="shared" si="4"/>
        <v>58.039843472073983</v>
      </c>
      <c r="L14" s="1423">
        <f t="shared" si="3"/>
        <v>83341</v>
      </c>
      <c r="M14" s="1081" t="b">
        <f t="shared" ca="1" si="5"/>
        <v>0</v>
      </c>
      <c r="N14" s="41" t="b">
        <f t="shared" ca="1" si="6"/>
        <v>0</v>
      </c>
    </row>
    <row r="15" spans="1:14" ht="20.100000000000001" customHeight="1">
      <c r="A15" s="963" t="str">
        <f ca="1">IF(ROW()-ROW($A$6)&lt;'الف-ب-ج'!$L$9,INDIRECT("BudgetDB!HD"&amp;('الف-ب-ج'!$M$9+ROW()-ROW($A$6))),"")</f>
        <v xml:space="preserve">اياب و ذهاب </v>
      </c>
      <c r="B15" s="2278">
        <v>1672</v>
      </c>
      <c r="C15" s="246">
        <v>2257</v>
      </c>
      <c r="D15" s="246">
        <v>2328</v>
      </c>
      <c r="E15" s="536">
        <f t="shared" si="0"/>
        <v>39.23444976076555</v>
      </c>
      <c r="F15" s="2201">
        <f t="shared" si="1"/>
        <v>103.14576871953921</v>
      </c>
      <c r="G15" s="498">
        <f t="shared" si="2"/>
        <v>3.1457687195392054</v>
      </c>
      <c r="H15" s="212"/>
      <c r="I15" s="1360">
        <f t="shared" si="4"/>
        <v>3.1457687195392054</v>
      </c>
      <c r="L15" s="1423">
        <f t="shared" si="3"/>
        <v>6257</v>
      </c>
      <c r="M15" s="1081" t="b">
        <f t="shared" ca="1" si="5"/>
        <v>0</v>
      </c>
      <c r="N15" s="41" t="b">
        <f t="shared" ca="1" si="6"/>
        <v>0</v>
      </c>
    </row>
    <row r="16" spans="1:14" ht="20.100000000000001" customHeight="1">
      <c r="A16" s="963" t="str">
        <f ca="1">IF(ROW()-ROW($A$6)&lt;'الف-ب-ج'!$L$9,INDIRECT("BudgetDB!HD"&amp;('الف-ب-ج'!$M$9+ROW()-ROW($A$6))),"")</f>
        <v xml:space="preserve">آموزش و سوادآموزي </v>
      </c>
      <c r="B16" s="2278"/>
      <c r="C16" s="246">
        <v>0</v>
      </c>
      <c r="D16" s="246"/>
      <c r="E16" s="536" t="str">
        <f t="shared" si="0"/>
        <v>-</v>
      </c>
      <c r="F16" s="2201" t="str">
        <f t="shared" si="1"/>
        <v>-</v>
      </c>
      <c r="G16" s="498">
        <f t="shared" si="2"/>
        <v>500</v>
      </c>
      <c r="H16" s="212"/>
      <c r="I16" s="1360" t="str">
        <f t="shared" si="4"/>
        <v>-</v>
      </c>
      <c r="L16" s="1423">
        <f t="shared" si="3"/>
        <v>0</v>
      </c>
      <c r="M16" s="1081" t="b">
        <f t="shared" ca="1" si="5"/>
        <v>0</v>
      </c>
      <c r="N16" s="41" t="b">
        <f t="shared" ca="1" si="6"/>
        <v>0</v>
      </c>
    </row>
    <row r="17" spans="1:14" ht="20.100000000000001" customHeight="1">
      <c r="A17" s="963" t="str">
        <f ca="1">IF(ROW()-ROW($A$6)&lt;'الف-ب-ج'!$L$9,INDIRECT("BudgetDB!HD"&amp;('الف-ب-ج'!$M$9+ROW()-ROW($A$6))),"")</f>
        <v xml:space="preserve">پوشاك و لوازم ايمني </v>
      </c>
      <c r="B17" s="2278"/>
      <c r="C17" s="246">
        <v>716</v>
      </c>
      <c r="D17" s="246"/>
      <c r="E17" s="536" t="str">
        <f t="shared" si="0"/>
        <v>-</v>
      </c>
      <c r="F17" s="2201">
        <f t="shared" si="1"/>
        <v>0</v>
      </c>
      <c r="G17" s="498">
        <f t="shared" si="2"/>
        <v>100</v>
      </c>
      <c r="H17" s="212"/>
      <c r="I17" s="1360">
        <f t="shared" si="4"/>
        <v>100</v>
      </c>
      <c r="L17" s="1423">
        <f t="shared" si="3"/>
        <v>716</v>
      </c>
      <c r="M17" s="1081" t="b">
        <f t="shared" ca="1" si="5"/>
        <v>0</v>
      </c>
      <c r="N17" s="41" t="b">
        <f t="shared" ca="1" si="6"/>
        <v>0</v>
      </c>
    </row>
    <row r="18" spans="1:14" ht="20.100000000000001" customHeight="1">
      <c r="A18" s="963" t="str">
        <f ca="1">IF(ROW()-ROW($A$6)&lt;'الف-ب-ج'!$L$9,INDIRECT("BudgetDB!HD"&amp;('الف-ب-ج'!$M$9+ROW()-ROW($A$6))),"")</f>
        <v xml:space="preserve">بهداشت و درمان </v>
      </c>
      <c r="B18" s="2278">
        <v>5571</v>
      </c>
      <c r="C18" s="246">
        <v>6347</v>
      </c>
      <c r="D18" s="246">
        <v>949</v>
      </c>
      <c r="E18" s="536">
        <f t="shared" si="0"/>
        <v>-82.965356309459708</v>
      </c>
      <c r="F18" s="2201">
        <f t="shared" si="1"/>
        <v>14.951945801165905</v>
      </c>
      <c r="G18" s="498">
        <f t="shared" si="2"/>
        <v>85.048054198834095</v>
      </c>
      <c r="H18" s="212"/>
      <c r="I18" s="1360">
        <f t="shared" si="4"/>
        <v>85.048054198834095</v>
      </c>
      <c r="L18" s="1423">
        <f t="shared" si="3"/>
        <v>12867</v>
      </c>
      <c r="M18" s="1081" t="b">
        <f t="shared" ca="1" si="5"/>
        <v>0</v>
      </c>
      <c r="N18" s="41" t="b">
        <f t="shared" ca="1" si="6"/>
        <v>0</v>
      </c>
    </row>
    <row r="19" spans="1:14" ht="20.100000000000001" customHeight="1">
      <c r="A19" s="963" t="str">
        <f ca="1">IF(ROW()-ROW($A$6)&lt;'الف-ب-ج'!$L$9,INDIRECT("BudgetDB!HD"&amp;('الف-ب-ج'!$M$9+ROW()-ROW($A$6))),"")</f>
        <v xml:space="preserve">ورزش </v>
      </c>
      <c r="B19" s="2278"/>
      <c r="C19" s="246">
        <v>138</v>
      </c>
      <c r="D19" s="246">
        <v>340</v>
      </c>
      <c r="E19" s="536" t="str">
        <f t="shared" si="0"/>
        <v>-</v>
      </c>
      <c r="F19" s="2201">
        <f t="shared" si="1"/>
        <v>246.37681159420291</v>
      </c>
      <c r="G19" s="498">
        <f t="shared" si="2"/>
        <v>146.37681159420291</v>
      </c>
      <c r="H19" s="212"/>
      <c r="I19" s="1360">
        <f t="shared" si="4"/>
        <v>146.37681159420291</v>
      </c>
      <c r="L19" s="1423">
        <f t="shared" si="3"/>
        <v>478</v>
      </c>
      <c r="M19" s="1081" t="b">
        <f t="shared" ca="1" si="5"/>
        <v>0</v>
      </c>
      <c r="N19" s="41" t="b">
        <f t="shared" ca="1" si="6"/>
        <v>0</v>
      </c>
    </row>
    <row r="20" spans="1:14" ht="20.100000000000001" customHeight="1">
      <c r="A20" s="963" t="str">
        <f ca="1">IF(ROW()-ROW($A$6)&lt;'الف-ب-ج'!$L$9,INDIRECT("BudgetDB!HD"&amp;('الف-ب-ج'!$M$9+ROW()-ROW($A$6))),"")</f>
        <v>عائله‌مندی و بن و خواربار</v>
      </c>
      <c r="B20" s="2278"/>
      <c r="C20" s="246"/>
      <c r="D20" s="246"/>
      <c r="E20" s="536" t="str">
        <f t="shared" si="0"/>
        <v>-</v>
      </c>
      <c r="F20" s="2201" t="str">
        <f t="shared" si="1"/>
        <v>-</v>
      </c>
      <c r="G20" s="498">
        <f t="shared" si="2"/>
        <v>500</v>
      </c>
      <c r="H20" s="212"/>
      <c r="I20" s="1360" t="str">
        <f t="shared" si="4"/>
        <v>-</v>
      </c>
      <c r="L20" s="1423">
        <f t="shared" si="3"/>
        <v>0</v>
      </c>
      <c r="M20" s="1081" t="b">
        <f t="shared" ca="1" si="5"/>
        <v>0</v>
      </c>
      <c r="N20" s="41" t="b">
        <f t="shared" ca="1" si="6"/>
        <v>0</v>
      </c>
    </row>
    <row r="21" spans="1:14" ht="20.100000000000001" customHeight="1">
      <c r="A21" s="2641" t="s">
        <v>3222</v>
      </c>
      <c r="B21" s="2278">
        <v>1327</v>
      </c>
      <c r="C21" s="246">
        <v>1842</v>
      </c>
      <c r="D21" s="246">
        <v>2038</v>
      </c>
      <c r="E21" s="536">
        <f t="shared" si="0"/>
        <v>53.579502637528257</v>
      </c>
      <c r="F21" s="2201" t="str">
        <f>IFERROR(D21*100/#REF!,"-")</f>
        <v>-</v>
      </c>
      <c r="G21" s="498">
        <f t="shared" si="2"/>
        <v>500</v>
      </c>
      <c r="H21" s="212"/>
      <c r="I21" s="1360" t="e">
        <f>IF(AND(#REF!=0,D21&gt;0),100,IFERROR(ABS(F21-100),"-"))</f>
        <v>#REF!</v>
      </c>
      <c r="L21" s="1423" t="e">
        <f>B21+#REF!+D21</f>
        <v>#REF!</v>
      </c>
      <c r="M21" s="1081" t="e">
        <f>AND(COUNTIF(#REF!,"*سایر*")=1,$B21/$B$26&gt;0.2)</f>
        <v>#REF!</v>
      </c>
      <c r="N21" s="41" t="e">
        <f>AND(COUNTIF(#REF!,"*سایر*")=1,$D21/$D$26&gt;0.2)</f>
        <v>#REF!</v>
      </c>
    </row>
    <row r="22" spans="1:14" ht="20.100000000000001" customHeight="1">
      <c r="A22" s="2641" t="s">
        <v>3238</v>
      </c>
      <c r="B22" s="2278">
        <v>11861</v>
      </c>
      <c r="C22" s="246">
        <v>2351</v>
      </c>
      <c r="D22" s="246">
        <v>23994</v>
      </c>
      <c r="E22" s="536">
        <f t="shared" si="0"/>
        <v>102.29322991316077</v>
      </c>
      <c r="F22" s="2201" t="str">
        <f>IFERROR(D22*100/#REF!,"-")</f>
        <v>-</v>
      </c>
      <c r="G22" s="498">
        <f t="shared" si="2"/>
        <v>500</v>
      </c>
      <c r="H22" s="212"/>
      <c r="I22" s="1360" t="e">
        <f>IF(AND(#REF!=0,D22&gt;0),100,IFERROR(ABS(F22-100),"-"))</f>
        <v>#REF!</v>
      </c>
      <c r="L22" s="1423" t="e">
        <f>B22+#REF!+D22</f>
        <v>#REF!</v>
      </c>
      <c r="M22" s="1081" t="e">
        <f>AND(COUNTIF(#REF!,"*سایر*")=1,$B22/$B$26&gt;0.2)</f>
        <v>#REF!</v>
      </c>
      <c r="N22" s="41" t="e">
        <f>AND(COUNTIF(#REF!,"*سایر*")=1,$D22/$D$26&gt;0.2)</f>
        <v>#REF!</v>
      </c>
    </row>
    <row r="23" spans="1:14" ht="20.100000000000001" customHeight="1">
      <c r="A23" s="496">
        <f ca="1">IF(ROW()-ROW($A$6)&lt;'الف-ب-ج'!$L$9,INDIRECT("BudgetDB!HD"&amp;('الف-ب-ج'!$M$9+ROW()-ROW($A$6))),"")</f>
        <v>0</v>
      </c>
      <c r="B23" s="2278"/>
      <c r="C23" s="246"/>
      <c r="D23" s="246"/>
      <c r="E23" s="536" t="str">
        <f t="shared" si="0"/>
        <v>-</v>
      </c>
      <c r="F23" s="2201" t="str">
        <f t="shared" si="1"/>
        <v>-</v>
      </c>
      <c r="G23" s="498">
        <f t="shared" si="2"/>
        <v>500</v>
      </c>
      <c r="H23" s="212"/>
      <c r="I23" s="1360" t="str">
        <f t="shared" si="4"/>
        <v>-</v>
      </c>
      <c r="L23" s="1423">
        <f t="shared" si="3"/>
        <v>0</v>
      </c>
      <c r="M23" s="1081" t="b">
        <f t="shared" ca="1" si="5"/>
        <v>0</v>
      </c>
      <c r="N23" s="41" t="b">
        <f t="shared" ca="1" si="6"/>
        <v>0</v>
      </c>
    </row>
    <row r="24" spans="1:14" ht="20.100000000000001" customHeight="1">
      <c r="A24" s="496">
        <f ca="1">IF(ROW()-ROW($A$6)&lt;'الف-ب-ج'!$L$9,INDIRECT("BudgetDB!HD"&amp;('الف-ب-ج'!$M$9+ROW()-ROW($A$6))),"")</f>
        <v>0</v>
      </c>
      <c r="B24" s="2278"/>
      <c r="C24" s="246"/>
      <c r="D24" s="246"/>
      <c r="E24" s="536" t="str">
        <f t="shared" si="0"/>
        <v>-</v>
      </c>
      <c r="F24" s="2201" t="str">
        <f t="shared" si="1"/>
        <v>-</v>
      </c>
      <c r="G24" s="498">
        <f t="shared" si="2"/>
        <v>500</v>
      </c>
      <c r="H24" s="212"/>
      <c r="I24" s="1360" t="str">
        <f t="shared" si="4"/>
        <v>-</v>
      </c>
      <c r="L24" s="1423">
        <f t="shared" si="3"/>
        <v>0</v>
      </c>
      <c r="M24" s="1081" t="b">
        <f t="shared" ca="1" si="5"/>
        <v>0</v>
      </c>
      <c r="N24" s="41" t="b">
        <f t="shared" ca="1" si="6"/>
        <v>0</v>
      </c>
    </row>
    <row r="25" spans="1:14" ht="20.100000000000001" customHeight="1" thickBot="1">
      <c r="A25" s="496">
        <f ca="1">IF(ROW()-ROW($A$6)&lt;'الف-ب-ج'!$L$9,INDIRECT("BudgetDB!HD"&amp;('الف-ب-ج'!$M$9+ROW()-ROW($A$6))),"")</f>
        <v>0</v>
      </c>
      <c r="B25" s="2278"/>
      <c r="C25" s="246"/>
      <c r="D25" s="246"/>
      <c r="E25" s="536" t="str">
        <f t="shared" si="0"/>
        <v>-</v>
      </c>
      <c r="F25" s="2201" t="str">
        <f t="shared" si="1"/>
        <v>-</v>
      </c>
      <c r="G25" s="498">
        <f t="shared" si="2"/>
        <v>500</v>
      </c>
      <c r="H25" s="212"/>
      <c r="I25" s="1360" t="str">
        <f t="shared" si="4"/>
        <v>-</v>
      </c>
      <c r="L25" s="1423">
        <f t="shared" si="3"/>
        <v>0</v>
      </c>
      <c r="M25" s="1081" t="b">
        <f t="shared" ca="1" si="5"/>
        <v>0</v>
      </c>
      <c r="N25" s="41" t="b">
        <f t="shared" ca="1" si="6"/>
        <v>0</v>
      </c>
    </row>
    <row r="26" spans="1:14" ht="21.75" thickBot="1">
      <c r="A26" s="492" t="s">
        <v>437</v>
      </c>
      <c r="B26" s="2279">
        <f>SUM(B6:B25)</f>
        <v>141372</v>
      </c>
      <c r="C26" s="1430">
        <f>SUM(C6:C25)</f>
        <v>189930</v>
      </c>
      <c r="D26" s="494">
        <f>SUM(D6:D25)</f>
        <v>224434</v>
      </c>
      <c r="E26" s="537">
        <f t="shared" si="0"/>
        <v>58.754208754208754</v>
      </c>
      <c r="F26" s="2204">
        <f t="shared" si="1"/>
        <v>118.16669299215501</v>
      </c>
      <c r="G26" s="2205">
        <f t="shared" si="2"/>
        <v>18.166692992155006</v>
      </c>
      <c r="H26" s="212"/>
      <c r="I26" s="1360" t="s">
        <v>206</v>
      </c>
      <c r="L26" s="1423" t="s">
        <v>206</v>
      </c>
      <c r="M26" s="1081" t="b">
        <f>AND(COUNTIF($A26,"*سایر*")=1,$B26/$B$26&gt;0.2)</f>
        <v>0</v>
      </c>
      <c r="N26" s="41" t="b">
        <f t="shared" si="6"/>
        <v>0</v>
      </c>
    </row>
    <row r="27" spans="1:14" ht="20.100000000000001" customHeight="1">
      <c r="A27" s="1424" t="str">
        <f ca="1">IF(ROW()-ROW($A$27)&lt;'الف-ب-ج'!$L$9,INDIRECT("BudgetDB!HG"&amp;('الف-ب-ج'!$M$9+ROW()-ROW($A$27))),"")</f>
        <v>هزینه پرسنل پیمانکار</v>
      </c>
      <c r="B27" s="2278"/>
      <c r="C27" s="246">
        <v>28731</v>
      </c>
      <c r="D27" s="246"/>
      <c r="E27" s="536" t="str">
        <f t="shared" si="0"/>
        <v>-</v>
      </c>
      <c r="F27" s="2201">
        <f t="shared" si="1"/>
        <v>0</v>
      </c>
      <c r="G27" s="498">
        <f t="shared" si="2"/>
        <v>100</v>
      </c>
      <c r="H27" s="212"/>
      <c r="I27" s="1360">
        <f t="shared" si="4"/>
        <v>100</v>
      </c>
      <c r="L27" s="1423">
        <f t="shared" ref="L27:L54" si="7">B27+C27+D27</f>
        <v>28731</v>
      </c>
      <c r="M27" s="1081" t="b">
        <f ca="1">AND(COUNTIF($A27,"*سایر*")=1,$B27/$B$55&gt;0.2)</f>
        <v>0</v>
      </c>
      <c r="N27" s="41" t="b">
        <f ca="1">AND(COUNTIF($A27,"*سایر*")=1,$D27/$D$55&gt;0.2)</f>
        <v>0</v>
      </c>
    </row>
    <row r="28" spans="1:14" ht="20.100000000000001" customHeight="1">
      <c r="A28" s="1511" t="str">
        <f ca="1">IF(ROW()-ROW($A$27)&lt;'الف-ب-ج'!$L$9,INDIRECT("BudgetDB!HG"&amp;('الف-ب-ج'!$M$9+ROW()-ROW($A$27))),"")</f>
        <v>استهلاک</v>
      </c>
      <c r="B28" s="2278">
        <v>6571</v>
      </c>
      <c r="C28" s="246">
        <v>8871</v>
      </c>
      <c r="D28" s="246">
        <v>21761</v>
      </c>
      <c r="E28" s="536">
        <f t="shared" si="0"/>
        <v>231.16725003804595</v>
      </c>
      <c r="F28" s="2201">
        <f t="shared" si="1"/>
        <v>245.30492616390487</v>
      </c>
      <c r="G28" s="498">
        <f t="shared" si="2"/>
        <v>145.30492616390487</v>
      </c>
      <c r="H28" s="212"/>
      <c r="I28" s="1360">
        <f t="shared" si="4"/>
        <v>145.30492616390487</v>
      </c>
      <c r="L28" s="1423">
        <f t="shared" si="7"/>
        <v>37203</v>
      </c>
      <c r="M28" s="1081" t="b">
        <f t="shared" ref="M28:M54" ca="1" si="8">AND(COUNTIF($A28,"*سایر*")=1,$B28/$B$55&gt;0.2)</f>
        <v>0</v>
      </c>
      <c r="N28" s="41" t="b">
        <f t="shared" ref="N28:N54" ca="1" si="9">AND(COUNTIF($A28,"*سایر*")=1,$D28/$D$55&gt;0.2)</f>
        <v>0</v>
      </c>
    </row>
    <row r="29" spans="1:14" ht="20.100000000000001" customHeight="1">
      <c r="A29" s="1511" t="str">
        <f ca="1">IF(ROW()-ROW($A$27)&lt;'الف-ب-ج'!$L$9,INDIRECT("BudgetDB!HG"&amp;('الف-ب-ج'!$M$9+ROW()-ROW($A$27))),"")</f>
        <v>خدمات قراردادی</v>
      </c>
      <c r="B29" s="2278">
        <v>14</v>
      </c>
      <c r="C29" s="246">
        <v>0</v>
      </c>
      <c r="D29" s="246">
        <v>160</v>
      </c>
      <c r="E29" s="536">
        <f t="shared" si="0"/>
        <v>1042.8571428571429</v>
      </c>
      <c r="F29" s="2201" t="str">
        <f t="shared" si="1"/>
        <v>-</v>
      </c>
      <c r="G29" s="498">
        <f t="shared" si="2"/>
        <v>500</v>
      </c>
      <c r="H29" s="212"/>
      <c r="I29" s="1360">
        <f t="shared" si="4"/>
        <v>100</v>
      </c>
      <c r="L29" s="1423">
        <f t="shared" si="7"/>
        <v>174</v>
      </c>
      <c r="M29" s="1081" t="b">
        <f t="shared" ca="1" si="8"/>
        <v>0</v>
      </c>
      <c r="N29" s="41" t="b">
        <f t="shared" ca="1" si="9"/>
        <v>0</v>
      </c>
    </row>
    <row r="30" spans="1:14" ht="20.100000000000001" customHeight="1">
      <c r="A30" s="1511" t="str">
        <f ca="1">IF(ROW()-ROW($A$27)&lt;'الف-ب-ج'!$L$9,INDIRECT("BudgetDB!HG"&amp;('الف-ب-ج'!$M$9+ROW()-ROW($A$27))),"")</f>
        <v>تعمیرات و نگهداری</v>
      </c>
      <c r="B30" s="2278">
        <v>1428</v>
      </c>
      <c r="C30" s="246">
        <v>1328</v>
      </c>
      <c r="D30" s="246">
        <v>6391</v>
      </c>
      <c r="E30" s="536">
        <f t="shared" si="0"/>
        <v>347.54901960784315</v>
      </c>
      <c r="F30" s="2201">
        <f t="shared" si="1"/>
        <v>481.25</v>
      </c>
      <c r="G30" s="498">
        <f t="shared" si="2"/>
        <v>381.25</v>
      </c>
      <c r="H30" s="212"/>
      <c r="I30" s="1360">
        <f t="shared" si="4"/>
        <v>381.25</v>
      </c>
      <c r="L30" s="1423">
        <f t="shared" si="7"/>
        <v>9147</v>
      </c>
      <c r="M30" s="1081" t="b">
        <f t="shared" ca="1" si="8"/>
        <v>0</v>
      </c>
      <c r="N30" s="41" t="b">
        <f t="shared" ca="1" si="9"/>
        <v>0</v>
      </c>
    </row>
    <row r="31" spans="1:14" ht="20.100000000000001" customHeight="1">
      <c r="A31" s="1511" t="str">
        <f ca="1">IF(ROW()-ROW($A$27)&lt;'الف-ب-ج'!$L$9,INDIRECT("BudgetDB!HG"&amp;('الف-ب-ج'!$M$9+ROW()-ROW($A$27))),"")</f>
        <v>لوازم مصرفی اداری</v>
      </c>
      <c r="B31" s="2278">
        <v>1594</v>
      </c>
      <c r="C31" s="246">
        <v>2806</v>
      </c>
      <c r="D31" s="246">
        <v>1413</v>
      </c>
      <c r="E31" s="536">
        <f t="shared" si="0"/>
        <v>-11.35508155583438</v>
      </c>
      <c r="F31" s="2201">
        <f t="shared" si="1"/>
        <v>50.356379187455452</v>
      </c>
      <c r="G31" s="498">
        <f t="shared" si="2"/>
        <v>49.643620812544548</v>
      </c>
      <c r="H31" s="212"/>
      <c r="I31" s="1360">
        <f t="shared" si="4"/>
        <v>49.643620812544548</v>
      </c>
      <c r="L31" s="1423">
        <f t="shared" si="7"/>
        <v>5813</v>
      </c>
      <c r="M31" s="1081" t="b">
        <f t="shared" ca="1" si="8"/>
        <v>0</v>
      </c>
      <c r="N31" s="41" t="b">
        <f t="shared" ca="1" si="9"/>
        <v>0</v>
      </c>
    </row>
    <row r="32" spans="1:14" ht="20.100000000000001" customHeight="1">
      <c r="A32" s="1511" t="str">
        <f ca="1">IF(ROW()-ROW($A$27)&lt;'الف-ب-ج'!$L$9,INDIRECT("BudgetDB!HG"&amp;('الف-ب-ج'!$M$9+ROW()-ROW($A$27))),"")</f>
        <v>هزینه بیمه درمان</v>
      </c>
      <c r="B32" s="2278">
        <v>2336</v>
      </c>
      <c r="C32" s="246">
        <v>1614</v>
      </c>
      <c r="D32" s="246">
        <v>260</v>
      </c>
      <c r="E32" s="536">
        <f t="shared" si="0"/>
        <v>-88.869863013698634</v>
      </c>
      <c r="F32" s="2201">
        <f t="shared" si="1"/>
        <v>16.109045848822799</v>
      </c>
      <c r="G32" s="498">
        <f t="shared" si="2"/>
        <v>83.890954151177198</v>
      </c>
      <c r="H32" s="212"/>
      <c r="I32" s="1360">
        <f t="shared" si="4"/>
        <v>83.890954151177198</v>
      </c>
      <c r="L32" s="1423">
        <f t="shared" si="7"/>
        <v>4210</v>
      </c>
      <c r="M32" s="1081" t="b">
        <f t="shared" ca="1" si="8"/>
        <v>0</v>
      </c>
      <c r="N32" s="41" t="b">
        <f t="shared" ca="1" si="9"/>
        <v>0</v>
      </c>
    </row>
    <row r="33" spans="1:14" ht="20.100000000000001" customHeight="1">
      <c r="A33" s="1511" t="str">
        <f ca="1">IF(ROW()-ROW($A$27)&lt;'الف-ب-ج'!$L$9,INDIRECT("BudgetDB!HG"&amp;('الف-ب-ج'!$M$9+ROW()-ROW($A$27))),"")</f>
        <v>عوارض</v>
      </c>
      <c r="B33" s="2278">
        <v>1</v>
      </c>
      <c r="C33" s="246">
        <v>1</v>
      </c>
      <c r="D33" s="246">
        <v>87</v>
      </c>
      <c r="E33" s="536">
        <f t="shared" si="0"/>
        <v>8600</v>
      </c>
      <c r="F33" s="2201">
        <f t="shared" si="1"/>
        <v>8700</v>
      </c>
      <c r="G33" s="498">
        <f t="shared" si="2"/>
        <v>8600</v>
      </c>
      <c r="H33" s="212"/>
      <c r="I33" s="1360">
        <f t="shared" si="4"/>
        <v>8600</v>
      </c>
      <c r="L33" s="1423">
        <f t="shared" si="7"/>
        <v>89</v>
      </c>
      <c r="M33" s="1081" t="b">
        <f t="shared" ca="1" si="8"/>
        <v>0</v>
      </c>
      <c r="N33" s="41" t="b">
        <f t="shared" ca="1" si="9"/>
        <v>0</v>
      </c>
    </row>
    <row r="34" spans="1:14" ht="20.100000000000001" customHeight="1">
      <c r="A34" s="1511" t="str">
        <f ca="1">IF(ROW()-ROW($A$27)&lt;'الف-ب-ج'!$L$9,INDIRECT("BudgetDB!HG"&amp;('الف-ب-ج'!$M$9+ROW()-ROW($A$27))),"")</f>
        <v>آب، برق و سوخت</v>
      </c>
      <c r="B34" s="2278">
        <v>14</v>
      </c>
      <c r="C34" s="246">
        <v>373</v>
      </c>
      <c r="D34" s="246">
        <v>330</v>
      </c>
      <c r="E34" s="536">
        <f t="shared" si="0"/>
        <v>2257.1428571428573</v>
      </c>
      <c r="F34" s="2201">
        <f t="shared" si="1"/>
        <v>88.471849865951739</v>
      </c>
      <c r="G34" s="498">
        <f t="shared" si="2"/>
        <v>11.528150134048261</v>
      </c>
      <c r="H34" s="212"/>
      <c r="I34" s="1360">
        <f t="shared" si="4"/>
        <v>11.528150134048261</v>
      </c>
      <c r="L34" s="1423">
        <f t="shared" si="7"/>
        <v>717</v>
      </c>
      <c r="M34" s="1081" t="b">
        <f t="shared" ca="1" si="8"/>
        <v>0</v>
      </c>
      <c r="N34" s="41" t="b">
        <f t="shared" ca="1" si="9"/>
        <v>0</v>
      </c>
    </row>
    <row r="35" spans="1:14" ht="20.100000000000001" customHeight="1">
      <c r="A35" s="1511" t="str">
        <f ca="1">IF(ROW()-ROW($A$27)&lt;'الف-ب-ج'!$L$9,INDIRECT("BudgetDB!HG"&amp;('الف-ب-ج'!$M$9+ROW()-ROW($A$27))),"")</f>
        <v>جشن و پذیرایی</v>
      </c>
      <c r="B35" s="2278">
        <v>3420</v>
      </c>
      <c r="C35" s="246">
        <v>3920</v>
      </c>
      <c r="D35" s="246">
        <v>5704</v>
      </c>
      <c r="E35" s="536">
        <f t="shared" si="0"/>
        <v>66.783625730994146</v>
      </c>
      <c r="F35" s="2201">
        <f t="shared" si="1"/>
        <v>145.51020408163265</v>
      </c>
      <c r="G35" s="498">
        <f t="shared" si="2"/>
        <v>45.510204081632651</v>
      </c>
      <c r="H35" s="212"/>
      <c r="I35" s="1360">
        <f t="shared" si="4"/>
        <v>45.510204081632651</v>
      </c>
      <c r="L35" s="1423">
        <f t="shared" si="7"/>
        <v>13044</v>
      </c>
      <c r="M35" s="1081" t="b">
        <f t="shared" ca="1" si="8"/>
        <v>0</v>
      </c>
      <c r="N35" s="41" t="b">
        <f t="shared" ca="1" si="9"/>
        <v>0</v>
      </c>
    </row>
    <row r="36" spans="1:14" ht="20.100000000000001" customHeight="1">
      <c r="A36" s="1511" t="str">
        <f ca="1">IF(ROW()-ROW($A$27)&lt;'الف-ب-ج'!$L$9,INDIRECT("BudgetDB!HG"&amp;('الف-ب-ج'!$M$9+ROW()-ROW($A$27))),"")</f>
        <v>سوخت و تعمیر وسایل نقلیه</v>
      </c>
      <c r="B36" s="2278">
        <v>589</v>
      </c>
      <c r="C36" s="246">
        <v>909</v>
      </c>
      <c r="D36" s="246">
        <v>1722</v>
      </c>
      <c r="E36" s="536">
        <f t="shared" si="0"/>
        <v>192.35993208828523</v>
      </c>
      <c r="F36" s="2201">
        <f t="shared" si="1"/>
        <v>189.43894389438944</v>
      </c>
      <c r="G36" s="498">
        <f t="shared" si="2"/>
        <v>89.438943894389439</v>
      </c>
      <c r="H36" s="212"/>
      <c r="I36" s="1360">
        <f t="shared" si="4"/>
        <v>89.438943894389439</v>
      </c>
      <c r="L36" s="1423">
        <f t="shared" si="7"/>
        <v>3220</v>
      </c>
      <c r="M36" s="1081" t="b">
        <f t="shared" ca="1" si="8"/>
        <v>0</v>
      </c>
      <c r="N36" s="41" t="b">
        <f t="shared" ca="1" si="9"/>
        <v>0</v>
      </c>
    </row>
    <row r="37" spans="1:14" ht="20.100000000000001" customHeight="1">
      <c r="A37" s="963" t="str">
        <f ca="1">IF(ROW()-ROW($A$27)&lt;'الف-ب-ج'!$L$9,INDIRECT("BudgetDB!HG"&amp;('الف-ب-ج'!$M$9+ROW()-ROW($A$27))),"")</f>
        <v>پست و تلفن</v>
      </c>
      <c r="B37" s="2278">
        <v>221</v>
      </c>
      <c r="C37" s="246">
        <v>1464</v>
      </c>
      <c r="D37" s="246">
        <v>1431</v>
      </c>
      <c r="E37" s="536">
        <f t="shared" si="0"/>
        <v>547.51131221719459</v>
      </c>
      <c r="F37" s="2201">
        <f t="shared" si="1"/>
        <v>97.745901639344268</v>
      </c>
      <c r="G37" s="498">
        <f t="shared" si="2"/>
        <v>2.2540983606557319</v>
      </c>
      <c r="H37" s="212"/>
      <c r="I37" s="1360">
        <f t="shared" si="4"/>
        <v>2.2540983606557319</v>
      </c>
      <c r="L37" s="1423">
        <f t="shared" si="7"/>
        <v>3116</v>
      </c>
      <c r="M37" s="1081" t="b">
        <f t="shared" ca="1" si="8"/>
        <v>0</v>
      </c>
      <c r="N37" s="41" t="b">
        <f t="shared" ca="1" si="9"/>
        <v>0</v>
      </c>
    </row>
    <row r="38" spans="1:14" ht="20.100000000000001" customHeight="1">
      <c r="A38" s="963" t="str">
        <f ca="1">IF(ROW()-ROW($A$27)&lt;'الف-ب-ج'!$L$9,INDIRECT("BudgetDB!HG"&amp;('الف-ب-ج'!$M$9+ROW()-ROW($A$27))),"")</f>
        <v>کارمزد بانکی و ضمانتنامه</v>
      </c>
      <c r="B38" s="2278">
        <v>228</v>
      </c>
      <c r="C38" s="246">
        <v>323</v>
      </c>
      <c r="D38" s="246">
        <v>336</v>
      </c>
      <c r="E38" s="536">
        <f t="shared" si="0"/>
        <v>47.368421052631582</v>
      </c>
      <c r="F38" s="2201">
        <f t="shared" si="1"/>
        <v>104.02476780185758</v>
      </c>
      <c r="G38" s="498">
        <f t="shared" ref="G38:G58" si="10">IFERROR(ABS(F38-100),500)</f>
        <v>4.0247678018575783</v>
      </c>
      <c r="H38" s="212"/>
      <c r="I38" s="1360">
        <f t="shared" si="4"/>
        <v>4.0247678018575783</v>
      </c>
      <c r="L38" s="1423">
        <f t="shared" si="7"/>
        <v>887</v>
      </c>
      <c r="M38" s="1081" t="b">
        <f t="shared" ca="1" si="8"/>
        <v>0</v>
      </c>
      <c r="N38" s="41" t="b">
        <f t="shared" ca="1" si="9"/>
        <v>0</v>
      </c>
    </row>
    <row r="39" spans="1:14" ht="20.100000000000001" customHeight="1">
      <c r="A39" s="963" t="str">
        <f ca="1">IF(ROW()-ROW($A$27)&lt;'الف-ب-ج'!$L$9,INDIRECT("BudgetDB!HG"&amp;('الف-ب-ج'!$M$9+ROW()-ROW($A$27))),"")</f>
        <v>حسابرسی</v>
      </c>
      <c r="B39" s="2278"/>
      <c r="C39" s="246"/>
      <c r="D39" s="246"/>
      <c r="E39" s="536" t="str">
        <f t="shared" si="0"/>
        <v>-</v>
      </c>
      <c r="F39" s="2201" t="str">
        <f t="shared" si="1"/>
        <v>-</v>
      </c>
      <c r="G39" s="498">
        <f t="shared" si="10"/>
        <v>500</v>
      </c>
      <c r="H39" s="212"/>
      <c r="I39" s="1360" t="str">
        <f t="shared" si="4"/>
        <v>-</v>
      </c>
      <c r="L39" s="1423">
        <f t="shared" si="7"/>
        <v>0</v>
      </c>
      <c r="M39" s="1081" t="b">
        <f t="shared" ca="1" si="8"/>
        <v>0</v>
      </c>
      <c r="N39" s="41" t="b">
        <f t="shared" ca="1" si="9"/>
        <v>0</v>
      </c>
    </row>
    <row r="40" spans="1:14" ht="20.100000000000001" customHeight="1">
      <c r="A40" s="963" t="str">
        <f ca="1">IF(ROW()-ROW($A$27)&lt;'الف-ب-ج'!$L$9,INDIRECT("BudgetDB!HG"&amp;('الف-ب-ج'!$M$9+ROW()-ROW($A$27))),"")</f>
        <v>سایر</v>
      </c>
      <c r="B40" s="2278">
        <v>348</v>
      </c>
      <c r="C40" s="246">
        <v>808</v>
      </c>
      <c r="D40" s="246">
        <v>329</v>
      </c>
      <c r="E40" s="536">
        <f t="shared" si="0"/>
        <v>-5.4597701149425291</v>
      </c>
      <c r="F40" s="2201">
        <f t="shared" si="1"/>
        <v>40.71782178217822</v>
      </c>
      <c r="G40" s="498">
        <f t="shared" si="10"/>
        <v>59.28217821782178</v>
      </c>
      <c r="H40" s="212"/>
      <c r="I40" s="1360">
        <f t="shared" si="4"/>
        <v>59.28217821782178</v>
      </c>
      <c r="L40" s="1423">
        <f t="shared" si="7"/>
        <v>1485</v>
      </c>
      <c r="M40" s="1081" t="b">
        <f t="shared" ca="1" si="8"/>
        <v>0</v>
      </c>
      <c r="N40" s="41" t="b">
        <f t="shared" ca="1" si="9"/>
        <v>0</v>
      </c>
    </row>
    <row r="41" spans="1:14" ht="20.100000000000001" customHeight="1">
      <c r="A41" s="2641" t="s">
        <v>3239</v>
      </c>
      <c r="B41" s="2278">
        <v>220</v>
      </c>
      <c r="C41" s="246">
        <v>186</v>
      </c>
      <c r="D41" s="246">
        <v>111</v>
      </c>
      <c r="E41" s="536">
        <f t="shared" si="0"/>
        <v>-49.545454545454547</v>
      </c>
      <c r="F41" s="2201">
        <f>IFERROR(D41*100/C21,"-")</f>
        <v>6.0260586319218241</v>
      </c>
      <c r="G41" s="498">
        <f t="shared" si="10"/>
        <v>93.973941368078172</v>
      </c>
      <c r="H41" s="212"/>
      <c r="I41" s="1360">
        <f>IF(AND(C21=0,D41&gt;0),100,IFERROR(ABS(F41-100),"-"))</f>
        <v>93.973941368078172</v>
      </c>
      <c r="L41" s="1423">
        <f>B41+C21+D41</f>
        <v>2173</v>
      </c>
      <c r="M41" s="1081" t="b">
        <f>AND(COUNTIF($A21,"*سایر*")=1,$B41/$B$55&gt;0.2)</f>
        <v>0</v>
      </c>
      <c r="N41" s="41" t="b">
        <f>AND(COUNTIF($A21,"*سایر*")=1,$D41/$D$55&gt;0.2)</f>
        <v>0</v>
      </c>
    </row>
    <row r="42" spans="1:14" ht="20.100000000000001" customHeight="1">
      <c r="A42" s="2641"/>
      <c r="B42" s="2278"/>
      <c r="C42" s="246"/>
      <c r="D42" s="246"/>
      <c r="E42" s="536" t="str">
        <f t="shared" si="0"/>
        <v>-</v>
      </c>
      <c r="F42" s="2201">
        <f>IFERROR(D42*100/C22,"-")</f>
        <v>0</v>
      </c>
      <c r="G42" s="498">
        <f t="shared" si="10"/>
        <v>100</v>
      </c>
      <c r="H42" s="212"/>
      <c r="I42" s="1360">
        <f>IF(AND(C22=0,D42&gt;0),100,IFERROR(ABS(F42-100),"-"))</f>
        <v>100</v>
      </c>
      <c r="L42" s="1423">
        <f>B42+C22+D42</f>
        <v>2351</v>
      </c>
      <c r="M42" s="1081" t="b">
        <f>AND(COUNTIF($A22,"*سایر*")=1,$B42/$B$55&gt;0.2)</f>
        <v>0</v>
      </c>
      <c r="N42" s="41" t="b">
        <f>AND(COUNTIF($A22,"*سایر*")=1,$D42/$D$55&gt;0.2)</f>
        <v>0</v>
      </c>
    </row>
    <row r="43" spans="1:14" ht="20.100000000000001" customHeight="1">
      <c r="A43" s="496">
        <f ca="1">IF(ROW()-ROW($A$27)&lt;'الف-ب-ج'!$L$9,INDIRECT("BudgetDB!HG"&amp;('الف-ب-ج'!$M$9+ROW()-ROW($A$27))),"")</f>
        <v>0</v>
      </c>
      <c r="B43" s="2278"/>
      <c r="C43" s="246"/>
      <c r="D43" s="246"/>
      <c r="E43" s="536" t="str">
        <f t="shared" si="0"/>
        <v>-</v>
      </c>
      <c r="F43" s="2201" t="str">
        <f t="shared" si="1"/>
        <v>-</v>
      </c>
      <c r="G43" s="498">
        <f t="shared" si="10"/>
        <v>500</v>
      </c>
      <c r="H43" s="212"/>
      <c r="I43" s="1360" t="str">
        <f t="shared" si="4"/>
        <v>-</v>
      </c>
      <c r="L43" s="1423">
        <f t="shared" si="7"/>
        <v>0</v>
      </c>
      <c r="M43" s="1081" t="b">
        <f t="shared" ca="1" si="8"/>
        <v>0</v>
      </c>
      <c r="N43" s="41" t="b">
        <f t="shared" ca="1" si="9"/>
        <v>0</v>
      </c>
    </row>
    <row r="44" spans="1:14" ht="20.100000000000001" customHeight="1">
      <c r="A44" s="496">
        <f ca="1">IF(ROW()-ROW($A$27)&lt;'الف-ب-ج'!$L$9,INDIRECT("BudgetDB!HG"&amp;('الف-ب-ج'!$M$9+ROW()-ROW($A$27))),"")</f>
        <v>0</v>
      </c>
      <c r="B44" s="2278"/>
      <c r="C44" s="246"/>
      <c r="D44" s="246"/>
      <c r="E44" s="536" t="str">
        <f t="shared" si="0"/>
        <v>-</v>
      </c>
      <c r="F44" s="2201" t="str">
        <f t="shared" si="1"/>
        <v>-</v>
      </c>
      <c r="G44" s="498">
        <f t="shared" si="10"/>
        <v>500</v>
      </c>
      <c r="H44" s="212"/>
      <c r="I44" s="1360" t="str">
        <f t="shared" si="4"/>
        <v>-</v>
      </c>
      <c r="L44" s="1423">
        <f t="shared" si="7"/>
        <v>0</v>
      </c>
      <c r="M44" s="1081" t="b">
        <f t="shared" ca="1" si="8"/>
        <v>0</v>
      </c>
      <c r="N44" s="41" t="b">
        <f t="shared" ca="1" si="9"/>
        <v>0</v>
      </c>
    </row>
    <row r="45" spans="1:14" ht="20.100000000000001" customHeight="1">
      <c r="A45" s="496">
        <f ca="1">IF(ROW()-ROW($A$27)&lt;'الف-ب-ج'!$L$9,INDIRECT("BudgetDB!HG"&amp;('الف-ب-ج'!$M$9+ROW()-ROW($A$27))),"")</f>
        <v>0</v>
      </c>
      <c r="B45" s="2278"/>
      <c r="C45" s="246"/>
      <c r="D45" s="246"/>
      <c r="E45" s="536" t="str">
        <f t="shared" si="0"/>
        <v>-</v>
      </c>
      <c r="F45" s="2201" t="str">
        <f t="shared" si="1"/>
        <v>-</v>
      </c>
      <c r="G45" s="498">
        <f t="shared" si="10"/>
        <v>500</v>
      </c>
      <c r="H45" s="212"/>
      <c r="I45" s="1360" t="str">
        <f t="shared" si="4"/>
        <v>-</v>
      </c>
      <c r="L45" s="1423">
        <f t="shared" si="7"/>
        <v>0</v>
      </c>
      <c r="M45" s="1081" t="b">
        <f t="shared" ca="1" si="8"/>
        <v>0</v>
      </c>
      <c r="N45" s="41" t="b">
        <f t="shared" ca="1" si="9"/>
        <v>0</v>
      </c>
    </row>
    <row r="46" spans="1:14" ht="20.100000000000001" customHeight="1">
      <c r="A46" s="496">
        <f ca="1">IF(ROW()-ROW($A$27)&lt;'الف-ب-ج'!$L$9,INDIRECT("BudgetDB!HG"&amp;('الف-ب-ج'!$M$9+ROW()-ROW($A$27))),"")</f>
        <v>0</v>
      </c>
      <c r="B46" s="2278"/>
      <c r="C46" s="246"/>
      <c r="D46" s="246"/>
      <c r="E46" s="536" t="str">
        <f t="shared" si="0"/>
        <v>-</v>
      </c>
      <c r="F46" s="2201" t="str">
        <f t="shared" si="1"/>
        <v>-</v>
      </c>
      <c r="G46" s="498">
        <f t="shared" si="10"/>
        <v>500</v>
      </c>
      <c r="H46" s="212"/>
      <c r="I46" s="1360" t="str">
        <f t="shared" si="4"/>
        <v>-</v>
      </c>
      <c r="L46" s="1423">
        <f t="shared" si="7"/>
        <v>0</v>
      </c>
      <c r="M46" s="1081" t="b">
        <f t="shared" ca="1" si="8"/>
        <v>0</v>
      </c>
      <c r="N46" s="41" t="b">
        <f t="shared" ca="1" si="9"/>
        <v>0</v>
      </c>
    </row>
    <row r="47" spans="1:14" ht="20.100000000000001" customHeight="1">
      <c r="A47" s="496">
        <f ca="1">IF(ROW()-ROW($A$27)&lt;'الف-ب-ج'!$L$9,INDIRECT("BudgetDB!HG"&amp;('الف-ب-ج'!$M$9+ROW()-ROW($A$27))),"")</f>
        <v>0</v>
      </c>
      <c r="B47" s="2278"/>
      <c r="C47" s="246"/>
      <c r="D47" s="246"/>
      <c r="E47" s="536" t="str">
        <f t="shared" si="0"/>
        <v>-</v>
      </c>
      <c r="F47" s="2201" t="str">
        <f t="shared" si="1"/>
        <v>-</v>
      </c>
      <c r="G47" s="498">
        <f t="shared" si="10"/>
        <v>500</v>
      </c>
      <c r="H47" s="212"/>
      <c r="I47" s="1360" t="str">
        <f t="shared" si="4"/>
        <v>-</v>
      </c>
      <c r="L47" s="1423">
        <f t="shared" si="7"/>
        <v>0</v>
      </c>
      <c r="M47" s="1081" t="b">
        <f t="shared" ca="1" si="8"/>
        <v>0</v>
      </c>
      <c r="N47" s="41" t="b">
        <f t="shared" ca="1" si="9"/>
        <v>0</v>
      </c>
    </row>
    <row r="48" spans="1:14" ht="20.100000000000001" customHeight="1">
      <c r="A48" s="496">
        <f ca="1">IF(ROW()-ROW($A$27)&lt;'الف-ب-ج'!$L$9,INDIRECT("BudgetDB!HG"&amp;('الف-ب-ج'!$M$9+ROW()-ROW($A$27))),"")</f>
        <v>0</v>
      </c>
      <c r="B48" s="2278"/>
      <c r="C48" s="246"/>
      <c r="D48" s="246"/>
      <c r="E48" s="536" t="str">
        <f t="shared" si="0"/>
        <v>-</v>
      </c>
      <c r="F48" s="2201" t="str">
        <f t="shared" si="1"/>
        <v>-</v>
      </c>
      <c r="G48" s="498">
        <f t="shared" si="10"/>
        <v>500</v>
      </c>
      <c r="H48" s="212"/>
      <c r="I48" s="1360" t="str">
        <f t="shared" si="4"/>
        <v>-</v>
      </c>
      <c r="L48" s="1423">
        <f t="shared" si="7"/>
        <v>0</v>
      </c>
      <c r="M48" s="1081" t="b">
        <f t="shared" ca="1" si="8"/>
        <v>0</v>
      </c>
      <c r="N48" s="41" t="b">
        <f t="shared" ca="1" si="9"/>
        <v>0</v>
      </c>
    </row>
    <row r="49" spans="1:14" ht="20.100000000000001" customHeight="1">
      <c r="A49" s="496">
        <f ca="1">IF(ROW()-ROW($A$27)&lt;'الف-ب-ج'!$L$9,INDIRECT("BudgetDB!HG"&amp;('الف-ب-ج'!$M$9+ROW()-ROW($A$27))),"")</f>
        <v>0</v>
      </c>
      <c r="B49" s="2278"/>
      <c r="C49" s="246"/>
      <c r="D49" s="246"/>
      <c r="E49" s="536" t="str">
        <f t="shared" si="0"/>
        <v>-</v>
      </c>
      <c r="F49" s="2201" t="str">
        <f t="shared" si="1"/>
        <v>-</v>
      </c>
      <c r="G49" s="498">
        <f t="shared" si="10"/>
        <v>500</v>
      </c>
      <c r="H49" s="212"/>
      <c r="I49" s="1360" t="str">
        <f t="shared" si="4"/>
        <v>-</v>
      </c>
      <c r="L49" s="1423">
        <f t="shared" si="7"/>
        <v>0</v>
      </c>
      <c r="M49" s="1081" t="b">
        <f t="shared" ca="1" si="8"/>
        <v>0</v>
      </c>
      <c r="N49" s="41" t="b">
        <f t="shared" ca="1" si="9"/>
        <v>0</v>
      </c>
    </row>
    <row r="50" spans="1:14" ht="20.100000000000001" customHeight="1">
      <c r="A50" s="496">
        <f ca="1">IF(ROW()-ROW($A$27)&lt;'الف-ب-ج'!$L$9,INDIRECT("BudgetDB!HG"&amp;('الف-ب-ج'!$M$9+ROW()-ROW($A$27))),"")</f>
        <v>0</v>
      </c>
      <c r="B50" s="2278"/>
      <c r="C50" s="246"/>
      <c r="D50" s="246"/>
      <c r="E50" s="536" t="str">
        <f t="shared" si="0"/>
        <v>-</v>
      </c>
      <c r="F50" s="2201" t="str">
        <f t="shared" si="1"/>
        <v>-</v>
      </c>
      <c r="G50" s="498">
        <f t="shared" si="10"/>
        <v>500</v>
      </c>
      <c r="H50" s="212"/>
      <c r="I50" s="1360" t="str">
        <f t="shared" si="4"/>
        <v>-</v>
      </c>
      <c r="L50" s="1423">
        <f t="shared" si="7"/>
        <v>0</v>
      </c>
      <c r="M50" s="1081" t="b">
        <f t="shared" ca="1" si="8"/>
        <v>0</v>
      </c>
      <c r="N50" s="41" t="b">
        <f t="shared" ca="1" si="9"/>
        <v>0</v>
      </c>
    </row>
    <row r="51" spans="1:14" ht="20.100000000000001" customHeight="1">
      <c r="A51" s="496">
        <f ca="1">IF(ROW()-ROW($A$27)&lt;'الف-ب-ج'!$L$9,INDIRECT("BudgetDB!HG"&amp;('الف-ب-ج'!$M$9+ROW()-ROW($A$27))),"")</f>
        <v>0</v>
      </c>
      <c r="B51" s="2278"/>
      <c r="C51" s="246"/>
      <c r="D51" s="246"/>
      <c r="E51" s="536" t="str">
        <f t="shared" si="0"/>
        <v>-</v>
      </c>
      <c r="F51" s="2201" t="str">
        <f t="shared" si="1"/>
        <v>-</v>
      </c>
      <c r="G51" s="498">
        <f t="shared" si="10"/>
        <v>500</v>
      </c>
      <c r="H51" s="212"/>
      <c r="I51" s="1360" t="str">
        <f t="shared" si="4"/>
        <v>-</v>
      </c>
      <c r="L51" s="1423">
        <f t="shared" si="7"/>
        <v>0</v>
      </c>
      <c r="M51" s="1081" t="b">
        <f t="shared" ca="1" si="8"/>
        <v>0</v>
      </c>
      <c r="N51" s="41" t="b">
        <f t="shared" ca="1" si="9"/>
        <v>0</v>
      </c>
    </row>
    <row r="52" spans="1:14" ht="20.100000000000001" customHeight="1">
      <c r="A52" s="496">
        <f ca="1">IF(ROW()-ROW($A$27)&lt;'الف-ب-ج'!$L$9,INDIRECT("BudgetDB!HG"&amp;('الف-ب-ج'!$M$9+ROW()-ROW($A$27))),"")</f>
        <v>0</v>
      </c>
      <c r="B52" s="2278"/>
      <c r="C52" s="246"/>
      <c r="D52" s="246"/>
      <c r="E52" s="536" t="str">
        <f t="shared" si="0"/>
        <v>-</v>
      </c>
      <c r="F52" s="2201" t="str">
        <f t="shared" si="1"/>
        <v>-</v>
      </c>
      <c r="G52" s="498">
        <f t="shared" si="10"/>
        <v>500</v>
      </c>
      <c r="H52" s="212"/>
      <c r="I52" s="1360" t="str">
        <f t="shared" si="4"/>
        <v>-</v>
      </c>
      <c r="L52" s="1423">
        <f t="shared" si="7"/>
        <v>0</v>
      </c>
      <c r="M52" s="1081" t="b">
        <f t="shared" ca="1" si="8"/>
        <v>0</v>
      </c>
      <c r="N52" s="41" t="b">
        <f t="shared" ca="1" si="9"/>
        <v>0</v>
      </c>
    </row>
    <row r="53" spans="1:14" ht="20.100000000000001" customHeight="1">
      <c r="A53" s="496">
        <f ca="1">IF(ROW()-ROW($A$27)&lt;'الف-ب-ج'!$L$9,INDIRECT("BudgetDB!HG"&amp;('الف-ب-ج'!$M$9+ROW()-ROW($A$27))),"")</f>
        <v>0</v>
      </c>
      <c r="B53" s="2278"/>
      <c r="C53" s="246"/>
      <c r="D53" s="246"/>
      <c r="E53" s="536" t="str">
        <f t="shared" si="0"/>
        <v>-</v>
      </c>
      <c r="F53" s="2201" t="str">
        <f t="shared" si="1"/>
        <v>-</v>
      </c>
      <c r="G53" s="498">
        <f t="shared" si="10"/>
        <v>500</v>
      </c>
      <c r="H53" s="212"/>
      <c r="I53" s="1360" t="str">
        <f t="shared" si="4"/>
        <v>-</v>
      </c>
      <c r="L53" s="1423">
        <f t="shared" si="7"/>
        <v>0</v>
      </c>
      <c r="M53" s="1081" t="b">
        <f t="shared" ca="1" si="8"/>
        <v>0</v>
      </c>
      <c r="N53" s="41" t="b">
        <f t="shared" ca="1" si="9"/>
        <v>0</v>
      </c>
    </row>
    <row r="54" spans="1:14" ht="20.100000000000001" customHeight="1" thickBot="1">
      <c r="A54" s="496">
        <f ca="1">IF(ROW()-ROW($A$27)&lt;'الف-ب-ج'!$L$9,INDIRECT("BudgetDB!HG"&amp;('الف-ب-ج'!$M$9+ROW()-ROW($A$27))),"")</f>
        <v>0</v>
      </c>
      <c r="B54" s="2278"/>
      <c r="C54" s="246"/>
      <c r="D54" s="246"/>
      <c r="E54" s="536" t="str">
        <f t="shared" si="0"/>
        <v>-</v>
      </c>
      <c r="F54" s="2201" t="str">
        <f t="shared" si="1"/>
        <v>-</v>
      </c>
      <c r="G54" s="498">
        <f t="shared" si="10"/>
        <v>500</v>
      </c>
      <c r="H54" s="212"/>
      <c r="I54" s="1360" t="str">
        <f t="shared" si="4"/>
        <v>-</v>
      </c>
      <c r="L54" s="1423">
        <f t="shared" si="7"/>
        <v>0</v>
      </c>
      <c r="M54" s="1081" t="b">
        <f t="shared" ca="1" si="8"/>
        <v>0</v>
      </c>
      <c r="N54" s="41" t="b">
        <f t="shared" ca="1" si="9"/>
        <v>0</v>
      </c>
    </row>
    <row r="55" spans="1:14" ht="21.75" thickBot="1">
      <c r="A55" s="492" t="s">
        <v>1437</v>
      </c>
      <c r="B55" s="2279">
        <f>SUM(B27:B54)</f>
        <v>16984</v>
      </c>
      <c r="C55" s="1430">
        <f>SUM(C27:C54)</f>
        <v>51334</v>
      </c>
      <c r="D55" s="494">
        <f>SUM(D27:D54)</f>
        <v>40035</v>
      </c>
      <c r="E55" s="537">
        <f t="shared" si="0"/>
        <v>135.7218558643429</v>
      </c>
      <c r="F55" s="2204">
        <f t="shared" si="1"/>
        <v>77.989246892897498</v>
      </c>
      <c r="G55" s="2205">
        <f t="shared" si="10"/>
        <v>22.010753107102502</v>
      </c>
      <c r="H55" s="212"/>
      <c r="I55" s="1360" t="s">
        <v>206</v>
      </c>
      <c r="L55" s="1423" t="s">
        <v>206</v>
      </c>
    </row>
    <row r="56" spans="1:14" ht="21.75" thickBot="1">
      <c r="A56" s="492" t="s">
        <v>438</v>
      </c>
      <c r="B56" s="2279">
        <f>B26+B55</f>
        <v>158356</v>
      </c>
      <c r="C56" s="1430">
        <f>C26+C55</f>
        <v>241264</v>
      </c>
      <c r="D56" s="494">
        <f>D26+D55</f>
        <v>264469</v>
      </c>
      <c r="E56" s="537">
        <f t="shared" si="0"/>
        <v>67.009143954128675</v>
      </c>
      <c r="F56" s="2204">
        <f t="shared" si="1"/>
        <v>109.61809470124014</v>
      </c>
      <c r="G56" s="2205">
        <f t="shared" si="10"/>
        <v>9.618094701240139</v>
      </c>
      <c r="H56" s="212"/>
      <c r="I56" s="1360" t="s">
        <v>206</v>
      </c>
      <c r="L56" s="1423" t="s">
        <v>206</v>
      </c>
    </row>
    <row r="57" spans="1:14" ht="21.75" thickBot="1">
      <c r="A57" s="495" t="s">
        <v>1555</v>
      </c>
      <c r="B57" s="2280"/>
      <c r="C57" s="1427" cm="1">
        <f t="array" aca="1" ref="C57" ca="1">IF(روکش!$F$9="سه ماهه",INDIRECT("BudgetDB!HJ"&amp;('الف-ب-ج'!$M$9+ROW()-ROW($A$57))),INDIRECT("BudgetDB!HK"&amp;('الف-ب-ج'!$M$9+ROW()-ROW($A$57))))</f>
        <v>0</v>
      </c>
      <c r="D57" s="250"/>
      <c r="E57" s="537" t="str">
        <f t="shared" si="0"/>
        <v>-</v>
      </c>
      <c r="F57" s="2204" t="str">
        <f t="shared" ca="1" si="1"/>
        <v>-</v>
      </c>
      <c r="G57" s="2205">
        <f t="shared" ca="1" si="10"/>
        <v>500</v>
      </c>
      <c r="H57" s="212"/>
      <c r="I57" s="1360" t="str">
        <f t="shared" ca="1" si="4"/>
        <v>-</v>
      </c>
      <c r="L57" s="1423" t="s">
        <v>206</v>
      </c>
    </row>
    <row r="58" spans="1:14" ht="21.75" thickBot="1">
      <c r="A58" s="492" t="s">
        <v>436</v>
      </c>
      <c r="B58" s="2279">
        <f>B56+B57</f>
        <v>158356</v>
      </c>
      <c r="C58" s="1430">
        <f ca="1">C56+C57</f>
        <v>241264</v>
      </c>
      <c r="D58" s="494">
        <f>D56+D57</f>
        <v>264469</v>
      </c>
      <c r="E58" s="537">
        <f t="shared" si="0"/>
        <v>67.009143954128675</v>
      </c>
      <c r="F58" s="2204">
        <f t="shared" ca="1" si="1"/>
        <v>109.61809470124014</v>
      </c>
      <c r="G58" s="2205">
        <f t="shared" ca="1" si="10"/>
        <v>9.618094701240139</v>
      </c>
      <c r="H58" s="212"/>
      <c r="I58" s="1360" t="s">
        <v>206</v>
      </c>
      <c r="L58" s="1423" t="s">
        <v>206</v>
      </c>
    </row>
    <row r="59" spans="1:14" ht="10.5" customHeight="1">
      <c r="A59" s="2906"/>
      <c r="B59" s="2906"/>
      <c r="C59" s="2906"/>
      <c r="D59" s="857"/>
      <c r="E59" s="857"/>
      <c r="F59" s="857"/>
      <c r="I59" s="1360" t="s">
        <v>206</v>
      </c>
      <c r="L59" s="1423">
        <f t="shared" ref="L59" si="11">B59+C59+D59</f>
        <v>0</v>
      </c>
    </row>
    <row r="60" spans="1:14" ht="5.25" customHeight="1">
      <c r="L60" s="1423" t="s">
        <v>206</v>
      </c>
    </row>
    <row r="61" spans="1:14" ht="21">
      <c r="A61" s="8"/>
      <c r="B61" s="2752"/>
      <c r="C61" s="2752"/>
      <c r="E61" s="8"/>
      <c r="L61" s="1423" t="s">
        <v>206</v>
      </c>
    </row>
    <row r="62" spans="1:14">
      <c r="L62" s="1423" t="s">
        <v>206</v>
      </c>
    </row>
    <row r="63" spans="1:14">
      <c r="L63" s="1423" t="s">
        <v>206</v>
      </c>
    </row>
    <row r="64" spans="1:14">
      <c r="L64" s="1423" t="s">
        <v>206</v>
      </c>
    </row>
    <row r="65" spans="12:12">
      <c r="L65" s="1423" t="s">
        <v>206</v>
      </c>
    </row>
    <row r="66" spans="12:12">
      <c r="L66" s="1423" t="s">
        <v>206</v>
      </c>
    </row>
    <row r="67" spans="12:12">
      <c r="L67" s="1423" t="s">
        <v>206</v>
      </c>
    </row>
    <row r="68" spans="12:12">
      <c r="L68" s="1423" t="s">
        <v>206</v>
      </c>
    </row>
    <row r="69" spans="12:12">
      <c r="L69" s="1423" t="s">
        <v>206</v>
      </c>
    </row>
    <row r="70" spans="12:12">
      <c r="L70" s="1423" t="s">
        <v>206</v>
      </c>
    </row>
    <row r="71" spans="12:12">
      <c r="L71" s="1423" t="s">
        <v>206</v>
      </c>
    </row>
  </sheetData>
  <sheetProtection algorithmName="SHA-512" hashValue="jflGzcnJJx1QkmRJP3hVeiFav3OFUMey2MsaRgUPOPp25WsMuUTrJqDpK8lAaw+CNEmSGh/2zX8QYaoiuYBWLQ==" saltValue="TWPr+uPrFkE7CrCvqDWOMw==" spinCount="100000" sheet="1" objects="1" scenarios="1"/>
  <mergeCells count="6">
    <mergeCell ref="A59:C59"/>
    <mergeCell ref="B61:C61"/>
    <mergeCell ref="A4:A5"/>
    <mergeCell ref="B4:B5"/>
    <mergeCell ref="A1:G1"/>
    <mergeCell ref="F5:G5"/>
  </mergeCells>
  <conditionalFormatting sqref="G6:G58">
    <cfRule type="iconSet" priority="18">
      <iconSet iconSet="3Symbols" showValue="0" reverse="1">
        <cfvo type="percent" val="0"/>
        <cfvo type="num" val="10" gte="0"/>
        <cfvo type="num" val="40"/>
      </iconSet>
    </cfRule>
  </conditionalFormatting>
  <conditionalFormatting sqref="D26">
    <cfRule type="expression" dxfId="384" priority="16">
      <formula>$N26=TRUE</formula>
    </cfRule>
  </conditionalFormatting>
  <conditionalFormatting sqref="B26">
    <cfRule type="expression" dxfId="383" priority="15">
      <formula>$M26=TRUE</formula>
    </cfRule>
  </conditionalFormatting>
  <conditionalFormatting sqref="A6:A20 A43:A54 A23:A40">
    <cfRule type="expression" dxfId="382" priority="14">
      <formula>AND($A6=0,OR($B6&lt;&gt;0,$D6&lt;&gt;0))</formula>
    </cfRule>
  </conditionalFormatting>
  <conditionalFormatting sqref="A41:A42">
    <cfRule type="expression" dxfId="381" priority="10">
      <formula>AND($A41=0,OR($B41&lt;&gt;0,$D41&lt;&gt;0))</formula>
    </cfRule>
  </conditionalFormatting>
  <conditionalFormatting sqref="A21:A22">
    <cfRule type="expression" dxfId="380" priority="9">
      <formula>AND($A21=0,OR($B21&lt;&gt;0,$D21&lt;&gt;0))</formula>
    </cfRule>
  </conditionalFormatting>
  <conditionalFormatting sqref="D6:D25">
    <cfRule type="expression" dxfId="379" priority="6">
      <formula>$N6=TRUE</formula>
    </cfRule>
  </conditionalFormatting>
  <conditionalFormatting sqref="B6:B25">
    <cfRule type="expression" dxfId="378" priority="5">
      <formula>$M6=TRUE</formula>
    </cfRule>
  </conditionalFormatting>
  <conditionalFormatting sqref="C6:C25">
    <cfRule type="expression" dxfId="377" priority="4">
      <formula>$N6=TRUE</formula>
    </cfRule>
  </conditionalFormatting>
  <conditionalFormatting sqref="C21:C22">
    <cfRule type="expression" dxfId="376" priority="7">
      <formula>$N41=TRUE</formula>
    </cfRule>
  </conditionalFormatting>
  <conditionalFormatting sqref="D27:D54 C27:C39 C43:C54">
    <cfRule type="expression" dxfId="375" priority="3">
      <formula>$N27=TRUE</formula>
    </cfRule>
  </conditionalFormatting>
  <conditionalFormatting sqref="B27:B54">
    <cfRule type="expression" dxfId="374" priority="2">
      <formula>$M27=TRUE</formula>
    </cfRule>
  </conditionalFormatting>
  <conditionalFormatting sqref="C40:C42">
    <cfRule type="expression" dxfId="373" priority="1">
      <formula>$N40=TRUE</formula>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7" id="{5D6BCD26-185B-4C6B-8959-6754006FD661}">
            <x14:iconSet iconSet="3Symbols" custom="1">
              <x14:cfvo type="percent">
                <xm:f>0</xm:f>
              </x14:cfvo>
              <x14:cfvo type="num">
                <xm:f>0</xm:f>
              </x14:cfvo>
              <x14:cfvo type="num">
                <xm:f>0</xm:f>
              </x14:cfvo>
              <x14:cfIcon iconSet="3Symbols" iconId="1"/>
              <x14:cfIcon iconSet="3Symbols" iconId="1"/>
              <x14:cfIcon iconSet="NoIcons" iconId="0"/>
            </x14:iconSet>
          </x14:cfRule>
          <xm:sqref>E6:E58</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7">
    <tabColor rgb="FF32CD32"/>
    <pageSetUpPr fitToPage="1"/>
  </sheetPr>
  <dimension ref="A1:L43"/>
  <sheetViews>
    <sheetView rightToLeft="1" view="pageBreakPreview" zoomScale="80" zoomScaleNormal="100" zoomScaleSheetLayoutView="80" workbookViewId="0">
      <selection activeCell="B17" sqref="B17"/>
    </sheetView>
  </sheetViews>
  <sheetFormatPr defaultColWidth="9" defaultRowHeight="21"/>
  <cols>
    <col min="1" max="1" width="60.5703125" style="1" bestFit="1" customWidth="1"/>
    <col min="2" max="4" width="15.5703125" style="1" customWidth="1"/>
    <col min="5" max="5" width="15.42578125" style="1" customWidth="1"/>
    <col min="6" max="6" width="11.5703125" style="1" customWidth="1"/>
    <col min="7" max="7" width="9" style="86"/>
    <col min="8" max="8" width="9" style="1" hidden="1" customWidth="1"/>
    <col min="9" max="9" width="0" style="86" hidden="1" customWidth="1"/>
    <col min="10" max="12" width="0" style="1" hidden="1" customWidth="1"/>
    <col min="13" max="16384" width="9" style="1"/>
  </cols>
  <sheetData>
    <row r="1" spans="1:12" s="52" customFormat="1" ht="24" customHeight="1">
      <c r="A1" s="2685" t="str">
        <f>روکش!D4</f>
        <v>انبارهای عمومی و خدمات گمرکی ایران</v>
      </c>
      <c r="B1" s="2685"/>
      <c r="C1" s="2685"/>
      <c r="D1" s="2685"/>
      <c r="E1" s="2685"/>
      <c r="F1" s="2685"/>
      <c r="G1" s="2685"/>
      <c r="H1" s="249"/>
      <c r="I1" s="88"/>
    </row>
    <row r="2" spans="1:12" s="5" customFormat="1" ht="28.5" customHeight="1">
      <c r="A2" s="1206" t="str">
        <f>"ساير درآمدها و هزينه‌هاي عملياتي در دوره " &amp; روکش!F9 &amp; " سال " &amp; روکش!D9</f>
        <v>ساير درآمدها و هزينه‌هاي عملياتي در دوره شش ماهه سال 1405</v>
      </c>
      <c r="B2" s="1205"/>
      <c r="C2" s="1202"/>
      <c r="D2" s="1202"/>
      <c r="E2" s="1202"/>
      <c r="F2" s="1202"/>
      <c r="G2" s="2290"/>
      <c r="H2" s="212"/>
      <c r="I2" s="79"/>
    </row>
    <row r="3" spans="1:12" ht="20.100000000000001" customHeight="1" thickBot="1">
      <c r="A3" s="398"/>
      <c r="B3" s="398"/>
      <c r="C3" s="538"/>
      <c r="D3" s="398"/>
      <c r="E3" s="398"/>
      <c r="F3" s="1208" t="s">
        <v>30</v>
      </c>
    </row>
    <row r="4" spans="1:12" ht="35.1" customHeight="1">
      <c r="A4" s="3089" t="s">
        <v>21</v>
      </c>
      <c r="B4" s="3091" t="s">
        <v>693</v>
      </c>
      <c r="C4" s="1434" t="s">
        <v>642</v>
      </c>
      <c r="D4" s="1435"/>
      <c r="E4" s="1435"/>
      <c r="F4" s="2213"/>
      <c r="G4" s="1376"/>
      <c r="H4" s="1193"/>
    </row>
    <row r="5" spans="1:12" ht="73.5" customHeight="1" thickBot="1">
      <c r="A5" s="3090"/>
      <c r="B5" s="3092"/>
      <c r="C5" s="713" t="s">
        <v>53</v>
      </c>
      <c r="D5" s="714" t="s">
        <v>216</v>
      </c>
      <c r="E5" s="714" t="s">
        <v>804</v>
      </c>
      <c r="F5" s="2875" t="s">
        <v>230</v>
      </c>
      <c r="G5" s="2876"/>
      <c r="H5" s="1193" t="s">
        <v>792</v>
      </c>
    </row>
    <row r="6" spans="1:12" ht="26.1" customHeight="1">
      <c r="A6" s="1801" t="s">
        <v>1495</v>
      </c>
      <c r="B6" s="1802"/>
      <c r="C6" s="1802"/>
      <c r="D6" s="2295"/>
      <c r="E6" s="1802"/>
      <c r="F6" s="1802"/>
      <c r="G6" s="1803"/>
      <c r="H6" s="1193" t="s">
        <v>206</v>
      </c>
      <c r="K6" s="1193"/>
      <c r="L6" s="1193"/>
    </row>
    <row r="7" spans="1:12" ht="26.1" customHeight="1">
      <c r="A7" s="1817" t="str">
        <f ca="1">IF(ROW()-ROW($A$7)&lt;'الف-ب-ج'!$L$9,INDIRECT("BudgetDB!HS"&amp;('الف-ب-ج'!$M$9+ROW()-ROW($A$7))),"")</f>
        <v>درآمد حاصل از ارائه خدمات به شرکت بیمه‌گر</v>
      </c>
      <c r="B7" s="2296"/>
      <c r="C7" s="2298"/>
      <c r="D7" s="2298"/>
      <c r="E7" s="1804" t="str">
        <f>IFERROR((D7-B7)*100/B7,"-")</f>
        <v>-</v>
      </c>
      <c r="F7" s="1805" t="str">
        <f>IFERROR(D7*100/C7,"-")</f>
        <v>-</v>
      </c>
      <c r="G7" s="2291">
        <f>IFERROR(ABS(F7-100),500)</f>
        <v>500</v>
      </c>
      <c r="H7" s="1501">
        <f>IFERROR(B7+C7+D7,0)</f>
        <v>0</v>
      </c>
      <c r="K7" s="1081" t="b">
        <f ca="1">AND(COUNTIF($A7,"*سایر*")=1,$B7/$B$22&gt;0.2)</f>
        <v>0</v>
      </c>
      <c r="L7" s="41" t="b">
        <f ca="1">AND(COUNTIF($A7,"*سایر*")=1,$D7/$D$22&gt;0.2)</f>
        <v>0</v>
      </c>
    </row>
    <row r="8" spans="1:12" ht="26.1" customHeight="1">
      <c r="A8" s="1817" t="str">
        <f ca="1">IF(ROW()-ROW($A$7)&lt;'الف-ب-ج'!$L$9,INDIRECT("BudgetDB!HS"&amp;('الف-ب-ج'!$M$9+ROW()-ROW($A$7))),"")</f>
        <v>درآمد اجاره انبار و فضای شرکت‌های غرب، تهران و بازرگان</v>
      </c>
      <c r="B8" s="2297"/>
      <c r="C8" s="2299"/>
      <c r="D8" s="2299"/>
      <c r="E8" s="1805" t="str">
        <f t="shared" ref="E8:E21" si="0">IFERROR((D8-B8)*100/B8,"-")</f>
        <v>-</v>
      </c>
      <c r="F8" s="1805" t="str">
        <f t="shared" ref="F8:F21" si="1">IFERROR(D8*100/C8,"-")</f>
        <v>-</v>
      </c>
      <c r="G8" s="2291">
        <f>IFERROR(ABS(F8-100),500)</f>
        <v>500</v>
      </c>
      <c r="H8" s="1501">
        <f t="shared" ref="H8:H21" si="2">IFERROR(B8+C8+D8,0)</f>
        <v>0</v>
      </c>
      <c r="K8" s="1081" t="b">
        <f t="shared" ref="K8:K21" ca="1" si="3">AND(COUNTIF($A8,"*سایر*")=1,$B8/$B$22&gt;0.2)</f>
        <v>0</v>
      </c>
      <c r="L8" s="41" t="b">
        <f t="shared" ref="L8:L21" ca="1" si="4">AND(COUNTIF($A8,"*سایر*")=1,$D8/$D$22&gt;0.2)</f>
        <v>0</v>
      </c>
    </row>
    <row r="9" spans="1:12" ht="26.1" customHeight="1">
      <c r="A9" s="1817" t="str">
        <f ca="1">IF(ROW()-ROW($A$7)&lt;'الف-ب-ج'!$L$9,INDIRECT("BudgetDB!HS"&amp;('الف-ب-ج'!$M$9+ROW()-ROW($A$7))),"")</f>
        <v>درآمد پارکینگ</v>
      </c>
      <c r="B9" s="2297">
        <v>229025</v>
      </c>
      <c r="C9" s="2299">
        <v>306163</v>
      </c>
      <c r="D9" s="2299">
        <v>519427</v>
      </c>
      <c r="E9" s="1805">
        <f t="shared" si="0"/>
        <v>126.79925772295601</v>
      </c>
      <c r="F9" s="1805">
        <f t="shared" si="1"/>
        <v>169.65701276770869</v>
      </c>
      <c r="G9" s="2291">
        <f>IFERROR(ABS(F9-100),500)</f>
        <v>69.657012767708693</v>
      </c>
      <c r="H9" s="1501">
        <f t="shared" si="2"/>
        <v>1054615</v>
      </c>
      <c r="K9" s="1081" t="b">
        <f t="shared" ca="1" si="3"/>
        <v>0</v>
      </c>
      <c r="L9" s="41" t="b">
        <f t="shared" ca="1" si="4"/>
        <v>0</v>
      </c>
    </row>
    <row r="10" spans="1:12" ht="26.1" customHeight="1">
      <c r="A10" s="1817" t="str">
        <f ca="1">IF(ROW()-ROW($A$7)&lt;'الف-ب-ج'!$L$9,INDIRECT("BudgetDB!HS"&amp;('الف-ب-ج'!$M$9+ROW()-ROW($A$7))),"")</f>
        <v>درآمد فروش املاک سهلان</v>
      </c>
      <c r="B10" s="2297"/>
      <c r="C10" s="2299"/>
      <c r="D10" s="2299"/>
      <c r="E10" s="1805" t="str">
        <f t="shared" si="0"/>
        <v>-</v>
      </c>
      <c r="F10" s="1805" t="str">
        <f t="shared" si="1"/>
        <v>-</v>
      </c>
      <c r="G10" s="2291">
        <f>IFERROR(ABS(F10-100),500)</f>
        <v>500</v>
      </c>
      <c r="H10" s="1501">
        <f t="shared" si="2"/>
        <v>0</v>
      </c>
      <c r="K10" s="1081" t="b">
        <f t="shared" ca="1" si="3"/>
        <v>0</v>
      </c>
      <c r="L10" s="41" t="b">
        <f t="shared" ca="1" si="4"/>
        <v>0</v>
      </c>
    </row>
    <row r="11" spans="1:12" ht="26.1" customHeight="1">
      <c r="A11" s="1817" t="str">
        <f ca="1">IF(ROW()-ROW($A$7)&lt;'الف-ب-ج'!$L$9,INDIRECT("BudgetDB!HS"&amp;('الف-ب-ج'!$M$9+ROW()-ROW($A$7))),"")</f>
        <v>درآمد حاصل از واگذاری قرارداد البرز</v>
      </c>
      <c r="B11" s="2297"/>
      <c r="C11" s="2299"/>
      <c r="D11" s="2299"/>
      <c r="E11" s="1805" t="str">
        <f t="shared" si="0"/>
        <v>-</v>
      </c>
      <c r="F11" s="1805" t="str">
        <f t="shared" si="1"/>
        <v>-</v>
      </c>
      <c r="G11" s="2291">
        <f>IFERROR(ABS(F11-100),500)</f>
        <v>500</v>
      </c>
      <c r="H11" s="1501">
        <f t="shared" si="2"/>
        <v>0</v>
      </c>
      <c r="K11" s="1081" t="b">
        <f t="shared" ca="1" si="3"/>
        <v>0</v>
      </c>
      <c r="L11" s="41" t="b">
        <f t="shared" ca="1" si="4"/>
        <v>0</v>
      </c>
    </row>
    <row r="12" spans="1:12" ht="26.1" customHeight="1">
      <c r="A12" s="1817" t="str">
        <f ca="1">IF(ROW()-ROW($A$7)&lt;'الف-ب-ج'!$L$9,INDIRECT("BudgetDB!HS"&amp;('الف-ب-ج'!$M$9+ROW()-ROW($A$7))),"")</f>
        <v>باسکول- فتوکپی- خدمات رایانه - فوق العاده - بازبینی و...</v>
      </c>
      <c r="B12" s="2297">
        <v>19112</v>
      </c>
      <c r="C12" s="2299">
        <v>22723</v>
      </c>
      <c r="D12" s="2299">
        <v>35163</v>
      </c>
      <c r="E12" s="1805">
        <f t="shared" si="0"/>
        <v>83.983884470489741</v>
      </c>
      <c r="F12" s="1805">
        <f t="shared" si="1"/>
        <v>154.74629230295295</v>
      </c>
      <c r="G12" s="2291">
        <f t="shared" ref="G12:G40" si="5">IFERROR(ABS(F12-100),500)</f>
        <v>54.746292302952952</v>
      </c>
      <c r="H12" s="1501">
        <f t="shared" si="2"/>
        <v>76998</v>
      </c>
      <c r="K12" s="1081" t="b">
        <f t="shared" ca="1" si="3"/>
        <v>0</v>
      </c>
      <c r="L12" s="41" t="b">
        <f t="shared" ca="1" si="4"/>
        <v>0</v>
      </c>
    </row>
    <row r="13" spans="1:12" ht="26.1" customHeight="1">
      <c r="A13" s="1817" t="str">
        <f ca="1">IF(ROW()-ROW($A$7)&lt;'الف-ب-ج'!$L$9,INDIRECT("BudgetDB!HS"&amp;('الف-ب-ج'!$M$9+ROW()-ROW($A$7))),"")</f>
        <v>درآمد حاصل از واگذاري انبارهاي بندر امام خميني (ره)</v>
      </c>
      <c r="B13" s="2297"/>
      <c r="C13" s="2299"/>
      <c r="D13" s="2299"/>
      <c r="E13" s="1805" t="str">
        <f t="shared" si="0"/>
        <v>-</v>
      </c>
      <c r="F13" s="1805" t="str">
        <f t="shared" si="1"/>
        <v>-</v>
      </c>
      <c r="G13" s="2291">
        <f t="shared" si="5"/>
        <v>500</v>
      </c>
      <c r="H13" s="1501">
        <f t="shared" si="2"/>
        <v>0</v>
      </c>
      <c r="K13" s="1081" t="b">
        <f t="shared" ca="1" si="3"/>
        <v>0</v>
      </c>
      <c r="L13" s="41" t="b">
        <f t="shared" ca="1" si="4"/>
        <v>0</v>
      </c>
    </row>
    <row r="14" spans="1:12" ht="26.1" customHeight="1">
      <c r="A14" s="1817" t="str">
        <f ca="1">IF(ROW()-ROW($A$7)&lt;'الف-ب-ج'!$L$9,INDIRECT("BudgetDB!HS"&amp;('الف-ب-ج'!$M$9+ROW()-ROW($A$7))),"")</f>
        <v>درآمد ثبت كنترل آماري و نمونه‌برداري</v>
      </c>
      <c r="B14" s="2297">
        <v>140</v>
      </c>
      <c r="C14" s="2299">
        <v>288</v>
      </c>
      <c r="D14" s="2299">
        <v>453</v>
      </c>
      <c r="E14" s="1805">
        <f t="shared" si="0"/>
        <v>223.57142857142858</v>
      </c>
      <c r="F14" s="1805">
        <f t="shared" si="1"/>
        <v>157.29166666666666</v>
      </c>
      <c r="G14" s="2291">
        <f t="shared" si="5"/>
        <v>57.291666666666657</v>
      </c>
      <c r="H14" s="1501">
        <f t="shared" si="2"/>
        <v>881</v>
      </c>
      <c r="K14" s="1081" t="b">
        <f t="shared" ca="1" si="3"/>
        <v>0</v>
      </c>
      <c r="L14" s="41" t="b">
        <f t="shared" ca="1" si="4"/>
        <v>0</v>
      </c>
    </row>
    <row r="15" spans="1:12" ht="26.1" customHeight="1">
      <c r="A15" s="1817" t="str">
        <f ca="1">IF(ROW()-ROW($A$7)&lt;'الف-ب-ج'!$L$9,INDIRECT("BudgetDB!HS"&amp;('الف-ب-ج'!$M$9+ROW()-ROW($A$7))),"")</f>
        <v>درآمد نوبت دهي</v>
      </c>
      <c r="B15" s="2297">
        <v>57998</v>
      </c>
      <c r="C15" s="2299">
        <v>70879</v>
      </c>
      <c r="D15" s="2299">
        <v>68143</v>
      </c>
      <c r="E15" s="1805">
        <f t="shared" si="0"/>
        <v>17.491982482154558</v>
      </c>
      <c r="F15" s="1805">
        <f t="shared" si="1"/>
        <v>96.139900393628579</v>
      </c>
      <c r="G15" s="2291">
        <f t="shared" si="5"/>
        <v>3.8600996063714206</v>
      </c>
      <c r="H15" s="1501">
        <f t="shared" si="2"/>
        <v>197020</v>
      </c>
      <c r="K15" s="1081" t="b">
        <f t="shared" ca="1" si="3"/>
        <v>0</v>
      </c>
      <c r="L15" s="41" t="b">
        <f t="shared" ca="1" si="4"/>
        <v>0</v>
      </c>
    </row>
    <row r="16" spans="1:12" ht="26.1" customHeight="1">
      <c r="A16" s="1817" t="str">
        <f ca="1">IF(ROW()-ROW($A$7)&lt;'الف-ب-ج'!$L$9,INDIRECT("BudgetDB!HS"&amp;('الف-ب-ج'!$M$9+ROW()-ROW($A$7))),"")</f>
        <v>حق نظارت و محوطه</v>
      </c>
      <c r="B16" s="2297">
        <v>71014</v>
      </c>
      <c r="C16" s="2299">
        <v>85514</v>
      </c>
      <c r="D16" s="2299">
        <v>18536</v>
      </c>
      <c r="E16" s="1805">
        <f t="shared" si="0"/>
        <v>-73.898104599093131</v>
      </c>
      <c r="F16" s="1805">
        <f t="shared" si="1"/>
        <v>21.675982879996258</v>
      </c>
      <c r="G16" s="2291">
        <f t="shared" si="5"/>
        <v>78.324017120003745</v>
      </c>
      <c r="H16" s="1501">
        <f t="shared" si="2"/>
        <v>175064</v>
      </c>
      <c r="K16" s="1081" t="b">
        <f t="shared" ca="1" si="3"/>
        <v>0</v>
      </c>
      <c r="L16" s="41" t="b">
        <f t="shared" ca="1" si="4"/>
        <v>0</v>
      </c>
    </row>
    <row r="17" spans="1:12" ht="26.1" customHeight="1">
      <c r="A17" s="1817" t="str">
        <f ca="1">IF(ROW()-ROW($A$7)&lt;'الف-ب-ج'!$L$9,INDIRECT("BudgetDB!HS"&amp;('الف-ب-ج'!$M$9+ROW()-ROW($A$7))),"")</f>
        <v>سایر (چادر کشی و فک پلمپ و...)</v>
      </c>
      <c r="B17" s="2297">
        <v>237825</v>
      </c>
      <c r="C17" s="2297">
        <v>273643</v>
      </c>
      <c r="D17" s="2297">
        <v>239956</v>
      </c>
      <c r="E17" s="1805">
        <f t="shared" si="0"/>
        <v>0.89603700199726688</v>
      </c>
      <c r="F17" s="1805">
        <f t="shared" si="1"/>
        <v>87.689434774505472</v>
      </c>
      <c r="G17" s="2291">
        <f t="shared" si="5"/>
        <v>12.310565225494528</v>
      </c>
      <c r="H17" s="1501">
        <f t="shared" si="2"/>
        <v>751424</v>
      </c>
      <c r="K17" s="1081" t="b">
        <f t="shared" ca="1" si="3"/>
        <v>1</v>
      </c>
      <c r="L17" s="41" t="b">
        <f t="shared" ca="1" si="4"/>
        <v>1</v>
      </c>
    </row>
    <row r="18" spans="1:12" ht="26.1" customHeight="1">
      <c r="A18" s="1817" t="str">
        <f ca="1">IF(ROW()-ROW($A$7)&lt;'الف-ب-ج'!$L$9,INDIRECT("BudgetDB!HS"&amp;('الف-ب-ج'!$M$9+ROW()-ROW($A$7))),"")</f>
        <v>سهم گروه از سود شرکت‌های وابسته</v>
      </c>
      <c r="B18" s="2297"/>
      <c r="C18" s="2299"/>
      <c r="D18" s="2299"/>
      <c r="E18" s="1805" t="str">
        <f t="shared" si="0"/>
        <v>-</v>
      </c>
      <c r="F18" s="1805" t="str">
        <f t="shared" si="1"/>
        <v>-</v>
      </c>
      <c r="G18" s="2291">
        <f t="shared" si="5"/>
        <v>500</v>
      </c>
      <c r="H18" s="1501">
        <f t="shared" si="2"/>
        <v>0</v>
      </c>
      <c r="K18" s="1081" t="b">
        <f t="shared" ca="1" si="3"/>
        <v>0</v>
      </c>
      <c r="L18" s="41" t="b">
        <f t="shared" ca="1" si="4"/>
        <v>0</v>
      </c>
    </row>
    <row r="19" spans="1:12" ht="26.1" customHeight="1">
      <c r="A19" s="585" t="s">
        <v>482</v>
      </c>
      <c r="B19" s="2319">
        <v>77126</v>
      </c>
      <c r="C19" s="2323">
        <v>162793</v>
      </c>
      <c r="D19" s="692">
        <v>160781</v>
      </c>
      <c r="E19" s="1805">
        <f t="shared" si="0"/>
        <v>108.46536835827088</v>
      </c>
      <c r="F19" s="1805">
        <f t="shared" si="1"/>
        <v>98.764074622373201</v>
      </c>
      <c r="G19" s="2291">
        <f t="shared" si="5"/>
        <v>1.2359253776267991</v>
      </c>
      <c r="H19" s="1501">
        <f t="shared" si="2"/>
        <v>400700</v>
      </c>
      <c r="K19" s="1081" t="b">
        <f t="shared" si="3"/>
        <v>0</v>
      </c>
      <c r="L19" s="41" t="b">
        <f t="shared" si="4"/>
        <v>0</v>
      </c>
    </row>
    <row r="20" spans="1:12" ht="26.1" customHeight="1">
      <c r="A20" s="583">
        <f ca="1">IF(ROW()-ROW($A$7)&lt;'الف-ب-ج'!$L$9,INDIRECT("BudgetDB!HS"&amp;('الف-ب-ج'!$M$9+ROW()-ROW($A$7))),"")</f>
        <v>0</v>
      </c>
      <c r="B20" s="2320"/>
      <c r="C20" s="2324"/>
      <c r="D20" s="273"/>
      <c r="E20" s="1806" t="str">
        <f t="shared" si="0"/>
        <v>-</v>
      </c>
      <c r="F20" s="1806" t="str">
        <f t="shared" si="1"/>
        <v>-</v>
      </c>
      <c r="G20" s="2292">
        <f t="shared" si="5"/>
        <v>500</v>
      </c>
      <c r="H20" s="1501">
        <f t="shared" si="2"/>
        <v>0</v>
      </c>
      <c r="K20" s="1081" t="b">
        <f t="shared" ca="1" si="3"/>
        <v>0</v>
      </c>
      <c r="L20" s="41" t="b">
        <f t="shared" ca="1" si="4"/>
        <v>0</v>
      </c>
    </row>
    <row r="21" spans="1:12" ht="26.1" customHeight="1">
      <c r="A21" s="583">
        <f ca="1">IF(ROW()-ROW($A$7)&lt;'الف-ب-ج'!$L$9,INDIRECT("BudgetDB!HS"&amp;('الف-ب-ج'!$M$9+ROW()-ROW($A$7))),"")</f>
        <v>0</v>
      </c>
      <c r="B21" s="2320"/>
      <c r="C21" s="2324"/>
      <c r="D21" s="273"/>
      <c r="E21" s="1806" t="str">
        <f t="shared" si="0"/>
        <v>-</v>
      </c>
      <c r="F21" s="1806" t="str">
        <f t="shared" si="1"/>
        <v>-</v>
      </c>
      <c r="G21" s="2292">
        <f t="shared" si="5"/>
        <v>500</v>
      </c>
      <c r="H21" s="1501">
        <f t="shared" si="2"/>
        <v>0</v>
      </c>
      <c r="K21" s="1081" t="b">
        <f t="shared" ca="1" si="3"/>
        <v>0</v>
      </c>
      <c r="L21" s="41" t="b">
        <f t="shared" ca="1" si="4"/>
        <v>0</v>
      </c>
    </row>
    <row r="22" spans="1:12" ht="26.1" customHeight="1" thickBot="1">
      <c r="A22" s="1827" t="s">
        <v>195</v>
      </c>
      <c r="B22" s="1807">
        <f>SUM(B7:B21)</f>
        <v>692240</v>
      </c>
      <c r="C22" s="1808">
        <f>SUM(C7:C21)</f>
        <v>922003</v>
      </c>
      <c r="D22" s="1809">
        <f>SUM(D7:D21)</f>
        <v>1042459</v>
      </c>
      <c r="E22" s="1810">
        <f>IFERROR((D22-B22)*100/B22,"-")</f>
        <v>50.592135675488272</v>
      </c>
      <c r="F22" s="1810">
        <f>IFERROR(D22*100/C22,"-")</f>
        <v>113.06459957288642</v>
      </c>
      <c r="G22" s="2293">
        <f t="shared" si="5"/>
        <v>13.064599572886422</v>
      </c>
      <c r="H22" s="1193" t="s">
        <v>206</v>
      </c>
      <c r="J22" s="86"/>
      <c r="K22" s="1191"/>
      <c r="L22" s="1191"/>
    </row>
    <row r="23" spans="1:12" ht="26.1" customHeight="1">
      <c r="A23" s="1801" t="s">
        <v>1496</v>
      </c>
      <c r="B23" s="1811"/>
      <c r="C23" s="1811"/>
      <c r="D23" s="1811"/>
      <c r="E23" s="1811"/>
      <c r="F23" s="1811"/>
      <c r="G23" s="1812"/>
      <c r="H23" s="1193" t="s">
        <v>206</v>
      </c>
      <c r="J23" s="86"/>
      <c r="K23" s="1191"/>
      <c r="L23" s="1191"/>
    </row>
    <row r="24" spans="1:12" ht="26.1" customHeight="1">
      <c r="A24" s="2050" t="str">
        <f ca="1">IF(ROW()-ROW($A$24)&lt;'الف-ب-ج'!$L$9,INDIRECT("BudgetDB!HV"&amp;('الف-ب-ج'!$M$9+ROW()-ROW($A$24))),"")</f>
        <v>بهای تمام شده ساخت املاک سهلان</v>
      </c>
      <c r="B24" s="2321"/>
      <c r="C24" s="2325"/>
      <c r="D24" s="272"/>
      <c r="E24" s="1805" t="str">
        <f>IFERROR((D24-B24)*100/B24,"-")</f>
        <v>-</v>
      </c>
      <c r="F24" s="1805" t="str">
        <f>IFERROR(D24*100/C24,"-")</f>
        <v>-</v>
      </c>
      <c r="G24" s="2291">
        <f t="shared" si="5"/>
        <v>500</v>
      </c>
      <c r="H24" s="1501">
        <f t="shared" ref="H24:H38" si="6">IFERROR(B24+C24+D24,0)</f>
        <v>0</v>
      </c>
      <c r="J24" s="86"/>
      <c r="K24" s="1081" t="e">
        <f ca="1">AND(COUNTIF($A24,"*سایر*")=1,$B24/$B$39&gt;0.2)</f>
        <v>#DIV/0!</v>
      </c>
      <c r="L24" s="41" t="e">
        <f ca="1">AND(COUNTIF($A24,"*سایر*")=1,$D24/$D$39&gt;0.2)</f>
        <v>#DIV/0!</v>
      </c>
    </row>
    <row r="25" spans="1:12" ht="26.1" customHeight="1">
      <c r="A25" s="2050" t="str">
        <f ca="1">IF(ROW()-ROW($A$24)&lt;'الف-ب-ج'!$L$9,INDIRECT("BudgetDB!HV"&amp;('الف-ب-ج'!$M$9+ROW()-ROW($A$24))),"")</f>
        <v>حقوق و دستمزد کارکنان پارکینگ</v>
      </c>
      <c r="B25" s="2322"/>
      <c r="C25" s="2323"/>
      <c r="D25" s="692"/>
      <c r="E25" s="1805" t="str">
        <f t="shared" ref="E25:E38" si="7">IFERROR((D25-B25)*100/B25,"-")</f>
        <v>-</v>
      </c>
      <c r="F25" s="1805" t="str">
        <f t="shared" ref="F25:F38" si="8">IFERROR(D25*100/C25,"-")</f>
        <v>-</v>
      </c>
      <c r="G25" s="2291">
        <f t="shared" si="5"/>
        <v>500</v>
      </c>
      <c r="H25" s="1501">
        <f t="shared" si="6"/>
        <v>0</v>
      </c>
      <c r="J25" s="86"/>
      <c r="K25" s="1081" t="e">
        <f t="shared" ref="K25:K39" ca="1" si="9">AND(COUNTIF($A25,"*سایر*")=1,$B25/$B$39&gt;0.2)</f>
        <v>#DIV/0!</v>
      </c>
      <c r="L25" s="41" t="e">
        <f t="shared" ref="L25:L39" ca="1" si="10">AND(COUNTIF($A25,"*سایر*")=1,$D25/$D$39&gt;0.2)</f>
        <v>#DIV/0!</v>
      </c>
    </row>
    <row r="26" spans="1:12" ht="26.1" customHeight="1">
      <c r="A26" s="2050">
        <f ca="1">IF(ROW()-ROW($A$24)&lt;'الف-ب-ج'!$L$9,INDIRECT("BudgetDB!HV"&amp;('الف-ب-ج'!$M$9+ROW()-ROW($A$24))),"")</f>
        <v>0</v>
      </c>
      <c r="B26" s="1818"/>
      <c r="C26" s="692"/>
      <c r="D26" s="692"/>
      <c r="E26" s="1805" t="str">
        <f t="shared" si="7"/>
        <v>-</v>
      </c>
      <c r="F26" s="1805" t="str">
        <f t="shared" si="8"/>
        <v>-</v>
      </c>
      <c r="G26" s="2291">
        <f t="shared" si="5"/>
        <v>500</v>
      </c>
      <c r="H26" s="1501">
        <f t="shared" si="6"/>
        <v>0</v>
      </c>
      <c r="J26" s="86"/>
      <c r="K26" s="1081" t="e">
        <f t="shared" ca="1" si="9"/>
        <v>#DIV/0!</v>
      </c>
      <c r="L26" s="41" t="e">
        <f t="shared" ca="1" si="10"/>
        <v>#DIV/0!</v>
      </c>
    </row>
    <row r="27" spans="1:12" ht="26.1" customHeight="1">
      <c r="A27" s="2050">
        <f ca="1">IF(ROW()-ROW($A$24)&lt;'الف-ب-ج'!$L$9,INDIRECT("BudgetDB!HV"&amp;('الف-ب-ج'!$M$9+ROW()-ROW($A$24))),"")</f>
        <v>0</v>
      </c>
      <c r="B27" s="1818"/>
      <c r="C27" s="692"/>
      <c r="D27" s="692"/>
      <c r="E27" s="1805" t="str">
        <f t="shared" si="7"/>
        <v>-</v>
      </c>
      <c r="F27" s="1805" t="str">
        <f t="shared" si="8"/>
        <v>-</v>
      </c>
      <c r="G27" s="2291">
        <f t="shared" si="5"/>
        <v>500</v>
      </c>
      <c r="H27" s="1501">
        <f t="shared" si="6"/>
        <v>0</v>
      </c>
      <c r="J27" s="86"/>
      <c r="K27" s="1081" t="e">
        <f t="shared" ca="1" si="9"/>
        <v>#DIV/0!</v>
      </c>
      <c r="L27" s="41" t="e">
        <f t="shared" ca="1" si="10"/>
        <v>#DIV/0!</v>
      </c>
    </row>
    <row r="28" spans="1:12" ht="26.1" customHeight="1">
      <c r="A28" s="2050">
        <f ca="1">IF(ROW()-ROW($A$24)&lt;'الف-ب-ج'!$L$9,INDIRECT("BudgetDB!HV"&amp;('الف-ب-ج'!$M$9+ROW()-ROW($A$24))),"")</f>
        <v>0</v>
      </c>
      <c r="B28" s="1818"/>
      <c r="C28" s="692"/>
      <c r="D28" s="692"/>
      <c r="E28" s="1805" t="str">
        <f t="shared" si="7"/>
        <v>-</v>
      </c>
      <c r="F28" s="1805" t="str">
        <f t="shared" si="8"/>
        <v>-</v>
      </c>
      <c r="G28" s="2291">
        <f t="shared" si="5"/>
        <v>500</v>
      </c>
      <c r="H28" s="1501">
        <f t="shared" si="6"/>
        <v>0</v>
      </c>
      <c r="J28" s="86"/>
      <c r="K28" s="1081" t="e">
        <f t="shared" ca="1" si="9"/>
        <v>#DIV/0!</v>
      </c>
      <c r="L28" s="41" t="e">
        <f t="shared" ca="1" si="10"/>
        <v>#DIV/0!</v>
      </c>
    </row>
    <row r="29" spans="1:12" ht="26.1" customHeight="1">
      <c r="A29" s="2050">
        <f ca="1">IF(ROW()-ROW($A$24)&lt;'الف-ب-ج'!$L$9,INDIRECT("BudgetDB!HV"&amp;('الف-ب-ج'!$M$9+ROW()-ROW($A$24))),"")</f>
        <v>0</v>
      </c>
      <c r="B29" s="1818"/>
      <c r="C29" s="692"/>
      <c r="D29" s="692"/>
      <c r="E29" s="1805" t="str">
        <f t="shared" si="7"/>
        <v>-</v>
      </c>
      <c r="F29" s="1805" t="str">
        <f t="shared" si="8"/>
        <v>-</v>
      </c>
      <c r="G29" s="2291">
        <f t="shared" si="5"/>
        <v>500</v>
      </c>
      <c r="H29" s="1501">
        <f t="shared" si="6"/>
        <v>0</v>
      </c>
      <c r="J29" s="86"/>
      <c r="K29" s="1081" t="e">
        <f t="shared" ca="1" si="9"/>
        <v>#DIV/0!</v>
      </c>
      <c r="L29" s="41" t="e">
        <f t="shared" ca="1" si="10"/>
        <v>#DIV/0!</v>
      </c>
    </row>
    <row r="30" spans="1:12" ht="26.1" customHeight="1">
      <c r="A30" s="2050">
        <f ca="1">IF(ROW()-ROW($A$24)&lt;'الف-ب-ج'!$L$9,INDIRECT("BudgetDB!HV"&amp;('الف-ب-ج'!$M$9+ROW()-ROW($A$24))),"")</f>
        <v>0</v>
      </c>
      <c r="B30" s="1818"/>
      <c r="C30" s="692"/>
      <c r="D30" s="692"/>
      <c r="E30" s="1805" t="str">
        <f t="shared" si="7"/>
        <v>-</v>
      </c>
      <c r="F30" s="1805" t="str">
        <f t="shared" si="8"/>
        <v>-</v>
      </c>
      <c r="G30" s="2291">
        <f t="shared" si="5"/>
        <v>500</v>
      </c>
      <c r="H30" s="1501">
        <f t="shared" si="6"/>
        <v>0</v>
      </c>
      <c r="J30" s="86"/>
      <c r="K30" s="1081" t="e">
        <f t="shared" ca="1" si="9"/>
        <v>#DIV/0!</v>
      </c>
      <c r="L30" s="41" t="e">
        <f t="shared" ca="1" si="10"/>
        <v>#DIV/0!</v>
      </c>
    </row>
    <row r="31" spans="1:12" ht="26.1" customHeight="1">
      <c r="A31" s="2050">
        <f ca="1">IF(ROW()-ROW($A$24)&lt;'الف-ب-ج'!$L$9,INDIRECT("BudgetDB!HV"&amp;('الف-ب-ج'!$M$9+ROW()-ROW($A$24))),"")</f>
        <v>0</v>
      </c>
      <c r="B31" s="1818"/>
      <c r="C31" s="692"/>
      <c r="D31" s="692"/>
      <c r="E31" s="1805" t="str">
        <f t="shared" si="7"/>
        <v>-</v>
      </c>
      <c r="F31" s="1805" t="str">
        <f t="shared" si="8"/>
        <v>-</v>
      </c>
      <c r="G31" s="2291">
        <f t="shared" si="5"/>
        <v>500</v>
      </c>
      <c r="H31" s="1501">
        <f t="shared" si="6"/>
        <v>0</v>
      </c>
      <c r="J31" s="86"/>
      <c r="K31" s="1081" t="e">
        <f t="shared" ca="1" si="9"/>
        <v>#DIV/0!</v>
      </c>
      <c r="L31" s="41" t="e">
        <f t="shared" ca="1" si="10"/>
        <v>#DIV/0!</v>
      </c>
    </row>
    <row r="32" spans="1:12" ht="26.1" customHeight="1">
      <c r="A32" s="2050">
        <f ca="1">IF(ROW()-ROW($A$24)&lt;'الف-ب-ج'!$L$9,INDIRECT("BudgetDB!HV"&amp;('الف-ب-ج'!$M$9+ROW()-ROW($A$24))),"")</f>
        <v>0</v>
      </c>
      <c r="B32" s="1818"/>
      <c r="C32" s="692"/>
      <c r="D32" s="692"/>
      <c r="E32" s="1805" t="str">
        <f t="shared" si="7"/>
        <v>-</v>
      </c>
      <c r="F32" s="1805" t="str">
        <f t="shared" si="8"/>
        <v>-</v>
      </c>
      <c r="G32" s="2291">
        <f t="shared" si="5"/>
        <v>500</v>
      </c>
      <c r="H32" s="1501">
        <f t="shared" si="6"/>
        <v>0</v>
      </c>
      <c r="J32" s="86"/>
      <c r="K32" s="1081" t="e">
        <f t="shared" ca="1" si="9"/>
        <v>#DIV/0!</v>
      </c>
      <c r="L32" s="41" t="e">
        <f t="shared" ca="1" si="10"/>
        <v>#DIV/0!</v>
      </c>
    </row>
    <row r="33" spans="1:12" ht="26.1" customHeight="1">
      <c r="A33" s="2050">
        <f ca="1">IF(ROW()-ROW($A$24)&lt;'الف-ب-ج'!$L$9,INDIRECT("BudgetDB!HV"&amp;('الف-ب-ج'!$M$9+ROW()-ROW($A$24))),"")</f>
        <v>0</v>
      </c>
      <c r="B33" s="1818"/>
      <c r="C33" s="692"/>
      <c r="D33" s="692"/>
      <c r="E33" s="1805" t="str">
        <f t="shared" si="7"/>
        <v>-</v>
      </c>
      <c r="F33" s="1805" t="str">
        <f t="shared" si="8"/>
        <v>-</v>
      </c>
      <c r="G33" s="2291">
        <f t="shared" si="5"/>
        <v>500</v>
      </c>
      <c r="H33" s="1501">
        <f t="shared" si="6"/>
        <v>0</v>
      </c>
      <c r="J33" s="86"/>
      <c r="K33" s="1081" t="e">
        <f t="shared" ca="1" si="9"/>
        <v>#DIV/0!</v>
      </c>
      <c r="L33" s="41" t="e">
        <f t="shared" ca="1" si="10"/>
        <v>#DIV/0!</v>
      </c>
    </row>
    <row r="34" spans="1:12" ht="26.1" customHeight="1">
      <c r="A34" s="2050">
        <f ca="1">IF(ROW()-ROW($A$24)&lt;'الف-ب-ج'!$L$9,INDIRECT("BudgetDB!HV"&amp;('الف-ب-ج'!$M$9+ROW()-ROW($A$24))),"")</f>
        <v>0</v>
      </c>
      <c r="B34" s="1818"/>
      <c r="C34" s="692"/>
      <c r="D34" s="692"/>
      <c r="E34" s="1805" t="str">
        <f t="shared" si="7"/>
        <v>-</v>
      </c>
      <c r="F34" s="1805" t="str">
        <f t="shared" si="8"/>
        <v>-</v>
      </c>
      <c r="G34" s="2291">
        <f t="shared" si="5"/>
        <v>500</v>
      </c>
      <c r="H34" s="1501">
        <f t="shared" si="6"/>
        <v>0</v>
      </c>
      <c r="J34" s="86"/>
      <c r="K34" s="1081" t="e">
        <f t="shared" ca="1" si="9"/>
        <v>#DIV/0!</v>
      </c>
      <c r="L34" s="41" t="e">
        <f t="shared" ca="1" si="10"/>
        <v>#DIV/0!</v>
      </c>
    </row>
    <row r="35" spans="1:12" ht="26.1" customHeight="1">
      <c r="A35" s="2050">
        <f ca="1">IF(ROW()-ROW($A$24)&lt;'الف-ب-ج'!$L$9,INDIRECT("BudgetDB!HV"&amp;('الف-ب-ج'!$M$9+ROW()-ROW($A$24))),"")</f>
        <v>0</v>
      </c>
      <c r="B35" s="1818"/>
      <c r="C35" s="692"/>
      <c r="D35" s="692"/>
      <c r="E35" s="1805" t="str">
        <f t="shared" si="7"/>
        <v>-</v>
      </c>
      <c r="F35" s="1805" t="str">
        <f t="shared" si="8"/>
        <v>-</v>
      </c>
      <c r="G35" s="2291">
        <f t="shared" si="5"/>
        <v>500</v>
      </c>
      <c r="H35" s="1501">
        <f t="shared" si="6"/>
        <v>0</v>
      </c>
      <c r="J35" s="86"/>
      <c r="K35" s="1081" t="e">
        <f t="shared" ca="1" si="9"/>
        <v>#DIV/0!</v>
      </c>
      <c r="L35" s="41" t="e">
        <f t="shared" ca="1" si="10"/>
        <v>#DIV/0!</v>
      </c>
    </row>
    <row r="36" spans="1:12" ht="26.1" customHeight="1">
      <c r="A36" s="2050">
        <f ca="1">IF(ROW()-ROW($A$24)&lt;'الف-ب-ج'!$L$9,INDIRECT("BudgetDB!HV"&amp;('الف-ب-ج'!$M$9+ROW()-ROW($A$24))),"")</f>
        <v>0</v>
      </c>
      <c r="B36" s="1818"/>
      <c r="C36" s="692"/>
      <c r="D36" s="692"/>
      <c r="E36" s="1805" t="str">
        <f t="shared" si="7"/>
        <v>-</v>
      </c>
      <c r="F36" s="1805" t="str">
        <f t="shared" si="8"/>
        <v>-</v>
      </c>
      <c r="G36" s="2291">
        <f t="shared" si="5"/>
        <v>500</v>
      </c>
      <c r="H36" s="1501">
        <f t="shared" si="6"/>
        <v>0</v>
      </c>
      <c r="J36" s="86"/>
      <c r="K36" s="1081" t="e">
        <f t="shared" ca="1" si="9"/>
        <v>#DIV/0!</v>
      </c>
      <c r="L36" s="41" t="e">
        <f t="shared" ca="1" si="10"/>
        <v>#DIV/0!</v>
      </c>
    </row>
    <row r="37" spans="1:12" ht="26.1" customHeight="1">
      <c r="A37" s="2050">
        <f ca="1">IF(ROW()-ROW($A$24)&lt;'الف-ب-ج'!$L$9,INDIRECT("BudgetDB!HV"&amp;('الف-ب-ج'!$M$9+ROW()-ROW($A$24))),"")</f>
        <v>0</v>
      </c>
      <c r="B37" s="1159"/>
      <c r="C37" s="273"/>
      <c r="D37" s="273"/>
      <c r="E37" s="1806" t="str">
        <f t="shared" si="7"/>
        <v>-</v>
      </c>
      <c r="F37" s="1806" t="str">
        <f t="shared" si="8"/>
        <v>-</v>
      </c>
      <c r="G37" s="2292">
        <f t="shared" si="5"/>
        <v>500</v>
      </c>
      <c r="H37" s="1501">
        <f t="shared" si="6"/>
        <v>0</v>
      </c>
      <c r="J37" s="86"/>
      <c r="K37" s="1081" t="e">
        <f t="shared" ca="1" si="9"/>
        <v>#DIV/0!</v>
      </c>
      <c r="L37" s="41" t="e">
        <f t="shared" ca="1" si="10"/>
        <v>#DIV/0!</v>
      </c>
    </row>
    <row r="38" spans="1:12" ht="26.1" customHeight="1">
      <c r="A38" s="2050">
        <f ca="1">IF(ROW()-ROW($A$24)&lt;'الف-ب-ج'!$L$9,INDIRECT("BudgetDB!HV"&amp;('الف-ب-ج'!$M$9+ROW()-ROW($A$24))),"")</f>
        <v>0</v>
      </c>
      <c r="B38" s="1159"/>
      <c r="C38" s="273"/>
      <c r="D38" s="273"/>
      <c r="E38" s="1806" t="str">
        <f t="shared" si="7"/>
        <v>-</v>
      </c>
      <c r="F38" s="1806" t="str">
        <f t="shared" si="8"/>
        <v>-</v>
      </c>
      <c r="G38" s="2292">
        <f t="shared" si="5"/>
        <v>500</v>
      </c>
      <c r="H38" s="1501">
        <f t="shared" si="6"/>
        <v>0</v>
      </c>
      <c r="J38" s="86"/>
      <c r="K38" s="1081" t="e">
        <f t="shared" ca="1" si="9"/>
        <v>#DIV/0!</v>
      </c>
      <c r="L38" s="41" t="e">
        <f t="shared" ca="1" si="10"/>
        <v>#DIV/0!</v>
      </c>
    </row>
    <row r="39" spans="1:12" ht="26.1" customHeight="1" thickBot="1">
      <c r="A39" s="1821" t="s">
        <v>1497</v>
      </c>
      <c r="B39" s="1807">
        <f>SUM(B24:B38)</f>
        <v>0</v>
      </c>
      <c r="C39" s="1813">
        <f>SUM(C24:C38)</f>
        <v>0</v>
      </c>
      <c r="D39" s="1809">
        <f>SUM(D24:D38)</f>
        <v>0</v>
      </c>
      <c r="E39" s="1810" t="str">
        <f>IFERROR((D39-B39)*100/B39,"-")</f>
        <v>-</v>
      </c>
      <c r="F39" s="1810" t="str">
        <f>IFERROR(D39*100/C39,"-")</f>
        <v>-</v>
      </c>
      <c r="G39" s="2293">
        <f t="shared" si="5"/>
        <v>500</v>
      </c>
      <c r="H39" s="1193" t="s">
        <v>206</v>
      </c>
      <c r="J39" s="86"/>
      <c r="K39" s="1081" t="e">
        <f t="shared" si="9"/>
        <v>#DIV/0!</v>
      </c>
      <c r="L39" s="41" t="e">
        <f t="shared" si="10"/>
        <v>#DIV/0!</v>
      </c>
    </row>
    <row r="40" spans="1:12" ht="26.1" customHeight="1" thickBot="1">
      <c r="A40" s="1822" t="s">
        <v>1500</v>
      </c>
      <c r="B40" s="1823">
        <f>B22-B39</f>
        <v>692240</v>
      </c>
      <c r="C40" s="1824">
        <f>C22-C39</f>
        <v>922003</v>
      </c>
      <c r="D40" s="1825">
        <f>D22-D39</f>
        <v>1042459</v>
      </c>
      <c r="E40" s="1826">
        <f>IFERROR((D40-B40)*100/B40,"-")</f>
        <v>50.592135675488272</v>
      </c>
      <c r="F40" s="1826">
        <f>IFERROR(D40*100/C40,"-")</f>
        <v>113.06459957288642</v>
      </c>
      <c r="G40" s="2294">
        <f t="shared" si="5"/>
        <v>13.064599572886422</v>
      </c>
      <c r="H40" s="1193" t="s">
        <v>206</v>
      </c>
      <c r="J40" s="86"/>
      <c r="K40" s="1191"/>
      <c r="L40" s="1191"/>
    </row>
    <row r="41" spans="1:12">
      <c r="A41" s="24"/>
      <c r="B41" s="24"/>
      <c r="C41" s="24"/>
      <c r="D41" s="24"/>
      <c r="E41" s="24"/>
      <c r="F41" s="24"/>
      <c r="H41" s="1" t="s">
        <v>206</v>
      </c>
    </row>
    <row r="42" spans="1:12">
      <c r="A42" s="8"/>
      <c r="B42" s="8"/>
      <c r="C42" s="8"/>
      <c r="D42" s="8"/>
      <c r="E42" s="8"/>
      <c r="H42" s="1" t="s">
        <v>206</v>
      </c>
    </row>
    <row r="43" spans="1:12">
      <c r="A43" s="44"/>
    </row>
  </sheetData>
  <sheetProtection algorithmName="SHA-512" hashValue="ls0T/HeIMXAPjP4rJOnKRVSUpRFVIXIRA5zhvuJto9wK4UbJtzSSgX4ZRzuzQrDQvyF7gZ+MyiozxUl4o6nDog==" saltValue="Wfpd+rdepIsm47qsJK/CjQ==" spinCount="100000" sheet="1" objects="1" scenarios="1"/>
  <mergeCells count="4">
    <mergeCell ref="A4:A5"/>
    <mergeCell ref="B4:B5"/>
    <mergeCell ref="A1:G1"/>
    <mergeCell ref="F5:G5"/>
  </mergeCells>
  <conditionalFormatting sqref="G7:G22 G24:G40">
    <cfRule type="iconSet" priority="8">
      <iconSet iconSet="3Symbols" showValue="0" reverse="1">
        <cfvo type="percent" val="0"/>
        <cfvo type="num" val="10" gte="0"/>
        <cfvo type="num" val="40"/>
      </iconSet>
    </cfRule>
  </conditionalFormatting>
  <conditionalFormatting sqref="D7:D16 D18:D40">
    <cfRule type="expression" dxfId="372" priority="6">
      <formula>$L7=TRUE</formula>
    </cfRule>
  </conditionalFormatting>
  <conditionalFormatting sqref="B7:B16 B18:B40">
    <cfRule type="expression" dxfId="371" priority="5">
      <formula>$K7=TRUE</formula>
    </cfRule>
  </conditionalFormatting>
  <conditionalFormatting sqref="A7:A38">
    <cfRule type="expression" dxfId="370" priority="4">
      <formula>AND($A7=0,OR($B7&lt;&gt;0,$D7&lt;&gt;0))</formula>
    </cfRule>
  </conditionalFormatting>
  <conditionalFormatting sqref="C7:C16 C18:C21">
    <cfRule type="expression" dxfId="369" priority="3">
      <formula>$L7=TRUE</formula>
    </cfRule>
  </conditionalFormatting>
  <conditionalFormatting sqref="C24:C38">
    <cfRule type="expression" dxfId="368" priority="2">
      <formula>$L24=TRUE</formula>
    </cfRule>
  </conditionalFormatting>
  <conditionalFormatting sqref="B17:D17">
    <cfRule type="expression" dxfId="367" priority="1">
      <formula>$K17=TRUE</formula>
    </cfRule>
  </conditionalFormatting>
  <printOptions horizontalCentered="1"/>
  <pageMargins left="0.59055118110236227" right="0.59055118110236227" top="0.19685039370078741" bottom="0.78740157480314965" header="0.19685039370078741" footer="0.19685039370078741"/>
  <pageSetup paperSize="9" scale="6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7" id="{C32E1D8B-99EC-439E-86F3-EEF2172B5F91}">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2">
    <tabColor rgb="FF32CD32"/>
    <pageSetUpPr fitToPage="1"/>
  </sheetPr>
  <dimension ref="A1:L43"/>
  <sheetViews>
    <sheetView rightToLeft="1" view="pageBreakPreview" topLeftCell="A3" zoomScaleNormal="100" zoomScaleSheetLayoutView="100" workbookViewId="0">
      <selection activeCell="A19" sqref="A19"/>
    </sheetView>
  </sheetViews>
  <sheetFormatPr defaultColWidth="9" defaultRowHeight="21"/>
  <cols>
    <col min="1" max="1" width="50.5703125" style="1" customWidth="1"/>
    <col min="2" max="4" width="15.5703125" style="1" customWidth="1"/>
    <col min="5" max="5" width="14.140625" style="1" customWidth="1"/>
    <col min="6" max="6" width="11.5703125" style="1" customWidth="1"/>
    <col min="7" max="7" width="9" style="86"/>
    <col min="8" max="8" width="9" style="1" hidden="1" customWidth="1"/>
    <col min="9" max="9" width="0" style="86" hidden="1" customWidth="1"/>
    <col min="10" max="13" width="0" style="1" hidden="1" customWidth="1"/>
    <col min="14" max="16384" width="9" style="1"/>
  </cols>
  <sheetData>
    <row r="1" spans="1:12" s="52" customFormat="1" ht="24">
      <c r="A1" s="2685" t="str">
        <f>روکش!D4</f>
        <v>انبارهای عمومی و خدمات گمرکی ایران</v>
      </c>
      <c r="B1" s="2685"/>
      <c r="C1" s="2685"/>
      <c r="D1" s="2685"/>
      <c r="E1" s="2685"/>
      <c r="F1" s="2685"/>
      <c r="G1" s="2685"/>
      <c r="H1" s="249"/>
      <c r="I1" s="88"/>
    </row>
    <row r="2" spans="1:12" s="5" customFormat="1" ht="28.5" customHeight="1">
      <c r="A2" s="1206" t="str">
        <f>"ساير درآمدها و هزينه‌هاي غیرعملياتي در دوره " &amp; روکش!F9 &amp; " سال " &amp; روکش!D9</f>
        <v>ساير درآمدها و هزينه‌هاي غیرعملياتي در دوره شش ماهه سال 1405</v>
      </c>
      <c r="B2" s="1249"/>
      <c r="C2" s="1203"/>
      <c r="D2" s="1203"/>
      <c r="E2" s="1203"/>
      <c r="F2" s="1203"/>
      <c r="G2" s="2290"/>
      <c r="H2" s="212"/>
      <c r="I2" s="79"/>
    </row>
    <row r="3" spans="1:12" ht="20.100000000000001" customHeight="1" thickBot="1">
      <c r="A3" s="398"/>
      <c r="B3" s="398"/>
      <c r="C3" s="584"/>
      <c r="D3" s="398"/>
      <c r="E3" s="398"/>
      <c r="F3" s="1208" t="s">
        <v>30</v>
      </c>
    </row>
    <row r="4" spans="1:12" ht="35.1" customHeight="1">
      <c r="A4" s="3089" t="s">
        <v>21</v>
      </c>
      <c r="B4" s="3091" t="s">
        <v>693</v>
      </c>
      <c r="C4" s="1434" t="s">
        <v>642</v>
      </c>
      <c r="D4" s="1435"/>
      <c r="E4" s="1435"/>
      <c r="F4" s="2213"/>
      <c r="G4" s="1376"/>
      <c r="H4" s="1193"/>
    </row>
    <row r="5" spans="1:12" ht="60.75" customHeight="1" thickBot="1">
      <c r="A5" s="3090"/>
      <c r="B5" s="3092"/>
      <c r="C5" s="713" t="s">
        <v>53</v>
      </c>
      <c r="D5" s="714" t="s">
        <v>216</v>
      </c>
      <c r="E5" s="714" t="s">
        <v>804</v>
      </c>
      <c r="F5" s="2875" t="s">
        <v>230</v>
      </c>
      <c r="G5" s="2876"/>
      <c r="H5" s="1193" t="s">
        <v>792</v>
      </c>
    </row>
    <row r="6" spans="1:12" ht="26.1" customHeight="1">
      <c r="A6" s="1801" t="s">
        <v>1955</v>
      </c>
      <c r="B6" s="1802"/>
      <c r="C6" s="1802"/>
      <c r="D6" s="2295"/>
      <c r="E6" s="1802"/>
      <c r="F6" s="1802"/>
      <c r="G6" s="1803"/>
      <c r="H6" s="1193" t="s">
        <v>206</v>
      </c>
      <c r="K6" s="1193"/>
      <c r="L6" s="1193"/>
    </row>
    <row r="7" spans="1:12" ht="26.1" customHeight="1">
      <c r="A7" s="1817" t="str">
        <f ca="1">IF(ROW()-ROW($A$7)&lt;'الف-ب-ج'!$L$9,INDIRECT("BudgetDB!HY"&amp;('الف-ب-ج'!$M$9+ROW()-ROW($A$7))),"")</f>
        <v>سود حاصل از اوراق گواهی سپرده‌های بانکی</v>
      </c>
      <c r="B7" s="2296"/>
      <c r="C7" s="2298"/>
      <c r="D7" s="2298"/>
      <c r="E7" s="1804" t="str">
        <f>IFERROR((D7-B7)*100/B7,"-")</f>
        <v>-</v>
      </c>
      <c r="F7" s="1805" t="str">
        <f>IFERROR(D7*100/C7,"-")</f>
        <v>-</v>
      </c>
      <c r="G7" s="2291">
        <f>IFERROR(ABS(F7-100),500)</f>
        <v>500</v>
      </c>
      <c r="H7" s="1501">
        <f>IFERROR(B7+C7+D7,0)</f>
        <v>0</v>
      </c>
      <c r="K7" s="1081" t="b">
        <f ca="1">AND(COUNTIF($A7,"*سایر*")=1,$B7/$B$22&gt;0.2)</f>
        <v>0</v>
      </c>
      <c r="L7" s="41" t="b">
        <f ca="1">AND(COUNTIF($A7,"*سایر*")=1,$D7/$D$22&gt;0.2)</f>
        <v>0</v>
      </c>
    </row>
    <row r="8" spans="1:12" ht="26.1" customHeight="1">
      <c r="A8" s="1817" t="str">
        <f ca="1">IF(ROW()-ROW($A$7)&lt;'الف-ب-ج'!$L$9,INDIRECT("BudgetDB!HY"&amp;('الف-ب-ج'!$M$9+ROW()-ROW($A$7))),"")</f>
        <v>اجاره دریافتی - دفاتر اداری و مخازن و کیوسک</v>
      </c>
      <c r="B8" s="2297"/>
      <c r="C8" s="2299"/>
      <c r="D8" s="2299"/>
      <c r="E8" s="1805" t="str">
        <f t="shared" ref="E8:E21" si="0">IFERROR((D8-B8)*100/B8,"-")</f>
        <v>-</v>
      </c>
      <c r="F8" s="1805" t="str">
        <f t="shared" ref="F8:F21" si="1">IFERROR(D8*100/C8,"-")</f>
        <v>-</v>
      </c>
      <c r="G8" s="2291">
        <f>IFERROR(ABS(F8-100),500)</f>
        <v>500</v>
      </c>
      <c r="H8" s="1501">
        <f t="shared" ref="H8:H21" si="2">IFERROR(B8+C8+D8,0)</f>
        <v>0</v>
      </c>
      <c r="K8" s="1081" t="b">
        <f t="shared" ref="K8:K21" ca="1" si="3">AND(COUNTIF($A8,"*سایر*")=1,$B8/$B$22&gt;0.2)</f>
        <v>0</v>
      </c>
      <c r="L8" s="41" t="b">
        <f t="shared" ref="L8:L21" ca="1" si="4">AND(COUNTIF($A8,"*سایر*")=1,$D8/$D$22&gt;0.2)</f>
        <v>0</v>
      </c>
    </row>
    <row r="9" spans="1:12" ht="26.1" customHeight="1">
      <c r="A9" s="1817" t="str">
        <f ca="1">IF(ROW()-ROW($A$7)&lt;'الف-ب-ج'!$L$9,INDIRECT("BudgetDB!HY"&amp;('الف-ب-ج'!$M$9+ROW()-ROW($A$7))),"")</f>
        <v>سایر</v>
      </c>
      <c r="B9" s="2297">
        <v>4</v>
      </c>
      <c r="C9" s="2299">
        <v>5</v>
      </c>
      <c r="D9" s="2299">
        <v>100</v>
      </c>
      <c r="E9" s="1805">
        <f t="shared" si="0"/>
        <v>2400</v>
      </c>
      <c r="F9" s="1805">
        <f t="shared" si="1"/>
        <v>2000</v>
      </c>
      <c r="G9" s="2291">
        <f>IFERROR(ABS(F9-100),500)</f>
        <v>1900</v>
      </c>
      <c r="H9" s="1501">
        <f t="shared" si="2"/>
        <v>109</v>
      </c>
      <c r="K9" s="1081" t="b">
        <f t="shared" ca="1" si="3"/>
        <v>1</v>
      </c>
      <c r="L9" s="41" t="b">
        <f t="shared" ca="1" si="4"/>
        <v>1</v>
      </c>
    </row>
    <row r="10" spans="1:12" ht="26.1" customHeight="1">
      <c r="A10" s="585">
        <f ca="1">IF(ROW()-ROW($A$7)&lt;'الف-ب-ج'!$L$9,INDIRECT("BudgetDB!HY"&amp;('الف-ب-ج'!$M$9+ROW()-ROW($A$7))),"")</f>
        <v>0</v>
      </c>
      <c r="B10" s="2297"/>
      <c r="C10" s="2299"/>
      <c r="D10" s="2299"/>
      <c r="E10" s="1805" t="str">
        <f t="shared" si="0"/>
        <v>-</v>
      </c>
      <c r="F10" s="1805" t="str">
        <f t="shared" si="1"/>
        <v>-</v>
      </c>
      <c r="G10" s="2291">
        <f>IFERROR(ABS(F10-100),500)</f>
        <v>500</v>
      </c>
      <c r="H10" s="1501">
        <f t="shared" si="2"/>
        <v>0</v>
      </c>
      <c r="K10" s="1081" t="b">
        <f t="shared" ca="1" si="3"/>
        <v>0</v>
      </c>
      <c r="L10" s="41" t="b">
        <f t="shared" ca="1" si="4"/>
        <v>0</v>
      </c>
    </row>
    <row r="11" spans="1:12" ht="26.1" customHeight="1">
      <c r="A11" s="585">
        <f ca="1">IF(ROW()-ROW($A$7)&lt;'الف-ب-ج'!$L$9,INDIRECT("BudgetDB!HY"&amp;('الف-ب-ج'!$M$9+ROW()-ROW($A$7))),"")</f>
        <v>0</v>
      </c>
      <c r="B11" s="2297"/>
      <c r="C11" s="2299"/>
      <c r="D11" s="2299"/>
      <c r="E11" s="1805" t="str">
        <f t="shared" si="0"/>
        <v>-</v>
      </c>
      <c r="F11" s="1805" t="str">
        <f t="shared" si="1"/>
        <v>-</v>
      </c>
      <c r="G11" s="2291">
        <f>IFERROR(ABS(F11-100),500)</f>
        <v>500</v>
      </c>
      <c r="H11" s="1501">
        <f t="shared" si="2"/>
        <v>0</v>
      </c>
      <c r="K11" s="1081" t="b">
        <f t="shared" ca="1" si="3"/>
        <v>0</v>
      </c>
      <c r="L11" s="41" t="b">
        <f t="shared" ca="1" si="4"/>
        <v>0</v>
      </c>
    </row>
    <row r="12" spans="1:12" ht="26.1" customHeight="1">
      <c r="A12" s="585">
        <f ca="1">IF(ROW()-ROW($A$7)&lt;'الف-ب-ج'!$L$9,INDIRECT("BudgetDB!HY"&amp;('الف-ب-ج'!$M$9+ROW()-ROW($A$7))),"")</f>
        <v>0</v>
      </c>
      <c r="B12" s="2297"/>
      <c r="C12" s="2299"/>
      <c r="D12" s="2299"/>
      <c r="E12" s="1805" t="str">
        <f t="shared" si="0"/>
        <v>-</v>
      </c>
      <c r="F12" s="1805" t="str">
        <f t="shared" si="1"/>
        <v>-</v>
      </c>
      <c r="G12" s="2291">
        <f t="shared" ref="G12:G40" si="5">IFERROR(ABS(F12-100),500)</f>
        <v>500</v>
      </c>
      <c r="H12" s="1501">
        <f t="shared" si="2"/>
        <v>0</v>
      </c>
      <c r="K12" s="1081" t="b">
        <f t="shared" ca="1" si="3"/>
        <v>0</v>
      </c>
      <c r="L12" s="41" t="b">
        <f t="shared" ca="1" si="4"/>
        <v>0</v>
      </c>
    </row>
    <row r="13" spans="1:12" ht="26.1" customHeight="1">
      <c r="A13" s="585">
        <f ca="1">IF(ROW()-ROW($A$7)&lt;'الف-ب-ج'!$L$9,INDIRECT("BudgetDB!HY"&amp;('الف-ب-ج'!$M$9+ROW()-ROW($A$7))),"")</f>
        <v>0</v>
      </c>
      <c r="B13" s="2297"/>
      <c r="C13" s="2299"/>
      <c r="D13" s="2299"/>
      <c r="E13" s="1805" t="str">
        <f t="shared" si="0"/>
        <v>-</v>
      </c>
      <c r="F13" s="1805" t="str">
        <f t="shared" si="1"/>
        <v>-</v>
      </c>
      <c r="G13" s="2291">
        <f t="shared" si="5"/>
        <v>500</v>
      </c>
      <c r="H13" s="1501">
        <f t="shared" si="2"/>
        <v>0</v>
      </c>
      <c r="K13" s="1081" t="b">
        <f t="shared" ca="1" si="3"/>
        <v>0</v>
      </c>
      <c r="L13" s="41" t="b">
        <f t="shared" ca="1" si="4"/>
        <v>0</v>
      </c>
    </row>
    <row r="14" spans="1:12" ht="26.1" customHeight="1">
      <c r="A14" s="585">
        <f ca="1">IF(ROW()-ROW($A$7)&lt;'الف-ب-ج'!$L$9,INDIRECT("BudgetDB!HY"&amp;('الف-ب-ج'!$M$9+ROW()-ROW($A$7))),"")</f>
        <v>0</v>
      </c>
      <c r="B14" s="2297"/>
      <c r="C14" s="2299"/>
      <c r="D14" s="2299"/>
      <c r="E14" s="1805" t="str">
        <f t="shared" si="0"/>
        <v>-</v>
      </c>
      <c r="F14" s="1805" t="str">
        <f t="shared" si="1"/>
        <v>-</v>
      </c>
      <c r="G14" s="2291">
        <f t="shared" si="5"/>
        <v>500</v>
      </c>
      <c r="H14" s="1501">
        <f t="shared" si="2"/>
        <v>0</v>
      </c>
      <c r="K14" s="1081" t="b">
        <f t="shared" ca="1" si="3"/>
        <v>0</v>
      </c>
      <c r="L14" s="41" t="b">
        <f t="shared" ca="1" si="4"/>
        <v>0</v>
      </c>
    </row>
    <row r="15" spans="1:12" ht="26.1" customHeight="1">
      <c r="A15" s="585">
        <f ca="1">IF(ROW()-ROW($A$7)&lt;'الف-ب-ج'!$L$9,INDIRECT("BudgetDB!HY"&amp;('الف-ب-ج'!$M$9+ROW()-ROW($A$7))),"")</f>
        <v>0</v>
      </c>
      <c r="B15" s="2297"/>
      <c r="C15" s="2299"/>
      <c r="D15" s="2299"/>
      <c r="E15" s="1805" t="str">
        <f t="shared" si="0"/>
        <v>-</v>
      </c>
      <c r="F15" s="1805" t="str">
        <f t="shared" si="1"/>
        <v>-</v>
      </c>
      <c r="G15" s="2291">
        <f t="shared" si="5"/>
        <v>500</v>
      </c>
      <c r="H15" s="1501">
        <f t="shared" si="2"/>
        <v>0</v>
      </c>
      <c r="K15" s="1081" t="b">
        <f t="shared" ca="1" si="3"/>
        <v>0</v>
      </c>
      <c r="L15" s="41" t="b">
        <f t="shared" ca="1" si="4"/>
        <v>0</v>
      </c>
    </row>
    <row r="16" spans="1:12" ht="26.1" customHeight="1">
      <c r="A16" s="585">
        <f ca="1">IF(ROW()-ROW($A$7)&lt;'الف-ب-ج'!$L$9,INDIRECT("BudgetDB!HY"&amp;('الف-ب-ج'!$M$9+ROW()-ROW($A$7))),"")</f>
        <v>0</v>
      </c>
      <c r="B16" s="2297"/>
      <c r="C16" s="2299"/>
      <c r="D16" s="2299"/>
      <c r="E16" s="1805" t="str">
        <f t="shared" si="0"/>
        <v>-</v>
      </c>
      <c r="F16" s="1805" t="str">
        <f t="shared" si="1"/>
        <v>-</v>
      </c>
      <c r="G16" s="2291">
        <f t="shared" si="5"/>
        <v>500</v>
      </c>
      <c r="H16" s="1501">
        <f t="shared" si="2"/>
        <v>0</v>
      </c>
      <c r="K16" s="1081" t="b">
        <f t="shared" ca="1" si="3"/>
        <v>0</v>
      </c>
      <c r="L16" s="41" t="b">
        <f t="shared" ca="1" si="4"/>
        <v>0</v>
      </c>
    </row>
    <row r="17" spans="1:12" ht="26.1" customHeight="1">
      <c r="A17" s="585">
        <f ca="1">IF(ROW()-ROW($A$7)&lt;'الف-ب-ج'!$L$9,INDIRECT("BudgetDB!HY"&amp;('الف-ب-ج'!$M$9+ROW()-ROW($A$7))),"")</f>
        <v>0</v>
      </c>
      <c r="B17" s="2297"/>
      <c r="C17" s="2299"/>
      <c r="D17" s="2299"/>
      <c r="E17" s="1805" t="str">
        <f t="shared" si="0"/>
        <v>-</v>
      </c>
      <c r="F17" s="1805" t="str">
        <f t="shared" si="1"/>
        <v>-</v>
      </c>
      <c r="G17" s="2291">
        <f t="shared" si="5"/>
        <v>500</v>
      </c>
      <c r="H17" s="1501">
        <f t="shared" si="2"/>
        <v>0</v>
      </c>
      <c r="K17" s="1081" t="b">
        <f t="shared" ca="1" si="3"/>
        <v>0</v>
      </c>
      <c r="L17" s="41" t="b">
        <f t="shared" ca="1" si="4"/>
        <v>0</v>
      </c>
    </row>
    <row r="18" spans="1:12" ht="26.1" customHeight="1">
      <c r="A18" s="585">
        <f ca="1">IF(ROW()-ROW($A$7)&lt;'الف-ب-ج'!$L$9,INDIRECT("BudgetDB!HY"&amp;('الف-ب-ج'!$M$9+ROW()-ROW($A$7))),"")</f>
        <v>0</v>
      </c>
      <c r="B18" s="2297"/>
      <c r="C18" s="2299"/>
      <c r="D18" s="2299"/>
      <c r="E18" s="1805" t="str">
        <f t="shared" si="0"/>
        <v>-</v>
      </c>
      <c r="F18" s="1805" t="str">
        <f t="shared" si="1"/>
        <v>-</v>
      </c>
      <c r="G18" s="2291">
        <f t="shared" si="5"/>
        <v>500</v>
      </c>
      <c r="H18" s="1501">
        <f t="shared" si="2"/>
        <v>0</v>
      </c>
      <c r="K18" s="1081" t="b">
        <f t="shared" ca="1" si="3"/>
        <v>0</v>
      </c>
      <c r="L18" s="41" t="b">
        <f t="shared" ca="1" si="4"/>
        <v>0</v>
      </c>
    </row>
    <row r="19" spans="1:12" ht="26.1" customHeight="1">
      <c r="A19" s="585">
        <f ca="1">IF(ROW()-ROW($A$7)&lt;'الف-ب-ج'!$L$9,INDIRECT("BudgetDB!HY"&amp;('الف-ب-ج'!$M$9+ROW()-ROW($A$7))),"")</f>
        <v>0</v>
      </c>
      <c r="B19" s="1155"/>
      <c r="C19" s="692"/>
      <c r="D19" s="692"/>
      <c r="E19" s="1805" t="str">
        <f t="shared" si="0"/>
        <v>-</v>
      </c>
      <c r="F19" s="1805" t="str">
        <f t="shared" si="1"/>
        <v>-</v>
      </c>
      <c r="G19" s="2291">
        <f t="shared" si="5"/>
        <v>500</v>
      </c>
      <c r="H19" s="1501">
        <f t="shared" si="2"/>
        <v>0</v>
      </c>
      <c r="K19" s="1081" t="b">
        <f t="shared" ca="1" si="3"/>
        <v>0</v>
      </c>
      <c r="L19" s="41" t="b">
        <f t="shared" ca="1" si="4"/>
        <v>0</v>
      </c>
    </row>
    <row r="20" spans="1:12" ht="26.1" customHeight="1">
      <c r="A20" s="583">
        <f ca="1">IF(ROW()-ROW($A$7)&lt;'الف-ب-ج'!$L$9,INDIRECT("BudgetDB!HY"&amp;('الف-ب-ج'!$M$9+ROW()-ROW($A$7))),"")</f>
        <v>0</v>
      </c>
      <c r="B20" s="1156"/>
      <c r="C20" s="273"/>
      <c r="D20" s="273"/>
      <c r="E20" s="1806" t="str">
        <f t="shared" si="0"/>
        <v>-</v>
      </c>
      <c r="F20" s="1806" t="str">
        <f t="shared" si="1"/>
        <v>-</v>
      </c>
      <c r="G20" s="2292">
        <f t="shared" si="5"/>
        <v>500</v>
      </c>
      <c r="H20" s="1501">
        <f t="shared" si="2"/>
        <v>0</v>
      </c>
      <c r="K20" s="1081" t="b">
        <f t="shared" ca="1" si="3"/>
        <v>0</v>
      </c>
      <c r="L20" s="41" t="b">
        <f t="shared" ca="1" si="4"/>
        <v>0</v>
      </c>
    </row>
    <row r="21" spans="1:12" ht="26.1" customHeight="1">
      <c r="A21" s="583">
        <f ca="1">IF(ROW()-ROW($A$7)&lt;'الف-ب-ج'!$L$9,INDIRECT("BudgetDB!HY"&amp;('الف-ب-ج'!$M$9+ROW()-ROW($A$7))),"")</f>
        <v>0</v>
      </c>
      <c r="B21" s="1156"/>
      <c r="C21" s="273"/>
      <c r="D21" s="273"/>
      <c r="E21" s="1806" t="str">
        <f t="shared" si="0"/>
        <v>-</v>
      </c>
      <c r="F21" s="1806" t="str">
        <f t="shared" si="1"/>
        <v>-</v>
      </c>
      <c r="G21" s="2292">
        <f t="shared" si="5"/>
        <v>500</v>
      </c>
      <c r="H21" s="1501">
        <f t="shared" si="2"/>
        <v>0</v>
      </c>
      <c r="K21" s="1081" t="b">
        <f t="shared" ca="1" si="3"/>
        <v>0</v>
      </c>
      <c r="L21" s="41" t="b">
        <f t="shared" ca="1" si="4"/>
        <v>0</v>
      </c>
    </row>
    <row r="22" spans="1:12" ht="26.1" customHeight="1" thickBot="1">
      <c r="A22" s="1827" t="s">
        <v>279</v>
      </c>
      <c r="B22" s="1807">
        <f>SUM(B7:B21)</f>
        <v>4</v>
      </c>
      <c r="C22" s="1808">
        <f>SUM(C7:C21)</f>
        <v>5</v>
      </c>
      <c r="D22" s="1809">
        <f>SUM(D7:D21)</f>
        <v>100</v>
      </c>
      <c r="E22" s="1810">
        <f>IFERROR((D22-B22)*100/B22,"-")</f>
        <v>2400</v>
      </c>
      <c r="F22" s="1810">
        <f>IFERROR(D22*100/C22,"-")</f>
        <v>2000</v>
      </c>
      <c r="G22" s="2293">
        <f t="shared" si="5"/>
        <v>1900</v>
      </c>
      <c r="H22" s="1193" t="s">
        <v>206</v>
      </c>
      <c r="J22" s="86"/>
      <c r="K22" s="1191"/>
      <c r="L22" s="1191"/>
    </row>
    <row r="23" spans="1:12" ht="26.1" customHeight="1">
      <c r="A23" s="1801" t="s">
        <v>1956</v>
      </c>
      <c r="B23" s="1811"/>
      <c r="C23" s="1811"/>
      <c r="D23" s="1811"/>
      <c r="E23" s="1811"/>
      <c r="F23" s="1811"/>
      <c r="G23" s="1812"/>
      <c r="H23" s="1193" t="s">
        <v>206</v>
      </c>
      <c r="J23" s="86"/>
      <c r="K23" s="1191"/>
      <c r="L23" s="1191"/>
    </row>
    <row r="24" spans="1:12" ht="26.1" customHeight="1">
      <c r="A24" s="2050">
        <f ca="1">IF(ROW()-ROW($A$24)&lt;'الف-ب-ج'!$L$9,INDIRECT("BudgetDB!IB"&amp;('الف-ب-ج'!$M$9+ROW()-ROW($A$24))),"")</f>
        <v>0</v>
      </c>
      <c r="B24" s="1157"/>
      <c r="C24" s="272"/>
      <c r="D24" s="272"/>
      <c r="E24" s="1805" t="str">
        <f>IFERROR((D24-B24)*100/B24,"-")</f>
        <v>-</v>
      </c>
      <c r="F24" s="1805" t="str">
        <f>IFERROR(D24*100/C24,"-")</f>
        <v>-</v>
      </c>
      <c r="G24" s="2291">
        <f t="shared" si="5"/>
        <v>500</v>
      </c>
      <c r="H24" s="1501">
        <f t="shared" ref="H24:H38" si="6">IFERROR(B24+C24+D24,0)</f>
        <v>0</v>
      </c>
      <c r="J24" s="86"/>
      <c r="K24" s="1081" t="e">
        <f ca="1">AND(COUNTIF($A24,"*سایر*")=1,$B24/$B$39&gt;0.2)</f>
        <v>#DIV/0!</v>
      </c>
      <c r="L24" s="41" t="e">
        <f ca="1">AND(COUNTIF($A24,"*سایر*")=1,$D24/$D$39&gt;0.2)</f>
        <v>#DIV/0!</v>
      </c>
    </row>
    <row r="25" spans="1:12" ht="26.1" customHeight="1">
      <c r="A25" s="2050">
        <f ca="1">IF(ROW()-ROW($A$24)&lt;'الف-ب-ج'!$L$9,INDIRECT("BudgetDB!IB"&amp;('الف-ب-ج'!$M$9+ROW()-ROW($A$24))),"")</f>
        <v>0</v>
      </c>
      <c r="B25" s="1158"/>
      <c r="C25" s="692"/>
      <c r="D25" s="692"/>
      <c r="E25" s="1805" t="str">
        <f t="shared" ref="E25:E38" si="7">IFERROR((D25-B25)*100/B25,"-")</f>
        <v>-</v>
      </c>
      <c r="F25" s="1805" t="str">
        <f t="shared" ref="F25:F38" si="8">IFERROR(D25*100/C25,"-")</f>
        <v>-</v>
      </c>
      <c r="G25" s="2291">
        <f t="shared" si="5"/>
        <v>500</v>
      </c>
      <c r="H25" s="1501">
        <f t="shared" si="6"/>
        <v>0</v>
      </c>
      <c r="J25" s="86"/>
      <c r="K25" s="1081" t="e">
        <f t="shared" ref="K25:K39" ca="1" si="9">AND(COUNTIF($A25,"*سایر*")=1,$B25/$B$39&gt;0.2)</f>
        <v>#DIV/0!</v>
      </c>
      <c r="L25" s="41" t="e">
        <f t="shared" ref="L25:L39" ca="1" si="10">AND(COUNTIF($A25,"*سایر*")=1,$D25/$D$39&gt;0.2)</f>
        <v>#DIV/0!</v>
      </c>
    </row>
    <row r="26" spans="1:12" ht="26.1" customHeight="1">
      <c r="A26" s="2050">
        <f ca="1">IF(ROW()-ROW($A$24)&lt;'الف-ب-ج'!$L$9,INDIRECT("BudgetDB!IB"&amp;('الف-ب-ج'!$M$9+ROW()-ROW($A$24))),"")</f>
        <v>0</v>
      </c>
      <c r="B26" s="1818"/>
      <c r="C26" s="692"/>
      <c r="D26" s="692"/>
      <c r="E26" s="1805" t="str">
        <f t="shared" si="7"/>
        <v>-</v>
      </c>
      <c r="F26" s="1805" t="str">
        <f t="shared" si="8"/>
        <v>-</v>
      </c>
      <c r="G26" s="2291">
        <f t="shared" si="5"/>
        <v>500</v>
      </c>
      <c r="H26" s="1501">
        <f t="shared" si="6"/>
        <v>0</v>
      </c>
      <c r="J26" s="86"/>
      <c r="K26" s="1081" t="e">
        <f t="shared" ca="1" si="9"/>
        <v>#DIV/0!</v>
      </c>
      <c r="L26" s="41" t="e">
        <f t="shared" ca="1" si="10"/>
        <v>#DIV/0!</v>
      </c>
    </row>
    <row r="27" spans="1:12" ht="26.1" customHeight="1">
      <c r="A27" s="2050">
        <f ca="1">IF(ROW()-ROW($A$24)&lt;'الف-ب-ج'!$L$9,INDIRECT("BudgetDB!IB"&amp;('الف-ب-ج'!$M$9+ROW()-ROW($A$24))),"")</f>
        <v>0</v>
      </c>
      <c r="B27" s="1818"/>
      <c r="C27" s="692"/>
      <c r="D27" s="692"/>
      <c r="E27" s="1805" t="str">
        <f t="shared" si="7"/>
        <v>-</v>
      </c>
      <c r="F27" s="1805" t="str">
        <f t="shared" si="8"/>
        <v>-</v>
      </c>
      <c r="G27" s="2291">
        <f t="shared" si="5"/>
        <v>500</v>
      </c>
      <c r="H27" s="1501">
        <f t="shared" si="6"/>
        <v>0</v>
      </c>
      <c r="J27" s="86"/>
      <c r="K27" s="1081" t="e">
        <f t="shared" ca="1" si="9"/>
        <v>#DIV/0!</v>
      </c>
      <c r="L27" s="41" t="e">
        <f t="shared" ca="1" si="10"/>
        <v>#DIV/0!</v>
      </c>
    </row>
    <row r="28" spans="1:12" ht="26.1" customHeight="1">
      <c r="A28" s="2050">
        <f ca="1">IF(ROW()-ROW($A$24)&lt;'الف-ب-ج'!$L$9,INDIRECT("BudgetDB!IB"&amp;('الف-ب-ج'!$M$9+ROW()-ROW($A$24))),"")</f>
        <v>0</v>
      </c>
      <c r="B28" s="1818"/>
      <c r="C28" s="692"/>
      <c r="D28" s="692"/>
      <c r="E28" s="1805" t="str">
        <f t="shared" si="7"/>
        <v>-</v>
      </c>
      <c r="F28" s="1805" t="str">
        <f t="shared" si="8"/>
        <v>-</v>
      </c>
      <c r="G28" s="2291">
        <f t="shared" si="5"/>
        <v>500</v>
      </c>
      <c r="H28" s="1501">
        <f t="shared" si="6"/>
        <v>0</v>
      </c>
      <c r="J28" s="86"/>
      <c r="K28" s="1081" t="e">
        <f t="shared" ca="1" si="9"/>
        <v>#DIV/0!</v>
      </c>
      <c r="L28" s="41" t="e">
        <f t="shared" ca="1" si="10"/>
        <v>#DIV/0!</v>
      </c>
    </row>
    <row r="29" spans="1:12" ht="26.1" customHeight="1">
      <c r="A29" s="2050">
        <f ca="1">IF(ROW()-ROW($A$24)&lt;'الف-ب-ج'!$L$9,INDIRECT("BudgetDB!IB"&amp;('الف-ب-ج'!$M$9+ROW()-ROW($A$24))),"")</f>
        <v>0</v>
      </c>
      <c r="B29" s="1818"/>
      <c r="C29" s="692"/>
      <c r="D29" s="692"/>
      <c r="E29" s="1805" t="str">
        <f t="shared" si="7"/>
        <v>-</v>
      </c>
      <c r="F29" s="1805" t="str">
        <f t="shared" si="8"/>
        <v>-</v>
      </c>
      <c r="G29" s="2291">
        <f t="shared" si="5"/>
        <v>500</v>
      </c>
      <c r="H29" s="1501">
        <f t="shared" si="6"/>
        <v>0</v>
      </c>
      <c r="J29" s="86"/>
      <c r="K29" s="1081" t="e">
        <f t="shared" ca="1" si="9"/>
        <v>#DIV/0!</v>
      </c>
      <c r="L29" s="41" t="e">
        <f t="shared" ca="1" si="10"/>
        <v>#DIV/0!</v>
      </c>
    </row>
    <row r="30" spans="1:12" ht="26.1" customHeight="1">
      <c r="A30" s="2050">
        <f ca="1">IF(ROW()-ROW($A$24)&lt;'الف-ب-ج'!$L$9,INDIRECT("BudgetDB!IB"&amp;('الف-ب-ج'!$M$9+ROW()-ROW($A$24))),"")</f>
        <v>0</v>
      </c>
      <c r="B30" s="1818"/>
      <c r="C30" s="692"/>
      <c r="D30" s="692"/>
      <c r="E30" s="1805" t="str">
        <f t="shared" si="7"/>
        <v>-</v>
      </c>
      <c r="F30" s="1805" t="str">
        <f t="shared" si="8"/>
        <v>-</v>
      </c>
      <c r="G30" s="2291">
        <f t="shared" si="5"/>
        <v>500</v>
      </c>
      <c r="H30" s="1501">
        <f t="shared" si="6"/>
        <v>0</v>
      </c>
      <c r="J30" s="86"/>
      <c r="K30" s="1081" t="e">
        <f t="shared" ca="1" si="9"/>
        <v>#DIV/0!</v>
      </c>
      <c r="L30" s="41" t="e">
        <f t="shared" ca="1" si="10"/>
        <v>#DIV/0!</v>
      </c>
    </row>
    <row r="31" spans="1:12" ht="26.1" customHeight="1">
      <c r="A31" s="2050">
        <f ca="1">IF(ROW()-ROW($A$24)&lt;'الف-ب-ج'!$L$9,INDIRECT("BudgetDB!IB"&amp;('الف-ب-ج'!$M$9+ROW()-ROW($A$24))),"")</f>
        <v>0</v>
      </c>
      <c r="B31" s="1818"/>
      <c r="C31" s="692"/>
      <c r="D31" s="692"/>
      <c r="E31" s="1805" t="str">
        <f t="shared" si="7"/>
        <v>-</v>
      </c>
      <c r="F31" s="1805" t="str">
        <f t="shared" si="8"/>
        <v>-</v>
      </c>
      <c r="G31" s="2291">
        <f t="shared" si="5"/>
        <v>500</v>
      </c>
      <c r="H31" s="1501">
        <f t="shared" si="6"/>
        <v>0</v>
      </c>
      <c r="J31" s="86"/>
      <c r="K31" s="1081" t="e">
        <f t="shared" ca="1" si="9"/>
        <v>#DIV/0!</v>
      </c>
      <c r="L31" s="41" t="e">
        <f t="shared" ca="1" si="10"/>
        <v>#DIV/0!</v>
      </c>
    </row>
    <row r="32" spans="1:12" ht="26.1" customHeight="1">
      <c r="A32" s="2050">
        <f ca="1">IF(ROW()-ROW($A$24)&lt;'الف-ب-ج'!$L$9,INDIRECT("BudgetDB!IB"&amp;('الف-ب-ج'!$M$9+ROW()-ROW($A$24))),"")</f>
        <v>0</v>
      </c>
      <c r="B32" s="1818"/>
      <c r="C32" s="692"/>
      <c r="D32" s="692"/>
      <c r="E32" s="1805" t="str">
        <f t="shared" si="7"/>
        <v>-</v>
      </c>
      <c r="F32" s="1805" t="str">
        <f t="shared" si="8"/>
        <v>-</v>
      </c>
      <c r="G32" s="2291">
        <f t="shared" si="5"/>
        <v>500</v>
      </c>
      <c r="H32" s="1501">
        <f t="shared" si="6"/>
        <v>0</v>
      </c>
      <c r="J32" s="86"/>
      <c r="K32" s="1081" t="e">
        <f t="shared" ca="1" si="9"/>
        <v>#DIV/0!</v>
      </c>
      <c r="L32" s="41" t="e">
        <f t="shared" ca="1" si="10"/>
        <v>#DIV/0!</v>
      </c>
    </row>
    <row r="33" spans="1:12" ht="26.1" customHeight="1">
      <c r="A33" s="2050">
        <f ca="1">IF(ROW()-ROW($A$24)&lt;'الف-ب-ج'!$L$9,INDIRECT("BudgetDB!IB"&amp;('الف-ب-ج'!$M$9+ROW()-ROW($A$24))),"")</f>
        <v>0</v>
      </c>
      <c r="B33" s="1818"/>
      <c r="C33" s="692"/>
      <c r="D33" s="692"/>
      <c r="E33" s="1805" t="str">
        <f t="shared" si="7"/>
        <v>-</v>
      </c>
      <c r="F33" s="1805" t="str">
        <f t="shared" si="8"/>
        <v>-</v>
      </c>
      <c r="G33" s="2291">
        <f t="shared" si="5"/>
        <v>500</v>
      </c>
      <c r="H33" s="1501">
        <f t="shared" si="6"/>
        <v>0</v>
      </c>
      <c r="J33" s="86"/>
      <c r="K33" s="1081" t="e">
        <f t="shared" ca="1" si="9"/>
        <v>#DIV/0!</v>
      </c>
      <c r="L33" s="41" t="e">
        <f t="shared" ca="1" si="10"/>
        <v>#DIV/0!</v>
      </c>
    </row>
    <row r="34" spans="1:12" ht="26.1" customHeight="1">
      <c r="A34" s="2050">
        <f ca="1">IF(ROW()-ROW($A$24)&lt;'الف-ب-ج'!$L$9,INDIRECT("BudgetDB!IB"&amp;('الف-ب-ج'!$M$9+ROW()-ROW($A$24))),"")</f>
        <v>0</v>
      </c>
      <c r="B34" s="1818"/>
      <c r="C34" s="692"/>
      <c r="D34" s="692"/>
      <c r="E34" s="1805" t="str">
        <f t="shared" si="7"/>
        <v>-</v>
      </c>
      <c r="F34" s="1805" t="str">
        <f t="shared" si="8"/>
        <v>-</v>
      </c>
      <c r="G34" s="2291">
        <f t="shared" si="5"/>
        <v>500</v>
      </c>
      <c r="H34" s="1501">
        <f t="shared" si="6"/>
        <v>0</v>
      </c>
      <c r="J34" s="86"/>
      <c r="K34" s="1081" t="e">
        <f t="shared" ca="1" si="9"/>
        <v>#DIV/0!</v>
      </c>
      <c r="L34" s="41" t="e">
        <f t="shared" ca="1" si="10"/>
        <v>#DIV/0!</v>
      </c>
    </row>
    <row r="35" spans="1:12" ht="26.1" customHeight="1">
      <c r="A35" s="2050">
        <f ca="1">IF(ROW()-ROW($A$24)&lt;'الف-ب-ج'!$L$9,INDIRECT("BudgetDB!IB"&amp;('الف-ب-ج'!$M$9+ROW()-ROW($A$24))),"")</f>
        <v>0</v>
      </c>
      <c r="B35" s="1818"/>
      <c r="C35" s="692"/>
      <c r="D35" s="692"/>
      <c r="E35" s="1805" t="str">
        <f t="shared" si="7"/>
        <v>-</v>
      </c>
      <c r="F35" s="1805" t="str">
        <f t="shared" si="8"/>
        <v>-</v>
      </c>
      <c r="G35" s="2291">
        <f t="shared" si="5"/>
        <v>500</v>
      </c>
      <c r="H35" s="1501">
        <f t="shared" si="6"/>
        <v>0</v>
      </c>
      <c r="J35" s="86"/>
      <c r="K35" s="1081" t="e">
        <f t="shared" ca="1" si="9"/>
        <v>#DIV/0!</v>
      </c>
      <c r="L35" s="41" t="e">
        <f t="shared" ca="1" si="10"/>
        <v>#DIV/0!</v>
      </c>
    </row>
    <row r="36" spans="1:12" ht="26.1" customHeight="1">
      <c r="A36" s="2050">
        <f ca="1">IF(ROW()-ROW($A$24)&lt;'الف-ب-ج'!$L$9,INDIRECT("BudgetDB!IB"&amp;('الف-ب-ج'!$M$9+ROW()-ROW($A$24))),"")</f>
        <v>0</v>
      </c>
      <c r="B36" s="1818"/>
      <c r="C36" s="692"/>
      <c r="D36" s="692"/>
      <c r="E36" s="1805" t="str">
        <f t="shared" si="7"/>
        <v>-</v>
      </c>
      <c r="F36" s="1805" t="str">
        <f t="shared" si="8"/>
        <v>-</v>
      </c>
      <c r="G36" s="2291">
        <f t="shared" si="5"/>
        <v>500</v>
      </c>
      <c r="H36" s="1501">
        <f t="shared" si="6"/>
        <v>0</v>
      </c>
      <c r="J36" s="86"/>
      <c r="K36" s="1081" t="e">
        <f t="shared" ca="1" si="9"/>
        <v>#DIV/0!</v>
      </c>
      <c r="L36" s="41" t="e">
        <f t="shared" ca="1" si="10"/>
        <v>#DIV/0!</v>
      </c>
    </row>
    <row r="37" spans="1:12" ht="26.1" customHeight="1">
      <c r="A37" s="2050">
        <f ca="1">IF(ROW()-ROW($A$24)&lt;'الف-ب-ج'!$L$9,INDIRECT("BudgetDB!IB"&amp;('الف-ب-ج'!$M$9+ROW()-ROW($A$24))),"")</f>
        <v>0</v>
      </c>
      <c r="B37" s="1159"/>
      <c r="C37" s="273"/>
      <c r="D37" s="273"/>
      <c r="E37" s="1806" t="str">
        <f t="shared" si="7"/>
        <v>-</v>
      </c>
      <c r="F37" s="1806" t="str">
        <f t="shared" si="8"/>
        <v>-</v>
      </c>
      <c r="G37" s="2292">
        <f t="shared" si="5"/>
        <v>500</v>
      </c>
      <c r="H37" s="1501">
        <f t="shared" si="6"/>
        <v>0</v>
      </c>
      <c r="J37" s="86"/>
      <c r="K37" s="1081" t="e">
        <f t="shared" ca="1" si="9"/>
        <v>#DIV/0!</v>
      </c>
      <c r="L37" s="41" t="e">
        <f t="shared" ca="1" si="10"/>
        <v>#DIV/0!</v>
      </c>
    </row>
    <row r="38" spans="1:12" ht="26.1" customHeight="1">
      <c r="A38" s="2050">
        <f ca="1">IF(ROW()-ROW($A$24)&lt;'الف-ب-ج'!$L$9,INDIRECT("BudgetDB!IB"&amp;('الف-ب-ج'!$M$9+ROW()-ROW($A$24))),"")</f>
        <v>0</v>
      </c>
      <c r="B38" s="1159"/>
      <c r="C38" s="273"/>
      <c r="D38" s="273"/>
      <c r="E38" s="1806" t="str">
        <f t="shared" si="7"/>
        <v>-</v>
      </c>
      <c r="F38" s="1806" t="str">
        <f t="shared" si="8"/>
        <v>-</v>
      </c>
      <c r="G38" s="2292">
        <f t="shared" si="5"/>
        <v>500</v>
      </c>
      <c r="H38" s="1501">
        <f t="shared" si="6"/>
        <v>0</v>
      </c>
      <c r="J38" s="86"/>
      <c r="K38" s="1081" t="e">
        <f t="shared" ca="1" si="9"/>
        <v>#DIV/0!</v>
      </c>
      <c r="L38" s="41" t="e">
        <f t="shared" ca="1" si="10"/>
        <v>#DIV/0!</v>
      </c>
    </row>
    <row r="39" spans="1:12" ht="26.1" customHeight="1" thickBot="1">
      <c r="A39" s="1821" t="s">
        <v>1498</v>
      </c>
      <c r="B39" s="1807">
        <f>SUM(B24:B38)</f>
        <v>0</v>
      </c>
      <c r="C39" s="1813">
        <f>SUM(C24:C38)</f>
        <v>0</v>
      </c>
      <c r="D39" s="1809">
        <f>SUM(D24:D38)</f>
        <v>0</v>
      </c>
      <c r="E39" s="1810" t="str">
        <f>IFERROR((D39-B39)*100/B39,"-")</f>
        <v>-</v>
      </c>
      <c r="F39" s="1810" t="str">
        <f>IFERROR(D39*100/C39,"-")</f>
        <v>-</v>
      </c>
      <c r="G39" s="2293">
        <f t="shared" si="5"/>
        <v>500</v>
      </c>
      <c r="H39" s="1193" t="s">
        <v>206</v>
      </c>
      <c r="J39" s="86"/>
      <c r="K39" s="1081" t="e">
        <f t="shared" si="9"/>
        <v>#DIV/0!</v>
      </c>
      <c r="L39" s="41" t="e">
        <f t="shared" si="10"/>
        <v>#DIV/0!</v>
      </c>
    </row>
    <row r="40" spans="1:12" ht="26.1" customHeight="1" thickBot="1">
      <c r="A40" s="1822" t="s">
        <v>1499</v>
      </c>
      <c r="B40" s="1823">
        <f>B22-B39</f>
        <v>4</v>
      </c>
      <c r="C40" s="1824">
        <f>C22-C39</f>
        <v>5</v>
      </c>
      <c r="D40" s="1825">
        <f>D22-D39</f>
        <v>100</v>
      </c>
      <c r="E40" s="1826">
        <f>IFERROR((D40-B40)*100/B40,"-")</f>
        <v>2400</v>
      </c>
      <c r="F40" s="1826">
        <f>IFERROR(D40*100/C40,"-")</f>
        <v>2000</v>
      </c>
      <c r="G40" s="2294">
        <f t="shared" si="5"/>
        <v>1900</v>
      </c>
      <c r="H40" s="1193" t="s">
        <v>206</v>
      </c>
      <c r="J40" s="86"/>
      <c r="K40" s="1191"/>
      <c r="L40" s="1191"/>
    </row>
    <row r="41" spans="1:12">
      <c r="A41" s="24"/>
      <c r="B41" s="24"/>
      <c r="C41" s="24"/>
      <c r="D41" s="24"/>
      <c r="E41" s="24"/>
      <c r="F41" s="24"/>
      <c r="H41" s="1" t="s">
        <v>206</v>
      </c>
    </row>
    <row r="42" spans="1:12">
      <c r="A42" s="8"/>
      <c r="B42" s="8"/>
      <c r="C42" s="8"/>
      <c r="D42" s="8"/>
      <c r="E42" s="8"/>
      <c r="H42" s="1" t="s">
        <v>206</v>
      </c>
    </row>
    <row r="43" spans="1:12">
      <c r="A43" s="44"/>
    </row>
  </sheetData>
  <sheetProtection algorithmName="SHA-512" hashValue="gSUgYh9SzFHpcibQPVY43PERvQgi/7gKgaVbYZf4JmZfOqxQutJ6cm+0GFuPxIxr7KcWnr8tFtooSnsKcwgFLQ==" saltValue="Jqxax7RP0anhx9O6FQgljQ==" spinCount="100000" sheet="1" objects="1" scenarios="1"/>
  <mergeCells count="4">
    <mergeCell ref="A4:A5"/>
    <mergeCell ref="B4:B5"/>
    <mergeCell ref="A1:G1"/>
    <mergeCell ref="F5:G5"/>
  </mergeCells>
  <conditionalFormatting sqref="G7:G22 G24:G40">
    <cfRule type="iconSet" priority="8">
      <iconSet iconSet="3Symbols" showValue="0" reverse="1">
        <cfvo type="percent" val="0"/>
        <cfvo type="num" val="10" gte="0"/>
        <cfvo type="num" val="40"/>
      </iconSet>
    </cfRule>
  </conditionalFormatting>
  <conditionalFormatting sqref="D7:D8 D10:D40">
    <cfRule type="expression" dxfId="366" priority="6">
      <formula>$L7=TRUE</formula>
    </cfRule>
  </conditionalFormatting>
  <conditionalFormatting sqref="B7:B40">
    <cfRule type="expression" dxfId="365" priority="5">
      <formula>$K7=TRUE</formula>
    </cfRule>
  </conditionalFormatting>
  <conditionalFormatting sqref="A7:A38">
    <cfRule type="expression" dxfId="364" priority="4">
      <formula>AND($A7=0,OR($B7&lt;&gt;0,$D7&lt;&gt;0))</formula>
    </cfRule>
  </conditionalFormatting>
  <conditionalFormatting sqref="C7:C8 C10:C21">
    <cfRule type="expression" dxfId="363" priority="3">
      <formula>$L7=TRUE</formula>
    </cfRule>
  </conditionalFormatting>
  <conditionalFormatting sqref="C24:C38">
    <cfRule type="expression" dxfId="362" priority="2">
      <formula>$L24=TRUE</formula>
    </cfRule>
  </conditionalFormatting>
  <conditionalFormatting sqref="C9:D9">
    <cfRule type="expression" dxfId="361" priority="1">
      <formula>$L9=TRUE</formula>
    </cfRule>
  </conditionalFormatting>
  <printOptions horizontalCentered="1"/>
  <pageMargins left="0.59055118110236227" right="0.59055118110236227" top="0.19685039370078741" bottom="0.78740157480314965" header="0.19685039370078741" footer="0.19685039370078741"/>
  <pageSetup paperSize="9" scale="6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7" id="{BBC542D2-1BF8-4957-8F96-2A2E379B16C3}">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5">
    <tabColor rgb="FF32CD32"/>
    <pageSetUpPr fitToPage="1"/>
  </sheetPr>
  <dimension ref="A1:K25"/>
  <sheetViews>
    <sheetView rightToLeft="1" view="pageBreakPreview" topLeftCell="A5" zoomScaleNormal="100" zoomScaleSheetLayoutView="100" workbookViewId="0">
      <selection activeCell="C21" sqref="C21"/>
    </sheetView>
  </sheetViews>
  <sheetFormatPr defaultColWidth="9" defaultRowHeight="21"/>
  <cols>
    <col min="1" max="1" width="39.5703125" style="455" bestFit="1" customWidth="1"/>
    <col min="2" max="2" width="14.140625" style="455" customWidth="1"/>
    <col min="3" max="3" width="16.42578125" style="455" customWidth="1"/>
    <col min="4" max="4" width="15.42578125" style="455" customWidth="1"/>
    <col min="5" max="5" width="14.7109375" style="455" customWidth="1"/>
    <col min="6" max="6" width="12.5703125" style="455" customWidth="1"/>
    <col min="7" max="7" width="3.7109375" style="455" customWidth="1"/>
    <col min="8" max="8" width="9" style="455"/>
    <col min="9" max="9" width="9" style="455" customWidth="1"/>
    <col min="10" max="10" width="9" style="1360" hidden="1" customWidth="1"/>
    <col min="11" max="11" width="9" style="455" customWidth="1"/>
    <col min="12" max="20" width="9" style="455"/>
    <col min="21" max="21" width="8.85546875" style="455" customWidth="1"/>
    <col min="22" max="16384" width="9" style="455"/>
  </cols>
  <sheetData>
    <row r="1" spans="1:11" customFormat="1" ht="24" customHeight="1">
      <c r="A1" s="2685" t="str">
        <f>روکش!D4</f>
        <v>انبارهای عمومی و خدمات گمرکی ایران</v>
      </c>
      <c r="B1" s="2685"/>
      <c r="C1" s="2685"/>
      <c r="D1" s="2685"/>
      <c r="E1" s="2685"/>
      <c r="F1" s="2685"/>
      <c r="G1" s="2685"/>
      <c r="H1" s="1608"/>
      <c r="I1" s="1608"/>
      <c r="J1" s="1081"/>
      <c r="K1" s="1608"/>
    </row>
    <row r="2" spans="1:11" s="1611" customFormat="1" ht="28.5" customHeight="1">
      <c r="A2" s="1206" t="str">
        <f>"صورت سود و زیان در دوره " &amp; روکش!F9 &amp; " سال " &amp; روکش!D9</f>
        <v>صورت سود و زیان در دوره شش ماهه سال 1405</v>
      </c>
      <c r="B2" s="1206"/>
      <c r="C2" s="1203"/>
      <c r="D2" s="1203"/>
      <c r="E2" s="1203"/>
      <c r="F2" s="1203"/>
      <c r="G2" s="2271"/>
      <c r="H2" s="1609"/>
      <c r="I2" s="1609"/>
      <c r="J2" s="1630"/>
      <c r="K2" s="1610"/>
    </row>
    <row r="3" spans="1:11" ht="20.100000000000001" customHeight="1" thickBot="1">
      <c r="A3" s="1612"/>
      <c r="B3" s="1612"/>
      <c r="C3" s="1612"/>
      <c r="D3" s="1612"/>
      <c r="E3" s="1612"/>
      <c r="F3" s="1238" t="s">
        <v>30</v>
      </c>
      <c r="G3" s="1586"/>
    </row>
    <row r="4" spans="1:11" ht="27" customHeight="1">
      <c r="A4" s="2937" t="s">
        <v>21</v>
      </c>
      <c r="B4" s="2756" t="s">
        <v>768</v>
      </c>
      <c r="C4" s="1434" t="s">
        <v>642</v>
      </c>
      <c r="D4" s="1435"/>
      <c r="E4" s="1435"/>
      <c r="F4" s="2213"/>
      <c r="G4" s="1376"/>
      <c r="J4" s="1360" t="s">
        <v>792</v>
      </c>
    </row>
    <row r="5" spans="1:11" s="502" customFormat="1" ht="65.25" customHeight="1" thickBot="1">
      <c r="A5" s="2939"/>
      <c r="B5" s="3093"/>
      <c r="C5" s="713" t="s">
        <v>53</v>
      </c>
      <c r="D5" s="714" t="s">
        <v>216</v>
      </c>
      <c r="E5" s="714" t="s">
        <v>804</v>
      </c>
      <c r="F5" s="2875" t="s">
        <v>230</v>
      </c>
      <c r="G5" s="2876"/>
      <c r="J5" s="1193" t="s">
        <v>206</v>
      </c>
    </row>
    <row r="6" spans="1:11" ht="30" hidden="1" customHeight="1">
      <c r="A6" s="1613" t="str">
        <f>'صورتخلاصه درآمد'!A6</f>
        <v xml:space="preserve"> فروش محصولات توليدي (داخلی)</v>
      </c>
      <c r="B6" s="1588">
        <f>'صورتخلاصه درآمد'!B6</f>
        <v>0</v>
      </c>
      <c r="C6" s="1589">
        <f ca="1">'صورتخلاصه درآمد'!C6</f>
        <v>0</v>
      </c>
      <c r="D6" s="1590">
        <f>'صورتخلاصه درآمد'!D6</f>
        <v>0</v>
      </c>
      <c r="E6" s="2155" t="str">
        <f t="shared" ref="E6:E23" si="0">IFERROR((D6-B6)*100/B6,"-")</f>
        <v>-</v>
      </c>
      <c r="F6" s="2265" t="str">
        <f t="shared" ref="F6:F23" ca="1" si="1">IFERROR(D6*100/C6,"-")</f>
        <v>-</v>
      </c>
      <c r="G6" s="2266">
        <f t="shared" ref="G6:G23" ca="1" si="2">IFERROR(ABS(F6-100),500)</f>
        <v>500</v>
      </c>
      <c r="J6" s="1631">
        <f ca="1">B6+C6+D6</f>
        <v>0</v>
      </c>
    </row>
    <row r="7" spans="1:11" ht="30" hidden="1" customHeight="1">
      <c r="A7" s="1613" t="str">
        <f>'صورتخلاصه درآمد'!A7</f>
        <v xml:space="preserve"> فروش كالای تجاری (داخلی)</v>
      </c>
      <c r="B7" s="1588">
        <f>'صورتخلاصه درآمد'!B7</f>
        <v>0</v>
      </c>
      <c r="C7" s="1589">
        <f ca="1">'صورتخلاصه درآمد'!C7</f>
        <v>0</v>
      </c>
      <c r="D7" s="1590">
        <f>'صورتخلاصه درآمد'!D7</f>
        <v>0</v>
      </c>
      <c r="E7" s="1543" t="str">
        <f t="shared" si="0"/>
        <v>-</v>
      </c>
      <c r="F7" s="2267" t="str">
        <f t="shared" ca="1" si="1"/>
        <v>-</v>
      </c>
      <c r="G7" s="2268">
        <f t="shared" ca="1" si="2"/>
        <v>500</v>
      </c>
      <c r="J7" s="1631">
        <f t="shared" ref="J7:J22" ca="1" si="3">B7+C7+D7</f>
        <v>0</v>
      </c>
    </row>
    <row r="8" spans="1:11" ht="30" customHeight="1">
      <c r="A8" s="1613" t="str">
        <f>'صورتخلاصه درآمد'!A8</f>
        <v xml:space="preserve"> درآمد حاصل از ارائه خدمات (داخلی)</v>
      </c>
      <c r="B8" s="1588">
        <f>'صورتخلاصه درآمد'!B8</f>
        <v>1091418</v>
      </c>
      <c r="C8" s="1589">
        <f ca="1">'صورتخلاصه درآمد'!C8</f>
        <v>1753136</v>
      </c>
      <c r="D8" s="1590">
        <f>'صورتخلاصه درآمد'!D8</f>
        <v>2698410</v>
      </c>
      <c r="E8" s="1591">
        <f t="shared" si="0"/>
        <v>147.23891304706353</v>
      </c>
      <c r="F8" s="2267">
        <f t="shared" ca="1" si="1"/>
        <v>153.9190342335107</v>
      </c>
      <c r="G8" s="2268">
        <f t="shared" ca="1" si="2"/>
        <v>53.9190342335107</v>
      </c>
      <c r="J8" s="1631">
        <f t="shared" ca="1" si="3"/>
        <v>5542964</v>
      </c>
    </row>
    <row r="9" spans="1:11" ht="30" customHeight="1">
      <c r="A9" s="1613" t="str">
        <f>'صورتخلاصه درآمد'!A9</f>
        <v>درآمد حاصل از سرمایه‌گذاری</v>
      </c>
      <c r="B9" s="1588">
        <f>'صورتخلاصه درآمد'!B9</f>
        <v>0</v>
      </c>
      <c r="C9" s="1589">
        <f ca="1">'صورتخلاصه درآمد'!C9</f>
        <v>0</v>
      </c>
      <c r="D9" s="1590">
        <f>'صورتخلاصه درآمد'!D9</f>
        <v>0</v>
      </c>
      <c r="E9" s="1591" t="str">
        <f t="shared" si="0"/>
        <v>-</v>
      </c>
      <c r="F9" s="2267" t="str">
        <f t="shared" ca="1" si="1"/>
        <v>-</v>
      </c>
      <c r="G9" s="2268">
        <f t="shared" ca="1" si="2"/>
        <v>500</v>
      </c>
      <c r="J9" s="1631">
        <f ca="1">D9+B9+C9</f>
        <v>0</v>
      </c>
    </row>
    <row r="10" spans="1:11" ht="30" customHeight="1">
      <c r="A10" s="1613" t="str">
        <f>'صورتخلاصه درآمد'!A10</f>
        <v>درآمد حاصل از صادرات</v>
      </c>
      <c r="B10" s="1588">
        <f>'صورتخلاصه درآمد'!B10</f>
        <v>0</v>
      </c>
      <c r="C10" s="1589">
        <f ca="1">'صورتخلاصه درآمد'!C10</f>
        <v>0</v>
      </c>
      <c r="D10" s="1590">
        <f>'صورتخلاصه درآمد'!D10</f>
        <v>0</v>
      </c>
      <c r="E10" s="1591" t="str">
        <f t="shared" si="0"/>
        <v>-</v>
      </c>
      <c r="F10" s="2267" t="str">
        <f t="shared" ca="1" si="1"/>
        <v>-</v>
      </c>
      <c r="G10" s="2268">
        <f t="shared" ca="1" si="2"/>
        <v>500</v>
      </c>
      <c r="J10" s="1631">
        <f t="shared" ca="1" si="3"/>
        <v>0</v>
      </c>
    </row>
    <row r="11" spans="1:11" ht="30" customHeight="1">
      <c r="A11" s="1614" t="s">
        <v>280</v>
      </c>
      <c r="B11" s="1615">
        <f>SUM(B6:B10)</f>
        <v>1091418</v>
      </c>
      <c r="C11" s="1616">
        <f ca="1">SUM(C6:C10)</f>
        <v>1753136</v>
      </c>
      <c r="D11" s="1617">
        <f>SUM(D6:D10)</f>
        <v>2698410</v>
      </c>
      <c r="E11" s="1618">
        <f t="shared" si="0"/>
        <v>147.23891304706353</v>
      </c>
      <c r="F11" s="2272">
        <f t="shared" ca="1" si="1"/>
        <v>153.9190342335107</v>
      </c>
      <c r="G11" s="2273">
        <f t="shared" ca="1" si="2"/>
        <v>53.9190342335107</v>
      </c>
      <c r="J11" s="1631" t="s">
        <v>206</v>
      </c>
    </row>
    <row r="12" spans="1:11" ht="30" customHeight="1">
      <c r="A12" s="1613" t="s">
        <v>36</v>
      </c>
      <c r="B12" s="1588">
        <f ca="1">-'بهای تمام شده تولید'!B25</f>
        <v>0</v>
      </c>
      <c r="C12" s="1589">
        <f ca="1">-'بهای تمام شده تولید'!C25</f>
        <v>0</v>
      </c>
      <c r="D12" s="1590">
        <f ca="1">-'بهای تمام شده تولید'!D25</f>
        <v>0</v>
      </c>
      <c r="E12" s="1591" t="str">
        <f t="shared" ca="1" si="0"/>
        <v>-</v>
      </c>
      <c r="F12" s="2267" t="str">
        <f t="shared" ca="1" si="1"/>
        <v>-</v>
      </c>
      <c r="G12" s="2268">
        <f t="shared" ca="1" si="2"/>
        <v>500</v>
      </c>
      <c r="J12" s="1631">
        <f t="shared" ca="1" si="3"/>
        <v>0</v>
      </c>
    </row>
    <row r="13" spans="1:11" ht="30" customHeight="1">
      <c r="A13" s="1613" t="s">
        <v>70</v>
      </c>
      <c r="B13" s="1588">
        <f>-'بهای کالای تجاری'!B11</f>
        <v>0</v>
      </c>
      <c r="C13" s="1589">
        <f ca="1">-'بهای کالای تجاری'!C11</f>
        <v>0</v>
      </c>
      <c r="D13" s="1590">
        <f>-'بهای کالای تجاری'!D11</f>
        <v>0</v>
      </c>
      <c r="E13" s="1591" t="str">
        <f t="shared" si="0"/>
        <v>-</v>
      </c>
      <c r="F13" s="2267" t="str">
        <f t="shared" ca="1" si="1"/>
        <v>-</v>
      </c>
      <c r="G13" s="2268">
        <f t="shared" ca="1" si="2"/>
        <v>500</v>
      </c>
      <c r="J13" s="1631">
        <f t="shared" ca="1" si="3"/>
        <v>0</v>
      </c>
    </row>
    <row r="14" spans="1:11" ht="30" customHeight="1">
      <c r="A14" s="1613" t="s">
        <v>71</v>
      </c>
      <c r="B14" s="1588">
        <f ca="1">-'بهای خدمات'!B17</f>
        <v>-1271898</v>
      </c>
      <c r="C14" s="1589">
        <f ca="1">-'بهای خدمات'!C17</f>
        <v>-2007347</v>
      </c>
      <c r="D14" s="1590">
        <f ca="1">-'بهای خدمات'!D17</f>
        <v>-2950579</v>
      </c>
      <c r="E14" s="1591">
        <f t="shared" ca="1" si="0"/>
        <v>131.98236022070952</v>
      </c>
      <c r="F14" s="2267">
        <f t="shared" ca="1" si="1"/>
        <v>146.98898596007567</v>
      </c>
      <c r="G14" s="2268">
        <f t="shared" ca="1" si="2"/>
        <v>46.988985960075667</v>
      </c>
      <c r="J14" s="1631">
        <f t="shared" ca="1" si="3"/>
        <v>-6229824</v>
      </c>
    </row>
    <row r="15" spans="1:11" ht="30" customHeight="1">
      <c r="A15" s="1614" t="s">
        <v>207</v>
      </c>
      <c r="B15" s="1615">
        <f ca="1">SUM(B12:B14)</f>
        <v>-1271898</v>
      </c>
      <c r="C15" s="1616">
        <f ca="1">SUM(C12:C14)</f>
        <v>-2007347</v>
      </c>
      <c r="D15" s="1617">
        <f ca="1">SUM(D12:D14)</f>
        <v>-2950579</v>
      </c>
      <c r="E15" s="1618">
        <f t="shared" ca="1" si="0"/>
        <v>131.98236022070952</v>
      </c>
      <c r="F15" s="2272">
        <f t="shared" ca="1" si="1"/>
        <v>146.98898596007567</v>
      </c>
      <c r="G15" s="2273">
        <f t="shared" ca="1" si="2"/>
        <v>46.988985960075667</v>
      </c>
      <c r="J15" s="1631" t="s">
        <v>206</v>
      </c>
    </row>
    <row r="16" spans="1:11" ht="30" customHeight="1">
      <c r="A16" s="1619" t="s">
        <v>1483</v>
      </c>
      <c r="B16" s="1620">
        <f ca="1">B11+B15</f>
        <v>-180480</v>
      </c>
      <c r="C16" s="1621">
        <f ca="1">C11+C15</f>
        <v>-254211</v>
      </c>
      <c r="D16" s="1622">
        <f ca="1">D11+D15</f>
        <v>-252169</v>
      </c>
      <c r="E16" s="1623">
        <f t="shared" ca="1" si="0"/>
        <v>39.721298758865245</v>
      </c>
      <c r="F16" s="2274">
        <f t="shared" ca="1" si="1"/>
        <v>99.196730275243794</v>
      </c>
      <c r="G16" s="2275">
        <f t="shared" ca="1" si="2"/>
        <v>0.80326972475620551</v>
      </c>
      <c r="J16" s="1631" t="s">
        <v>206</v>
      </c>
    </row>
    <row r="17" spans="1:10" ht="30" customHeight="1">
      <c r="A17" s="1613" t="s">
        <v>1484</v>
      </c>
      <c r="B17" s="1588">
        <f>-'هزینه اداری عمومی'!B58</f>
        <v>-158356</v>
      </c>
      <c r="C17" s="1589">
        <f ca="1">-'هزینه اداری عمومی'!C58</f>
        <v>-241264</v>
      </c>
      <c r="D17" s="1590">
        <f>-'هزینه اداری عمومی'!D58</f>
        <v>-264469</v>
      </c>
      <c r="E17" s="1591">
        <f t="shared" si="0"/>
        <v>67.009143954128675</v>
      </c>
      <c r="F17" s="2267">
        <f t="shared" ca="1" si="1"/>
        <v>109.61809470124014</v>
      </c>
      <c r="G17" s="2268">
        <f t="shared" ca="1" si="2"/>
        <v>9.618094701240139</v>
      </c>
      <c r="J17" s="1631" t="s">
        <v>206</v>
      </c>
    </row>
    <row r="18" spans="1:10" ht="30" customHeight="1">
      <c r="A18" s="1613" t="s">
        <v>188</v>
      </c>
      <c r="B18" s="1588">
        <f>'سایر عملیاتی'!B22</f>
        <v>692240</v>
      </c>
      <c r="C18" s="1589">
        <f>'سایر عملیاتی'!C22</f>
        <v>922003</v>
      </c>
      <c r="D18" s="1590">
        <f>'سایر عملیاتی'!D22</f>
        <v>1042459</v>
      </c>
      <c r="E18" s="1591">
        <f t="shared" si="0"/>
        <v>50.592135675488272</v>
      </c>
      <c r="F18" s="2267">
        <f t="shared" si="1"/>
        <v>113.06459957288642</v>
      </c>
      <c r="G18" s="2268">
        <f t="shared" si="2"/>
        <v>13.064599572886422</v>
      </c>
      <c r="J18" s="1631">
        <f t="shared" si="3"/>
        <v>2656702</v>
      </c>
    </row>
    <row r="19" spans="1:10" ht="30" customHeight="1" thickBot="1">
      <c r="A19" s="1613" t="s">
        <v>189</v>
      </c>
      <c r="B19" s="1588">
        <f>-'سایر عملیاتی'!B39</f>
        <v>0</v>
      </c>
      <c r="C19" s="1589">
        <f>-'سایر عملیاتی'!C39</f>
        <v>0</v>
      </c>
      <c r="D19" s="1590">
        <f>-'سایر عملیاتی'!D39</f>
        <v>0</v>
      </c>
      <c r="E19" s="1591" t="str">
        <f t="shared" si="0"/>
        <v>-</v>
      </c>
      <c r="F19" s="2267" t="str">
        <f t="shared" si="1"/>
        <v>-</v>
      </c>
      <c r="G19" s="2268">
        <f t="shared" si="2"/>
        <v>500</v>
      </c>
      <c r="J19" s="1631">
        <f t="shared" si="3"/>
        <v>0</v>
      </c>
    </row>
    <row r="20" spans="1:10" ht="30" customHeight="1">
      <c r="A20" s="1624" t="s">
        <v>1482</v>
      </c>
      <c r="B20" s="1593">
        <f ca="1">SUM(B16:B19)</f>
        <v>353404</v>
      </c>
      <c r="C20" s="1594">
        <f ca="1">SUM(C16:C19)</f>
        <v>426528</v>
      </c>
      <c r="D20" s="1595">
        <f ca="1">SUM(D16:D19)</f>
        <v>525821</v>
      </c>
      <c r="E20" s="1596">
        <f t="shared" ca="1" si="0"/>
        <v>48.787506649613476</v>
      </c>
      <c r="F20" s="2265">
        <f t="shared" ca="1" si="1"/>
        <v>123.27936266786706</v>
      </c>
      <c r="G20" s="2266">
        <f t="shared" ca="1" si="2"/>
        <v>23.279362667867062</v>
      </c>
      <c r="J20" s="1631" t="s">
        <v>206</v>
      </c>
    </row>
    <row r="21" spans="1:10" ht="30" customHeight="1">
      <c r="A21" s="1613" t="s">
        <v>1480</v>
      </c>
      <c r="B21" s="1134"/>
      <c r="C21" s="2154" cm="1">
        <f t="array" aca="1" ref="C21" ca="1">IF(ROW()-ROW($A$21)&lt;'الف-ب-ج'!$L$9,IF(روکش!$F$9="سه ماهه",INDIRECT("BudgetDB!GL"&amp;('الف-ب-ج'!$M$9+ROW()-ROW($A$21))),INDIRECT("BudgetDB!KI"&amp;('الف-ب-ج'!$M$9+ROW()-ROW($A$21)))),"")</f>
        <v>-1710000</v>
      </c>
      <c r="D21" s="695"/>
      <c r="E21" s="1591" t="str">
        <f t="shared" si="0"/>
        <v>-</v>
      </c>
      <c r="F21" s="2267">
        <f t="shared" ca="1" si="1"/>
        <v>0</v>
      </c>
      <c r="G21" s="2268">
        <f t="shared" ca="1" si="2"/>
        <v>100</v>
      </c>
      <c r="J21" s="1631">
        <f t="shared" ca="1" si="3"/>
        <v>-1710000</v>
      </c>
    </row>
    <row r="22" spans="1:10" ht="30" customHeight="1" thickBot="1">
      <c r="A22" s="1613" t="s">
        <v>1485</v>
      </c>
      <c r="B22" s="1588">
        <f>'سایر غیرعملیاتی'!B40</f>
        <v>4</v>
      </c>
      <c r="C22" s="1589">
        <f>'سایر غیرعملیاتی'!C40</f>
        <v>5</v>
      </c>
      <c r="D22" s="1590">
        <f>'سایر غیرعملیاتی'!D40</f>
        <v>100</v>
      </c>
      <c r="E22" s="1591">
        <f t="shared" si="0"/>
        <v>2400</v>
      </c>
      <c r="F22" s="2267">
        <f t="shared" si="1"/>
        <v>2000</v>
      </c>
      <c r="G22" s="2268">
        <f t="shared" si="2"/>
        <v>1900</v>
      </c>
      <c r="J22" s="1631">
        <f t="shared" si="3"/>
        <v>109</v>
      </c>
    </row>
    <row r="23" spans="1:10" ht="30" customHeight="1" thickBot="1">
      <c r="A23" s="1602" t="s">
        <v>1486</v>
      </c>
      <c r="B23" s="1625">
        <f ca="1">SUM(B20:B22)</f>
        <v>353408</v>
      </c>
      <c r="C23" s="1603">
        <f ca="1">SUM(C20:C22)</f>
        <v>-1283467</v>
      </c>
      <c r="D23" s="1604">
        <f ca="1">SUM(D20:D22)</f>
        <v>525921</v>
      </c>
      <c r="E23" s="537">
        <f t="shared" ca="1" si="0"/>
        <v>48.814118525896411</v>
      </c>
      <c r="F23" s="2204">
        <f t="shared" ca="1" si="1"/>
        <v>-40.976589191619261</v>
      </c>
      <c r="G23" s="2205">
        <f t="shared" ca="1" si="2"/>
        <v>140.97658919161927</v>
      </c>
      <c r="J23" s="1631" t="s">
        <v>206</v>
      </c>
    </row>
    <row r="24" spans="1:10" ht="33.75" customHeight="1">
      <c r="A24" s="1626"/>
      <c r="B24" s="1626"/>
      <c r="C24" s="1627"/>
      <c r="E24" s="1627"/>
      <c r="F24" s="1628"/>
      <c r="G24" s="1629"/>
    </row>
    <row r="25" spans="1:10" ht="23.25">
      <c r="A25" s="1607"/>
      <c r="B25" s="1607"/>
      <c r="C25" s="1607"/>
    </row>
  </sheetData>
  <sheetProtection algorithmName="SHA-512" hashValue="kqk+co9X1CggBPDh+poqMaK9bj/9C1n/CguSg1VT4iO3fVZwzBp8uT9i7JU1VY4KGQkSR/lRKFlHKSKrfU6iEQ==" saltValue="RcVhoPz+gQ8/VOjjaXlq1g==" spinCount="100000" sheet="1" objects="1" scenarios="1"/>
  <mergeCells count="4">
    <mergeCell ref="A4:A5"/>
    <mergeCell ref="B4:B5"/>
    <mergeCell ref="A1:G1"/>
    <mergeCell ref="F5:G5"/>
  </mergeCells>
  <conditionalFormatting sqref="B21">
    <cfRule type="expression" dxfId="360" priority="10">
      <formula>B21&gt;0</formula>
    </cfRule>
  </conditionalFormatting>
  <conditionalFormatting sqref="D21">
    <cfRule type="expression" dxfId="359" priority="9">
      <formula>D21&gt;0</formula>
    </cfRule>
  </conditionalFormatting>
  <conditionalFormatting sqref="G6:G23">
    <cfRule type="iconSet" priority="1">
      <iconSet iconSet="3Symbols" showValue="0" reverse="1">
        <cfvo type="percent" val="0"/>
        <cfvo type="num" val="10" gte="0"/>
        <cfvo type="num" val="40"/>
      </iconSet>
    </cfRule>
  </conditionalFormatting>
  <dataValidations count="1">
    <dataValidation type="decimal" operator="lessThanOrEqual" allowBlank="1" showInputMessage="1" showErrorMessage="1" error="هزینه ها باید به صورت عددی منفی درج شوند" sqref="B21 D21" xr:uid="{00000000-0002-0000-3C00-000000000000}">
      <formula1>0</formula1>
    </dataValidation>
  </dataValidations>
  <printOptions horizontalCentered="1"/>
  <pageMargins left="0.59055118110236227" right="0.59055118110236227" top="0.19685039370078741" bottom="0.78740157480314965" header="0.19685039370078741" footer="0.19685039370078741"/>
  <pageSetup paperSize="9" scale="77"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3E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E6:E23</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7">
    <tabColor rgb="FFCD1076"/>
    <pageSetUpPr fitToPage="1"/>
  </sheetPr>
  <dimension ref="A1:K25"/>
  <sheetViews>
    <sheetView rightToLeft="1" view="pageBreakPreview" zoomScaleNormal="100" zoomScaleSheetLayoutView="100" workbookViewId="0">
      <selection activeCell="C25" sqref="C25"/>
    </sheetView>
  </sheetViews>
  <sheetFormatPr defaultColWidth="9" defaultRowHeight="21"/>
  <cols>
    <col min="1" max="1" width="40.42578125" style="37" bestFit="1" customWidth="1"/>
    <col min="2" max="4" width="15.5703125" style="37" customWidth="1"/>
    <col min="5" max="5" width="15.42578125" style="37" customWidth="1"/>
    <col min="6" max="6" width="12.5703125" style="37" customWidth="1"/>
    <col min="7" max="7" width="3.7109375" style="37" customWidth="1"/>
    <col min="8" max="9" width="9" style="37"/>
    <col min="10" max="10" width="9" style="1360" hidden="1" customWidth="1"/>
    <col min="11" max="16384" width="9" style="37"/>
  </cols>
  <sheetData>
    <row r="1" spans="1:11" s="5" customFormat="1" ht="24" customHeight="1">
      <c r="A1" s="2685" t="str">
        <f>روکش!D4</f>
        <v>انبارهای عمومی و خدمات گمرکی ایران</v>
      </c>
      <c r="B1" s="2685"/>
      <c r="C1" s="2685"/>
      <c r="D1" s="2685"/>
      <c r="E1" s="2685"/>
      <c r="F1" s="2685"/>
      <c r="G1" s="2685"/>
      <c r="H1" s="212"/>
      <c r="I1" s="212"/>
      <c r="J1" s="1081"/>
      <c r="K1" s="212"/>
    </row>
    <row r="2" spans="1:11" s="5" customFormat="1" ht="28.5" customHeight="1">
      <c r="A2" s="1206" t="str">
        <f>"صورت سود و زیان شرکت اصلی در دوره " &amp; روکش!F9 &amp; " سال " &amp; روکش!D9</f>
        <v>صورت سود و زیان شرکت اصلی در دوره شش ماهه سال 1405</v>
      </c>
      <c r="B2" s="1206"/>
      <c r="C2" s="1203"/>
      <c r="D2" s="1203"/>
      <c r="E2" s="1203"/>
      <c r="F2" s="1203"/>
      <c r="G2" s="2276"/>
      <c r="H2" s="251"/>
      <c r="I2" s="251"/>
      <c r="J2" s="1634"/>
      <c r="K2" s="212"/>
    </row>
    <row r="3" spans="1:11" ht="20.100000000000001" customHeight="1" thickBot="1">
      <c r="A3" s="1612"/>
      <c r="B3" s="1612"/>
      <c r="C3" s="1612"/>
      <c r="D3" s="1612"/>
      <c r="E3" s="1612"/>
      <c r="F3" s="1238" t="s">
        <v>30</v>
      </c>
      <c r="G3" s="961"/>
    </row>
    <row r="4" spans="1:11" ht="27" customHeight="1">
      <c r="A4" s="2937" t="s">
        <v>21</v>
      </c>
      <c r="B4" s="2756" t="s">
        <v>768</v>
      </c>
      <c r="C4" s="1434" t="s">
        <v>642</v>
      </c>
      <c r="D4" s="1435"/>
      <c r="E4" s="1435"/>
      <c r="F4" s="2213"/>
      <c r="G4" s="1376"/>
      <c r="J4" s="1360" t="s">
        <v>792</v>
      </c>
    </row>
    <row r="5" spans="1:11" s="1" customFormat="1" ht="65.25" customHeight="1" thickBot="1">
      <c r="A5" s="2939"/>
      <c r="B5" s="3093"/>
      <c r="C5" s="713" t="s">
        <v>53</v>
      </c>
      <c r="D5" s="714" t="s">
        <v>216</v>
      </c>
      <c r="E5" s="714" t="s">
        <v>804</v>
      </c>
      <c r="F5" s="2875" t="s">
        <v>230</v>
      </c>
      <c r="G5" s="2876"/>
      <c r="J5" s="1193" t="s">
        <v>206</v>
      </c>
    </row>
    <row r="6" spans="1:11" ht="30" customHeight="1">
      <c r="A6" s="1613" t="str">
        <f>'صورتخلاصه درآمد'!A6</f>
        <v xml:space="preserve"> فروش محصولات توليدي (داخلی)</v>
      </c>
      <c r="B6" s="1135"/>
      <c r="C6" s="2156"/>
      <c r="D6" s="2156"/>
      <c r="E6" s="2155" t="str">
        <f t="shared" ref="E6:E23" si="0">IFERROR((D6-B6)*100/B6,"-")</f>
        <v>-</v>
      </c>
      <c r="F6" s="2265" t="str">
        <f t="shared" ref="F6:F23" si="1">IFERROR(D6*100/C6,"-")</f>
        <v>-</v>
      </c>
      <c r="G6" s="2266">
        <f t="shared" ref="G6:G23" si="2">IFERROR(ABS(F6-100),500)</f>
        <v>500</v>
      </c>
      <c r="J6" s="1631">
        <f>B6+C6+D6</f>
        <v>0</v>
      </c>
    </row>
    <row r="7" spans="1:11" ht="30" customHeight="1">
      <c r="A7" s="1613" t="str">
        <f>'صورتخلاصه درآمد'!A7</f>
        <v xml:space="preserve"> فروش كالای تجاری (داخلی)</v>
      </c>
      <c r="B7" s="1134"/>
      <c r="C7" s="695"/>
      <c r="D7" s="695"/>
      <c r="E7" s="1543" t="str">
        <f t="shared" si="0"/>
        <v>-</v>
      </c>
      <c r="F7" s="2267" t="str">
        <f t="shared" si="1"/>
        <v>-</v>
      </c>
      <c r="G7" s="2268">
        <f t="shared" si="2"/>
        <v>500</v>
      </c>
      <c r="J7" s="1631">
        <f>B7+C7+D7</f>
        <v>0</v>
      </c>
    </row>
    <row r="8" spans="1:11" ht="30" customHeight="1">
      <c r="A8" s="1613" t="str">
        <f>'صورتخلاصه درآمد'!A8</f>
        <v xml:space="preserve"> درآمد حاصل از ارائه خدمات (داخلی)</v>
      </c>
      <c r="B8" s="1134"/>
      <c r="C8" s="695"/>
      <c r="D8" s="695"/>
      <c r="E8" s="1591" t="str">
        <f t="shared" si="0"/>
        <v>-</v>
      </c>
      <c r="F8" s="2267" t="str">
        <f t="shared" si="1"/>
        <v>-</v>
      </c>
      <c r="G8" s="2268">
        <f t="shared" si="2"/>
        <v>500</v>
      </c>
      <c r="J8" s="1631">
        <f>B8+C8+D8</f>
        <v>0</v>
      </c>
    </row>
    <row r="9" spans="1:11" ht="30" customHeight="1">
      <c r="A9" s="1613" t="str">
        <f>'صورتخلاصه درآمد'!A9</f>
        <v>درآمد حاصل از سرمایه‌گذاری</v>
      </c>
      <c r="B9" s="1134"/>
      <c r="C9" s="695"/>
      <c r="D9" s="695"/>
      <c r="E9" s="1591" t="str">
        <f t="shared" si="0"/>
        <v>-</v>
      </c>
      <c r="F9" s="2267" t="str">
        <f t="shared" si="1"/>
        <v>-</v>
      </c>
      <c r="G9" s="2268">
        <f t="shared" si="2"/>
        <v>500</v>
      </c>
      <c r="J9" s="1631">
        <f>D9+B9+C9</f>
        <v>0</v>
      </c>
    </row>
    <row r="10" spans="1:11" ht="30" customHeight="1">
      <c r="A10" s="1613" t="str">
        <f>'صورتخلاصه درآمد'!A10</f>
        <v>درآمد حاصل از صادرات</v>
      </c>
      <c r="B10" s="1136"/>
      <c r="C10" s="696"/>
      <c r="D10" s="696"/>
      <c r="E10" s="1591" t="str">
        <f t="shared" si="0"/>
        <v>-</v>
      </c>
      <c r="F10" s="2267" t="str">
        <f t="shared" si="1"/>
        <v>-</v>
      </c>
      <c r="G10" s="2268">
        <f t="shared" si="2"/>
        <v>500</v>
      </c>
      <c r="J10" s="1631">
        <f>B10+C10+D10</f>
        <v>0</v>
      </c>
    </row>
    <row r="11" spans="1:11" ht="30" customHeight="1">
      <c r="A11" s="1614" t="s">
        <v>280</v>
      </c>
      <c r="B11" s="1615">
        <f>SUM(B6:B10)</f>
        <v>0</v>
      </c>
      <c r="C11" s="1617">
        <f>SUM(C6:C10)</f>
        <v>0</v>
      </c>
      <c r="D11" s="1617">
        <f>SUM(D6:D10)</f>
        <v>0</v>
      </c>
      <c r="E11" s="1618" t="str">
        <f t="shared" si="0"/>
        <v>-</v>
      </c>
      <c r="F11" s="2272" t="str">
        <f t="shared" si="1"/>
        <v>-</v>
      </c>
      <c r="G11" s="2273">
        <f t="shared" si="2"/>
        <v>500</v>
      </c>
      <c r="J11" s="1631" t="s">
        <v>206</v>
      </c>
    </row>
    <row r="12" spans="1:11" ht="30" customHeight="1">
      <c r="A12" s="1613" t="s">
        <v>36</v>
      </c>
      <c r="B12" s="1137"/>
      <c r="C12" s="2157"/>
      <c r="D12" s="2157"/>
      <c r="E12" s="1591" t="str">
        <f t="shared" si="0"/>
        <v>-</v>
      </c>
      <c r="F12" s="2267" t="str">
        <f t="shared" si="1"/>
        <v>-</v>
      </c>
      <c r="G12" s="2268">
        <f t="shared" si="2"/>
        <v>500</v>
      </c>
      <c r="J12" s="1631">
        <f>B12+C12+D12</f>
        <v>0</v>
      </c>
    </row>
    <row r="13" spans="1:11" ht="30" customHeight="1">
      <c r="A13" s="1613" t="s">
        <v>70</v>
      </c>
      <c r="B13" s="1137"/>
      <c r="C13" s="695"/>
      <c r="D13" s="695"/>
      <c r="E13" s="1591" t="str">
        <f t="shared" si="0"/>
        <v>-</v>
      </c>
      <c r="F13" s="2267" t="str">
        <f t="shared" si="1"/>
        <v>-</v>
      </c>
      <c r="G13" s="2268">
        <f t="shared" si="2"/>
        <v>500</v>
      </c>
      <c r="J13" s="1631">
        <f>B13+C13+D13</f>
        <v>0</v>
      </c>
    </row>
    <row r="14" spans="1:11" ht="30" customHeight="1">
      <c r="A14" s="1613" t="s">
        <v>71</v>
      </c>
      <c r="B14" s="1137"/>
      <c r="C14" s="696"/>
      <c r="D14" s="696"/>
      <c r="E14" s="1591" t="str">
        <f t="shared" si="0"/>
        <v>-</v>
      </c>
      <c r="F14" s="2267" t="str">
        <f t="shared" si="1"/>
        <v>-</v>
      </c>
      <c r="G14" s="2268">
        <f t="shared" si="2"/>
        <v>500</v>
      </c>
      <c r="J14" s="1631">
        <f>B14+C14+D14</f>
        <v>0</v>
      </c>
    </row>
    <row r="15" spans="1:11" ht="30" customHeight="1">
      <c r="A15" s="1614" t="s">
        <v>207</v>
      </c>
      <c r="B15" s="1615">
        <f>SUM(B12:B14)</f>
        <v>0</v>
      </c>
      <c r="C15" s="1617">
        <f>SUM(C12:C14)</f>
        <v>0</v>
      </c>
      <c r="D15" s="1617">
        <f>SUM(D12:D14)</f>
        <v>0</v>
      </c>
      <c r="E15" s="1618" t="str">
        <f t="shared" si="0"/>
        <v>-</v>
      </c>
      <c r="F15" s="2272" t="str">
        <f t="shared" si="1"/>
        <v>-</v>
      </c>
      <c r="G15" s="2273">
        <f t="shared" si="2"/>
        <v>500</v>
      </c>
      <c r="J15" s="1631" t="s">
        <v>206</v>
      </c>
    </row>
    <row r="16" spans="1:11" ht="30" customHeight="1">
      <c r="A16" s="1619" t="s">
        <v>1483</v>
      </c>
      <c r="B16" s="1620">
        <f>B11+B15</f>
        <v>0</v>
      </c>
      <c r="C16" s="1622">
        <f>C11+C15</f>
        <v>0</v>
      </c>
      <c r="D16" s="1622">
        <f>D11+D15</f>
        <v>0</v>
      </c>
      <c r="E16" s="1623" t="str">
        <f t="shared" si="0"/>
        <v>-</v>
      </c>
      <c r="F16" s="2274" t="str">
        <f t="shared" si="1"/>
        <v>-</v>
      </c>
      <c r="G16" s="2275">
        <f t="shared" si="2"/>
        <v>500</v>
      </c>
      <c r="J16" s="1631" t="s">
        <v>206</v>
      </c>
    </row>
    <row r="17" spans="1:10" ht="30" customHeight="1">
      <c r="A17" s="1613" t="s">
        <v>1484</v>
      </c>
      <c r="B17" s="1137"/>
      <c r="C17" s="695"/>
      <c r="D17" s="695"/>
      <c r="E17" s="1591" t="str">
        <f t="shared" si="0"/>
        <v>-</v>
      </c>
      <c r="F17" s="2267" t="str">
        <f t="shared" si="1"/>
        <v>-</v>
      </c>
      <c r="G17" s="2268">
        <f t="shared" si="2"/>
        <v>500</v>
      </c>
      <c r="J17" s="1631" t="s">
        <v>206</v>
      </c>
    </row>
    <row r="18" spans="1:10" ht="30" customHeight="1">
      <c r="A18" s="1613" t="s">
        <v>188</v>
      </c>
      <c r="B18" s="1137"/>
      <c r="C18" s="695"/>
      <c r="D18" s="695"/>
      <c r="E18" s="1591" t="str">
        <f t="shared" si="0"/>
        <v>-</v>
      </c>
      <c r="F18" s="2267" t="str">
        <f t="shared" si="1"/>
        <v>-</v>
      </c>
      <c r="G18" s="2268">
        <f t="shared" si="2"/>
        <v>500</v>
      </c>
      <c r="J18" s="1631">
        <f>B18+C18+D18</f>
        <v>0</v>
      </c>
    </row>
    <row r="19" spans="1:10" ht="30" customHeight="1" thickBot="1">
      <c r="A19" s="1613" t="s">
        <v>189</v>
      </c>
      <c r="B19" s="1137"/>
      <c r="C19" s="695"/>
      <c r="D19" s="695"/>
      <c r="E19" s="1591" t="str">
        <f t="shared" si="0"/>
        <v>-</v>
      </c>
      <c r="F19" s="2267" t="str">
        <f t="shared" si="1"/>
        <v>-</v>
      </c>
      <c r="G19" s="2268">
        <f t="shared" si="2"/>
        <v>500</v>
      </c>
      <c r="J19" s="1631">
        <f>B19+C19+D19</f>
        <v>0</v>
      </c>
    </row>
    <row r="20" spans="1:10" ht="30" customHeight="1">
      <c r="A20" s="1624" t="s">
        <v>1482</v>
      </c>
      <c r="B20" s="1593">
        <f>SUM(B16:B19)</f>
        <v>0</v>
      </c>
      <c r="C20" s="1595">
        <f>SUM(C16:C19)</f>
        <v>0</v>
      </c>
      <c r="D20" s="1595">
        <f>SUM(D16:D19)</f>
        <v>0</v>
      </c>
      <c r="E20" s="1596" t="str">
        <f t="shared" si="0"/>
        <v>-</v>
      </c>
      <c r="F20" s="2265" t="str">
        <f t="shared" si="1"/>
        <v>-</v>
      </c>
      <c r="G20" s="2266">
        <f t="shared" si="2"/>
        <v>500</v>
      </c>
      <c r="J20" s="1631" t="s">
        <v>206</v>
      </c>
    </row>
    <row r="21" spans="1:10" ht="30" customHeight="1">
      <c r="A21" s="1613" t="s">
        <v>1480</v>
      </c>
      <c r="B21" s="1137"/>
      <c r="C21" s="695"/>
      <c r="D21" s="695"/>
      <c r="E21" s="1591" t="str">
        <f t="shared" si="0"/>
        <v>-</v>
      </c>
      <c r="F21" s="2267" t="str">
        <f t="shared" si="1"/>
        <v>-</v>
      </c>
      <c r="G21" s="2268">
        <f t="shared" si="2"/>
        <v>500</v>
      </c>
      <c r="J21" s="1631">
        <f>B21+C21+D21</f>
        <v>0</v>
      </c>
    </row>
    <row r="22" spans="1:10" ht="30" customHeight="1" thickBot="1">
      <c r="A22" s="1613" t="s">
        <v>1485</v>
      </c>
      <c r="B22" s="1137"/>
      <c r="C22" s="2158"/>
      <c r="D22" s="2158"/>
      <c r="E22" s="1591" t="str">
        <f t="shared" si="0"/>
        <v>-</v>
      </c>
      <c r="F22" s="2267" t="str">
        <f t="shared" si="1"/>
        <v>-</v>
      </c>
      <c r="G22" s="2268">
        <f t="shared" si="2"/>
        <v>500</v>
      </c>
      <c r="J22" s="1631">
        <f>B22+C22+D22</f>
        <v>0</v>
      </c>
    </row>
    <row r="23" spans="1:10" ht="30" customHeight="1" thickBot="1">
      <c r="A23" s="1602" t="s">
        <v>1486</v>
      </c>
      <c r="B23" s="1625">
        <f>SUM(B20:B22)</f>
        <v>0</v>
      </c>
      <c r="C23" s="1603">
        <f>SUM(C20:C22)</f>
        <v>0</v>
      </c>
      <c r="D23" s="1604">
        <f>SUM(D20:D22)</f>
        <v>0</v>
      </c>
      <c r="E23" s="537" t="str">
        <f t="shared" si="0"/>
        <v>-</v>
      </c>
      <c r="F23" s="2204" t="str">
        <f t="shared" si="1"/>
        <v>-</v>
      </c>
      <c r="G23" s="2205">
        <f t="shared" si="2"/>
        <v>500</v>
      </c>
      <c r="J23" s="1631" t="s">
        <v>206</v>
      </c>
    </row>
    <row r="24" spans="1:10" ht="33.75" customHeight="1">
      <c r="A24" s="847"/>
      <c r="B24" s="847"/>
      <c r="C24" s="8"/>
      <c r="E24" s="8"/>
      <c r="F24" s="964"/>
      <c r="G24" s="965"/>
    </row>
    <row r="25" spans="1:10" ht="23.25">
      <c r="A25" s="962"/>
      <c r="B25" s="962"/>
      <c r="C25" s="962"/>
    </row>
  </sheetData>
  <sheetProtection algorithmName="SHA-512" hashValue="+NcLc4f8Y9wEe9qtIO2yfyaMQU4SZ/ng/KW3VblZb58sZktOX3eKRb6q5F9FZYYe/Z0Qtw+XWHBcdv918zL+Hg==" saltValue="O68VlCL4BPzpTC21pI7o1g==" spinCount="100000" sheet="1" objects="1" scenarios="1"/>
  <mergeCells count="4">
    <mergeCell ref="A4:A5"/>
    <mergeCell ref="B4:B5"/>
    <mergeCell ref="A1:G1"/>
    <mergeCell ref="F5:G5"/>
  </mergeCells>
  <conditionalFormatting sqref="B6:B10">
    <cfRule type="expression" dxfId="358" priority="24">
      <formula>B6&lt;0</formula>
    </cfRule>
  </conditionalFormatting>
  <conditionalFormatting sqref="D6:D10">
    <cfRule type="expression" dxfId="357" priority="23">
      <formula>D6&lt;0</formula>
    </cfRule>
  </conditionalFormatting>
  <conditionalFormatting sqref="B12:B14">
    <cfRule type="expression" dxfId="356" priority="22">
      <formula>B12&gt;0</formula>
    </cfRule>
  </conditionalFormatting>
  <conditionalFormatting sqref="D12:D14">
    <cfRule type="expression" dxfId="355" priority="21">
      <formula>D12&gt;0</formula>
    </cfRule>
  </conditionalFormatting>
  <conditionalFormatting sqref="B17">
    <cfRule type="expression" dxfId="354" priority="20">
      <formula>B17&gt;0</formula>
    </cfRule>
  </conditionalFormatting>
  <conditionalFormatting sqref="D17">
    <cfRule type="expression" dxfId="353" priority="19">
      <formula>D17&gt;0</formula>
    </cfRule>
  </conditionalFormatting>
  <conditionalFormatting sqref="B19">
    <cfRule type="expression" dxfId="352" priority="18">
      <formula>B19&gt;0</formula>
    </cfRule>
  </conditionalFormatting>
  <conditionalFormatting sqref="D19">
    <cfRule type="expression" dxfId="351" priority="17">
      <formula>D19&gt;0</formula>
    </cfRule>
  </conditionalFormatting>
  <conditionalFormatting sqref="B18">
    <cfRule type="expression" dxfId="350" priority="16">
      <formula>B18&lt;0</formula>
    </cfRule>
  </conditionalFormatting>
  <conditionalFormatting sqref="D18">
    <cfRule type="expression" dxfId="349" priority="15">
      <formula>D18&lt;0</formula>
    </cfRule>
  </conditionalFormatting>
  <conditionalFormatting sqref="B21">
    <cfRule type="expression" dxfId="348" priority="14">
      <formula>B21&gt;0</formula>
    </cfRule>
  </conditionalFormatting>
  <conditionalFormatting sqref="D21">
    <cfRule type="expression" dxfId="347" priority="13">
      <formula>D21&gt;0</formula>
    </cfRule>
  </conditionalFormatting>
  <conditionalFormatting sqref="G6:G23">
    <cfRule type="iconSet" priority="7">
      <iconSet iconSet="3Symbols" showValue="0" reverse="1">
        <cfvo type="percent" val="0"/>
        <cfvo type="num" val="10" gte="0"/>
        <cfvo type="num" val="40"/>
      </iconSet>
    </cfRule>
  </conditionalFormatting>
  <conditionalFormatting sqref="C6:C10">
    <cfRule type="expression" dxfId="346" priority="6">
      <formula>C6&lt;0</formula>
    </cfRule>
  </conditionalFormatting>
  <conditionalFormatting sqref="C12:C14">
    <cfRule type="expression" dxfId="345" priority="5">
      <formula>C12&gt;0</formula>
    </cfRule>
  </conditionalFormatting>
  <conditionalFormatting sqref="C17">
    <cfRule type="expression" dxfId="344" priority="4">
      <formula>C17&gt;0</formula>
    </cfRule>
  </conditionalFormatting>
  <conditionalFormatting sqref="C19">
    <cfRule type="expression" dxfId="343" priority="3">
      <formula>C19&gt;0</formula>
    </cfRule>
  </conditionalFormatting>
  <conditionalFormatting sqref="C18">
    <cfRule type="expression" dxfId="342" priority="2">
      <formula>C18&lt;0</formula>
    </cfRule>
  </conditionalFormatting>
  <conditionalFormatting sqref="C21">
    <cfRule type="expression" dxfId="341" priority="1">
      <formula>C21&gt;0</formula>
    </cfRule>
  </conditionalFormatting>
  <dataValidations count="2">
    <dataValidation type="decimal" operator="lessThanOrEqual" allowBlank="1" showInputMessage="1" showErrorMessage="1" error="هزینه ها باید به صورت عددی منفی درج شوند" sqref="B12:B14 D12:D14 B17 D17 D19 B19 B21 D21" xr:uid="{00000000-0002-0000-3D00-000000000000}">
      <formula1>0</formula1>
    </dataValidation>
    <dataValidation type="decimal" operator="greaterThanOrEqual" allowBlank="1" showInputMessage="1" showErrorMessage="1" error="درآمدها باید به صورت عددی مثبت درج شوند" sqref="B18 D18 B6:B8 B10 D10 D6:D8" xr:uid="{00000000-0002-0000-3D00-000001000000}">
      <formula1>0</formula1>
    </dataValidation>
  </dataValidations>
  <printOptions horizontalCentered="1"/>
  <pageMargins left="0.59055118110236227" right="0.59055118110236227" top="0.19685039370078741" bottom="0.78740157480314965" header="0.19685039370078741" footer="0.19685039370078741"/>
  <pageSetup paperSize="9" scale="7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14086480-3007-423C-B9B3-7D56E8502CDA}">
            <x14:iconSet iconSet="3Symbols" custom="1">
              <x14:cfvo type="percent">
                <xm:f>0</xm:f>
              </x14:cfvo>
              <x14:cfvo type="num">
                <xm:f>0</xm:f>
              </x14:cfvo>
              <x14:cfvo type="num">
                <xm:f>0</xm:f>
              </x14:cfvo>
              <x14:cfIcon iconSet="3Symbols" iconId="1"/>
              <x14:cfIcon iconSet="3Symbols" iconId="1"/>
              <x14:cfIcon iconSet="NoIcons" iconId="0"/>
            </x14:iconSet>
          </x14:cfRule>
          <xm:sqref>E6:E23</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3">
    <tabColor rgb="FF32CD32"/>
    <pageSetUpPr fitToPage="1"/>
  </sheetPr>
  <dimension ref="A1:I89"/>
  <sheetViews>
    <sheetView rightToLeft="1" view="pageBreakPreview" zoomScale="115" zoomScaleNormal="100" zoomScaleSheetLayoutView="115" workbookViewId="0">
      <selection activeCell="F46" sqref="F46"/>
    </sheetView>
  </sheetViews>
  <sheetFormatPr defaultColWidth="9" defaultRowHeight="21"/>
  <cols>
    <col min="1" max="1" width="50.140625" style="1" bestFit="1" customWidth="1"/>
    <col min="2" max="2" width="22" style="1" customWidth="1"/>
    <col min="3" max="3" width="23.28515625" style="1" customWidth="1"/>
    <col min="4" max="5" width="9" style="86"/>
    <col min="6" max="6" width="9" style="1"/>
    <col min="7" max="7" width="9" style="1" customWidth="1"/>
    <col min="8" max="8" width="9" style="1193" hidden="1" customWidth="1"/>
    <col min="9" max="9" width="9" style="1" customWidth="1"/>
    <col min="10" max="16384" width="9" style="1"/>
  </cols>
  <sheetData>
    <row r="1" spans="1:9" s="5" customFormat="1" ht="24" customHeight="1">
      <c r="A1" s="3094" t="str">
        <f>روکش!D4</f>
        <v>انبارهای عمومی و خدمات گمرکی ایران</v>
      </c>
      <c r="B1" s="3094"/>
      <c r="C1" s="3094"/>
      <c r="D1" s="79"/>
      <c r="E1" s="79"/>
      <c r="F1" s="212"/>
      <c r="G1" s="212"/>
      <c r="H1" s="1081" t="s">
        <v>206</v>
      </c>
      <c r="I1" s="212"/>
    </row>
    <row r="2" spans="1:9" s="5" customFormat="1" ht="28.5" customHeight="1">
      <c r="A2" s="1355" t="str">
        <f>" صورت وضعیت مالی در پایان دوره " &amp; روکش!F9 &amp; " سال " &amp; روکش!D9</f>
        <v xml:space="preserve"> صورت وضعیت مالی در پایان دوره شش ماهه سال 1405</v>
      </c>
      <c r="B2" s="1299"/>
      <c r="C2" s="1299"/>
      <c r="D2" s="79"/>
      <c r="E2" s="79"/>
      <c r="F2" s="212"/>
      <c r="G2" s="212"/>
      <c r="H2" s="1081" t="s">
        <v>206</v>
      </c>
      <c r="I2" s="212"/>
    </row>
    <row r="3" spans="1:9" ht="20.100000000000001" customHeight="1" thickBot="1">
      <c r="A3" s="867"/>
      <c r="B3" s="867"/>
      <c r="C3" s="1565" t="s">
        <v>30</v>
      </c>
      <c r="H3" s="1193" t="s">
        <v>206</v>
      </c>
    </row>
    <row r="4" spans="1:9" ht="48.75" thickBot="1">
      <c r="A4" s="1226" t="s">
        <v>21</v>
      </c>
      <c r="B4" s="1567" t="s">
        <v>187</v>
      </c>
      <c r="C4" s="1567" t="s">
        <v>718</v>
      </c>
      <c r="H4" s="1193" t="s">
        <v>206</v>
      </c>
    </row>
    <row r="5" spans="1:9" ht="21" customHeight="1">
      <c r="A5" s="953" t="s">
        <v>1440</v>
      </c>
      <c r="B5" s="1233"/>
      <c r="C5" s="1240"/>
      <c r="H5" s="1193" t="s">
        <v>206</v>
      </c>
    </row>
    <row r="6" spans="1:9" ht="21" customHeight="1">
      <c r="A6" s="954" t="s">
        <v>1441</v>
      </c>
      <c r="B6" s="1229">
        <v>1100605</v>
      </c>
      <c r="C6" s="1229">
        <v>1779720</v>
      </c>
      <c r="H6" s="1501">
        <f t="shared" ref="H6:H17" si="0">B6+C6</f>
        <v>2880325</v>
      </c>
    </row>
    <row r="7" spans="1:9" ht="21" customHeight="1">
      <c r="A7" s="1800" t="s">
        <v>2230</v>
      </c>
      <c r="B7" s="1229">
        <v>0</v>
      </c>
      <c r="C7" s="1241">
        <v>0</v>
      </c>
      <c r="H7" s="1501">
        <f t="shared" si="0"/>
        <v>0</v>
      </c>
    </row>
    <row r="8" spans="1:9" ht="21" customHeight="1">
      <c r="A8" s="955" t="s">
        <v>1442</v>
      </c>
      <c r="B8" s="1229">
        <v>48</v>
      </c>
      <c r="C8" s="1241">
        <v>48</v>
      </c>
      <c r="H8" s="1501">
        <f t="shared" si="0"/>
        <v>96</v>
      </c>
    </row>
    <row r="9" spans="1:9" ht="21" customHeight="1">
      <c r="A9" s="955" t="s">
        <v>1443</v>
      </c>
      <c r="B9" s="1229">
        <v>0</v>
      </c>
      <c r="C9" s="1241">
        <v>0</v>
      </c>
      <c r="H9" s="1501">
        <f t="shared" si="0"/>
        <v>0</v>
      </c>
    </row>
    <row r="10" spans="1:9" ht="21" customHeight="1">
      <c r="A10" s="955" t="s">
        <v>1444</v>
      </c>
      <c r="B10" s="1229">
        <v>0</v>
      </c>
      <c r="C10" s="1241">
        <v>0</v>
      </c>
      <c r="H10" s="1501">
        <f t="shared" si="0"/>
        <v>0</v>
      </c>
    </row>
    <row r="11" spans="1:9" ht="21" customHeight="1">
      <c r="A11" s="955" t="s">
        <v>1445</v>
      </c>
      <c r="B11" s="1577">
        <f>'اقلام عمده حسابها '!B21</f>
        <v>0</v>
      </c>
      <c r="C11" s="1578">
        <f>'اقلام عمده حسابها '!C21</f>
        <v>0</v>
      </c>
      <c r="H11" s="1501">
        <f t="shared" si="0"/>
        <v>0</v>
      </c>
    </row>
    <row r="12" spans="1:9" ht="21" customHeight="1">
      <c r="A12" s="955" t="s">
        <v>1446</v>
      </c>
      <c r="B12" s="1229">
        <v>0</v>
      </c>
      <c r="C12" s="1241">
        <v>0</v>
      </c>
      <c r="H12" s="1501">
        <f t="shared" si="0"/>
        <v>0</v>
      </c>
    </row>
    <row r="13" spans="1:9" ht="21" customHeight="1">
      <c r="A13" s="955" t="s">
        <v>3046</v>
      </c>
      <c r="B13" s="1229">
        <v>0</v>
      </c>
      <c r="C13" s="1241">
        <v>0</v>
      </c>
      <c r="H13" s="1501">
        <f t="shared" si="0"/>
        <v>0</v>
      </c>
    </row>
    <row r="14" spans="1:9" ht="21" customHeight="1">
      <c r="A14" s="955" t="s">
        <v>2618</v>
      </c>
      <c r="B14" s="1229">
        <v>0</v>
      </c>
      <c r="C14" s="1241">
        <v>0</v>
      </c>
      <c r="H14" s="1501">
        <f t="shared" si="0"/>
        <v>0</v>
      </c>
    </row>
    <row r="15" spans="1:9" ht="21" customHeight="1">
      <c r="A15" s="955" t="s">
        <v>1447</v>
      </c>
      <c r="B15" s="1229">
        <v>0</v>
      </c>
      <c r="C15" s="1241">
        <v>0</v>
      </c>
      <c r="H15" s="1501">
        <f t="shared" si="0"/>
        <v>0</v>
      </c>
    </row>
    <row r="16" spans="1:9" ht="21" customHeight="1">
      <c r="A16" s="955" t="s">
        <v>1448</v>
      </c>
      <c r="B16" s="1229">
        <v>0</v>
      </c>
      <c r="C16" s="1241">
        <v>0</v>
      </c>
      <c r="H16" s="1501">
        <f t="shared" si="0"/>
        <v>0</v>
      </c>
    </row>
    <row r="17" spans="1:8" ht="21" customHeight="1">
      <c r="A17" s="955" t="s">
        <v>1449</v>
      </c>
      <c r="B17" s="1229">
        <v>1206</v>
      </c>
      <c r="C17" s="1241">
        <v>1206</v>
      </c>
      <c r="H17" s="1501">
        <f t="shared" si="0"/>
        <v>2412</v>
      </c>
    </row>
    <row r="18" spans="1:8" s="98" customFormat="1" ht="21" customHeight="1">
      <c r="A18" s="956" t="s">
        <v>1450</v>
      </c>
      <c r="B18" s="1230">
        <f>SUM(B6:B17)</f>
        <v>1101859</v>
      </c>
      <c r="C18" s="1245">
        <f>SUM(C6:C17)</f>
        <v>1780974</v>
      </c>
      <c r="D18" s="99"/>
      <c r="E18" s="99"/>
      <c r="H18" s="1501" t="s">
        <v>206</v>
      </c>
    </row>
    <row r="19" spans="1:8" ht="21" customHeight="1">
      <c r="A19" s="957" t="s">
        <v>1451</v>
      </c>
      <c r="B19" s="1583"/>
      <c r="C19" s="1584"/>
      <c r="H19" s="1501" t="s">
        <v>206</v>
      </c>
    </row>
    <row r="20" spans="1:8" ht="21" customHeight="1">
      <c r="A20" s="955" t="s">
        <v>1452</v>
      </c>
      <c r="B20" s="1577">
        <f>'اقلام عمده حسابها '!B38</f>
        <v>165805</v>
      </c>
      <c r="C20" s="1578">
        <f>'اقلام عمده حسابها '!C38</f>
        <v>162396</v>
      </c>
      <c r="H20" s="1501">
        <f t="shared" ref="H20:H27" si="1">B20+C20</f>
        <v>328201</v>
      </c>
    </row>
    <row r="21" spans="1:8" ht="21" customHeight="1">
      <c r="A21" s="955" t="s">
        <v>1453</v>
      </c>
      <c r="B21" s="1577">
        <f>'موجودی مواد و کالا'!B13</f>
        <v>11927</v>
      </c>
      <c r="C21" s="1578">
        <f>'موجودی مواد و کالا'!C13</f>
        <v>11927</v>
      </c>
      <c r="H21" s="1501">
        <f t="shared" si="1"/>
        <v>23854</v>
      </c>
    </row>
    <row r="22" spans="1:8" ht="21" customHeight="1">
      <c r="A22" s="955" t="s">
        <v>1454</v>
      </c>
      <c r="B22" s="1577">
        <f>'اقلام عمده حسابها '!B55</f>
        <v>566049</v>
      </c>
      <c r="C22" s="1578">
        <f>'اقلام عمده حسابها '!C55</f>
        <v>722866</v>
      </c>
      <c r="H22" s="1501">
        <f t="shared" si="1"/>
        <v>1288915</v>
      </c>
    </row>
    <row r="23" spans="1:8" ht="21" customHeight="1">
      <c r="A23" s="955" t="s">
        <v>1647</v>
      </c>
      <c r="B23" s="1229"/>
      <c r="C23" s="1241"/>
      <c r="H23" s="1501">
        <f t="shared" si="1"/>
        <v>0</v>
      </c>
    </row>
    <row r="24" spans="1:8" ht="21" customHeight="1">
      <c r="A24" s="955" t="s">
        <v>1456</v>
      </c>
      <c r="B24" s="1232">
        <f>'صورت جریان وجوه نقد '!C58</f>
        <v>0</v>
      </c>
      <c r="C24" s="1244">
        <f>'صورت جریان وجوه نقد '!C60</f>
        <v>0</v>
      </c>
      <c r="H24" s="1501">
        <f t="shared" si="1"/>
        <v>0</v>
      </c>
    </row>
    <row r="25" spans="1:8" ht="21" customHeight="1">
      <c r="A25" s="955" t="s">
        <v>2231</v>
      </c>
      <c r="B25" s="1229"/>
      <c r="C25" s="1241"/>
      <c r="H25" s="1501">
        <f t="shared" si="1"/>
        <v>0</v>
      </c>
    </row>
    <row r="26" spans="1:8" ht="21" customHeight="1">
      <c r="A26" s="955" t="s">
        <v>1457</v>
      </c>
      <c r="B26" s="1229"/>
      <c r="C26" s="1241"/>
      <c r="H26" s="1501">
        <f t="shared" si="1"/>
        <v>0</v>
      </c>
    </row>
    <row r="27" spans="1:8" ht="21" customHeight="1">
      <c r="A27" s="955" t="s">
        <v>1458</v>
      </c>
      <c r="B27" s="1229"/>
      <c r="C27" s="1241"/>
      <c r="H27" s="1501">
        <f t="shared" si="1"/>
        <v>0</v>
      </c>
    </row>
    <row r="28" spans="1:8" s="98" customFormat="1" ht="21" customHeight="1">
      <c r="A28" s="956" t="s">
        <v>1459</v>
      </c>
      <c r="B28" s="1230">
        <f>SUM(B20:B27)</f>
        <v>743781</v>
      </c>
      <c r="C28" s="1245">
        <f>SUM(C20:C27)</f>
        <v>897189</v>
      </c>
      <c r="D28" s="99"/>
      <c r="E28" s="99"/>
      <c r="H28" s="1501" t="s">
        <v>206</v>
      </c>
    </row>
    <row r="29" spans="1:8" ht="21" customHeight="1" thickBot="1">
      <c r="A29" s="958" t="s">
        <v>1460</v>
      </c>
      <c r="B29" s="1231">
        <f>B28+B18</f>
        <v>1845640</v>
      </c>
      <c r="C29" s="1246">
        <f>C28+C18</f>
        <v>2678163</v>
      </c>
      <c r="H29" s="1501" t="s">
        <v>206</v>
      </c>
    </row>
    <row r="30" spans="1:8" ht="21" customHeight="1">
      <c r="A30" s="953" t="s">
        <v>63</v>
      </c>
      <c r="B30" s="1096"/>
      <c r="C30" s="1243"/>
      <c r="H30" s="1501" t="s">
        <v>206</v>
      </c>
    </row>
    <row r="31" spans="1:8" ht="21" customHeight="1">
      <c r="A31" s="955" t="s">
        <v>64</v>
      </c>
      <c r="B31" s="1229"/>
      <c r="C31" s="1241"/>
      <c r="H31" s="1501">
        <f t="shared" ref="H31:H42" si="2">B31+C31</f>
        <v>0</v>
      </c>
    </row>
    <row r="32" spans="1:8" ht="21" customHeight="1">
      <c r="A32" s="955" t="s">
        <v>65</v>
      </c>
      <c r="B32" s="1229"/>
      <c r="C32" s="1241"/>
      <c r="H32" s="1501">
        <f t="shared" si="2"/>
        <v>0</v>
      </c>
    </row>
    <row r="33" spans="1:8" ht="21" customHeight="1">
      <c r="A33" s="955" t="s">
        <v>1461</v>
      </c>
      <c r="B33" s="1229"/>
      <c r="C33" s="1241"/>
      <c r="H33" s="1501">
        <f t="shared" si="2"/>
        <v>0</v>
      </c>
    </row>
    <row r="34" spans="1:8" ht="21" customHeight="1">
      <c r="A34" s="955" t="s">
        <v>1462</v>
      </c>
      <c r="B34" s="1229"/>
      <c r="C34" s="1241"/>
      <c r="H34" s="1501">
        <f t="shared" si="2"/>
        <v>0</v>
      </c>
    </row>
    <row r="35" spans="1:8" ht="21" customHeight="1">
      <c r="A35" s="955" t="s">
        <v>302</v>
      </c>
      <c r="B35" s="1229"/>
      <c r="C35" s="1241"/>
      <c r="H35" s="1501">
        <f t="shared" si="2"/>
        <v>0</v>
      </c>
    </row>
    <row r="36" spans="1:8" ht="21" customHeight="1">
      <c r="A36" s="955" t="s">
        <v>303</v>
      </c>
      <c r="B36" s="1229"/>
      <c r="C36" s="1241"/>
      <c r="H36" s="1501">
        <f t="shared" si="2"/>
        <v>0</v>
      </c>
    </row>
    <row r="37" spans="1:8" ht="21" customHeight="1">
      <c r="A37" s="955" t="s">
        <v>304</v>
      </c>
      <c r="B37" s="1229"/>
      <c r="C37" s="1241"/>
      <c r="H37" s="1501">
        <f t="shared" si="2"/>
        <v>0</v>
      </c>
    </row>
    <row r="38" spans="1:8" ht="21" customHeight="1">
      <c r="A38" s="955" t="s">
        <v>1463</v>
      </c>
      <c r="B38" s="1229"/>
      <c r="C38" s="1241"/>
      <c r="H38" s="1501">
        <f t="shared" si="2"/>
        <v>0</v>
      </c>
    </row>
    <row r="39" spans="1:8" ht="21" customHeight="1">
      <c r="A39" s="955" t="s">
        <v>305</v>
      </c>
      <c r="B39" s="1229"/>
      <c r="C39" s="1241"/>
      <c r="H39" s="1501">
        <f t="shared" si="2"/>
        <v>0</v>
      </c>
    </row>
    <row r="40" spans="1:8" ht="21" customHeight="1">
      <c r="A40" s="955" t="s">
        <v>307</v>
      </c>
      <c r="B40" s="1229"/>
      <c r="C40" s="1241"/>
      <c r="H40" s="1501">
        <f t="shared" si="2"/>
        <v>0</v>
      </c>
    </row>
    <row r="41" spans="1:8" ht="21" customHeight="1">
      <c r="A41" s="955" t="s">
        <v>306</v>
      </c>
      <c r="B41" s="1229"/>
      <c r="C41" s="1241"/>
      <c r="H41" s="1501">
        <f t="shared" si="2"/>
        <v>0</v>
      </c>
    </row>
    <row r="42" spans="1:8" ht="21" customHeight="1">
      <c r="A42" s="955" t="s">
        <v>66</v>
      </c>
      <c r="B42" s="1229"/>
      <c r="C42" s="1241"/>
      <c r="H42" s="1501">
        <f t="shared" si="2"/>
        <v>0</v>
      </c>
    </row>
    <row r="43" spans="1:8" s="98" customFormat="1" ht="21" customHeight="1">
      <c r="A43" s="956" t="s">
        <v>67</v>
      </c>
      <c r="B43" s="1230">
        <f>SUM(B31:B42)</f>
        <v>0</v>
      </c>
      <c r="C43" s="1245">
        <f>SUM(C31:C42)</f>
        <v>0</v>
      </c>
      <c r="D43" s="99"/>
      <c r="E43" s="99"/>
      <c r="H43" s="1501" t="s">
        <v>206</v>
      </c>
    </row>
    <row r="44" spans="1:8" ht="21" customHeight="1">
      <c r="A44" s="957" t="s">
        <v>1464</v>
      </c>
      <c r="B44" s="1583"/>
      <c r="C44" s="1584"/>
      <c r="H44" s="1501" t="s">
        <v>206</v>
      </c>
    </row>
    <row r="45" spans="1:8" ht="21" customHeight="1">
      <c r="A45" s="955" t="s">
        <v>1411</v>
      </c>
      <c r="B45" s="1577">
        <f>'اقلام عمده حسابها '!B72</f>
        <v>0</v>
      </c>
      <c r="C45" s="1578">
        <f>'اقلام عمده حسابها '!C72</f>
        <v>0</v>
      </c>
      <c r="H45" s="1501">
        <f>B45+C45</f>
        <v>0</v>
      </c>
    </row>
    <row r="46" spans="1:8" ht="21" customHeight="1">
      <c r="A46" s="955" t="s">
        <v>68</v>
      </c>
      <c r="B46" s="1229">
        <v>168417</v>
      </c>
      <c r="C46" s="1229">
        <v>289686</v>
      </c>
      <c r="H46" s="1501">
        <f>B46+C46</f>
        <v>458103</v>
      </c>
    </row>
    <row r="47" spans="1:8" ht="21" customHeight="1">
      <c r="A47" s="955" t="s">
        <v>1465</v>
      </c>
      <c r="B47" s="1229">
        <v>0</v>
      </c>
      <c r="C47" s="1241">
        <v>0</v>
      </c>
      <c r="H47" s="1501">
        <f>B47+C47</f>
        <v>0</v>
      </c>
    </row>
    <row r="48" spans="1:8" ht="21" customHeight="1">
      <c r="A48" s="955" t="s">
        <v>1466</v>
      </c>
      <c r="B48" s="1229">
        <v>0</v>
      </c>
      <c r="C48" s="1241">
        <v>0</v>
      </c>
      <c r="H48" s="1501">
        <f>B48+C48</f>
        <v>0</v>
      </c>
    </row>
    <row r="49" spans="1:9" s="98" customFormat="1" ht="21" customHeight="1">
      <c r="A49" s="956" t="s">
        <v>1467</v>
      </c>
      <c r="B49" s="1230">
        <f>SUM(B45:B48)</f>
        <v>168417</v>
      </c>
      <c r="C49" s="1245">
        <f>SUM(C45:C48)</f>
        <v>289686</v>
      </c>
      <c r="D49" s="99"/>
      <c r="E49" s="99"/>
      <c r="H49" s="1501" t="s">
        <v>206</v>
      </c>
    </row>
    <row r="50" spans="1:9" ht="21" customHeight="1">
      <c r="A50" s="957" t="s">
        <v>1468</v>
      </c>
      <c r="B50" s="1583"/>
      <c r="C50" s="1584"/>
      <c r="H50" s="1501" t="s">
        <v>206</v>
      </c>
    </row>
    <row r="51" spans="1:9" ht="20.100000000000001" customHeight="1">
      <c r="A51" s="955" t="s">
        <v>1469</v>
      </c>
      <c r="B51" s="1579">
        <f>'اقلام عمده حسابها '!B106</f>
        <v>1091371</v>
      </c>
      <c r="C51" s="1580">
        <f>'اقلام عمده حسابها '!C106</f>
        <v>1431738</v>
      </c>
      <c r="H51" s="1501">
        <f t="shared" ref="H51:H58" si="3">B51+C51</f>
        <v>2523109</v>
      </c>
    </row>
    <row r="52" spans="1:9" ht="20.100000000000001" customHeight="1">
      <c r="A52" s="955" t="s">
        <v>300</v>
      </c>
      <c r="B52" s="1229"/>
      <c r="C52" s="1241"/>
      <c r="H52" s="1501">
        <f t="shared" si="3"/>
        <v>0</v>
      </c>
    </row>
    <row r="53" spans="1:9" ht="20.100000000000001" customHeight="1">
      <c r="A53" s="955" t="s">
        <v>69</v>
      </c>
      <c r="B53" s="1229"/>
      <c r="C53" s="1241"/>
      <c r="H53" s="1501">
        <f t="shared" si="3"/>
        <v>0</v>
      </c>
    </row>
    <row r="54" spans="1:9" ht="20.100000000000001" customHeight="1">
      <c r="A54" s="955" t="s">
        <v>1470</v>
      </c>
      <c r="B54" s="1577">
        <f>'اقلام عمده حسابها '!B89</f>
        <v>12297</v>
      </c>
      <c r="C54" s="1578">
        <f>'اقلام عمده حسابها '!C89</f>
        <v>14485</v>
      </c>
      <c r="H54" s="1501">
        <f t="shared" si="3"/>
        <v>26782</v>
      </c>
    </row>
    <row r="55" spans="1:9" ht="20.100000000000001" customHeight="1">
      <c r="A55" s="955" t="s">
        <v>1471</v>
      </c>
      <c r="B55" s="1229"/>
      <c r="C55" s="1241"/>
      <c r="H55" s="1501">
        <f t="shared" si="3"/>
        <v>0</v>
      </c>
    </row>
    <row r="56" spans="1:9" ht="20.100000000000001" customHeight="1">
      <c r="A56" s="955" t="s">
        <v>1472</v>
      </c>
      <c r="B56" s="1229"/>
      <c r="C56" s="1241"/>
      <c r="H56" s="1501">
        <f t="shared" si="3"/>
        <v>0</v>
      </c>
    </row>
    <row r="57" spans="1:9" ht="20.100000000000001" customHeight="1">
      <c r="A57" s="955" t="s">
        <v>301</v>
      </c>
      <c r="B57" s="1229"/>
      <c r="C57" s="1241"/>
      <c r="H57" s="1501">
        <f t="shared" si="3"/>
        <v>0</v>
      </c>
    </row>
    <row r="58" spans="1:9" ht="20.100000000000001" customHeight="1">
      <c r="A58" s="955" t="s">
        <v>1473</v>
      </c>
      <c r="B58" s="1229"/>
      <c r="C58" s="1241"/>
      <c r="H58" s="1501">
        <f t="shared" si="3"/>
        <v>0</v>
      </c>
    </row>
    <row r="59" spans="1:9" s="98" customFormat="1" ht="21" customHeight="1">
      <c r="A59" s="956" t="s">
        <v>1474</v>
      </c>
      <c r="B59" s="1230">
        <f>SUM(B51:B58)</f>
        <v>1103668</v>
      </c>
      <c r="C59" s="1245">
        <f>SUM(C51:C58)</f>
        <v>1446223</v>
      </c>
      <c r="D59" s="99"/>
      <c r="E59" s="99"/>
      <c r="H59" s="1501" t="s">
        <v>206</v>
      </c>
    </row>
    <row r="60" spans="1:9" s="98" customFormat="1" ht="21" customHeight="1" thickBot="1">
      <c r="A60" s="959" t="s">
        <v>1475</v>
      </c>
      <c r="B60" s="1227">
        <f>B59+B49</f>
        <v>1272085</v>
      </c>
      <c r="C60" s="1242">
        <f>C59+C49</f>
        <v>1735909</v>
      </c>
      <c r="D60" s="99"/>
      <c r="E60" s="99"/>
      <c r="H60" s="1501" t="s">
        <v>206</v>
      </c>
    </row>
    <row r="61" spans="1:9" s="43" customFormat="1" ht="21" customHeight="1" thickBot="1">
      <c r="A61" s="960" t="s">
        <v>1476</v>
      </c>
      <c r="B61" s="1228">
        <f>B60+B43</f>
        <v>1272085</v>
      </c>
      <c r="C61" s="1247">
        <f>C60+C43</f>
        <v>1735909</v>
      </c>
      <c r="D61" s="100"/>
      <c r="E61" s="100"/>
      <c r="H61" s="1501" t="s">
        <v>206</v>
      </c>
    </row>
    <row r="62" spans="1:9" ht="10.5" customHeight="1">
      <c r="A62" s="25"/>
      <c r="B62" s="26"/>
      <c r="C62" s="26"/>
      <c r="H62" s="1501" t="s">
        <v>206</v>
      </c>
    </row>
    <row r="63" spans="1:9" s="5" customFormat="1">
      <c r="A63" s="718"/>
      <c r="B63" s="8"/>
      <c r="C63" s="8"/>
      <c r="D63" s="80"/>
      <c r="E63" s="87"/>
      <c r="F63" s="8"/>
      <c r="G63" s="8"/>
      <c r="H63" s="1566" t="s">
        <v>206</v>
      </c>
      <c r="I63" s="212"/>
    </row>
    <row r="64" spans="1:9">
      <c r="H64" s="1193" t="s">
        <v>206</v>
      </c>
    </row>
    <row r="65" spans="8:8">
      <c r="H65" s="1193" t="s">
        <v>206</v>
      </c>
    </row>
    <row r="66" spans="8:8">
      <c r="H66" s="1193" t="s">
        <v>206</v>
      </c>
    </row>
    <row r="67" spans="8:8">
      <c r="H67" s="1193" t="s">
        <v>206</v>
      </c>
    </row>
    <row r="68" spans="8:8">
      <c r="H68" s="1193" t="s">
        <v>206</v>
      </c>
    </row>
    <row r="69" spans="8:8">
      <c r="H69" s="1193" t="s">
        <v>206</v>
      </c>
    </row>
    <row r="70" spans="8:8">
      <c r="H70" s="1193" t="s">
        <v>206</v>
      </c>
    </row>
    <row r="71" spans="8:8">
      <c r="H71" s="1193" t="s">
        <v>206</v>
      </c>
    </row>
    <row r="72" spans="8:8">
      <c r="H72" s="1193" t="s">
        <v>206</v>
      </c>
    </row>
    <row r="73" spans="8:8">
      <c r="H73" s="1193" t="s">
        <v>206</v>
      </c>
    </row>
    <row r="74" spans="8:8">
      <c r="H74" s="1193" t="s">
        <v>206</v>
      </c>
    </row>
    <row r="75" spans="8:8">
      <c r="H75" s="1193" t="s">
        <v>206</v>
      </c>
    </row>
    <row r="76" spans="8:8">
      <c r="H76" s="1193" t="s">
        <v>206</v>
      </c>
    </row>
    <row r="77" spans="8:8">
      <c r="H77" s="1193" t="s">
        <v>206</v>
      </c>
    </row>
    <row r="78" spans="8:8">
      <c r="H78" s="1193" t="s">
        <v>206</v>
      </c>
    </row>
    <row r="79" spans="8:8">
      <c r="H79" s="1193" t="s">
        <v>206</v>
      </c>
    </row>
    <row r="80" spans="8:8">
      <c r="H80" s="1193" t="s">
        <v>206</v>
      </c>
    </row>
    <row r="81" spans="8:8">
      <c r="H81" s="1193" t="s">
        <v>206</v>
      </c>
    </row>
    <row r="82" spans="8:8">
      <c r="H82" s="1193" t="s">
        <v>206</v>
      </c>
    </row>
    <row r="83" spans="8:8">
      <c r="H83" s="1193" t="s">
        <v>206</v>
      </c>
    </row>
    <row r="84" spans="8:8">
      <c r="H84" s="1193" t="s">
        <v>206</v>
      </c>
    </row>
    <row r="85" spans="8:8">
      <c r="H85" s="1193" t="s">
        <v>206</v>
      </c>
    </row>
    <row r="86" spans="8:8">
      <c r="H86" s="1193" t="s">
        <v>206</v>
      </c>
    </row>
    <row r="87" spans="8:8">
      <c r="H87" s="1193" t="s">
        <v>206</v>
      </c>
    </row>
    <row r="88" spans="8:8">
      <c r="H88" s="1193" t="s">
        <v>206</v>
      </c>
    </row>
    <row r="89" spans="8:8">
      <c r="H89" s="1193" t="s">
        <v>206</v>
      </c>
    </row>
  </sheetData>
  <sheetProtection algorithmName="SHA-512" hashValue="T1SkqnZRr4V9qf5PYCDtPIN85e++e2Ls8Ruav36MCXkVtr+9wUvjr0AIoBNRlVn9rPDEADZV+wUDm/TK7m0k5Q==" saltValue="83B6OYT3iOoKJkyU5537/w==" spinCount="100000" sheet="1" objects="1" scenarios="1"/>
  <mergeCells count="1">
    <mergeCell ref="A1:C1"/>
  </mergeCells>
  <conditionalFormatting sqref="C5 C11 C18:C45 C49:C60">
    <cfRule type="expression" dxfId="340" priority="5">
      <formula>($C5-$B5)*100/$B5&gt;30</formula>
    </cfRule>
  </conditionalFormatting>
  <conditionalFormatting sqref="B61:C61">
    <cfRule type="expression" dxfId="339" priority="4">
      <formula>ABS(B61-B29)&gt;2</formula>
    </cfRule>
  </conditionalFormatting>
  <conditionalFormatting sqref="C7:C10">
    <cfRule type="expression" dxfId="338" priority="3">
      <formula>($C7-$B7)*100/$B7&gt;30</formula>
    </cfRule>
  </conditionalFormatting>
  <conditionalFormatting sqref="C12:C17">
    <cfRule type="expression" dxfId="337" priority="2">
      <formula>($C12-$B12)*100/$B12&gt;30</formula>
    </cfRule>
  </conditionalFormatting>
  <conditionalFormatting sqref="C47:C48">
    <cfRule type="expression" dxfId="336" priority="1">
      <formula>($C47-$B47)*100/$B47&gt;30</formula>
    </cfRule>
  </conditionalFormatting>
  <printOptions horizontalCentered="1"/>
  <pageMargins left="0.59055118110236227" right="0.59055118110236227" top="0.19685039370078741" bottom="0.78740157480314965" header="0.19685039370078741" footer="0.19685039370078741"/>
  <pageSetup paperSize="9" scale="9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0">
    <tabColor rgb="FFCD1076"/>
    <pageSetUpPr fitToPage="1"/>
  </sheetPr>
  <dimension ref="A1:I88"/>
  <sheetViews>
    <sheetView rightToLeft="1" view="pageBreakPreview" topLeftCell="A13" zoomScale="60" zoomScaleNormal="100" workbookViewId="0">
      <selection activeCell="B7" sqref="B7"/>
    </sheetView>
  </sheetViews>
  <sheetFormatPr defaultColWidth="9" defaultRowHeight="21"/>
  <cols>
    <col min="1" max="1" width="50.140625" style="1" bestFit="1" customWidth="1"/>
    <col min="2" max="2" width="22" style="1" customWidth="1"/>
    <col min="3" max="3" width="23.28515625" style="1" customWidth="1"/>
    <col min="4" max="5" width="9" style="86"/>
    <col min="6" max="6" width="9" style="1"/>
    <col min="7" max="7" width="9" style="1" customWidth="1"/>
    <col min="8" max="8" width="9" style="1193" hidden="1" customWidth="1"/>
    <col min="9" max="9" width="9" style="1" customWidth="1"/>
    <col min="10" max="16384" width="9" style="1"/>
  </cols>
  <sheetData>
    <row r="1" spans="1:9" s="5" customFormat="1" ht="24">
      <c r="A1" s="2685" t="str">
        <f>روکش!D4</f>
        <v>انبارهای عمومی و خدمات گمرکی ایران</v>
      </c>
      <c r="B1" s="2685"/>
      <c r="C1" s="2685"/>
      <c r="D1" s="79"/>
      <c r="E1" s="79"/>
      <c r="F1" s="212"/>
      <c r="G1" s="212"/>
      <c r="H1" s="1081" t="s">
        <v>206</v>
      </c>
      <c r="I1" s="212"/>
    </row>
    <row r="2" spans="1:9" s="5" customFormat="1" ht="28.5" customHeight="1">
      <c r="A2" s="1206" t="str">
        <f>" صورت وضعیت مالی شرکت اصلی در پایان دوره " &amp; روکش!F9 &amp; " سال " &amp; روکش!D9</f>
        <v xml:space="preserve"> صورت وضعیت مالی شرکت اصلی در پایان دوره شش ماهه سال 1405</v>
      </c>
      <c r="B2" s="1203"/>
      <c r="C2" s="1203"/>
      <c r="D2" s="79"/>
      <c r="E2" s="79"/>
      <c r="F2" s="212"/>
      <c r="G2" s="212"/>
      <c r="H2" s="1081" t="s">
        <v>206</v>
      </c>
      <c r="I2" s="212"/>
    </row>
    <row r="3" spans="1:9" ht="20.100000000000001" customHeight="1" thickBot="1">
      <c r="A3" s="1239"/>
      <c r="B3" s="1239"/>
      <c r="C3" s="1238" t="s">
        <v>30</v>
      </c>
      <c r="H3" s="1193" t="s">
        <v>206</v>
      </c>
    </row>
    <row r="4" spans="1:9" ht="48.75" thickBot="1">
      <c r="A4" s="1226" t="s">
        <v>21</v>
      </c>
      <c r="B4" s="1567" t="s">
        <v>187</v>
      </c>
      <c r="C4" s="1567" t="s">
        <v>718</v>
      </c>
      <c r="H4" s="1193" t="s">
        <v>206</v>
      </c>
    </row>
    <row r="5" spans="1:9" ht="21" customHeight="1">
      <c r="A5" s="953" t="s">
        <v>1440</v>
      </c>
      <c r="B5" s="1233"/>
      <c r="C5" s="1240"/>
      <c r="H5" s="1193" t="s">
        <v>206</v>
      </c>
    </row>
    <row r="6" spans="1:9" ht="21" customHeight="1">
      <c r="A6" s="954" t="s">
        <v>1441</v>
      </c>
      <c r="B6" s="1229"/>
      <c r="C6" s="1241"/>
      <c r="H6" s="1501">
        <f t="shared" ref="H6:H16" si="0">B6+C6</f>
        <v>0</v>
      </c>
    </row>
    <row r="7" spans="1:9" ht="21" customHeight="1">
      <c r="A7" s="1800" t="s">
        <v>2230</v>
      </c>
      <c r="B7" s="1229"/>
      <c r="C7" s="1241"/>
      <c r="H7" s="1501">
        <f t="shared" si="0"/>
        <v>0</v>
      </c>
    </row>
    <row r="8" spans="1:9" ht="21" customHeight="1">
      <c r="A8" s="955" t="s">
        <v>1442</v>
      </c>
      <c r="B8" s="1229"/>
      <c r="C8" s="1241"/>
      <c r="H8" s="1501">
        <f t="shared" si="0"/>
        <v>0</v>
      </c>
    </row>
    <row r="9" spans="1:9" ht="21" customHeight="1">
      <c r="A9" s="955" t="s">
        <v>1443</v>
      </c>
      <c r="B9" s="1229"/>
      <c r="C9" s="1241"/>
      <c r="H9" s="1501">
        <f t="shared" si="0"/>
        <v>0</v>
      </c>
    </row>
    <row r="10" spans="1:9" ht="21" customHeight="1">
      <c r="A10" s="955" t="s">
        <v>1444</v>
      </c>
      <c r="B10" s="1229"/>
      <c r="C10" s="1241"/>
      <c r="H10" s="1501">
        <f t="shared" si="0"/>
        <v>0</v>
      </c>
    </row>
    <row r="11" spans="1:9" ht="21" customHeight="1">
      <c r="A11" s="955" t="s">
        <v>1445</v>
      </c>
      <c r="B11" s="1229"/>
      <c r="C11" s="1241"/>
      <c r="H11" s="1501">
        <f t="shared" si="0"/>
        <v>0</v>
      </c>
    </row>
    <row r="12" spans="1:9" ht="21" customHeight="1">
      <c r="A12" s="955" t="s">
        <v>1446</v>
      </c>
      <c r="B12" s="1229"/>
      <c r="C12" s="1241"/>
      <c r="H12" s="1501">
        <f t="shared" si="0"/>
        <v>0</v>
      </c>
    </row>
    <row r="13" spans="1:9" ht="21" customHeight="1">
      <c r="A13" s="955" t="s">
        <v>3046</v>
      </c>
      <c r="B13" s="1229"/>
      <c r="C13" s="1241"/>
      <c r="H13" s="1501">
        <f t="shared" si="0"/>
        <v>0</v>
      </c>
    </row>
    <row r="14" spans="1:9" ht="21" customHeight="1">
      <c r="A14" s="955" t="s">
        <v>1447</v>
      </c>
      <c r="B14" s="1229"/>
      <c r="C14" s="1241"/>
      <c r="H14" s="1501">
        <f t="shared" si="0"/>
        <v>0</v>
      </c>
    </row>
    <row r="15" spans="1:9" ht="21" customHeight="1">
      <c r="A15" s="955" t="s">
        <v>1448</v>
      </c>
      <c r="B15" s="1229"/>
      <c r="C15" s="1241"/>
      <c r="H15" s="1501">
        <f t="shared" si="0"/>
        <v>0</v>
      </c>
    </row>
    <row r="16" spans="1:9" ht="21" customHeight="1">
      <c r="A16" s="955" t="s">
        <v>1449</v>
      </c>
      <c r="B16" s="1229"/>
      <c r="C16" s="1241"/>
      <c r="H16" s="1501">
        <f t="shared" si="0"/>
        <v>0</v>
      </c>
    </row>
    <row r="17" spans="1:8" s="98" customFormat="1" ht="21" customHeight="1">
      <c r="A17" s="956" t="s">
        <v>1450</v>
      </c>
      <c r="B17" s="1230">
        <f>SUM(B6:B16)</f>
        <v>0</v>
      </c>
      <c r="C17" s="1245">
        <f>SUM(C6:C16)</f>
        <v>0</v>
      </c>
      <c r="D17" s="99"/>
      <c r="E17" s="99"/>
      <c r="H17" s="1501" t="s">
        <v>206</v>
      </c>
    </row>
    <row r="18" spans="1:8" ht="21" customHeight="1">
      <c r="A18" s="957" t="s">
        <v>1451</v>
      </c>
      <c r="B18" s="1583"/>
      <c r="C18" s="1584"/>
      <c r="H18" s="1501" t="s">
        <v>206</v>
      </c>
    </row>
    <row r="19" spans="1:8" ht="21" customHeight="1">
      <c r="A19" s="955" t="s">
        <v>1452</v>
      </c>
      <c r="B19" s="1229"/>
      <c r="C19" s="1241"/>
      <c r="H19" s="1501">
        <f t="shared" ref="H19:H26" si="1">B19+C19</f>
        <v>0</v>
      </c>
    </row>
    <row r="20" spans="1:8" ht="21" customHeight="1">
      <c r="A20" s="955" t="s">
        <v>1453</v>
      </c>
      <c r="B20" s="1229"/>
      <c r="C20" s="1241"/>
      <c r="H20" s="1501">
        <f t="shared" si="1"/>
        <v>0</v>
      </c>
    </row>
    <row r="21" spans="1:8" ht="21" customHeight="1">
      <c r="A21" s="955" t="s">
        <v>1454</v>
      </c>
      <c r="B21" s="1229"/>
      <c r="C21" s="1241"/>
      <c r="H21" s="1501">
        <f t="shared" si="1"/>
        <v>0</v>
      </c>
    </row>
    <row r="22" spans="1:8" ht="21" customHeight="1">
      <c r="A22" s="955" t="s">
        <v>1455</v>
      </c>
      <c r="B22" s="1229"/>
      <c r="C22" s="1241"/>
      <c r="H22" s="1501">
        <f t="shared" si="1"/>
        <v>0</v>
      </c>
    </row>
    <row r="23" spans="1:8" ht="21" customHeight="1">
      <c r="A23" s="955" t="s">
        <v>1456</v>
      </c>
      <c r="B23" s="1232">
        <f>'صورت جریان وجوه نقد - شرکت اصلی'!C58</f>
        <v>0</v>
      </c>
      <c r="C23" s="1244">
        <f>'صورت جریان وجوه نقد - شرکت اصلی'!C60</f>
        <v>0</v>
      </c>
      <c r="H23" s="1501">
        <f t="shared" si="1"/>
        <v>0</v>
      </c>
    </row>
    <row r="24" spans="1:8" ht="21" customHeight="1">
      <c r="A24" s="955" t="s">
        <v>2231</v>
      </c>
      <c r="B24" s="1229"/>
      <c r="C24" s="1241"/>
      <c r="H24" s="1501">
        <f t="shared" si="1"/>
        <v>0</v>
      </c>
    </row>
    <row r="25" spans="1:8" ht="21" customHeight="1">
      <c r="A25" s="955" t="s">
        <v>1457</v>
      </c>
      <c r="B25" s="1229"/>
      <c r="C25" s="1241"/>
      <c r="H25" s="1501">
        <f t="shared" si="1"/>
        <v>0</v>
      </c>
    </row>
    <row r="26" spans="1:8" ht="21" customHeight="1">
      <c r="A26" s="955" t="s">
        <v>1458</v>
      </c>
      <c r="B26" s="1229"/>
      <c r="C26" s="1241"/>
      <c r="H26" s="1501">
        <f t="shared" si="1"/>
        <v>0</v>
      </c>
    </row>
    <row r="27" spans="1:8" s="98" customFormat="1" ht="21" customHeight="1">
      <c r="A27" s="956" t="s">
        <v>1459</v>
      </c>
      <c r="B27" s="1230">
        <f>SUM(B19:B26)</f>
        <v>0</v>
      </c>
      <c r="C27" s="1245">
        <f>SUM(C19:C26)</f>
        <v>0</v>
      </c>
      <c r="D27" s="99"/>
      <c r="E27" s="99"/>
      <c r="H27" s="1501" t="s">
        <v>206</v>
      </c>
    </row>
    <row r="28" spans="1:8" ht="21" customHeight="1" thickBot="1">
      <c r="A28" s="958" t="s">
        <v>1460</v>
      </c>
      <c r="B28" s="1231">
        <f>B27+B17</f>
        <v>0</v>
      </c>
      <c r="C28" s="1246">
        <f>C27+C17</f>
        <v>0</v>
      </c>
      <c r="H28" s="1501" t="s">
        <v>206</v>
      </c>
    </row>
    <row r="29" spans="1:8" ht="21" customHeight="1">
      <c r="A29" s="953" t="s">
        <v>63</v>
      </c>
      <c r="B29" s="1096"/>
      <c r="C29" s="1243"/>
      <c r="H29" s="1501" t="s">
        <v>206</v>
      </c>
    </row>
    <row r="30" spans="1:8" ht="21" customHeight="1">
      <c r="A30" s="955" t="s">
        <v>64</v>
      </c>
      <c r="B30" s="1229"/>
      <c r="C30" s="1241"/>
      <c r="H30" s="1501">
        <f t="shared" ref="H30:H41" si="2">B30+C30</f>
        <v>0</v>
      </c>
    </row>
    <row r="31" spans="1:8" ht="21" customHeight="1">
      <c r="A31" s="955" t="s">
        <v>65</v>
      </c>
      <c r="B31" s="1229"/>
      <c r="C31" s="1241"/>
      <c r="H31" s="1501">
        <f t="shared" si="2"/>
        <v>0</v>
      </c>
    </row>
    <row r="32" spans="1:8" ht="21" customHeight="1">
      <c r="A32" s="955" t="s">
        <v>1461</v>
      </c>
      <c r="B32" s="1229"/>
      <c r="C32" s="1241"/>
      <c r="H32" s="1501">
        <f t="shared" si="2"/>
        <v>0</v>
      </c>
    </row>
    <row r="33" spans="1:8" ht="21" customHeight="1">
      <c r="A33" s="955" t="s">
        <v>1462</v>
      </c>
      <c r="B33" s="1229"/>
      <c r="C33" s="1241"/>
      <c r="H33" s="1501">
        <f t="shared" si="2"/>
        <v>0</v>
      </c>
    </row>
    <row r="34" spans="1:8" ht="21" customHeight="1">
      <c r="A34" s="955" t="s">
        <v>302</v>
      </c>
      <c r="B34" s="1229"/>
      <c r="C34" s="1241"/>
      <c r="H34" s="1501">
        <f t="shared" si="2"/>
        <v>0</v>
      </c>
    </row>
    <row r="35" spans="1:8" ht="21" customHeight="1">
      <c r="A35" s="955" t="s">
        <v>303</v>
      </c>
      <c r="B35" s="1229"/>
      <c r="C35" s="1241"/>
      <c r="H35" s="1501">
        <f t="shared" si="2"/>
        <v>0</v>
      </c>
    </row>
    <row r="36" spans="1:8" ht="21" customHeight="1">
      <c r="A36" s="955" t="s">
        <v>304</v>
      </c>
      <c r="B36" s="1229"/>
      <c r="C36" s="1241"/>
      <c r="H36" s="1501">
        <f t="shared" si="2"/>
        <v>0</v>
      </c>
    </row>
    <row r="37" spans="1:8" ht="21" customHeight="1">
      <c r="A37" s="955" t="s">
        <v>1463</v>
      </c>
      <c r="B37" s="1229"/>
      <c r="C37" s="1241"/>
      <c r="H37" s="1501">
        <f t="shared" si="2"/>
        <v>0</v>
      </c>
    </row>
    <row r="38" spans="1:8" ht="21" customHeight="1">
      <c r="A38" s="955" t="s">
        <v>305</v>
      </c>
      <c r="B38" s="1229"/>
      <c r="C38" s="1241"/>
      <c r="H38" s="1501">
        <f t="shared" si="2"/>
        <v>0</v>
      </c>
    </row>
    <row r="39" spans="1:8" ht="21" customHeight="1">
      <c r="A39" s="955" t="s">
        <v>307</v>
      </c>
      <c r="B39" s="1229"/>
      <c r="C39" s="1241"/>
      <c r="H39" s="1501">
        <f t="shared" si="2"/>
        <v>0</v>
      </c>
    </row>
    <row r="40" spans="1:8" ht="21" customHeight="1">
      <c r="A40" s="955" t="s">
        <v>306</v>
      </c>
      <c r="B40" s="1229"/>
      <c r="C40" s="1241"/>
      <c r="H40" s="1501">
        <f t="shared" si="2"/>
        <v>0</v>
      </c>
    </row>
    <row r="41" spans="1:8" ht="21" customHeight="1">
      <c r="A41" s="955" t="s">
        <v>66</v>
      </c>
      <c r="B41" s="1229"/>
      <c r="C41" s="1241"/>
      <c r="H41" s="1501">
        <f t="shared" si="2"/>
        <v>0</v>
      </c>
    </row>
    <row r="42" spans="1:8" s="98" customFormat="1" ht="21" customHeight="1">
      <c r="A42" s="956" t="s">
        <v>67</v>
      </c>
      <c r="B42" s="1230">
        <f>SUM(B30:B41)</f>
        <v>0</v>
      </c>
      <c r="C42" s="1245">
        <f>SUM(C30:C41)</f>
        <v>0</v>
      </c>
      <c r="D42" s="99"/>
      <c r="E42" s="99"/>
      <c r="H42" s="1501" t="s">
        <v>206</v>
      </c>
    </row>
    <row r="43" spans="1:8" ht="21" customHeight="1">
      <c r="A43" s="957" t="s">
        <v>1464</v>
      </c>
      <c r="B43" s="1583"/>
      <c r="C43" s="1584"/>
      <c r="H43" s="1501" t="s">
        <v>206</v>
      </c>
    </row>
    <row r="44" spans="1:8" ht="21" customHeight="1">
      <c r="A44" s="955" t="s">
        <v>1411</v>
      </c>
      <c r="B44" s="1229"/>
      <c r="C44" s="1241"/>
      <c r="H44" s="1501">
        <f>B44+C44</f>
        <v>0</v>
      </c>
    </row>
    <row r="45" spans="1:8" ht="21" customHeight="1">
      <c r="A45" s="955" t="s">
        <v>68</v>
      </c>
      <c r="B45" s="1229"/>
      <c r="C45" s="1241"/>
      <c r="H45" s="1501">
        <f>B45+C45</f>
        <v>0</v>
      </c>
    </row>
    <row r="46" spans="1:8" ht="21" customHeight="1">
      <c r="A46" s="955" t="s">
        <v>1465</v>
      </c>
      <c r="B46" s="1229"/>
      <c r="C46" s="1241"/>
      <c r="H46" s="1501">
        <f>B46+C46</f>
        <v>0</v>
      </c>
    </row>
    <row r="47" spans="1:8" ht="21" customHeight="1">
      <c r="A47" s="955" t="s">
        <v>1466</v>
      </c>
      <c r="B47" s="1229"/>
      <c r="C47" s="1241"/>
      <c r="H47" s="1501">
        <f>B47+C47</f>
        <v>0</v>
      </c>
    </row>
    <row r="48" spans="1:8" s="98" customFormat="1" ht="21" customHeight="1">
      <c r="A48" s="956" t="s">
        <v>1467</v>
      </c>
      <c r="B48" s="1230">
        <f>SUM(B44:B47)</f>
        <v>0</v>
      </c>
      <c r="C48" s="1245">
        <f>SUM(C44:C47)</f>
        <v>0</v>
      </c>
      <c r="D48" s="99"/>
      <c r="E48" s="99"/>
      <c r="H48" s="1501" t="s">
        <v>206</v>
      </c>
    </row>
    <row r="49" spans="1:9" ht="21" customHeight="1">
      <c r="A49" s="957" t="s">
        <v>1468</v>
      </c>
      <c r="B49" s="1583"/>
      <c r="C49" s="1584"/>
      <c r="H49" s="1501" t="s">
        <v>206</v>
      </c>
    </row>
    <row r="50" spans="1:9" ht="20.100000000000001" customHeight="1">
      <c r="A50" s="955" t="s">
        <v>1469</v>
      </c>
      <c r="B50" s="1229"/>
      <c r="C50" s="1241"/>
      <c r="H50" s="1501">
        <f t="shared" ref="H50:H57" si="3">B50+C50</f>
        <v>0</v>
      </c>
    </row>
    <row r="51" spans="1:9" ht="20.100000000000001" customHeight="1">
      <c r="A51" s="955" t="s">
        <v>300</v>
      </c>
      <c r="B51" s="1229"/>
      <c r="C51" s="1241"/>
      <c r="H51" s="1501">
        <f t="shared" si="3"/>
        <v>0</v>
      </c>
    </row>
    <row r="52" spans="1:9" ht="20.100000000000001" customHeight="1">
      <c r="A52" s="955" t="s">
        <v>69</v>
      </c>
      <c r="B52" s="1229"/>
      <c r="C52" s="1241"/>
      <c r="H52" s="1501">
        <f t="shared" si="3"/>
        <v>0</v>
      </c>
    </row>
    <row r="53" spans="1:9" ht="20.100000000000001" customHeight="1">
      <c r="A53" s="955" t="s">
        <v>1470</v>
      </c>
      <c r="B53" s="1229"/>
      <c r="C53" s="1241"/>
      <c r="H53" s="1501">
        <f t="shared" si="3"/>
        <v>0</v>
      </c>
    </row>
    <row r="54" spans="1:9" ht="20.100000000000001" customHeight="1">
      <c r="A54" s="955" t="s">
        <v>1471</v>
      </c>
      <c r="B54" s="1229"/>
      <c r="C54" s="1241"/>
      <c r="H54" s="1501">
        <f t="shared" si="3"/>
        <v>0</v>
      </c>
    </row>
    <row r="55" spans="1:9" ht="20.100000000000001" customHeight="1">
      <c r="A55" s="955" t="s">
        <v>1472</v>
      </c>
      <c r="B55" s="1229"/>
      <c r="C55" s="1241"/>
      <c r="H55" s="1501">
        <f t="shared" si="3"/>
        <v>0</v>
      </c>
    </row>
    <row r="56" spans="1:9" ht="20.100000000000001" customHeight="1">
      <c r="A56" s="955" t="s">
        <v>301</v>
      </c>
      <c r="B56" s="1229"/>
      <c r="C56" s="1241"/>
      <c r="H56" s="1501">
        <f t="shared" si="3"/>
        <v>0</v>
      </c>
    </row>
    <row r="57" spans="1:9" ht="20.100000000000001" customHeight="1">
      <c r="A57" s="955" t="s">
        <v>1473</v>
      </c>
      <c r="B57" s="1229"/>
      <c r="C57" s="1241"/>
      <c r="H57" s="1501">
        <f t="shared" si="3"/>
        <v>0</v>
      </c>
    </row>
    <row r="58" spans="1:9" s="98" customFormat="1" ht="21" customHeight="1">
      <c r="A58" s="956" t="s">
        <v>1474</v>
      </c>
      <c r="B58" s="1230">
        <f>SUM(B50:B57)</f>
        <v>0</v>
      </c>
      <c r="C58" s="1245">
        <f>SUM(C50:C57)</f>
        <v>0</v>
      </c>
      <c r="D58" s="99"/>
      <c r="E58" s="99"/>
      <c r="H58" s="1501" t="s">
        <v>206</v>
      </c>
    </row>
    <row r="59" spans="1:9" s="98" customFormat="1" ht="21" customHeight="1" thickBot="1">
      <c r="A59" s="959" t="s">
        <v>1475</v>
      </c>
      <c r="B59" s="1227">
        <f>B58+B48</f>
        <v>0</v>
      </c>
      <c r="C59" s="1242">
        <f>C58+C48</f>
        <v>0</v>
      </c>
      <c r="D59" s="99"/>
      <c r="E59" s="99"/>
      <c r="H59" s="1501" t="s">
        <v>206</v>
      </c>
    </row>
    <row r="60" spans="1:9" s="43" customFormat="1" ht="21" customHeight="1" thickBot="1">
      <c r="A60" s="960" t="s">
        <v>1476</v>
      </c>
      <c r="B60" s="1228">
        <f>B59+B42</f>
        <v>0</v>
      </c>
      <c r="C60" s="1247">
        <f>C59+C42</f>
        <v>0</v>
      </c>
      <c r="D60" s="100"/>
      <c r="E60" s="100"/>
      <c r="H60" s="1501" t="s">
        <v>206</v>
      </c>
    </row>
    <row r="61" spans="1:9" ht="10.5" customHeight="1">
      <c r="A61" s="25"/>
      <c r="B61" s="26"/>
      <c r="C61" s="26"/>
      <c r="H61" s="1501" t="s">
        <v>206</v>
      </c>
    </row>
    <row r="62" spans="1:9" s="5" customFormat="1">
      <c r="A62" s="718"/>
      <c r="B62" s="8"/>
      <c r="C62" s="8"/>
      <c r="D62" s="80"/>
      <c r="E62" s="87"/>
      <c r="F62" s="8"/>
      <c r="G62" s="8"/>
      <c r="H62" s="1566" t="s">
        <v>206</v>
      </c>
      <c r="I62" s="212"/>
    </row>
    <row r="63" spans="1:9">
      <c r="H63" s="1193" t="s">
        <v>206</v>
      </c>
    </row>
    <row r="64" spans="1:9">
      <c r="H64" s="1193" t="s">
        <v>206</v>
      </c>
    </row>
    <row r="65" spans="8:8">
      <c r="H65" s="1193" t="s">
        <v>206</v>
      </c>
    </row>
    <row r="66" spans="8:8">
      <c r="H66" s="1193" t="s">
        <v>206</v>
      </c>
    </row>
    <row r="67" spans="8:8">
      <c r="H67" s="1193" t="s">
        <v>206</v>
      </c>
    </row>
    <row r="68" spans="8:8">
      <c r="H68" s="1193" t="s">
        <v>206</v>
      </c>
    </row>
    <row r="69" spans="8:8">
      <c r="H69" s="1193" t="s">
        <v>206</v>
      </c>
    </row>
    <row r="70" spans="8:8">
      <c r="H70" s="1193" t="s">
        <v>206</v>
      </c>
    </row>
    <row r="71" spans="8:8">
      <c r="H71" s="1193" t="s">
        <v>206</v>
      </c>
    </row>
    <row r="72" spans="8:8">
      <c r="H72" s="1193" t="s">
        <v>206</v>
      </c>
    </row>
    <row r="73" spans="8:8">
      <c r="H73" s="1193" t="s">
        <v>206</v>
      </c>
    </row>
    <row r="74" spans="8:8">
      <c r="H74" s="1193" t="s">
        <v>206</v>
      </c>
    </row>
    <row r="75" spans="8:8">
      <c r="H75" s="1193" t="s">
        <v>206</v>
      </c>
    </row>
    <row r="76" spans="8:8">
      <c r="H76" s="1193" t="s">
        <v>206</v>
      </c>
    </row>
    <row r="77" spans="8:8">
      <c r="H77" s="1193" t="s">
        <v>206</v>
      </c>
    </row>
    <row r="78" spans="8:8">
      <c r="H78" s="1193" t="s">
        <v>206</v>
      </c>
    </row>
    <row r="79" spans="8:8">
      <c r="H79" s="1193" t="s">
        <v>206</v>
      </c>
    </row>
    <row r="80" spans="8:8">
      <c r="H80" s="1193" t="s">
        <v>206</v>
      </c>
    </row>
    <row r="81" spans="8:8">
      <c r="H81" s="1193" t="s">
        <v>206</v>
      </c>
    </row>
    <row r="82" spans="8:8">
      <c r="H82" s="1193" t="s">
        <v>206</v>
      </c>
    </row>
    <row r="83" spans="8:8">
      <c r="H83" s="1193" t="s">
        <v>206</v>
      </c>
    </row>
    <row r="84" spans="8:8">
      <c r="H84" s="1193" t="s">
        <v>206</v>
      </c>
    </row>
    <row r="85" spans="8:8">
      <c r="H85" s="1193" t="s">
        <v>206</v>
      </c>
    </row>
    <row r="86" spans="8:8">
      <c r="H86" s="1193" t="s">
        <v>206</v>
      </c>
    </row>
    <row r="87" spans="8:8">
      <c r="H87" s="1193" t="s">
        <v>206</v>
      </c>
    </row>
    <row r="88" spans="8:8">
      <c r="H88" s="1193" t="s">
        <v>206</v>
      </c>
    </row>
  </sheetData>
  <sheetProtection algorithmName="SHA-512" hashValue="+CHiM3qDJBfCyGYxb2aZ4wguA9arMInXrO3wGIkocFsb1eGMtKS0HHTzGTDX8pDmSYnfYTIFXp671PJf9/LKkQ==" saltValue="73NYJK4LoexMR0rBYXvCjQ==" spinCount="100000" sheet="1" objects="1" scenarios="1"/>
  <mergeCells count="1">
    <mergeCell ref="A1:C1"/>
  </mergeCells>
  <conditionalFormatting sqref="C5:C59">
    <cfRule type="expression" dxfId="335" priority="2">
      <formula>($C5-$B5)*100/$B5&gt;30</formula>
    </cfRule>
  </conditionalFormatting>
  <conditionalFormatting sqref="B60:C60">
    <cfRule type="expression" dxfId="334" priority="1">
      <formula>ABS(B60-B28)&gt;2</formula>
    </cfRule>
  </conditionalFormatting>
  <printOptions horizontalCentered="1"/>
  <pageMargins left="0.59055118110236227" right="0.59055118110236227" top="0.19685039370078741" bottom="0.78740157480314965" header="0.19685039370078741" footer="0.19685039370078741"/>
  <pageSetup paperSize="9" scale="9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6">
    <tabColor rgb="FFFFA07A"/>
    <pageSetUpPr fitToPage="1"/>
  </sheetPr>
  <dimension ref="A1:U135"/>
  <sheetViews>
    <sheetView rightToLeft="1" view="pageBreakPreview" topLeftCell="A5" zoomScale="60" zoomScaleNormal="100" workbookViewId="0">
      <selection activeCell="A6" sqref="A6"/>
    </sheetView>
  </sheetViews>
  <sheetFormatPr defaultColWidth="9" defaultRowHeight="21"/>
  <cols>
    <col min="1" max="1" width="42.5703125" style="1" customWidth="1"/>
    <col min="2" max="3" width="22" style="1" customWidth="1"/>
    <col min="4" max="6" width="9" style="86"/>
    <col min="7" max="7" width="9" style="1"/>
    <col min="8" max="8" width="9" style="1" customWidth="1"/>
    <col min="9" max="9" width="9" style="1191" hidden="1" customWidth="1"/>
    <col min="10" max="10" width="9" style="1" hidden="1" customWidth="1"/>
    <col min="11" max="16384" width="9" style="1"/>
  </cols>
  <sheetData>
    <row r="1" spans="1:21" s="5" customFormat="1" ht="24" customHeight="1">
      <c r="A1" s="2685" t="str">
        <f>روکش!D4</f>
        <v>انبارهای عمومی و خدمات گمرکی ایران</v>
      </c>
      <c r="B1" s="2685"/>
      <c r="C1" s="2685"/>
      <c r="D1" s="79"/>
      <c r="E1" s="79"/>
      <c r="F1" s="79"/>
      <c r="G1" s="212"/>
      <c r="H1" s="212"/>
      <c r="I1" s="208"/>
      <c r="J1" s="212"/>
    </row>
    <row r="2" spans="1:21" s="5" customFormat="1" ht="28.5" customHeight="1">
      <c r="A2" s="1206" t="str">
        <f>"گزارش اقلام عمده حساب‌های آزادراه در پایان دوره " &amp; روکش!F9 &amp; " سال " &amp; روکش!D9</f>
        <v>گزارش اقلام عمده حساب‌های آزادراه در پایان دوره شش ماهه سال 1405</v>
      </c>
      <c r="B2" s="1205"/>
      <c r="C2" s="1205"/>
      <c r="D2" s="81"/>
      <c r="E2" s="81"/>
      <c r="F2" s="79"/>
      <c r="G2" s="212"/>
      <c r="H2" s="212"/>
      <c r="I2" s="208"/>
      <c r="J2" s="212"/>
    </row>
    <row r="3" spans="1:21" ht="20.100000000000001" customHeight="1" thickBot="1">
      <c r="A3" s="1239"/>
      <c r="B3" s="1239"/>
      <c r="C3" s="1238" t="s">
        <v>30</v>
      </c>
    </row>
    <row r="4" spans="1:21" ht="29.25" customHeight="1" thickBot="1">
      <c r="A4" s="1346" t="s">
        <v>21</v>
      </c>
      <c r="B4" s="1346" t="s">
        <v>278</v>
      </c>
      <c r="C4" s="1346" t="s">
        <v>869</v>
      </c>
    </row>
    <row r="5" spans="1:21" ht="33" customHeight="1">
      <c r="A5" s="1574" t="s">
        <v>1405</v>
      </c>
      <c r="B5" s="1575"/>
      <c r="C5" s="1576"/>
      <c r="D5" s="1"/>
      <c r="E5" s="1"/>
      <c r="G5" s="86"/>
      <c r="H5" s="1568"/>
      <c r="J5" s="1568"/>
      <c r="K5" s="1568"/>
      <c r="L5" s="86"/>
      <c r="M5" s="86"/>
      <c r="O5" s="1568"/>
      <c r="R5" s="86"/>
      <c r="S5" s="86"/>
      <c r="T5" s="86"/>
      <c r="U5" s="86"/>
    </row>
    <row r="6" spans="1:21" ht="21.95" customHeight="1">
      <c r="A6" s="2048"/>
      <c r="B6" s="1572"/>
      <c r="C6" s="1194"/>
      <c r="D6" s="1"/>
      <c r="E6" s="1"/>
      <c r="G6" s="86"/>
      <c r="H6" s="1568"/>
      <c r="I6" s="1359">
        <f>IF(OR(A6="",A6=0),0,1)</f>
        <v>0</v>
      </c>
      <c r="J6" s="1569">
        <f>IFERROR(MATCH(0,I6:I20,0),31)</f>
        <v>1</v>
      </c>
      <c r="K6" s="1568"/>
      <c r="L6" s="86"/>
      <c r="M6" s="86"/>
      <c r="O6" s="1570"/>
      <c r="Q6" s="5"/>
      <c r="R6" s="86"/>
      <c r="S6" s="86"/>
      <c r="T6" s="86"/>
      <c r="U6" s="86"/>
    </row>
    <row r="7" spans="1:21" ht="21.95" customHeight="1">
      <c r="A7" s="2048"/>
      <c r="B7" s="1572"/>
      <c r="C7" s="1194"/>
      <c r="D7" s="1"/>
      <c r="E7" s="1"/>
      <c r="G7" s="86"/>
      <c r="H7" s="1568"/>
      <c r="I7" s="1359">
        <f t="shared" ref="I7:I20" si="0">IF(OR(A7="",A7=0),0,1)</f>
        <v>0</v>
      </c>
      <c r="J7" s="1569"/>
      <c r="K7" s="1568"/>
      <c r="L7" s="86"/>
      <c r="M7" s="86"/>
      <c r="R7" s="86"/>
      <c r="S7" s="86"/>
      <c r="T7" s="86"/>
      <c r="U7" s="86"/>
    </row>
    <row r="8" spans="1:21" ht="21.95" customHeight="1">
      <c r="A8" s="2048"/>
      <c r="B8" s="1572"/>
      <c r="C8" s="1194"/>
      <c r="D8" s="1"/>
      <c r="E8" s="1"/>
      <c r="G8" s="86"/>
      <c r="H8" s="1568"/>
      <c r="I8" s="1359">
        <f t="shared" si="0"/>
        <v>0</v>
      </c>
      <c r="J8" s="1568"/>
      <c r="K8" s="1568"/>
      <c r="L8" s="86"/>
      <c r="M8" s="86"/>
      <c r="N8" s="86"/>
      <c r="O8" s="86"/>
      <c r="P8" s="86"/>
      <c r="Q8" s="86"/>
      <c r="R8" s="86"/>
      <c r="S8" s="86"/>
      <c r="T8" s="86"/>
      <c r="U8" s="86"/>
    </row>
    <row r="9" spans="1:21" ht="21.95" customHeight="1">
      <c r="A9" s="2048"/>
      <c r="B9" s="1572"/>
      <c r="C9" s="1194"/>
      <c r="D9" s="1"/>
      <c r="E9" s="1"/>
      <c r="G9" s="86"/>
      <c r="H9" s="1568"/>
      <c r="I9" s="1359">
        <f t="shared" si="0"/>
        <v>0</v>
      </c>
      <c r="J9" s="1568"/>
      <c r="K9" s="1568"/>
      <c r="L9" s="86"/>
      <c r="M9" s="86"/>
      <c r="N9" s="86"/>
      <c r="O9" s="86"/>
      <c r="P9" s="86"/>
      <c r="Q9" s="86"/>
      <c r="R9" s="86"/>
      <c r="S9" s="86"/>
      <c r="T9" s="86"/>
      <c r="U9" s="86"/>
    </row>
    <row r="10" spans="1:21" ht="21.95" customHeight="1">
      <c r="A10" s="2048"/>
      <c r="B10" s="1572"/>
      <c r="C10" s="1194"/>
      <c r="D10" s="1"/>
      <c r="E10" s="1"/>
      <c r="G10" s="86"/>
      <c r="H10" s="1568"/>
      <c r="I10" s="1359">
        <f t="shared" si="0"/>
        <v>0</v>
      </c>
      <c r="J10" s="1568"/>
      <c r="K10" s="1568"/>
      <c r="L10" s="86"/>
      <c r="M10" s="86"/>
      <c r="O10" s="1568"/>
      <c r="R10" s="86"/>
      <c r="S10" s="86"/>
      <c r="T10" s="86"/>
      <c r="U10" s="86"/>
    </row>
    <row r="11" spans="1:21" ht="21.95" customHeight="1">
      <c r="A11" s="2048"/>
      <c r="B11" s="1572"/>
      <c r="C11" s="1194"/>
      <c r="D11" s="1"/>
      <c r="E11" s="1"/>
      <c r="G11" s="86"/>
      <c r="H11" s="1568"/>
      <c r="I11" s="1359">
        <f t="shared" si="0"/>
        <v>0</v>
      </c>
      <c r="J11" s="1568"/>
      <c r="K11" s="1568"/>
      <c r="L11" s="86"/>
      <c r="M11" s="86"/>
      <c r="O11" s="1570"/>
      <c r="Q11" s="5"/>
      <c r="R11" s="86"/>
      <c r="S11" s="86"/>
      <c r="T11" s="86"/>
      <c r="U11" s="86"/>
    </row>
    <row r="12" spans="1:21" ht="21.95" customHeight="1">
      <c r="A12" s="2048"/>
      <c r="B12" s="1572"/>
      <c r="C12" s="1194"/>
      <c r="D12" s="1"/>
      <c r="E12" s="1"/>
      <c r="G12" s="86"/>
      <c r="H12" s="1568"/>
      <c r="I12" s="1359">
        <f t="shared" si="0"/>
        <v>0</v>
      </c>
      <c r="J12" s="1568"/>
      <c r="K12" s="1568"/>
      <c r="L12" s="86"/>
      <c r="M12" s="86"/>
      <c r="R12" s="86"/>
      <c r="S12" s="86"/>
      <c r="T12" s="86"/>
      <c r="U12" s="86"/>
    </row>
    <row r="13" spans="1:21" ht="21.95" customHeight="1">
      <c r="A13" s="2048"/>
      <c r="B13" s="1572"/>
      <c r="C13" s="1194"/>
      <c r="D13" s="1"/>
      <c r="E13" s="1"/>
      <c r="G13" s="86"/>
      <c r="H13" s="1568"/>
      <c r="I13" s="1359">
        <f t="shared" si="0"/>
        <v>0</v>
      </c>
      <c r="J13" s="1568"/>
      <c r="K13" s="1568"/>
      <c r="L13" s="86"/>
      <c r="M13" s="86"/>
      <c r="N13" s="86"/>
      <c r="O13" s="86"/>
      <c r="P13" s="86"/>
      <c r="Q13" s="86"/>
      <c r="R13" s="86"/>
      <c r="S13" s="86"/>
      <c r="T13" s="86"/>
      <c r="U13" s="86"/>
    </row>
    <row r="14" spans="1:21" ht="21.95" customHeight="1">
      <c r="A14" s="2048"/>
      <c r="B14" s="1572"/>
      <c r="C14" s="1194"/>
      <c r="D14" s="1"/>
      <c r="E14" s="1"/>
      <c r="G14" s="86"/>
      <c r="H14" s="1568"/>
      <c r="I14" s="1359">
        <f t="shared" si="0"/>
        <v>0</v>
      </c>
      <c r="J14" s="1568"/>
      <c r="K14" s="1568"/>
      <c r="L14" s="86"/>
      <c r="M14" s="86"/>
      <c r="N14" s="86"/>
      <c r="O14" s="86"/>
      <c r="P14" s="86"/>
      <c r="Q14" s="86"/>
      <c r="R14" s="86"/>
      <c r="S14" s="86"/>
      <c r="T14" s="86"/>
      <c r="U14" s="86"/>
    </row>
    <row r="15" spans="1:21" ht="21.95" customHeight="1">
      <c r="A15" s="2048"/>
      <c r="B15" s="1572"/>
      <c r="C15" s="1194"/>
      <c r="D15" s="1"/>
      <c r="E15" s="1"/>
      <c r="G15" s="86"/>
      <c r="H15" s="1568"/>
      <c r="I15" s="1359">
        <f t="shared" si="0"/>
        <v>0</v>
      </c>
      <c r="J15" s="1568"/>
      <c r="K15" s="1568"/>
      <c r="L15" s="86"/>
      <c r="M15" s="86"/>
      <c r="N15" s="86"/>
      <c r="O15" s="86"/>
      <c r="P15" s="86"/>
      <c r="Q15" s="86"/>
      <c r="R15" s="86"/>
      <c r="S15" s="86"/>
      <c r="T15" s="86"/>
      <c r="U15" s="86"/>
    </row>
    <row r="16" spans="1:21" ht="21.95" customHeight="1">
      <c r="A16" s="2048"/>
      <c r="B16" s="1572"/>
      <c r="C16" s="1194"/>
      <c r="D16" s="1"/>
      <c r="E16" s="1"/>
      <c r="G16" s="86"/>
      <c r="H16" s="1568"/>
      <c r="I16" s="1359">
        <f t="shared" si="0"/>
        <v>0</v>
      </c>
      <c r="J16" s="1568"/>
      <c r="K16" s="1568"/>
      <c r="L16" s="86"/>
      <c r="M16" s="86"/>
      <c r="N16" s="86"/>
      <c r="O16" s="86"/>
      <c r="P16" s="86"/>
      <c r="Q16" s="86"/>
      <c r="R16" s="86"/>
      <c r="S16" s="86"/>
      <c r="T16" s="86"/>
      <c r="U16" s="86"/>
    </row>
    <row r="17" spans="1:21" ht="21.95" customHeight="1">
      <c r="A17" s="2048"/>
      <c r="B17" s="1572"/>
      <c r="C17" s="1194"/>
      <c r="D17" s="1"/>
      <c r="E17" s="1"/>
      <c r="G17" s="86"/>
      <c r="H17" s="1568"/>
      <c r="I17" s="1359">
        <f t="shared" si="0"/>
        <v>0</v>
      </c>
      <c r="J17" s="1568"/>
      <c r="K17" s="1568"/>
      <c r="L17" s="86"/>
      <c r="M17" s="86"/>
      <c r="N17" s="86"/>
      <c r="O17" s="86"/>
      <c r="P17" s="86"/>
      <c r="Q17" s="86"/>
      <c r="R17" s="86"/>
      <c r="S17" s="86"/>
      <c r="T17" s="86"/>
      <c r="U17" s="86"/>
    </row>
    <row r="18" spans="1:21" ht="21.95" customHeight="1">
      <c r="A18" s="2048"/>
      <c r="B18" s="1572"/>
      <c r="C18" s="1194"/>
      <c r="D18" s="1"/>
      <c r="E18" s="1"/>
      <c r="G18" s="86"/>
      <c r="H18" s="1568"/>
      <c r="I18" s="1359">
        <f t="shared" si="0"/>
        <v>0</v>
      </c>
      <c r="J18" s="1568"/>
      <c r="K18" s="1568"/>
      <c r="L18" s="86"/>
      <c r="M18" s="86"/>
      <c r="N18" s="86"/>
      <c r="O18" s="86"/>
      <c r="P18" s="86"/>
      <c r="Q18" s="86"/>
      <c r="R18" s="86"/>
      <c r="S18" s="86"/>
      <c r="T18" s="86"/>
      <c r="U18" s="86"/>
    </row>
    <row r="19" spans="1:21" ht="21.95" customHeight="1">
      <c r="A19" s="2048"/>
      <c r="B19" s="1572"/>
      <c r="C19" s="1194"/>
      <c r="D19" s="1"/>
      <c r="E19" s="1"/>
      <c r="G19" s="86"/>
      <c r="H19" s="1568"/>
      <c r="I19" s="1359">
        <f t="shared" si="0"/>
        <v>0</v>
      </c>
      <c r="J19" s="1568"/>
      <c r="K19" s="1568"/>
      <c r="L19" s="86"/>
      <c r="M19" s="86"/>
      <c r="N19" s="86"/>
      <c r="O19" s="86"/>
      <c r="P19" s="86"/>
      <c r="Q19" s="86"/>
      <c r="R19" s="86"/>
      <c r="S19" s="86"/>
      <c r="T19" s="86"/>
      <c r="U19" s="86"/>
    </row>
    <row r="20" spans="1:21" ht="21.95" customHeight="1" thickBot="1">
      <c r="A20" s="2048"/>
      <c r="B20" s="1572"/>
      <c r="C20" s="1194"/>
      <c r="D20" s="1"/>
      <c r="E20" s="1"/>
      <c r="G20" s="86"/>
      <c r="H20" s="1568"/>
      <c r="I20" s="1359">
        <f t="shared" si="0"/>
        <v>0</v>
      </c>
      <c r="J20" s="1568"/>
      <c r="K20" s="1568"/>
      <c r="L20" s="86"/>
      <c r="M20" s="86"/>
      <c r="N20" s="86"/>
      <c r="O20" s="86"/>
      <c r="P20" s="86"/>
      <c r="Q20" s="86"/>
      <c r="R20" s="86"/>
      <c r="S20" s="86"/>
      <c r="T20" s="86"/>
      <c r="U20" s="86"/>
    </row>
    <row r="21" spans="1:21" ht="24.75" thickBot="1">
      <c r="A21" s="960" t="s">
        <v>1406</v>
      </c>
      <c r="B21" s="1582">
        <f>SUM(B6:B20)</f>
        <v>0</v>
      </c>
      <c r="C21" s="1581">
        <f>SUM(C6:C20)</f>
        <v>0</v>
      </c>
      <c r="D21" s="1"/>
      <c r="E21" s="1"/>
      <c r="G21" s="86"/>
      <c r="H21" s="1568"/>
      <c r="J21" s="1568"/>
      <c r="K21" s="1568"/>
      <c r="L21" s="86"/>
      <c r="M21" s="86"/>
      <c r="N21" s="86"/>
      <c r="O21" s="86"/>
      <c r="P21" s="86"/>
      <c r="Q21" s="86"/>
      <c r="R21" s="86"/>
      <c r="S21" s="86"/>
      <c r="T21" s="86"/>
      <c r="U21" s="86"/>
    </row>
    <row r="22" spans="1:21" ht="33" customHeight="1">
      <c r="A22" s="1574" t="s">
        <v>1407</v>
      </c>
      <c r="B22" s="1575"/>
      <c r="C22" s="1576"/>
      <c r="D22" s="1"/>
      <c r="E22" s="1"/>
      <c r="G22" s="86"/>
      <c r="H22" s="1568"/>
      <c r="J22" s="1568"/>
      <c r="K22" s="1568"/>
      <c r="L22" s="86"/>
      <c r="M22" s="86"/>
      <c r="N22" s="86"/>
      <c r="O22" s="86"/>
      <c r="P22" s="86"/>
      <c r="Q22" s="86"/>
      <c r="R22" s="86"/>
      <c r="S22" s="86"/>
      <c r="T22" s="86"/>
      <c r="U22" s="86"/>
    </row>
    <row r="23" spans="1:21" ht="21.95" customHeight="1">
      <c r="A23" s="2048"/>
      <c r="B23" s="1572"/>
      <c r="C23" s="1194"/>
      <c r="D23" s="1"/>
      <c r="E23" s="1"/>
      <c r="G23" s="86"/>
      <c r="H23" s="1568"/>
      <c r="I23" s="1359">
        <f t="shared" ref="I23:I37" si="1">IF(OR(A23="",A23=0),0,1)</f>
        <v>0</v>
      </c>
      <c r="J23" s="1569">
        <f>IFERROR(MATCH(0,I23:I37,0),31)</f>
        <v>1</v>
      </c>
      <c r="K23" s="1568"/>
      <c r="L23" s="86"/>
      <c r="M23" s="86"/>
      <c r="N23" s="86"/>
      <c r="O23" s="86"/>
      <c r="P23" s="86"/>
      <c r="Q23" s="86"/>
      <c r="R23" s="86"/>
      <c r="S23" s="86"/>
      <c r="T23" s="86"/>
      <c r="U23" s="86"/>
    </row>
    <row r="24" spans="1:21" ht="21.95" customHeight="1">
      <c r="A24" s="2048"/>
      <c r="B24" s="1572"/>
      <c r="C24" s="1194"/>
      <c r="D24" s="1"/>
      <c r="E24" s="1"/>
      <c r="G24" s="86"/>
      <c r="H24" s="1568"/>
      <c r="I24" s="1359">
        <f t="shared" si="1"/>
        <v>0</v>
      </c>
      <c r="J24" s="1569"/>
      <c r="K24" s="1568"/>
      <c r="L24" s="86"/>
      <c r="M24" s="86"/>
      <c r="N24" s="86"/>
      <c r="O24" s="86"/>
      <c r="P24" s="86"/>
      <c r="Q24" s="86"/>
      <c r="R24" s="86"/>
      <c r="S24" s="86"/>
      <c r="T24" s="86"/>
      <c r="U24" s="86"/>
    </row>
    <row r="25" spans="1:21" ht="21.95" customHeight="1">
      <c r="A25" s="2048"/>
      <c r="B25" s="1572"/>
      <c r="C25" s="1194"/>
      <c r="D25" s="1"/>
      <c r="E25" s="1"/>
      <c r="G25" s="86"/>
      <c r="H25" s="1568"/>
      <c r="I25" s="1359">
        <f t="shared" si="1"/>
        <v>0</v>
      </c>
      <c r="J25" s="1568"/>
      <c r="K25" s="1568"/>
      <c r="L25" s="86"/>
      <c r="M25" s="86"/>
      <c r="N25" s="86"/>
      <c r="O25" s="86"/>
      <c r="P25" s="86"/>
      <c r="Q25" s="86"/>
      <c r="R25" s="86"/>
      <c r="S25" s="86"/>
      <c r="T25" s="86"/>
      <c r="U25" s="86"/>
    </row>
    <row r="26" spans="1:21" ht="21.95" customHeight="1">
      <c r="A26" s="2048"/>
      <c r="B26" s="1572"/>
      <c r="C26" s="1194"/>
      <c r="D26" s="1"/>
      <c r="E26" s="1"/>
      <c r="G26" s="86"/>
      <c r="H26" s="1568"/>
      <c r="I26" s="1359">
        <f t="shared" si="1"/>
        <v>0</v>
      </c>
      <c r="J26" s="1568"/>
      <c r="K26" s="1568"/>
      <c r="L26" s="86"/>
      <c r="M26" s="86"/>
      <c r="N26" s="86"/>
      <c r="O26" s="86"/>
      <c r="P26" s="86"/>
      <c r="Q26" s="86"/>
      <c r="R26" s="86"/>
      <c r="S26" s="86"/>
      <c r="T26" s="86"/>
      <c r="U26" s="86"/>
    </row>
    <row r="27" spans="1:21" ht="21.95" customHeight="1">
      <c r="A27" s="2048"/>
      <c r="B27" s="1572"/>
      <c r="C27" s="1194"/>
      <c r="D27" s="1"/>
      <c r="E27" s="1"/>
      <c r="G27" s="86"/>
      <c r="H27" s="1568"/>
      <c r="I27" s="1359">
        <f t="shared" si="1"/>
        <v>0</v>
      </c>
      <c r="J27" s="1568"/>
      <c r="K27" s="1568"/>
      <c r="L27" s="86"/>
      <c r="M27" s="86"/>
      <c r="N27" s="86"/>
      <c r="O27" s="86"/>
      <c r="P27" s="86"/>
      <c r="Q27" s="86"/>
      <c r="R27" s="86"/>
      <c r="S27" s="86"/>
      <c r="T27" s="86"/>
      <c r="U27" s="86"/>
    </row>
    <row r="28" spans="1:21" ht="21.95" customHeight="1">
      <c r="A28" s="2048"/>
      <c r="B28" s="1572"/>
      <c r="C28" s="1194"/>
      <c r="D28" s="1"/>
      <c r="E28" s="1"/>
      <c r="G28" s="86"/>
      <c r="H28" s="1568"/>
      <c r="I28" s="1359">
        <f t="shared" si="1"/>
        <v>0</v>
      </c>
      <c r="J28" s="1568"/>
      <c r="K28" s="1568"/>
      <c r="L28" s="86"/>
      <c r="M28" s="86"/>
      <c r="N28" s="86"/>
      <c r="O28" s="86"/>
      <c r="P28" s="86"/>
      <c r="Q28" s="86"/>
      <c r="R28" s="86"/>
      <c r="S28" s="86"/>
      <c r="T28" s="86"/>
      <c r="U28" s="86"/>
    </row>
    <row r="29" spans="1:21" ht="21.95" customHeight="1">
      <c r="A29" s="2048"/>
      <c r="B29" s="1572"/>
      <c r="C29" s="1194"/>
      <c r="D29" s="1"/>
      <c r="E29" s="1"/>
      <c r="G29" s="86"/>
      <c r="H29" s="1568"/>
      <c r="I29" s="1359">
        <f t="shared" si="1"/>
        <v>0</v>
      </c>
      <c r="J29" s="1568"/>
      <c r="K29" s="1568"/>
      <c r="L29" s="86"/>
      <c r="M29" s="86"/>
      <c r="N29" s="86"/>
      <c r="O29" s="86"/>
      <c r="P29" s="86"/>
      <c r="Q29" s="86"/>
      <c r="R29" s="86"/>
      <c r="S29" s="86"/>
      <c r="T29" s="86"/>
      <c r="U29" s="86"/>
    </row>
    <row r="30" spans="1:21" ht="21.95" customHeight="1">
      <c r="A30" s="2048"/>
      <c r="B30" s="1572"/>
      <c r="C30" s="1194"/>
      <c r="D30" s="1"/>
      <c r="E30" s="1"/>
      <c r="G30" s="86"/>
      <c r="H30" s="1568"/>
      <c r="I30" s="1359">
        <f t="shared" si="1"/>
        <v>0</v>
      </c>
      <c r="J30" s="1568"/>
      <c r="K30" s="1568"/>
      <c r="L30" s="86"/>
      <c r="M30" s="86"/>
      <c r="N30" s="86"/>
      <c r="O30" s="86"/>
      <c r="P30" s="86"/>
      <c r="Q30" s="86"/>
      <c r="R30" s="86"/>
      <c r="S30" s="86"/>
      <c r="T30" s="86"/>
      <c r="U30" s="86"/>
    </row>
    <row r="31" spans="1:21" ht="21.95" customHeight="1">
      <c r="A31" s="2048"/>
      <c r="B31" s="1572"/>
      <c r="C31" s="1194"/>
      <c r="D31" s="1"/>
      <c r="E31" s="1"/>
      <c r="G31" s="86"/>
      <c r="H31" s="1568"/>
      <c r="I31" s="1359">
        <f t="shared" si="1"/>
        <v>0</v>
      </c>
      <c r="J31" s="1568"/>
      <c r="K31" s="1568"/>
      <c r="L31" s="86"/>
      <c r="M31" s="86"/>
      <c r="N31" s="86"/>
      <c r="O31" s="86"/>
      <c r="P31" s="86"/>
      <c r="Q31" s="86"/>
      <c r="R31" s="86"/>
      <c r="S31" s="86"/>
      <c r="T31" s="86"/>
      <c r="U31" s="86"/>
    </row>
    <row r="32" spans="1:21" ht="21.95" customHeight="1">
      <c r="A32" s="2048"/>
      <c r="B32" s="1572"/>
      <c r="C32" s="1194"/>
      <c r="D32" s="1"/>
      <c r="E32" s="1"/>
      <c r="G32" s="86"/>
      <c r="H32" s="1568"/>
      <c r="I32" s="1359">
        <f t="shared" si="1"/>
        <v>0</v>
      </c>
      <c r="J32" s="1568"/>
      <c r="K32" s="1568"/>
      <c r="L32" s="86"/>
      <c r="M32" s="86"/>
      <c r="N32" s="86"/>
      <c r="O32" s="86"/>
      <c r="P32" s="86"/>
      <c r="Q32" s="86"/>
      <c r="R32" s="86"/>
      <c r="S32" s="86"/>
      <c r="T32" s="86"/>
      <c r="U32" s="86"/>
    </row>
    <row r="33" spans="1:21" ht="21.95" customHeight="1">
      <c r="A33" s="2048"/>
      <c r="B33" s="1572"/>
      <c r="C33" s="1194"/>
      <c r="D33" s="1"/>
      <c r="E33" s="1"/>
      <c r="G33" s="86"/>
      <c r="H33" s="1568"/>
      <c r="I33" s="1359">
        <f t="shared" si="1"/>
        <v>0</v>
      </c>
      <c r="J33" s="1568"/>
      <c r="K33" s="1568"/>
      <c r="L33" s="86"/>
      <c r="M33" s="86"/>
      <c r="N33" s="86"/>
      <c r="O33" s="86"/>
      <c r="P33" s="86"/>
      <c r="Q33" s="86"/>
      <c r="R33" s="86"/>
      <c r="S33" s="86"/>
      <c r="T33" s="86"/>
      <c r="U33" s="86"/>
    </row>
    <row r="34" spans="1:21" ht="21.95" customHeight="1">
      <c r="A34" s="2048"/>
      <c r="B34" s="1572"/>
      <c r="C34" s="1194"/>
      <c r="D34" s="1"/>
      <c r="E34" s="1"/>
      <c r="G34" s="86"/>
      <c r="H34" s="1568"/>
      <c r="I34" s="1359">
        <f t="shared" si="1"/>
        <v>0</v>
      </c>
      <c r="J34" s="1568"/>
      <c r="K34" s="1568"/>
      <c r="L34" s="86"/>
      <c r="M34" s="86"/>
      <c r="N34" s="86"/>
      <c r="O34" s="86"/>
      <c r="P34" s="86"/>
      <c r="Q34" s="86"/>
      <c r="R34" s="86"/>
      <c r="S34" s="86"/>
      <c r="T34" s="86"/>
      <c r="U34" s="86"/>
    </row>
    <row r="35" spans="1:21" ht="21.95" customHeight="1">
      <c r="A35" s="2048"/>
      <c r="B35" s="1572"/>
      <c r="C35" s="1194"/>
      <c r="D35" s="1"/>
      <c r="E35" s="1"/>
      <c r="G35" s="86"/>
      <c r="H35" s="1568"/>
      <c r="I35" s="1359">
        <f t="shared" si="1"/>
        <v>0</v>
      </c>
      <c r="J35" s="1568"/>
      <c r="K35" s="1568"/>
      <c r="L35" s="86"/>
      <c r="M35" s="86"/>
      <c r="N35" s="86"/>
      <c r="O35" s="86"/>
      <c r="P35" s="86"/>
      <c r="Q35" s="86"/>
      <c r="R35" s="86"/>
      <c r="S35" s="86"/>
      <c r="T35" s="86"/>
      <c r="U35" s="86"/>
    </row>
    <row r="36" spans="1:21" ht="21.95" customHeight="1">
      <c r="A36" s="2048"/>
      <c r="B36" s="1572"/>
      <c r="C36" s="1194"/>
      <c r="D36" s="1"/>
      <c r="E36" s="1"/>
      <c r="G36" s="86"/>
      <c r="H36" s="1568"/>
      <c r="I36" s="1359">
        <f t="shared" si="1"/>
        <v>0</v>
      </c>
      <c r="J36" s="1568"/>
      <c r="K36" s="1568"/>
      <c r="L36" s="86"/>
      <c r="M36" s="86"/>
      <c r="N36" s="86"/>
      <c r="O36" s="86"/>
      <c r="P36" s="86"/>
      <c r="Q36" s="86"/>
      <c r="R36" s="86"/>
      <c r="S36" s="86"/>
      <c r="T36" s="86"/>
      <c r="U36" s="86"/>
    </row>
    <row r="37" spans="1:21" ht="21.95" customHeight="1" thickBot="1">
      <c r="A37" s="2048"/>
      <c r="B37" s="1572"/>
      <c r="C37" s="1194"/>
      <c r="D37" s="1"/>
      <c r="E37" s="1"/>
      <c r="G37" s="86"/>
      <c r="H37" s="1568"/>
      <c r="I37" s="1359">
        <f t="shared" si="1"/>
        <v>0</v>
      </c>
      <c r="J37" s="1568"/>
      <c r="K37" s="1568"/>
      <c r="L37" s="86"/>
      <c r="M37" s="86"/>
      <c r="N37" s="86"/>
      <c r="O37" s="86"/>
      <c r="P37" s="86"/>
      <c r="Q37" s="86"/>
      <c r="R37" s="86"/>
      <c r="S37" s="86"/>
      <c r="T37" s="86"/>
      <c r="U37" s="86"/>
    </row>
    <row r="38" spans="1:21" ht="24.75" thickBot="1">
      <c r="A38" s="960" t="s">
        <v>1408</v>
      </c>
      <c r="B38" s="1581">
        <f>SUM(B23:B37)</f>
        <v>0</v>
      </c>
      <c r="C38" s="1581">
        <f>SUM(C23:C37)</f>
        <v>0</v>
      </c>
      <c r="D38" s="1"/>
      <c r="E38" s="1"/>
      <c r="G38" s="86"/>
      <c r="H38" s="1568"/>
      <c r="I38" s="1359">
        <f>IF(A38="",0,1)</f>
        <v>1</v>
      </c>
      <c r="J38" s="1568"/>
      <c r="K38" s="1568"/>
      <c r="L38" s="86"/>
      <c r="M38" s="86"/>
      <c r="N38" s="86"/>
      <c r="O38" s="86"/>
      <c r="P38" s="86"/>
      <c r="Q38" s="86"/>
      <c r="R38" s="86"/>
      <c r="S38" s="86"/>
      <c r="T38" s="86"/>
      <c r="U38" s="86"/>
    </row>
    <row r="39" spans="1:21" ht="21.95" customHeight="1">
      <c r="A39" s="1574" t="s">
        <v>1409</v>
      </c>
      <c r="B39" s="1575"/>
      <c r="C39" s="1576"/>
      <c r="D39" s="1"/>
      <c r="E39" s="1"/>
      <c r="G39" s="86"/>
      <c r="H39" s="1568"/>
      <c r="I39" s="1359"/>
      <c r="J39" s="1568"/>
      <c r="K39" s="1568"/>
      <c r="L39" s="86"/>
      <c r="M39" s="86"/>
      <c r="N39" s="86"/>
      <c r="O39" s="86"/>
      <c r="P39" s="86"/>
      <c r="Q39" s="86"/>
      <c r="R39" s="86"/>
      <c r="S39" s="86"/>
      <c r="T39" s="86"/>
      <c r="U39" s="86"/>
    </row>
    <row r="40" spans="1:21" ht="21.95" customHeight="1">
      <c r="A40" s="2048"/>
      <c r="B40" s="1572"/>
      <c r="C40" s="1194"/>
      <c r="D40" s="1"/>
      <c r="E40" s="1"/>
      <c r="G40" s="86"/>
      <c r="H40" s="1568"/>
      <c r="I40" s="1359">
        <f t="shared" ref="I40:I54" si="2">IF(OR(A40="",A40=0),0,1)</f>
        <v>0</v>
      </c>
      <c r="J40" s="1569">
        <f>IFERROR(MATCH(0,I40:I54,0),31)</f>
        <v>1</v>
      </c>
      <c r="K40" s="1568"/>
      <c r="L40" s="86"/>
      <c r="M40" s="86"/>
      <c r="N40" s="1568"/>
      <c r="Q40" s="86"/>
      <c r="R40" s="86"/>
      <c r="S40" s="86"/>
      <c r="T40" s="86"/>
      <c r="U40" s="86"/>
    </row>
    <row r="41" spans="1:21" ht="21.95" customHeight="1">
      <c r="A41" s="2048"/>
      <c r="B41" s="1572"/>
      <c r="C41" s="1194"/>
      <c r="D41" s="1"/>
      <c r="E41" s="1"/>
      <c r="G41" s="86"/>
      <c r="H41" s="1568"/>
      <c r="I41" s="1359">
        <f t="shared" si="2"/>
        <v>0</v>
      </c>
      <c r="J41" s="1568"/>
      <c r="K41" s="1568"/>
      <c r="L41" s="86"/>
      <c r="M41" s="86"/>
      <c r="N41" s="1570"/>
      <c r="P41" s="5"/>
      <c r="Q41" s="86"/>
      <c r="R41" s="86"/>
      <c r="S41" s="86"/>
      <c r="T41" s="86"/>
      <c r="U41" s="86"/>
    </row>
    <row r="42" spans="1:21" ht="21.95" customHeight="1">
      <c r="A42" s="2048"/>
      <c r="B42" s="1572"/>
      <c r="C42" s="1194"/>
      <c r="D42" s="1"/>
      <c r="E42" s="1"/>
      <c r="G42" s="86"/>
      <c r="H42" s="1568"/>
      <c r="I42" s="1359">
        <f t="shared" si="2"/>
        <v>0</v>
      </c>
      <c r="J42" s="1568"/>
      <c r="K42" s="1568"/>
      <c r="L42" s="86"/>
      <c r="M42" s="86"/>
      <c r="Q42" s="86"/>
      <c r="R42" s="86"/>
      <c r="S42" s="86"/>
      <c r="T42" s="86"/>
      <c r="U42" s="86"/>
    </row>
    <row r="43" spans="1:21" ht="21.95" customHeight="1">
      <c r="A43" s="2048"/>
      <c r="B43" s="1572"/>
      <c r="C43" s="1194"/>
      <c r="D43" s="1"/>
      <c r="E43" s="1"/>
      <c r="G43" s="86"/>
      <c r="H43" s="1568"/>
      <c r="I43" s="1359">
        <f t="shared" si="2"/>
        <v>0</v>
      </c>
      <c r="J43" s="1568"/>
      <c r="K43" s="1568"/>
      <c r="L43" s="86"/>
      <c r="M43" s="86"/>
      <c r="N43" s="86"/>
      <c r="O43" s="86"/>
      <c r="P43" s="86"/>
      <c r="Q43" s="86"/>
      <c r="R43" s="86"/>
      <c r="S43" s="86"/>
      <c r="T43" s="86"/>
      <c r="U43" s="86"/>
    </row>
    <row r="44" spans="1:21" ht="21.95" customHeight="1">
      <c r="A44" s="2048"/>
      <c r="B44" s="1572"/>
      <c r="C44" s="1194"/>
      <c r="D44" s="1"/>
      <c r="E44" s="1"/>
      <c r="G44" s="86"/>
      <c r="H44" s="1568"/>
      <c r="I44" s="1359">
        <f t="shared" si="2"/>
        <v>0</v>
      </c>
      <c r="J44" s="1568"/>
      <c r="K44" s="1568"/>
      <c r="L44" s="86"/>
      <c r="M44" s="86"/>
      <c r="N44" s="86"/>
      <c r="O44" s="86"/>
      <c r="P44" s="86"/>
      <c r="Q44" s="86"/>
      <c r="R44" s="86"/>
      <c r="S44" s="86"/>
      <c r="T44" s="86"/>
      <c r="U44" s="86"/>
    </row>
    <row r="45" spans="1:21" ht="21.95" customHeight="1">
      <c r="A45" s="2048"/>
      <c r="B45" s="1572"/>
      <c r="C45" s="1194"/>
      <c r="D45" s="1"/>
      <c r="E45" s="1"/>
      <c r="G45" s="86"/>
      <c r="H45" s="1568"/>
      <c r="I45" s="1359">
        <f t="shared" si="2"/>
        <v>0</v>
      </c>
      <c r="J45" s="1568"/>
      <c r="K45" s="1568"/>
      <c r="L45" s="86"/>
      <c r="M45" s="86"/>
      <c r="N45" s="86"/>
      <c r="O45" s="86"/>
      <c r="P45" s="86"/>
      <c r="Q45" s="86"/>
      <c r="R45" s="86"/>
      <c r="S45" s="86"/>
      <c r="T45" s="86"/>
      <c r="U45" s="86"/>
    </row>
    <row r="46" spans="1:21" ht="21.95" customHeight="1">
      <c r="A46" s="2048"/>
      <c r="B46" s="1572"/>
      <c r="C46" s="1194"/>
      <c r="D46" s="1"/>
      <c r="E46" s="1"/>
      <c r="G46" s="86"/>
      <c r="H46" s="1568"/>
      <c r="I46" s="1359">
        <f t="shared" si="2"/>
        <v>0</v>
      </c>
      <c r="J46" s="1568"/>
      <c r="K46" s="1568"/>
      <c r="L46" s="86"/>
      <c r="M46" s="86"/>
      <c r="N46" s="86"/>
      <c r="O46" s="86"/>
      <c r="P46" s="86"/>
      <c r="Q46" s="86"/>
      <c r="R46" s="86"/>
      <c r="S46" s="86"/>
      <c r="T46" s="86"/>
      <c r="U46" s="86"/>
    </row>
    <row r="47" spans="1:21" ht="21.95" customHeight="1">
      <c r="A47" s="2048"/>
      <c r="B47" s="1572"/>
      <c r="C47" s="1194"/>
      <c r="D47" s="1"/>
      <c r="E47" s="1"/>
      <c r="G47" s="86"/>
      <c r="H47" s="1568"/>
      <c r="I47" s="1359">
        <f t="shared" si="2"/>
        <v>0</v>
      </c>
      <c r="J47" s="1568"/>
      <c r="K47" s="1568"/>
      <c r="L47" s="86"/>
      <c r="M47" s="86"/>
      <c r="N47" s="86"/>
      <c r="O47" s="86"/>
      <c r="P47" s="86"/>
      <c r="Q47" s="86"/>
      <c r="R47" s="86"/>
      <c r="S47" s="86"/>
      <c r="T47" s="86"/>
      <c r="U47" s="86"/>
    </row>
    <row r="48" spans="1:21" ht="21.95" customHeight="1">
      <c r="A48" s="2048"/>
      <c r="B48" s="1572"/>
      <c r="C48" s="1194"/>
      <c r="D48" s="1"/>
      <c r="E48" s="1"/>
      <c r="G48" s="86"/>
      <c r="H48" s="1568"/>
      <c r="I48" s="1359">
        <f t="shared" si="2"/>
        <v>0</v>
      </c>
      <c r="J48" s="1568"/>
      <c r="K48" s="1568"/>
      <c r="L48" s="86"/>
      <c r="M48" s="86"/>
      <c r="N48" s="86"/>
      <c r="O48" s="86"/>
      <c r="P48" s="86"/>
      <c r="Q48" s="86"/>
      <c r="R48" s="86"/>
      <c r="S48" s="86"/>
      <c r="T48" s="86"/>
      <c r="U48" s="86"/>
    </row>
    <row r="49" spans="1:21" ht="21.95" customHeight="1">
      <c r="A49" s="2048"/>
      <c r="B49" s="1572"/>
      <c r="C49" s="1194"/>
      <c r="D49" s="1"/>
      <c r="E49" s="1"/>
      <c r="G49" s="86"/>
      <c r="H49" s="1568"/>
      <c r="I49" s="1359">
        <f t="shared" si="2"/>
        <v>0</v>
      </c>
      <c r="J49" s="1568"/>
      <c r="K49" s="1568"/>
      <c r="L49" s="86"/>
      <c r="M49" s="86"/>
      <c r="N49" s="86"/>
      <c r="O49" s="86"/>
      <c r="P49" s="86"/>
      <c r="Q49" s="86"/>
      <c r="R49" s="86"/>
      <c r="S49" s="86"/>
      <c r="T49" s="86"/>
      <c r="U49" s="86"/>
    </row>
    <row r="50" spans="1:21" ht="21.95" customHeight="1">
      <c r="A50" s="2048"/>
      <c r="B50" s="1572"/>
      <c r="C50" s="1194"/>
      <c r="D50" s="1"/>
      <c r="E50" s="1"/>
      <c r="G50" s="86"/>
      <c r="H50" s="1568"/>
      <c r="I50" s="1359">
        <f t="shared" si="2"/>
        <v>0</v>
      </c>
      <c r="J50" s="1568"/>
      <c r="K50" s="1568"/>
      <c r="L50" s="86"/>
      <c r="M50" s="86"/>
      <c r="N50" s="86"/>
      <c r="O50" s="86"/>
      <c r="P50" s="86"/>
      <c r="Q50" s="86"/>
      <c r="R50" s="86"/>
      <c r="S50" s="86"/>
      <c r="T50" s="86"/>
      <c r="U50" s="86"/>
    </row>
    <row r="51" spans="1:21" ht="21.95" customHeight="1">
      <c r="A51" s="2048"/>
      <c r="B51" s="1572"/>
      <c r="C51" s="1194"/>
      <c r="D51" s="1"/>
      <c r="E51" s="1"/>
      <c r="G51" s="86"/>
      <c r="H51" s="1568"/>
      <c r="I51" s="1359">
        <f t="shared" si="2"/>
        <v>0</v>
      </c>
      <c r="J51" s="1568"/>
      <c r="K51" s="1568"/>
      <c r="L51" s="86"/>
      <c r="M51" s="86"/>
      <c r="N51" s="86"/>
      <c r="O51" s="86"/>
      <c r="P51" s="86"/>
      <c r="Q51" s="86"/>
      <c r="R51" s="86"/>
      <c r="S51" s="86"/>
      <c r="T51" s="86"/>
      <c r="U51" s="86"/>
    </row>
    <row r="52" spans="1:21" ht="21.95" customHeight="1">
      <c r="A52" s="2048"/>
      <c r="B52" s="1572"/>
      <c r="C52" s="1194"/>
      <c r="D52" s="1"/>
      <c r="E52" s="1"/>
      <c r="G52" s="86"/>
      <c r="H52" s="1568"/>
      <c r="I52" s="1359">
        <f t="shared" si="2"/>
        <v>0</v>
      </c>
      <c r="J52" s="1568"/>
      <c r="K52" s="1568"/>
      <c r="L52" s="86"/>
      <c r="M52" s="86"/>
      <c r="N52" s="86"/>
      <c r="O52" s="86"/>
      <c r="P52" s="86"/>
      <c r="Q52" s="86"/>
      <c r="R52" s="86"/>
      <c r="S52" s="86"/>
      <c r="T52" s="86"/>
      <c r="U52" s="86"/>
    </row>
    <row r="53" spans="1:21" ht="21.95" customHeight="1">
      <c r="A53" s="2048"/>
      <c r="B53" s="1572"/>
      <c r="C53" s="1194"/>
      <c r="D53" s="1"/>
      <c r="E53" s="1"/>
      <c r="G53" s="86"/>
      <c r="H53" s="1568"/>
      <c r="I53" s="1359">
        <f t="shared" si="2"/>
        <v>0</v>
      </c>
      <c r="J53" s="1568"/>
      <c r="K53" s="1568"/>
      <c r="L53" s="86"/>
      <c r="M53" s="86"/>
      <c r="N53" s="86"/>
      <c r="O53" s="86"/>
      <c r="P53" s="86"/>
      <c r="Q53" s="86"/>
      <c r="R53" s="86"/>
      <c r="S53" s="86"/>
      <c r="T53" s="86"/>
      <c r="U53" s="86"/>
    </row>
    <row r="54" spans="1:21" ht="21.95" customHeight="1" thickBot="1">
      <c r="A54" s="2048"/>
      <c r="B54" s="1572"/>
      <c r="C54" s="1194"/>
      <c r="D54" s="1"/>
      <c r="E54" s="1"/>
      <c r="G54" s="86"/>
      <c r="H54" s="1568"/>
      <c r="I54" s="1359">
        <f t="shared" si="2"/>
        <v>0</v>
      </c>
      <c r="J54" s="1568"/>
      <c r="K54" s="1568"/>
      <c r="L54" s="86"/>
      <c r="M54" s="86"/>
      <c r="N54" s="86"/>
      <c r="O54" s="86"/>
      <c r="P54" s="86"/>
      <c r="Q54" s="86"/>
      <c r="R54" s="86"/>
      <c r="S54" s="86"/>
      <c r="T54" s="86"/>
      <c r="U54" s="86"/>
    </row>
    <row r="55" spans="1:21" s="43" customFormat="1" ht="24.75" customHeight="1" thickBot="1">
      <c r="A55" s="960" t="s">
        <v>1410</v>
      </c>
      <c r="B55" s="1581">
        <f>SUM(B40:B54)</f>
        <v>0</v>
      </c>
      <c r="C55" s="1581">
        <f>SUM(C40:C54)</f>
        <v>0</v>
      </c>
      <c r="F55" s="100"/>
      <c r="G55" s="100"/>
      <c r="H55" s="1571"/>
      <c r="I55" s="1359"/>
      <c r="J55" s="1568"/>
      <c r="K55" s="1571"/>
      <c r="L55" s="100"/>
      <c r="M55" s="100"/>
      <c r="N55" s="100"/>
      <c r="O55" s="100"/>
      <c r="P55" s="100"/>
      <c r="Q55" s="100"/>
      <c r="R55" s="100"/>
      <c r="S55" s="100"/>
      <c r="T55" s="100"/>
      <c r="U55" s="100"/>
    </row>
    <row r="56" spans="1:21" ht="33" customHeight="1">
      <c r="A56" s="1574" t="s">
        <v>1411</v>
      </c>
      <c r="B56" s="1575"/>
      <c r="C56" s="1576"/>
      <c r="D56" s="1"/>
      <c r="E56" s="1"/>
      <c r="G56" s="86"/>
      <c r="H56" s="1568"/>
      <c r="J56" s="1568"/>
      <c r="K56" s="1568"/>
      <c r="L56" s="86"/>
      <c r="M56" s="86"/>
      <c r="N56" s="86"/>
      <c r="O56" s="86"/>
      <c r="P56" s="86"/>
      <c r="Q56" s="86"/>
      <c r="R56" s="86"/>
      <c r="S56" s="86"/>
      <c r="T56" s="86"/>
      <c r="U56" s="86"/>
    </row>
    <row r="57" spans="1:21" ht="21.95" customHeight="1">
      <c r="A57" s="1573" t="s">
        <v>636</v>
      </c>
      <c r="B57" s="1572"/>
      <c r="C57" s="1194"/>
      <c r="D57" s="1"/>
      <c r="E57" s="1"/>
      <c r="G57" s="86"/>
      <c r="H57" s="1568"/>
      <c r="I57" s="1359">
        <f t="shared" ref="I57:I71" si="3">IF(OR(A57="",A57=0),0,1)</f>
        <v>1</v>
      </c>
      <c r="J57" s="1569">
        <f>IFERROR(MATCH(0,I57:I71,0),31)</f>
        <v>3</v>
      </c>
      <c r="K57" s="1568"/>
      <c r="L57" s="86"/>
      <c r="M57" s="86"/>
      <c r="N57" s="1568"/>
      <c r="Q57" s="86"/>
      <c r="R57" s="86"/>
      <c r="S57" s="86"/>
      <c r="T57" s="86"/>
      <c r="U57" s="86"/>
    </row>
    <row r="58" spans="1:21" ht="21.95" customHeight="1">
      <c r="A58" s="1573" t="s">
        <v>1680</v>
      </c>
      <c r="B58" s="1572"/>
      <c r="C58" s="1194"/>
      <c r="D58" s="1"/>
      <c r="E58" s="1"/>
      <c r="G58" s="86"/>
      <c r="H58" s="1568"/>
      <c r="I58" s="1359">
        <f t="shared" si="3"/>
        <v>1</v>
      </c>
      <c r="J58" s="1569"/>
      <c r="K58" s="1568"/>
      <c r="L58" s="86"/>
      <c r="M58" s="86"/>
      <c r="N58" s="1570"/>
      <c r="P58" s="5"/>
      <c r="Q58" s="86"/>
      <c r="R58" s="86"/>
      <c r="S58" s="86"/>
      <c r="T58" s="86"/>
      <c r="U58" s="86"/>
    </row>
    <row r="59" spans="1:21" ht="21.95" customHeight="1">
      <c r="A59" s="2048"/>
      <c r="B59" s="1572"/>
      <c r="C59" s="1194"/>
      <c r="D59" s="1"/>
      <c r="E59" s="1"/>
      <c r="G59" s="86"/>
      <c r="H59" s="1568"/>
      <c r="I59" s="1359">
        <f t="shared" si="3"/>
        <v>0</v>
      </c>
      <c r="J59" s="1568"/>
      <c r="K59" s="1568"/>
      <c r="L59" s="86"/>
      <c r="M59" s="86"/>
      <c r="Q59" s="86"/>
      <c r="R59" s="86"/>
      <c r="S59" s="86"/>
      <c r="T59" s="86"/>
      <c r="U59" s="86"/>
    </row>
    <row r="60" spans="1:21" ht="21.95" customHeight="1">
      <c r="A60" s="2048"/>
      <c r="B60" s="1572"/>
      <c r="C60" s="1194"/>
      <c r="D60" s="1"/>
      <c r="E60" s="1"/>
      <c r="G60" s="86"/>
      <c r="H60" s="1568"/>
      <c r="I60" s="1359">
        <f t="shared" si="3"/>
        <v>0</v>
      </c>
      <c r="J60" s="1568"/>
      <c r="K60" s="1568"/>
      <c r="L60" s="86"/>
      <c r="M60" s="86"/>
      <c r="N60" s="86"/>
      <c r="O60" s="86"/>
      <c r="P60" s="86"/>
      <c r="Q60" s="86"/>
      <c r="R60" s="86"/>
      <c r="S60" s="86"/>
      <c r="T60" s="86"/>
      <c r="U60" s="86"/>
    </row>
    <row r="61" spans="1:21" ht="21.95" customHeight="1">
      <c r="A61" s="2048"/>
      <c r="B61" s="1572"/>
      <c r="C61" s="1194"/>
      <c r="D61" s="1"/>
      <c r="E61" s="1"/>
      <c r="G61" s="86"/>
      <c r="H61" s="1568"/>
      <c r="I61" s="1359">
        <f t="shared" si="3"/>
        <v>0</v>
      </c>
      <c r="J61" s="1568"/>
      <c r="K61" s="1568"/>
      <c r="L61" s="86"/>
      <c r="M61" s="86"/>
      <c r="N61" s="86"/>
      <c r="O61" s="86"/>
      <c r="P61" s="86"/>
      <c r="Q61" s="86"/>
      <c r="R61" s="86"/>
      <c r="S61" s="86"/>
      <c r="T61" s="86"/>
      <c r="U61" s="86"/>
    </row>
    <row r="62" spans="1:21" ht="21.95" customHeight="1">
      <c r="A62" s="2048"/>
      <c r="B62" s="1572"/>
      <c r="C62" s="1194"/>
      <c r="D62" s="1"/>
      <c r="E62" s="1"/>
      <c r="G62" s="86"/>
      <c r="H62" s="1568"/>
      <c r="I62" s="1359">
        <f t="shared" si="3"/>
        <v>0</v>
      </c>
      <c r="J62" s="1568"/>
      <c r="K62" s="1568"/>
      <c r="L62" s="86"/>
      <c r="M62" s="86"/>
      <c r="N62" s="86"/>
      <c r="O62" s="86"/>
      <c r="P62" s="86"/>
      <c r="Q62" s="86"/>
      <c r="R62" s="86"/>
      <c r="S62" s="86"/>
      <c r="T62" s="86"/>
      <c r="U62" s="86"/>
    </row>
    <row r="63" spans="1:21" ht="21.95" customHeight="1">
      <c r="A63" s="2048"/>
      <c r="B63" s="1572"/>
      <c r="C63" s="1194"/>
      <c r="D63" s="1"/>
      <c r="E63" s="1"/>
      <c r="G63" s="86"/>
      <c r="H63" s="1568"/>
      <c r="I63" s="1359">
        <f t="shared" si="3"/>
        <v>0</v>
      </c>
      <c r="J63" s="1568"/>
      <c r="K63" s="1568"/>
      <c r="L63" s="86"/>
      <c r="M63" s="86"/>
      <c r="N63" s="86"/>
      <c r="O63" s="86"/>
      <c r="P63" s="86"/>
      <c r="Q63" s="86"/>
      <c r="R63" s="86"/>
      <c r="S63" s="86"/>
      <c r="T63" s="86"/>
      <c r="U63" s="86"/>
    </row>
    <row r="64" spans="1:21" ht="21.95" customHeight="1">
      <c r="A64" s="2048"/>
      <c r="B64" s="1572"/>
      <c r="C64" s="1194"/>
      <c r="D64" s="1"/>
      <c r="E64" s="1"/>
      <c r="G64" s="86"/>
      <c r="H64" s="1568"/>
      <c r="I64" s="1359">
        <f t="shared" si="3"/>
        <v>0</v>
      </c>
      <c r="J64" s="1568"/>
      <c r="K64" s="1568"/>
      <c r="L64" s="86"/>
      <c r="M64" s="86"/>
      <c r="N64" s="86"/>
      <c r="O64" s="86"/>
      <c r="P64" s="86"/>
      <c r="Q64" s="86"/>
      <c r="R64" s="86"/>
      <c r="S64" s="86"/>
      <c r="T64" s="86"/>
      <c r="U64" s="86"/>
    </row>
    <row r="65" spans="1:21" ht="21.95" customHeight="1">
      <c r="A65" s="2048"/>
      <c r="B65" s="1572"/>
      <c r="C65" s="1194"/>
      <c r="D65" s="1"/>
      <c r="E65" s="1"/>
      <c r="G65" s="86"/>
      <c r="H65" s="1568"/>
      <c r="I65" s="1359">
        <f t="shared" si="3"/>
        <v>0</v>
      </c>
      <c r="J65" s="1568"/>
      <c r="K65" s="1568"/>
      <c r="L65" s="86"/>
      <c r="M65" s="86"/>
      <c r="N65" s="86"/>
      <c r="O65" s="86"/>
      <c r="P65" s="86"/>
      <c r="Q65" s="86"/>
      <c r="R65" s="86"/>
      <c r="S65" s="86"/>
      <c r="T65" s="86"/>
      <c r="U65" s="86"/>
    </row>
    <row r="66" spans="1:21" ht="21.95" customHeight="1">
      <c r="A66" s="2048"/>
      <c r="B66" s="1572"/>
      <c r="C66" s="1194"/>
      <c r="D66" s="1"/>
      <c r="E66" s="1"/>
      <c r="G66" s="86"/>
      <c r="H66" s="1568"/>
      <c r="I66" s="1359">
        <f t="shared" si="3"/>
        <v>0</v>
      </c>
      <c r="J66" s="1568"/>
      <c r="K66" s="1568"/>
      <c r="L66" s="86"/>
      <c r="M66" s="86"/>
      <c r="N66" s="86"/>
      <c r="O66" s="86"/>
      <c r="P66" s="86"/>
      <c r="Q66" s="86"/>
      <c r="R66" s="86"/>
      <c r="S66" s="86"/>
      <c r="T66" s="86"/>
      <c r="U66" s="86"/>
    </row>
    <row r="67" spans="1:21" ht="21.95" customHeight="1">
      <c r="A67" s="2048"/>
      <c r="B67" s="1572"/>
      <c r="C67" s="1194"/>
      <c r="D67" s="1"/>
      <c r="E67" s="1"/>
      <c r="G67" s="86"/>
      <c r="H67" s="1568"/>
      <c r="I67" s="1359">
        <f t="shared" si="3"/>
        <v>0</v>
      </c>
      <c r="J67" s="1568"/>
      <c r="K67" s="1568"/>
      <c r="L67" s="86"/>
      <c r="M67" s="86"/>
      <c r="N67" s="86"/>
      <c r="O67" s="86"/>
      <c r="P67" s="86"/>
      <c r="Q67" s="86"/>
      <c r="R67" s="86"/>
      <c r="S67" s="86"/>
      <c r="T67" s="86"/>
      <c r="U67" s="86"/>
    </row>
    <row r="68" spans="1:21" ht="21.95" customHeight="1">
      <c r="A68" s="2048"/>
      <c r="B68" s="1572"/>
      <c r="C68" s="1194"/>
      <c r="D68" s="1"/>
      <c r="E68" s="1"/>
      <c r="G68" s="86"/>
      <c r="H68" s="1568"/>
      <c r="I68" s="1359">
        <f t="shared" si="3"/>
        <v>0</v>
      </c>
      <c r="J68" s="1568"/>
      <c r="K68" s="1568"/>
      <c r="L68" s="86"/>
      <c r="M68" s="86"/>
      <c r="N68" s="86"/>
      <c r="O68" s="86"/>
      <c r="P68" s="86"/>
      <c r="Q68" s="86"/>
      <c r="R68" s="86"/>
      <c r="S68" s="86"/>
      <c r="T68" s="86"/>
      <c r="U68" s="86"/>
    </row>
    <row r="69" spans="1:21" ht="21.95" customHeight="1">
      <c r="A69" s="2048"/>
      <c r="B69" s="1572"/>
      <c r="C69" s="1194"/>
      <c r="D69" s="1"/>
      <c r="E69" s="1"/>
      <c r="G69" s="86"/>
      <c r="H69" s="1568"/>
      <c r="I69" s="1359">
        <f t="shared" si="3"/>
        <v>0</v>
      </c>
      <c r="J69" s="1568"/>
      <c r="K69" s="1568"/>
      <c r="L69" s="86"/>
      <c r="M69" s="86"/>
      <c r="N69" s="86"/>
      <c r="O69" s="86"/>
      <c r="P69" s="86"/>
      <c r="Q69" s="86"/>
      <c r="R69" s="86"/>
      <c r="S69" s="86"/>
      <c r="T69" s="86"/>
      <c r="U69" s="86"/>
    </row>
    <row r="70" spans="1:21" ht="21.95" customHeight="1">
      <c r="A70" s="2048"/>
      <c r="B70" s="1572"/>
      <c r="C70" s="1194"/>
      <c r="D70" s="1"/>
      <c r="E70" s="1"/>
      <c r="G70" s="86"/>
      <c r="H70" s="1568"/>
      <c r="I70" s="1359">
        <f t="shared" si="3"/>
        <v>0</v>
      </c>
      <c r="J70" s="1568"/>
      <c r="K70" s="1568"/>
      <c r="L70" s="86"/>
      <c r="M70" s="86"/>
      <c r="N70" s="86"/>
      <c r="O70" s="86"/>
      <c r="P70" s="86"/>
      <c r="Q70" s="86"/>
      <c r="R70" s="86"/>
      <c r="S70" s="86"/>
      <c r="T70" s="86"/>
      <c r="U70" s="86"/>
    </row>
    <row r="71" spans="1:21" ht="21.95" customHeight="1" thickBot="1">
      <c r="A71" s="2048"/>
      <c r="B71" s="1572"/>
      <c r="C71" s="1194"/>
      <c r="D71" s="1"/>
      <c r="E71" s="1"/>
      <c r="G71" s="86"/>
      <c r="H71" s="1568"/>
      <c r="I71" s="1359">
        <f t="shared" si="3"/>
        <v>0</v>
      </c>
      <c r="J71" s="1568"/>
      <c r="K71" s="1568"/>
      <c r="L71" s="86"/>
      <c r="M71" s="86"/>
      <c r="N71" s="86"/>
      <c r="O71" s="86"/>
      <c r="P71" s="86"/>
      <c r="Q71" s="86"/>
      <c r="R71" s="86"/>
      <c r="S71" s="86"/>
      <c r="T71" s="86"/>
      <c r="U71" s="86"/>
    </row>
    <row r="72" spans="1:21" ht="24.75" thickBot="1">
      <c r="A72" s="960" t="s">
        <v>1412</v>
      </c>
      <c r="B72" s="1581">
        <f>SUM(B57:B71)</f>
        <v>0</v>
      </c>
      <c r="C72" s="1581">
        <f>SUM(C57:C71)</f>
        <v>0</v>
      </c>
      <c r="D72" s="1"/>
      <c r="E72" s="1"/>
      <c r="G72" s="86"/>
      <c r="H72" s="1568"/>
      <c r="J72" s="1568"/>
      <c r="K72" s="1568"/>
      <c r="L72" s="86"/>
      <c r="M72" s="86"/>
      <c r="N72" s="86"/>
      <c r="O72" s="86"/>
      <c r="P72" s="86"/>
      <c r="Q72" s="86"/>
      <c r="R72" s="86"/>
      <c r="S72" s="86"/>
      <c r="T72" s="86"/>
      <c r="U72" s="86"/>
    </row>
    <row r="73" spans="1:21" ht="33" customHeight="1">
      <c r="A73" s="1574" t="s">
        <v>1413</v>
      </c>
      <c r="B73" s="1575"/>
      <c r="C73" s="1576"/>
      <c r="D73" s="1"/>
      <c r="E73" s="1"/>
      <c r="G73" s="86"/>
      <c r="H73" s="1568"/>
      <c r="J73" s="1568"/>
      <c r="K73" s="1568"/>
      <c r="L73" s="86"/>
      <c r="M73" s="86"/>
      <c r="N73" s="86"/>
      <c r="O73" s="86"/>
      <c r="P73" s="86"/>
      <c r="Q73" s="86"/>
      <c r="R73" s="86"/>
      <c r="S73" s="86"/>
      <c r="T73" s="86"/>
      <c r="U73" s="86"/>
    </row>
    <row r="74" spans="1:21" ht="21.95" customHeight="1">
      <c r="A74" s="2048"/>
      <c r="B74" s="1572"/>
      <c r="C74" s="1194"/>
      <c r="D74" s="1"/>
      <c r="E74" s="1"/>
      <c r="G74" s="86"/>
      <c r="H74" s="1568"/>
      <c r="I74" s="1359">
        <f t="shared" ref="I74:I88" si="4">IF(OR(A74="",A74=0),0,1)</f>
        <v>0</v>
      </c>
      <c r="J74" s="1569">
        <f>IFERROR(MATCH(0,I74:I88,0),31)</f>
        <v>1</v>
      </c>
      <c r="K74" s="1568"/>
      <c r="L74" s="86"/>
      <c r="M74" s="86"/>
      <c r="N74" s="1568"/>
      <c r="Q74" s="86"/>
      <c r="R74" s="86"/>
      <c r="S74" s="86"/>
      <c r="T74" s="86"/>
      <c r="U74" s="86"/>
    </row>
    <row r="75" spans="1:21" ht="21.95" customHeight="1">
      <c r="A75" s="2048"/>
      <c r="B75" s="1572"/>
      <c r="C75" s="1194"/>
      <c r="D75" s="1"/>
      <c r="E75" s="1"/>
      <c r="G75" s="86"/>
      <c r="H75" s="1568"/>
      <c r="I75" s="1359">
        <f t="shared" si="4"/>
        <v>0</v>
      </c>
      <c r="J75" s="1569"/>
      <c r="K75" s="1568"/>
      <c r="L75" s="86"/>
      <c r="M75" s="86"/>
      <c r="N75" s="1570"/>
      <c r="P75" s="5"/>
      <c r="Q75" s="86"/>
      <c r="R75" s="86"/>
      <c r="S75" s="86"/>
      <c r="T75" s="86"/>
      <c r="U75" s="86"/>
    </row>
    <row r="76" spans="1:21" ht="21.95" customHeight="1">
      <c r="A76" s="2048"/>
      <c r="B76" s="1572"/>
      <c r="C76" s="1194"/>
      <c r="D76" s="1"/>
      <c r="E76" s="1"/>
      <c r="G76" s="86"/>
      <c r="H76" s="1568"/>
      <c r="I76" s="1359">
        <f t="shared" si="4"/>
        <v>0</v>
      </c>
      <c r="J76" s="1568"/>
      <c r="K76" s="1568"/>
      <c r="L76" s="86"/>
      <c r="M76" s="86"/>
      <c r="Q76" s="86"/>
      <c r="R76" s="86"/>
      <c r="S76" s="86"/>
      <c r="T76" s="86"/>
      <c r="U76" s="86"/>
    </row>
    <row r="77" spans="1:21" ht="21.95" customHeight="1">
      <c r="A77" s="2048"/>
      <c r="B77" s="1572"/>
      <c r="C77" s="1194"/>
      <c r="D77" s="1"/>
      <c r="E77" s="1"/>
      <c r="G77" s="86"/>
      <c r="H77" s="1568"/>
      <c r="I77" s="1359">
        <f t="shared" si="4"/>
        <v>0</v>
      </c>
      <c r="J77" s="1568"/>
      <c r="K77" s="1568"/>
      <c r="L77" s="86"/>
      <c r="M77" s="86"/>
      <c r="N77" s="86"/>
      <c r="O77" s="86"/>
      <c r="P77" s="86"/>
      <c r="Q77" s="86"/>
      <c r="R77" s="86"/>
      <c r="S77" s="86"/>
      <c r="T77" s="86"/>
      <c r="U77" s="86"/>
    </row>
    <row r="78" spans="1:21" ht="21.95" customHeight="1">
      <c r="A78" s="2048"/>
      <c r="B78" s="1572"/>
      <c r="C78" s="1194"/>
      <c r="D78" s="1"/>
      <c r="E78" s="1"/>
      <c r="G78" s="86"/>
      <c r="H78" s="1568"/>
      <c r="I78" s="1359">
        <f t="shared" si="4"/>
        <v>0</v>
      </c>
      <c r="J78" s="1568"/>
      <c r="K78" s="1568"/>
      <c r="L78" s="86"/>
      <c r="M78" s="86"/>
      <c r="N78" s="86"/>
      <c r="O78" s="86"/>
      <c r="P78" s="86"/>
      <c r="Q78" s="86"/>
      <c r="R78" s="86"/>
      <c r="S78" s="86"/>
      <c r="T78" s="86"/>
      <c r="U78" s="86"/>
    </row>
    <row r="79" spans="1:21" ht="21.95" customHeight="1">
      <c r="A79" s="2048"/>
      <c r="B79" s="1572"/>
      <c r="C79" s="1194"/>
      <c r="D79" s="1"/>
      <c r="E79" s="1"/>
      <c r="G79" s="86"/>
      <c r="H79" s="1568"/>
      <c r="I79" s="1359">
        <f t="shared" si="4"/>
        <v>0</v>
      </c>
      <c r="J79" s="1568"/>
      <c r="K79" s="1568"/>
      <c r="L79" s="86"/>
      <c r="M79" s="86"/>
      <c r="N79" s="86"/>
      <c r="O79" s="86"/>
      <c r="P79" s="86"/>
      <c r="Q79" s="86"/>
      <c r="R79" s="86"/>
      <c r="S79" s="86"/>
      <c r="T79" s="86"/>
      <c r="U79" s="86"/>
    </row>
    <row r="80" spans="1:21" ht="21.95" customHeight="1">
      <c r="A80" s="2048"/>
      <c r="B80" s="1572"/>
      <c r="C80" s="1194"/>
      <c r="D80" s="1"/>
      <c r="E80" s="1"/>
      <c r="G80" s="86"/>
      <c r="H80" s="1568"/>
      <c r="I80" s="1359">
        <f t="shared" si="4"/>
        <v>0</v>
      </c>
      <c r="J80" s="1568"/>
      <c r="K80" s="1568"/>
      <c r="L80" s="86"/>
      <c r="M80" s="86"/>
      <c r="N80" s="86"/>
      <c r="O80" s="86"/>
      <c r="P80" s="86"/>
      <c r="Q80" s="86"/>
      <c r="R80" s="86"/>
      <c r="S80" s="86"/>
      <c r="T80" s="86"/>
      <c r="U80" s="86"/>
    </row>
    <row r="81" spans="1:21" ht="21.95" customHeight="1">
      <c r="A81" s="2048"/>
      <c r="B81" s="1572"/>
      <c r="C81" s="1194"/>
      <c r="D81" s="1"/>
      <c r="E81" s="1"/>
      <c r="G81" s="86"/>
      <c r="H81" s="1568"/>
      <c r="I81" s="1359">
        <f t="shared" si="4"/>
        <v>0</v>
      </c>
      <c r="J81" s="1568"/>
      <c r="K81" s="1568"/>
      <c r="L81" s="86"/>
      <c r="M81" s="86"/>
      <c r="N81" s="86"/>
      <c r="O81" s="86"/>
      <c r="P81" s="86"/>
      <c r="Q81" s="86"/>
      <c r="R81" s="86"/>
      <c r="S81" s="86"/>
      <c r="T81" s="86"/>
      <c r="U81" s="86"/>
    </row>
    <row r="82" spans="1:21" ht="21.95" customHeight="1">
      <c r="A82" s="2048"/>
      <c r="B82" s="1572"/>
      <c r="C82" s="1194"/>
      <c r="D82" s="1"/>
      <c r="E82" s="1"/>
      <c r="G82" s="86"/>
      <c r="H82" s="1568"/>
      <c r="I82" s="1359">
        <f t="shared" si="4"/>
        <v>0</v>
      </c>
      <c r="J82" s="1568"/>
      <c r="K82" s="1568"/>
      <c r="L82" s="86"/>
      <c r="M82" s="86"/>
      <c r="N82" s="86"/>
      <c r="O82" s="86"/>
      <c r="P82" s="86"/>
      <c r="Q82" s="86"/>
      <c r="R82" s="86"/>
      <c r="S82" s="86"/>
      <c r="T82" s="86"/>
      <c r="U82" s="86"/>
    </row>
    <row r="83" spans="1:21" ht="21.95" customHeight="1">
      <c r="A83" s="2048"/>
      <c r="B83" s="1572"/>
      <c r="C83" s="1194"/>
      <c r="D83" s="1"/>
      <c r="E83" s="1"/>
      <c r="G83" s="86"/>
      <c r="H83" s="1568"/>
      <c r="I83" s="1359">
        <f t="shared" si="4"/>
        <v>0</v>
      </c>
      <c r="J83" s="1568"/>
      <c r="K83" s="1568"/>
      <c r="L83" s="86"/>
      <c r="M83" s="86"/>
      <c r="N83" s="86"/>
      <c r="O83" s="86"/>
      <c r="P83" s="86"/>
      <c r="Q83" s="86"/>
      <c r="R83" s="86"/>
      <c r="S83" s="86"/>
      <c r="T83" s="86"/>
      <c r="U83" s="86"/>
    </row>
    <row r="84" spans="1:21" ht="21.95" customHeight="1">
      <c r="A84" s="2048"/>
      <c r="B84" s="1572"/>
      <c r="C84" s="1194"/>
      <c r="D84" s="1"/>
      <c r="E84" s="1"/>
      <c r="G84" s="86"/>
      <c r="H84" s="1568"/>
      <c r="I84" s="1359">
        <f t="shared" si="4"/>
        <v>0</v>
      </c>
      <c r="J84" s="1568"/>
      <c r="K84" s="1568"/>
      <c r="L84" s="86"/>
      <c r="M84" s="86"/>
      <c r="N84" s="86"/>
      <c r="O84" s="86"/>
      <c r="P84" s="86"/>
      <c r="Q84" s="86"/>
      <c r="R84" s="86"/>
      <c r="S84" s="86"/>
      <c r="T84" s="86"/>
      <c r="U84" s="86"/>
    </row>
    <row r="85" spans="1:21" ht="21.95" customHeight="1">
      <c r="A85" s="2048"/>
      <c r="B85" s="1572"/>
      <c r="C85" s="1194"/>
      <c r="D85" s="1"/>
      <c r="E85" s="1"/>
      <c r="G85" s="86"/>
      <c r="H85" s="1568"/>
      <c r="I85" s="1359">
        <f t="shared" si="4"/>
        <v>0</v>
      </c>
      <c r="J85" s="1568"/>
      <c r="K85" s="1568"/>
      <c r="L85" s="86"/>
      <c r="M85" s="86"/>
      <c r="N85" s="86"/>
      <c r="O85" s="86"/>
      <c r="P85" s="86"/>
      <c r="Q85" s="86"/>
      <c r="R85" s="86"/>
      <c r="S85" s="86"/>
      <c r="T85" s="86"/>
      <c r="U85" s="86"/>
    </row>
    <row r="86" spans="1:21" ht="21.95" customHeight="1">
      <c r="A86" s="2048"/>
      <c r="B86" s="1572"/>
      <c r="C86" s="1194"/>
      <c r="D86" s="1"/>
      <c r="E86" s="1"/>
      <c r="G86" s="86"/>
      <c r="H86" s="1568"/>
      <c r="I86" s="1359">
        <f t="shared" si="4"/>
        <v>0</v>
      </c>
      <c r="J86" s="1568"/>
      <c r="K86" s="1568"/>
      <c r="L86" s="86"/>
      <c r="M86" s="86"/>
      <c r="N86" s="86"/>
      <c r="O86" s="86"/>
      <c r="P86" s="86"/>
      <c r="Q86" s="86"/>
      <c r="R86" s="86"/>
      <c r="S86" s="86"/>
      <c r="T86" s="86"/>
      <c r="U86" s="86"/>
    </row>
    <row r="87" spans="1:21" ht="21.95" customHeight="1">
      <c r="A87" s="2048"/>
      <c r="B87" s="1572"/>
      <c r="C87" s="1194"/>
      <c r="D87" s="1"/>
      <c r="E87" s="1"/>
      <c r="G87" s="86"/>
      <c r="H87" s="1568"/>
      <c r="I87" s="1359">
        <f t="shared" si="4"/>
        <v>0</v>
      </c>
      <c r="J87" s="1568"/>
      <c r="K87" s="1568"/>
      <c r="L87" s="86"/>
      <c r="M87" s="86"/>
      <c r="N87" s="86"/>
      <c r="O87" s="86"/>
      <c r="P87" s="86"/>
      <c r="Q87" s="86"/>
      <c r="R87" s="86"/>
      <c r="S87" s="86"/>
      <c r="T87" s="86"/>
      <c r="U87" s="86"/>
    </row>
    <row r="88" spans="1:21" ht="21.95" customHeight="1" thickBot="1">
      <c r="A88" s="2048"/>
      <c r="B88" s="1572"/>
      <c r="C88" s="1194"/>
      <c r="D88" s="1"/>
      <c r="E88" s="1"/>
      <c r="G88" s="86"/>
      <c r="H88" s="1568"/>
      <c r="I88" s="1359">
        <f t="shared" si="4"/>
        <v>0</v>
      </c>
      <c r="J88" s="1568"/>
      <c r="K88" s="1568"/>
      <c r="L88" s="86"/>
      <c r="M88" s="86"/>
      <c r="N88" s="86"/>
      <c r="O88" s="86"/>
      <c r="P88" s="86"/>
      <c r="Q88" s="86"/>
      <c r="R88" s="86"/>
      <c r="S88" s="86"/>
      <c r="T88" s="86"/>
      <c r="U88" s="86"/>
    </row>
    <row r="89" spans="1:21" ht="21.95" customHeight="1" thickBot="1">
      <c r="A89" s="960" t="s">
        <v>1414</v>
      </c>
      <c r="B89" s="1581">
        <f>SUM(B74:B88)</f>
        <v>0</v>
      </c>
      <c r="C89" s="1581">
        <f>SUM(C74:C88)</f>
        <v>0</v>
      </c>
      <c r="D89" s="1"/>
      <c r="E89" s="1"/>
      <c r="G89" s="86"/>
      <c r="H89" s="1568"/>
      <c r="I89" s="1359">
        <f>IF(A89="",0,1)</f>
        <v>1</v>
      </c>
      <c r="J89" s="1568"/>
      <c r="K89" s="1568"/>
      <c r="L89" s="86"/>
      <c r="M89" s="86"/>
      <c r="N89" s="86"/>
      <c r="O89" s="86"/>
      <c r="P89" s="86"/>
      <c r="Q89" s="86"/>
      <c r="R89" s="86"/>
      <c r="S89" s="86"/>
      <c r="T89" s="86"/>
      <c r="U89" s="86"/>
    </row>
    <row r="90" spans="1:21" ht="21.95" customHeight="1">
      <c r="A90" s="1574" t="s">
        <v>1415</v>
      </c>
      <c r="B90" s="1575"/>
      <c r="C90" s="1576"/>
      <c r="D90" s="1"/>
      <c r="E90" s="1"/>
      <c r="G90" s="86"/>
      <c r="H90" s="1568"/>
      <c r="I90" s="1359"/>
      <c r="J90" s="1568"/>
      <c r="K90" s="1568"/>
      <c r="L90" s="86"/>
      <c r="M90" s="86"/>
      <c r="N90" s="86"/>
      <c r="O90" s="86"/>
      <c r="P90" s="86"/>
      <c r="Q90" s="86"/>
      <c r="R90" s="86"/>
      <c r="S90" s="86"/>
      <c r="T90" s="86"/>
      <c r="U90" s="86"/>
    </row>
    <row r="91" spans="1:21" ht="21.95" customHeight="1">
      <c r="A91" s="1573" t="s">
        <v>636</v>
      </c>
      <c r="B91" s="1572"/>
      <c r="C91" s="1194"/>
      <c r="D91" s="1"/>
      <c r="E91" s="1"/>
      <c r="G91" s="86"/>
      <c r="H91" s="1568"/>
      <c r="I91" s="1359">
        <f t="shared" ref="I91:I105" si="5">IF(OR(A91="",A91=0),0,1)</f>
        <v>1</v>
      </c>
      <c r="J91" s="1569">
        <f>IFERROR(MATCH(0,I91:I105,0),31)</f>
        <v>3</v>
      </c>
      <c r="K91" s="1568"/>
      <c r="L91" s="86"/>
      <c r="M91" s="86"/>
      <c r="N91" s="1568"/>
      <c r="Q91" s="86"/>
      <c r="R91" s="86"/>
      <c r="S91" s="86"/>
      <c r="T91" s="86"/>
      <c r="U91" s="86"/>
    </row>
    <row r="92" spans="1:21" ht="21.95" customHeight="1">
      <c r="A92" s="1573" t="s">
        <v>1680</v>
      </c>
      <c r="B92" s="1572"/>
      <c r="C92" s="1194"/>
      <c r="D92" s="1"/>
      <c r="E92" s="1"/>
      <c r="G92" s="86"/>
      <c r="H92" s="1568"/>
      <c r="I92" s="1359">
        <f t="shared" si="5"/>
        <v>1</v>
      </c>
      <c r="J92" s="1568"/>
      <c r="K92" s="1568"/>
      <c r="L92" s="86"/>
      <c r="M92" s="86"/>
      <c r="N92" s="1570"/>
      <c r="P92" s="5"/>
      <c r="Q92" s="86"/>
      <c r="R92" s="86"/>
      <c r="S92" s="86"/>
      <c r="T92" s="86"/>
      <c r="U92" s="86"/>
    </row>
    <row r="93" spans="1:21" ht="21.95" customHeight="1">
      <c r="A93" s="2048"/>
      <c r="B93" s="1572"/>
      <c r="C93" s="1194"/>
      <c r="D93" s="1"/>
      <c r="E93" s="1"/>
      <c r="G93" s="86"/>
      <c r="H93" s="1568"/>
      <c r="I93" s="1359">
        <f t="shared" si="5"/>
        <v>0</v>
      </c>
      <c r="J93" s="1568"/>
      <c r="K93" s="1568"/>
      <c r="L93" s="86"/>
      <c r="M93" s="86"/>
      <c r="Q93" s="86"/>
      <c r="R93" s="86"/>
      <c r="S93" s="86"/>
      <c r="T93" s="86"/>
      <c r="U93" s="86"/>
    </row>
    <row r="94" spans="1:21" ht="21.95" customHeight="1">
      <c r="A94" s="2048"/>
      <c r="B94" s="1572"/>
      <c r="C94" s="1194"/>
      <c r="D94" s="1"/>
      <c r="E94" s="1"/>
      <c r="G94" s="86"/>
      <c r="H94" s="1568"/>
      <c r="I94" s="1359">
        <f t="shared" si="5"/>
        <v>0</v>
      </c>
      <c r="J94" s="1568"/>
      <c r="K94" s="1568"/>
      <c r="L94" s="86"/>
      <c r="M94" s="86"/>
      <c r="N94" s="86"/>
      <c r="O94" s="86"/>
      <c r="P94" s="86"/>
      <c r="Q94" s="86"/>
      <c r="R94" s="86"/>
      <c r="S94" s="86"/>
      <c r="T94" s="86"/>
      <c r="U94" s="86"/>
    </row>
    <row r="95" spans="1:21" ht="21.95" customHeight="1">
      <c r="A95" s="2048"/>
      <c r="B95" s="1572"/>
      <c r="C95" s="1194"/>
      <c r="D95" s="1"/>
      <c r="E95" s="1"/>
      <c r="G95" s="86"/>
      <c r="H95" s="1568"/>
      <c r="I95" s="1359">
        <f t="shared" si="5"/>
        <v>0</v>
      </c>
      <c r="J95" s="1568"/>
      <c r="K95" s="1568"/>
      <c r="L95" s="86"/>
      <c r="M95" s="86"/>
      <c r="N95" s="86"/>
      <c r="O95" s="86"/>
      <c r="P95" s="86"/>
      <c r="Q95" s="86"/>
      <c r="R95" s="86"/>
      <c r="S95" s="86"/>
      <c r="T95" s="86"/>
      <c r="U95" s="86"/>
    </row>
    <row r="96" spans="1:21" ht="21.95" customHeight="1">
      <c r="A96" s="2048"/>
      <c r="B96" s="1572"/>
      <c r="C96" s="1194"/>
      <c r="D96" s="1"/>
      <c r="E96" s="1"/>
      <c r="G96" s="86"/>
      <c r="H96" s="1568"/>
      <c r="I96" s="1359">
        <f t="shared" si="5"/>
        <v>0</v>
      </c>
      <c r="J96" s="1568"/>
      <c r="K96" s="1568"/>
      <c r="L96" s="86"/>
      <c r="M96" s="86"/>
      <c r="N96" s="86"/>
      <c r="O96" s="86"/>
      <c r="P96" s="86"/>
      <c r="Q96" s="86"/>
      <c r="R96" s="86"/>
      <c r="S96" s="86"/>
      <c r="T96" s="86"/>
      <c r="U96" s="86"/>
    </row>
    <row r="97" spans="1:21" ht="21.95" customHeight="1">
      <c r="A97" s="2048"/>
      <c r="B97" s="1572"/>
      <c r="C97" s="1194"/>
      <c r="D97" s="1"/>
      <c r="E97" s="1"/>
      <c r="G97" s="86"/>
      <c r="H97" s="1568"/>
      <c r="I97" s="1359">
        <f t="shared" si="5"/>
        <v>0</v>
      </c>
      <c r="J97" s="1568"/>
      <c r="K97" s="1568"/>
      <c r="L97" s="86"/>
      <c r="M97" s="86"/>
      <c r="N97" s="86"/>
      <c r="O97" s="86"/>
      <c r="P97" s="86"/>
      <c r="Q97" s="86"/>
      <c r="R97" s="86"/>
      <c r="S97" s="86"/>
      <c r="T97" s="86"/>
      <c r="U97" s="86"/>
    </row>
    <row r="98" spans="1:21" ht="21.95" customHeight="1">
      <c r="A98" s="2048"/>
      <c r="B98" s="1572"/>
      <c r="C98" s="1194"/>
      <c r="D98" s="1"/>
      <c r="E98" s="1"/>
      <c r="G98" s="86"/>
      <c r="H98" s="1568"/>
      <c r="I98" s="1359">
        <f t="shared" si="5"/>
        <v>0</v>
      </c>
      <c r="J98" s="1568"/>
      <c r="K98" s="1568"/>
      <c r="L98" s="86"/>
      <c r="M98" s="86"/>
      <c r="N98" s="86"/>
      <c r="O98" s="86"/>
      <c r="P98" s="86"/>
      <c r="Q98" s="86"/>
      <c r="R98" s="86"/>
      <c r="S98" s="86"/>
      <c r="T98" s="86"/>
      <c r="U98" s="86"/>
    </row>
    <row r="99" spans="1:21" ht="21.95" customHeight="1">
      <c r="A99" s="2048"/>
      <c r="B99" s="1572"/>
      <c r="C99" s="1194"/>
      <c r="D99" s="1"/>
      <c r="E99" s="1"/>
      <c r="G99" s="86"/>
      <c r="H99" s="1568"/>
      <c r="I99" s="1359">
        <f t="shared" si="5"/>
        <v>0</v>
      </c>
      <c r="J99" s="1568"/>
      <c r="K99" s="1568"/>
      <c r="L99" s="86"/>
      <c r="M99" s="86"/>
      <c r="N99" s="86"/>
      <c r="O99" s="86"/>
      <c r="P99" s="86"/>
      <c r="Q99" s="86"/>
      <c r="R99" s="86"/>
      <c r="S99" s="86"/>
      <c r="T99" s="86"/>
      <c r="U99" s="86"/>
    </row>
    <row r="100" spans="1:21" ht="21.95" customHeight="1">
      <c r="A100" s="2048"/>
      <c r="B100" s="1572"/>
      <c r="C100" s="1194"/>
      <c r="D100" s="1"/>
      <c r="E100" s="1"/>
      <c r="G100" s="86"/>
      <c r="H100" s="1568"/>
      <c r="I100" s="1359">
        <f t="shared" si="5"/>
        <v>0</v>
      </c>
      <c r="J100" s="1568"/>
      <c r="K100" s="1568"/>
      <c r="L100" s="86"/>
      <c r="M100" s="86"/>
      <c r="N100" s="86"/>
      <c r="O100" s="86"/>
      <c r="P100" s="86"/>
      <c r="Q100" s="86"/>
      <c r="R100" s="86"/>
      <c r="S100" s="86"/>
      <c r="T100" s="86"/>
      <c r="U100" s="86"/>
    </row>
    <row r="101" spans="1:21" ht="21.95" customHeight="1">
      <c r="A101" s="2048"/>
      <c r="B101" s="1572"/>
      <c r="C101" s="1194"/>
      <c r="D101" s="1"/>
      <c r="E101" s="1"/>
      <c r="G101" s="86"/>
      <c r="H101" s="1568"/>
      <c r="I101" s="1359">
        <f t="shared" si="5"/>
        <v>0</v>
      </c>
      <c r="J101" s="1568"/>
      <c r="K101" s="1568"/>
      <c r="L101" s="86"/>
      <c r="M101" s="86"/>
      <c r="N101" s="86"/>
      <c r="O101" s="86"/>
      <c r="P101" s="86"/>
      <c r="Q101" s="86"/>
      <c r="R101" s="86"/>
      <c r="S101" s="86"/>
      <c r="T101" s="86"/>
      <c r="U101" s="86"/>
    </row>
    <row r="102" spans="1:21" ht="21.95" customHeight="1">
      <c r="A102" s="2048"/>
      <c r="B102" s="1572"/>
      <c r="C102" s="1194"/>
      <c r="D102" s="1"/>
      <c r="E102" s="1"/>
      <c r="G102" s="86"/>
      <c r="H102" s="1568"/>
      <c r="I102" s="1359">
        <f t="shared" si="5"/>
        <v>0</v>
      </c>
      <c r="J102" s="1568"/>
      <c r="K102" s="1568"/>
      <c r="L102" s="86"/>
      <c r="M102" s="86"/>
      <c r="N102" s="86"/>
      <c r="O102" s="86"/>
      <c r="P102" s="86"/>
      <c r="Q102" s="86"/>
      <c r="R102" s="86"/>
      <c r="S102" s="86"/>
      <c r="T102" s="86"/>
      <c r="U102" s="86"/>
    </row>
    <row r="103" spans="1:21" ht="21.95" customHeight="1">
      <c r="A103" s="2048"/>
      <c r="B103" s="1572"/>
      <c r="C103" s="1194"/>
      <c r="D103" s="1"/>
      <c r="E103" s="1"/>
      <c r="G103" s="86"/>
      <c r="H103" s="1568"/>
      <c r="I103" s="1359">
        <f t="shared" si="5"/>
        <v>0</v>
      </c>
      <c r="J103" s="1568"/>
      <c r="K103" s="1568"/>
      <c r="L103" s="86"/>
      <c r="M103" s="86"/>
      <c r="N103" s="86"/>
      <c r="O103" s="86"/>
      <c r="P103" s="86"/>
      <c r="Q103" s="86"/>
      <c r="R103" s="86"/>
      <c r="S103" s="86"/>
      <c r="T103" s="86"/>
      <c r="U103" s="86"/>
    </row>
    <row r="104" spans="1:21" ht="21.95" customHeight="1">
      <c r="A104" s="2048"/>
      <c r="B104" s="1572"/>
      <c r="C104" s="1194"/>
      <c r="D104" s="1"/>
      <c r="E104" s="1"/>
      <c r="G104" s="86"/>
      <c r="H104" s="1568"/>
      <c r="I104" s="1359">
        <f t="shared" si="5"/>
        <v>0</v>
      </c>
      <c r="J104" s="1568"/>
      <c r="K104" s="1568"/>
      <c r="L104" s="86"/>
      <c r="M104" s="86"/>
      <c r="N104" s="86"/>
      <c r="O104" s="86"/>
      <c r="P104" s="86"/>
      <c r="Q104" s="86"/>
      <c r="R104" s="86"/>
      <c r="S104" s="86"/>
      <c r="T104" s="86"/>
      <c r="U104" s="86"/>
    </row>
    <row r="105" spans="1:21" ht="21.95" customHeight="1" thickBot="1">
      <c r="A105" s="2048"/>
      <c r="B105" s="1572"/>
      <c r="C105" s="1194"/>
      <c r="D105" s="1"/>
      <c r="E105" s="1"/>
      <c r="G105" s="86"/>
      <c r="H105" s="1568"/>
      <c r="I105" s="1359">
        <f t="shared" si="5"/>
        <v>0</v>
      </c>
      <c r="J105" s="1568"/>
      <c r="K105" s="1568"/>
      <c r="L105" s="86"/>
      <c r="M105" s="86"/>
      <c r="N105" s="86"/>
      <c r="O105" s="86"/>
      <c r="P105" s="86"/>
      <c r="Q105" s="86"/>
      <c r="R105" s="86"/>
      <c r="S105" s="86"/>
      <c r="T105" s="86"/>
      <c r="U105" s="86"/>
    </row>
    <row r="106" spans="1:21" s="43" customFormat="1" ht="24.75" customHeight="1" thickBot="1">
      <c r="A106" s="960" t="s">
        <v>1416</v>
      </c>
      <c r="B106" s="1581">
        <f>SUM(B91:B105)</f>
        <v>0</v>
      </c>
      <c r="C106" s="1581">
        <f>SUM(C91:C105)</f>
        <v>0</v>
      </c>
      <c r="F106" s="100"/>
      <c r="G106" s="100"/>
      <c r="H106" s="1571"/>
      <c r="I106" s="1359"/>
      <c r="J106" s="1568"/>
      <c r="K106" s="1571"/>
      <c r="L106" s="100"/>
      <c r="M106" s="100"/>
      <c r="N106" s="100"/>
      <c r="O106" s="100"/>
      <c r="P106" s="100"/>
      <c r="Q106" s="100"/>
      <c r="R106" s="100"/>
      <c r="S106" s="100"/>
      <c r="T106" s="100"/>
      <c r="U106" s="100"/>
    </row>
    <row r="107" spans="1:21" ht="8.25" customHeight="1">
      <c r="I107" s="1191" t="s">
        <v>206</v>
      </c>
    </row>
    <row r="108" spans="1:21" ht="19.5" customHeight="1">
      <c r="A108" s="718"/>
      <c r="B108" s="718"/>
      <c r="C108" s="8"/>
      <c r="I108" s="1191" t="s">
        <v>206</v>
      </c>
    </row>
    <row r="109" spans="1:21">
      <c r="I109" s="1191" t="s">
        <v>206</v>
      </c>
    </row>
    <row r="110" spans="1:21">
      <c r="I110" s="1191" t="s">
        <v>206</v>
      </c>
    </row>
    <row r="111" spans="1:21">
      <c r="I111" s="1191" t="s">
        <v>206</v>
      </c>
    </row>
    <row r="112" spans="1:21">
      <c r="I112" s="1191" t="s">
        <v>206</v>
      </c>
    </row>
    <row r="113" spans="9:9">
      <c r="I113" s="1191" t="s">
        <v>206</v>
      </c>
    </row>
    <row r="114" spans="9:9">
      <c r="I114" s="1191" t="s">
        <v>206</v>
      </c>
    </row>
    <row r="115" spans="9:9">
      <c r="I115" s="1191" t="s">
        <v>206</v>
      </c>
    </row>
    <row r="116" spans="9:9">
      <c r="I116" s="1191" t="s">
        <v>206</v>
      </c>
    </row>
    <row r="117" spans="9:9">
      <c r="I117" s="1191" t="s">
        <v>206</v>
      </c>
    </row>
    <row r="118" spans="9:9">
      <c r="I118" s="1191" t="s">
        <v>206</v>
      </c>
    </row>
    <row r="119" spans="9:9">
      <c r="I119" s="1191" t="s">
        <v>206</v>
      </c>
    </row>
    <row r="120" spans="9:9">
      <c r="I120" s="1191" t="s">
        <v>206</v>
      </c>
    </row>
    <row r="121" spans="9:9">
      <c r="I121" s="1191" t="s">
        <v>206</v>
      </c>
    </row>
    <row r="122" spans="9:9">
      <c r="I122" s="1191" t="s">
        <v>206</v>
      </c>
    </row>
    <row r="123" spans="9:9">
      <c r="I123" s="1191" t="s">
        <v>206</v>
      </c>
    </row>
    <row r="124" spans="9:9">
      <c r="I124" s="1191" t="s">
        <v>206</v>
      </c>
    </row>
    <row r="125" spans="9:9">
      <c r="I125" s="1191" t="s">
        <v>206</v>
      </c>
    </row>
    <row r="126" spans="9:9">
      <c r="I126" s="1191" t="s">
        <v>206</v>
      </c>
    </row>
    <row r="127" spans="9:9">
      <c r="I127" s="1191" t="s">
        <v>206</v>
      </c>
    </row>
    <row r="128" spans="9:9">
      <c r="I128" s="1191" t="s">
        <v>206</v>
      </c>
    </row>
    <row r="129" spans="9:9">
      <c r="I129" s="1191" t="s">
        <v>206</v>
      </c>
    </row>
    <row r="130" spans="9:9">
      <c r="I130" s="1191" t="s">
        <v>206</v>
      </c>
    </row>
    <row r="131" spans="9:9">
      <c r="I131" s="1191" t="s">
        <v>206</v>
      </c>
    </row>
    <row r="132" spans="9:9">
      <c r="I132" s="1191" t="s">
        <v>206</v>
      </c>
    </row>
    <row r="133" spans="9:9">
      <c r="I133" s="1191" t="s">
        <v>206</v>
      </c>
    </row>
    <row r="134" spans="9:9">
      <c r="I134" s="1191" t="s">
        <v>206</v>
      </c>
    </row>
    <row r="135" spans="9:9">
      <c r="I135" s="1191" t="s">
        <v>206</v>
      </c>
    </row>
  </sheetData>
  <mergeCells count="1">
    <mergeCell ref="A1:C1"/>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4">
    <tabColor rgb="FF32CD32"/>
    <pageSetUpPr fitToPage="1"/>
  </sheetPr>
  <dimension ref="A1:U112"/>
  <sheetViews>
    <sheetView rightToLeft="1" view="pageBreakPreview" topLeftCell="A82" zoomScale="60" zoomScaleNormal="100" workbookViewId="0">
      <selection activeCell="A93" sqref="A93:C103"/>
    </sheetView>
  </sheetViews>
  <sheetFormatPr defaultColWidth="9" defaultRowHeight="21"/>
  <cols>
    <col min="1" max="1" width="43.42578125" style="1" customWidth="1"/>
    <col min="2" max="3" width="22" style="1" customWidth="1"/>
    <col min="4" max="4" width="9" style="86"/>
    <col min="5" max="7" width="9" style="1"/>
    <col min="8" max="8" width="9" style="1" customWidth="1"/>
    <col min="9" max="9" width="9" style="1193" hidden="1" customWidth="1"/>
    <col min="10" max="10" width="9" style="1" hidden="1" customWidth="1"/>
    <col min="11" max="16384" width="9" style="1"/>
  </cols>
  <sheetData>
    <row r="1" spans="1:21" s="5" customFormat="1" ht="24" customHeight="1">
      <c r="A1" s="2685" t="str">
        <f>روکش!D4</f>
        <v>انبارهای عمومی و خدمات گمرکی ایران</v>
      </c>
      <c r="B1" s="2685"/>
      <c r="C1" s="2685"/>
      <c r="D1" s="79"/>
      <c r="E1" s="212"/>
      <c r="F1" s="212"/>
      <c r="G1" s="212"/>
      <c r="H1" s="212"/>
      <c r="I1" s="1081"/>
      <c r="J1" s="212"/>
    </row>
    <row r="2" spans="1:21" s="5" customFormat="1" ht="28.5" customHeight="1">
      <c r="A2" s="1206" t="str">
        <f>"گزارش اقلام عمده حساب‌ها در پایان دوره " &amp; روکش!F9 &amp; " سال " &amp; روکش!D9</f>
        <v>گزارش اقلام عمده حساب‌ها در پایان دوره شش ماهه سال 1405</v>
      </c>
      <c r="B2" s="1205"/>
      <c r="C2" s="1205"/>
      <c r="D2" s="81"/>
      <c r="E2" s="251"/>
      <c r="F2" s="212"/>
      <c r="G2" s="212"/>
      <c r="H2" s="212"/>
      <c r="I2" s="1081"/>
      <c r="J2" s="212"/>
    </row>
    <row r="3" spans="1:21" ht="20.100000000000001" customHeight="1" thickBot="1">
      <c r="A3" s="1239"/>
      <c r="B3" s="1239"/>
      <c r="C3" s="1238" t="s">
        <v>30</v>
      </c>
    </row>
    <row r="4" spans="1:21" ht="29.25" customHeight="1" thickBot="1">
      <c r="A4" s="1346" t="s">
        <v>21</v>
      </c>
      <c r="B4" s="1346" t="s">
        <v>278</v>
      </c>
      <c r="C4" s="1346" t="s">
        <v>869</v>
      </c>
    </row>
    <row r="5" spans="1:21" ht="33" customHeight="1">
      <c r="A5" s="1574" t="s">
        <v>1405</v>
      </c>
      <c r="B5" s="1575"/>
      <c r="C5" s="1576"/>
      <c r="D5" s="1"/>
      <c r="F5" s="1191"/>
      <c r="G5" s="1191"/>
      <c r="H5" s="1192"/>
      <c r="I5" s="1192"/>
      <c r="J5" s="1192"/>
      <c r="K5" s="1192"/>
      <c r="L5" s="1191"/>
      <c r="M5" s="1191"/>
      <c r="N5" s="1193"/>
      <c r="O5" s="1192"/>
      <c r="P5" s="1193"/>
      <c r="Q5" s="1193"/>
      <c r="R5" s="1191"/>
      <c r="S5" s="1191"/>
      <c r="T5" s="86"/>
      <c r="U5" s="86"/>
    </row>
    <row r="6" spans="1:21" ht="21.95" customHeight="1">
      <c r="A6" s="2048"/>
      <c r="B6" s="1572"/>
      <c r="C6" s="1194"/>
      <c r="D6" s="1"/>
      <c r="F6" s="1191"/>
      <c r="G6" s="1191"/>
      <c r="H6" s="1192"/>
      <c r="I6" s="1195">
        <f t="shared" ref="I6:I20" si="0">IF(OR(A6="",A6=0),0,1)</f>
        <v>0</v>
      </c>
      <c r="J6" s="1195">
        <f>IFERROR(MATCH(0,I6:I20,0),31)</f>
        <v>1</v>
      </c>
      <c r="K6" s="1192"/>
      <c r="L6" s="1191"/>
      <c r="M6" s="1191"/>
      <c r="N6" s="1193"/>
      <c r="O6" s="1196"/>
      <c r="P6" s="1193"/>
      <c r="Q6" s="41"/>
      <c r="R6" s="1191"/>
      <c r="S6" s="1191"/>
      <c r="T6" s="86"/>
      <c r="U6" s="86"/>
    </row>
    <row r="7" spans="1:21" ht="21.95" customHeight="1">
      <c r="A7" s="2048"/>
      <c r="B7" s="1572"/>
      <c r="C7" s="1194"/>
      <c r="D7" s="1"/>
      <c r="F7" s="1191"/>
      <c r="G7" s="1191"/>
      <c r="H7" s="1192"/>
      <c r="I7" s="1195">
        <f t="shared" si="0"/>
        <v>0</v>
      </c>
      <c r="J7" s="1195"/>
      <c r="K7" s="1192"/>
      <c r="L7" s="1191"/>
      <c r="M7" s="1191"/>
      <c r="N7" s="1193"/>
      <c r="O7" s="1193"/>
      <c r="P7" s="1193"/>
      <c r="Q7" s="1193"/>
      <c r="R7" s="1191"/>
      <c r="S7" s="1191"/>
      <c r="T7" s="86"/>
      <c r="U7" s="86"/>
    </row>
    <row r="8" spans="1:21" ht="21.95" customHeight="1">
      <c r="A8" s="2048"/>
      <c r="B8" s="1572"/>
      <c r="C8" s="1194"/>
      <c r="D8" s="1"/>
      <c r="F8" s="1191"/>
      <c r="G8" s="1191"/>
      <c r="H8" s="1192"/>
      <c r="I8" s="1195">
        <f t="shared" si="0"/>
        <v>0</v>
      </c>
      <c r="J8" s="1192"/>
      <c r="K8" s="1192"/>
      <c r="L8" s="1191"/>
      <c r="M8" s="1191"/>
      <c r="N8" s="1191"/>
      <c r="O8" s="1191"/>
      <c r="P8" s="1191"/>
      <c r="Q8" s="1191"/>
      <c r="R8" s="1191"/>
      <c r="S8" s="1191"/>
      <c r="T8" s="86"/>
      <c r="U8" s="86"/>
    </row>
    <row r="9" spans="1:21" ht="21.95" customHeight="1">
      <c r="A9" s="2048"/>
      <c r="B9" s="1572"/>
      <c r="C9" s="1194"/>
      <c r="D9" s="1"/>
      <c r="F9" s="1191"/>
      <c r="G9" s="1191"/>
      <c r="H9" s="1192"/>
      <c r="I9" s="1195">
        <f t="shared" si="0"/>
        <v>0</v>
      </c>
      <c r="J9" s="1192"/>
      <c r="K9" s="1192"/>
      <c r="L9" s="1191"/>
      <c r="M9" s="1191"/>
      <c r="N9" s="1191"/>
      <c r="O9" s="1191"/>
      <c r="P9" s="1191"/>
      <c r="Q9" s="1191"/>
      <c r="R9" s="1191"/>
      <c r="S9" s="1191"/>
      <c r="T9" s="86"/>
      <c r="U9" s="86"/>
    </row>
    <row r="10" spans="1:21" ht="21.95" customHeight="1">
      <c r="A10" s="2048"/>
      <c r="B10" s="1572"/>
      <c r="C10" s="1194"/>
      <c r="D10" s="1"/>
      <c r="F10" s="1191"/>
      <c r="G10" s="1191"/>
      <c r="H10" s="1192"/>
      <c r="I10" s="1195">
        <f t="shared" si="0"/>
        <v>0</v>
      </c>
      <c r="J10" s="1192"/>
      <c r="K10" s="1192"/>
      <c r="L10" s="1191"/>
      <c r="M10" s="1191"/>
      <c r="N10" s="1193"/>
      <c r="O10" s="1192"/>
      <c r="P10" s="1193"/>
      <c r="Q10" s="1193"/>
      <c r="R10" s="1191"/>
      <c r="S10" s="1191"/>
      <c r="T10" s="86"/>
      <c r="U10" s="86"/>
    </row>
    <row r="11" spans="1:21" ht="21.95" customHeight="1">
      <c r="A11" s="2048"/>
      <c r="B11" s="1572"/>
      <c r="C11" s="1194"/>
      <c r="D11" s="1"/>
      <c r="F11" s="1191"/>
      <c r="G11" s="1191"/>
      <c r="H11" s="1192"/>
      <c r="I11" s="1195">
        <f t="shared" si="0"/>
        <v>0</v>
      </c>
      <c r="J11" s="1192"/>
      <c r="K11" s="1192"/>
      <c r="L11" s="1191"/>
      <c r="M11" s="1191"/>
      <c r="N11" s="1193"/>
      <c r="O11" s="1196"/>
      <c r="P11" s="1193"/>
      <c r="Q11" s="41"/>
      <c r="R11" s="1191"/>
      <c r="S11" s="1191"/>
      <c r="T11" s="86"/>
      <c r="U11" s="86"/>
    </row>
    <row r="12" spans="1:21" ht="21.95" customHeight="1">
      <c r="A12" s="2048"/>
      <c r="B12" s="1572"/>
      <c r="C12" s="1194"/>
      <c r="D12" s="1"/>
      <c r="F12" s="1191"/>
      <c r="G12" s="1191"/>
      <c r="H12" s="1192"/>
      <c r="I12" s="1195">
        <f t="shared" si="0"/>
        <v>0</v>
      </c>
      <c r="J12" s="1192"/>
      <c r="K12" s="1192"/>
      <c r="L12" s="1191"/>
      <c r="M12" s="1191"/>
      <c r="N12" s="1193"/>
      <c r="O12" s="1193"/>
      <c r="P12" s="1193"/>
      <c r="Q12" s="1193"/>
      <c r="R12" s="1191"/>
      <c r="S12" s="1191"/>
      <c r="T12" s="86"/>
      <c r="U12" s="86"/>
    </row>
    <row r="13" spans="1:21" ht="21.95" customHeight="1">
      <c r="A13" s="2048"/>
      <c r="B13" s="1572"/>
      <c r="C13" s="1194"/>
      <c r="D13" s="1"/>
      <c r="F13" s="1191"/>
      <c r="G13" s="1191"/>
      <c r="H13" s="1192"/>
      <c r="I13" s="1195">
        <f t="shared" si="0"/>
        <v>0</v>
      </c>
      <c r="J13" s="1192"/>
      <c r="K13" s="1192"/>
      <c r="L13" s="1191"/>
      <c r="M13" s="1191"/>
      <c r="N13" s="1191"/>
      <c r="O13" s="1191"/>
      <c r="P13" s="1191"/>
      <c r="Q13" s="1191"/>
      <c r="R13" s="1191"/>
      <c r="S13" s="1191"/>
      <c r="T13" s="86"/>
      <c r="U13" s="86"/>
    </row>
    <row r="14" spans="1:21" ht="21.95" customHeight="1">
      <c r="A14" s="2048"/>
      <c r="B14" s="1572"/>
      <c r="C14" s="1194"/>
      <c r="D14" s="1"/>
      <c r="F14" s="1191"/>
      <c r="G14" s="1191"/>
      <c r="H14" s="1192"/>
      <c r="I14" s="1195">
        <f t="shared" si="0"/>
        <v>0</v>
      </c>
      <c r="J14" s="1192"/>
      <c r="K14" s="1192"/>
      <c r="L14" s="1191"/>
      <c r="M14" s="1191"/>
      <c r="N14" s="1191"/>
      <c r="O14" s="1191"/>
      <c r="P14" s="1191"/>
      <c r="Q14" s="1191"/>
      <c r="R14" s="1191"/>
      <c r="S14" s="1191"/>
      <c r="T14" s="86"/>
      <c r="U14" s="86"/>
    </row>
    <row r="15" spans="1:21" ht="21.95" customHeight="1">
      <c r="A15" s="2048"/>
      <c r="B15" s="1572"/>
      <c r="C15" s="1194"/>
      <c r="D15" s="1"/>
      <c r="F15" s="1191"/>
      <c r="G15" s="1191"/>
      <c r="H15" s="1192"/>
      <c r="I15" s="1195">
        <f t="shared" si="0"/>
        <v>0</v>
      </c>
      <c r="J15" s="1192"/>
      <c r="K15" s="1192"/>
      <c r="L15" s="1191"/>
      <c r="M15" s="1191"/>
      <c r="N15" s="1191"/>
      <c r="O15" s="1191"/>
      <c r="P15" s="1191"/>
      <c r="Q15" s="1191"/>
      <c r="R15" s="1191"/>
      <c r="S15" s="1191"/>
      <c r="T15" s="86"/>
      <c r="U15" s="86"/>
    </row>
    <row r="16" spans="1:21" ht="21.95" customHeight="1">
      <c r="A16" s="2048"/>
      <c r="B16" s="1572"/>
      <c r="C16" s="1194"/>
      <c r="D16" s="1"/>
      <c r="F16" s="1191"/>
      <c r="G16" s="1191"/>
      <c r="H16" s="1192"/>
      <c r="I16" s="1195">
        <f t="shared" si="0"/>
        <v>0</v>
      </c>
      <c r="J16" s="1192"/>
      <c r="K16" s="1192"/>
      <c r="L16" s="1191"/>
      <c r="M16" s="1191"/>
      <c r="N16" s="1191"/>
      <c r="O16" s="1191"/>
      <c r="P16" s="1191"/>
      <c r="Q16" s="1191"/>
      <c r="R16" s="1191"/>
      <c r="S16" s="1191"/>
      <c r="T16" s="86"/>
      <c r="U16" s="86"/>
    </row>
    <row r="17" spans="1:21" ht="21.95" customHeight="1">
      <c r="A17" s="2048"/>
      <c r="B17" s="1572"/>
      <c r="C17" s="1194"/>
      <c r="D17" s="1"/>
      <c r="F17" s="1191"/>
      <c r="G17" s="1191"/>
      <c r="H17" s="1192"/>
      <c r="I17" s="1195">
        <f t="shared" si="0"/>
        <v>0</v>
      </c>
      <c r="J17" s="1192"/>
      <c r="K17" s="1192"/>
      <c r="L17" s="1191"/>
      <c r="M17" s="1191"/>
      <c r="N17" s="1191"/>
      <c r="O17" s="1191"/>
      <c r="P17" s="1191"/>
      <c r="Q17" s="1191"/>
      <c r="R17" s="1191"/>
      <c r="S17" s="1191"/>
      <c r="T17" s="86"/>
      <c r="U17" s="86"/>
    </row>
    <row r="18" spans="1:21" ht="21.95" customHeight="1">
      <c r="A18" s="2048"/>
      <c r="B18" s="1572"/>
      <c r="C18" s="1194"/>
      <c r="D18" s="1"/>
      <c r="F18" s="1191"/>
      <c r="G18" s="1191"/>
      <c r="H18" s="1192"/>
      <c r="I18" s="1195">
        <f t="shared" si="0"/>
        <v>0</v>
      </c>
      <c r="J18" s="1192"/>
      <c r="K18" s="1192"/>
      <c r="L18" s="1191"/>
      <c r="M18" s="1191"/>
      <c r="N18" s="1191"/>
      <c r="O18" s="1191"/>
      <c r="P18" s="1191"/>
      <c r="Q18" s="1191"/>
      <c r="R18" s="1191"/>
      <c r="S18" s="1191"/>
      <c r="T18" s="86"/>
      <c r="U18" s="86"/>
    </row>
    <row r="19" spans="1:21" ht="21.95" customHeight="1">
      <c r="A19" s="2048"/>
      <c r="B19" s="1572"/>
      <c r="C19" s="1194"/>
      <c r="D19" s="1"/>
      <c r="F19" s="1191"/>
      <c r="G19" s="1191"/>
      <c r="H19" s="1192"/>
      <c r="I19" s="1195">
        <f t="shared" si="0"/>
        <v>0</v>
      </c>
      <c r="J19" s="1192"/>
      <c r="K19" s="1192"/>
      <c r="L19" s="1191"/>
      <c r="M19" s="1191"/>
      <c r="N19" s="1191"/>
      <c r="O19" s="1191"/>
      <c r="P19" s="1191"/>
      <c r="Q19" s="1191"/>
      <c r="R19" s="1191"/>
      <c r="S19" s="1191"/>
      <c r="T19" s="86"/>
      <c r="U19" s="86"/>
    </row>
    <row r="20" spans="1:21" ht="21.95" customHeight="1" thickBot="1">
      <c r="A20" s="2048"/>
      <c r="B20" s="1572"/>
      <c r="C20" s="1194"/>
      <c r="D20" s="1"/>
      <c r="F20" s="1191"/>
      <c r="G20" s="1191"/>
      <c r="H20" s="1192"/>
      <c r="I20" s="1195">
        <f t="shared" si="0"/>
        <v>0</v>
      </c>
      <c r="J20" s="1192"/>
      <c r="K20" s="1192"/>
      <c r="L20" s="1191"/>
      <c r="M20" s="1191"/>
      <c r="N20" s="1191"/>
      <c r="O20" s="1191"/>
      <c r="P20" s="1191"/>
      <c r="Q20" s="1191"/>
      <c r="R20" s="1191"/>
      <c r="S20" s="1191"/>
      <c r="T20" s="86"/>
      <c r="U20" s="86"/>
    </row>
    <row r="21" spans="1:21" ht="24.75" thickBot="1">
      <c r="A21" s="960" t="s">
        <v>1406</v>
      </c>
      <c r="B21" s="1582">
        <f>SUM(B6:B20)</f>
        <v>0</v>
      </c>
      <c r="C21" s="1581">
        <f>SUM(C6:C20)</f>
        <v>0</v>
      </c>
      <c r="D21" s="1"/>
      <c r="F21" s="1191"/>
      <c r="G21" s="1191"/>
      <c r="H21" s="1192"/>
      <c r="I21" s="1192"/>
      <c r="J21" s="1192"/>
      <c r="K21" s="1192"/>
      <c r="L21" s="1191"/>
      <c r="M21" s="1191"/>
      <c r="N21" s="1191"/>
      <c r="O21" s="1191"/>
      <c r="P21" s="1191"/>
      <c r="Q21" s="1191"/>
      <c r="R21" s="1191"/>
      <c r="S21" s="1191"/>
      <c r="T21" s="86"/>
      <c r="U21" s="86"/>
    </row>
    <row r="22" spans="1:21" ht="33" customHeight="1">
      <c r="A22" s="1574" t="s">
        <v>1407</v>
      </c>
      <c r="B22" s="1575"/>
      <c r="C22" s="1576"/>
      <c r="D22" s="1"/>
      <c r="F22" s="1191"/>
      <c r="G22" s="1191"/>
      <c r="H22" s="1192"/>
      <c r="I22" s="1192"/>
      <c r="J22" s="1192"/>
      <c r="K22" s="1192"/>
      <c r="L22" s="1191"/>
      <c r="M22" s="1191"/>
      <c r="N22" s="1191"/>
      <c r="O22" s="1191"/>
      <c r="P22" s="1191"/>
      <c r="Q22" s="1191"/>
      <c r="R22" s="1191"/>
      <c r="S22" s="1191"/>
      <c r="T22" s="86"/>
      <c r="U22" s="86"/>
    </row>
    <row r="23" spans="1:21" ht="21.95" customHeight="1">
      <c r="A23" s="2048" t="s">
        <v>3273</v>
      </c>
      <c r="B23" s="1572">
        <v>0</v>
      </c>
      <c r="C23" s="1194">
        <v>0</v>
      </c>
      <c r="D23" s="1"/>
      <c r="F23" s="1191"/>
      <c r="G23" s="1191"/>
      <c r="H23" s="1192"/>
      <c r="I23" s="1195">
        <f t="shared" ref="I23:I37" si="1">IF(OR(A23="",A23=0),0,1)</f>
        <v>1</v>
      </c>
      <c r="J23" s="1195">
        <f>IFERROR(MATCH(0,I23:I37,0),31)</f>
        <v>4</v>
      </c>
      <c r="K23" s="1192"/>
      <c r="L23" s="1191"/>
      <c r="M23" s="1191"/>
      <c r="N23" s="1191"/>
      <c r="O23" s="1191"/>
      <c r="P23" s="1191"/>
      <c r="Q23" s="1191"/>
      <c r="R23" s="1191"/>
      <c r="S23" s="1191"/>
      <c r="T23" s="86"/>
      <c r="U23" s="86"/>
    </row>
    <row r="24" spans="1:21" ht="21.95" customHeight="1">
      <c r="A24" s="2048" t="s">
        <v>3274</v>
      </c>
      <c r="B24" s="1572">
        <v>143005</v>
      </c>
      <c r="C24" s="1194">
        <v>68004</v>
      </c>
      <c r="D24" s="1"/>
      <c r="F24" s="1191"/>
      <c r="G24" s="1191"/>
      <c r="H24" s="1192"/>
      <c r="I24" s="1195">
        <f t="shared" si="1"/>
        <v>1</v>
      </c>
      <c r="J24" s="1195"/>
      <c r="K24" s="1192"/>
      <c r="L24" s="1191"/>
      <c r="M24" s="1191"/>
      <c r="N24" s="1191"/>
      <c r="O24" s="1191"/>
      <c r="P24" s="1191"/>
      <c r="Q24" s="1191"/>
      <c r="R24" s="1191"/>
      <c r="S24" s="1191"/>
      <c r="T24" s="86"/>
      <c r="U24" s="86"/>
    </row>
    <row r="25" spans="1:21" ht="21.95" customHeight="1">
      <c r="A25" s="2048" t="s">
        <v>3275</v>
      </c>
      <c r="B25" s="1572">
        <v>22800</v>
      </c>
      <c r="C25" s="1194">
        <v>94392</v>
      </c>
      <c r="D25" s="1"/>
      <c r="F25" s="1191"/>
      <c r="G25" s="1191"/>
      <c r="H25" s="1192"/>
      <c r="I25" s="1195">
        <f t="shared" si="1"/>
        <v>1</v>
      </c>
      <c r="J25" s="1192"/>
      <c r="K25" s="1192"/>
      <c r="L25" s="1191"/>
      <c r="M25" s="1191"/>
      <c r="N25" s="1191"/>
      <c r="O25" s="1191"/>
      <c r="P25" s="1191"/>
      <c r="Q25" s="1191"/>
      <c r="R25" s="1191"/>
      <c r="S25" s="1191"/>
      <c r="T25" s="86"/>
      <c r="U25" s="86"/>
    </row>
    <row r="26" spans="1:21" ht="21.95" customHeight="1">
      <c r="A26" s="2048"/>
      <c r="B26" s="1572"/>
      <c r="C26" s="1194"/>
      <c r="D26" s="1"/>
      <c r="F26" s="1191"/>
      <c r="G26" s="1191"/>
      <c r="H26" s="1192"/>
      <c r="I26" s="1195">
        <f t="shared" si="1"/>
        <v>0</v>
      </c>
      <c r="J26" s="1192"/>
      <c r="K26" s="1192"/>
      <c r="L26" s="1191"/>
      <c r="M26" s="1191"/>
      <c r="N26" s="1191"/>
      <c r="O26" s="1191"/>
      <c r="P26" s="1191"/>
      <c r="Q26" s="1191"/>
      <c r="R26" s="1191"/>
      <c r="S26" s="1191"/>
      <c r="T26" s="86"/>
      <c r="U26" s="86"/>
    </row>
    <row r="27" spans="1:21" ht="21.95" customHeight="1">
      <c r="A27" s="2048"/>
      <c r="B27" s="1572"/>
      <c r="C27" s="1194"/>
      <c r="D27" s="1"/>
      <c r="F27" s="1191"/>
      <c r="G27" s="1191"/>
      <c r="H27" s="1192"/>
      <c r="I27" s="1195">
        <f t="shared" si="1"/>
        <v>0</v>
      </c>
      <c r="J27" s="1192"/>
      <c r="K27" s="1192"/>
      <c r="L27" s="1191"/>
      <c r="M27" s="1191"/>
      <c r="N27" s="1191"/>
      <c r="O27" s="1191"/>
      <c r="P27" s="1191"/>
      <c r="Q27" s="1191"/>
      <c r="R27" s="1191"/>
      <c r="S27" s="1191"/>
      <c r="T27" s="86"/>
      <c r="U27" s="86"/>
    </row>
    <row r="28" spans="1:21" ht="21.95" customHeight="1">
      <c r="A28" s="2048"/>
      <c r="B28" s="1572"/>
      <c r="C28" s="1194"/>
      <c r="D28" s="1"/>
      <c r="F28" s="1191"/>
      <c r="G28" s="1191"/>
      <c r="H28" s="1192"/>
      <c r="I28" s="1195">
        <f t="shared" si="1"/>
        <v>0</v>
      </c>
      <c r="J28" s="1192"/>
      <c r="K28" s="1192"/>
      <c r="L28" s="1191"/>
      <c r="M28" s="1191"/>
      <c r="N28" s="1191"/>
      <c r="O28" s="1191"/>
      <c r="P28" s="1191"/>
      <c r="Q28" s="1191"/>
      <c r="R28" s="1191"/>
      <c r="S28" s="1191"/>
      <c r="T28" s="86"/>
      <c r="U28" s="86"/>
    </row>
    <row r="29" spans="1:21" ht="21.95" customHeight="1">
      <c r="A29" s="2048"/>
      <c r="B29" s="1572"/>
      <c r="C29" s="1194"/>
      <c r="D29" s="1"/>
      <c r="F29" s="1191"/>
      <c r="G29" s="1191"/>
      <c r="H29" s="1192"/>
      <c r="I29" s="1195">
        <f t="shared" si="1"/>
        <v>0</v>
      </c>
      <c r="J29" s="1192"/>
      <c r="K29" s="1192"/>
      <c r="L29" s="1191"/>
      <c r="M29" s="1191"/>
      <c r="N29" s="1191"/>
      <c r="O29" s="1191"/>
      <c r="P29" s="1191"/>
      <c r="Q29" s="1191"/>
      <c r="R29" s="1191"/>
      <c r="S29" s="1191"/>
      <c r="T29" s="86"/>
      <c r="U29" s="86"/>
    </row>
    <row r="30" spans="1:21" ht="21.95" customHeight="1">
      <c r="A30" s="2048"/>
      <c r="B30" s="1572"/>
      <c r="C30" s="1194"/>
      <c r="D30" s="1"/>
      <c r="F30" s="1191"/>
      <c r="G30" s="1191"/>
      <c r="H30" s="1192"/>
      <c r="I30" s="1195">
        <f t="shared" si="1"/>
        <v>0</v>
      </c>
      <c r="J30" s="1192"/>
      <c r="K30" s="1192"/>
      <c r="L30" s="1191"/>
      <c r="M30" s="1191"/>
      <c r="N30" s="1191"/>
      <c r="O30" s="1191"/>
      <c r="P30" s="1191"/>
      <c r="Q30" s="1191"/>
      <c r="R30" s="1191"/>
      <c r="S30" s="1191"/>
      <c r="T30" s="86"/>
      <c r="U30" s="86"/>
    </row>
    <row r="31" spans="1:21" ht="21.95" customHeight="1">
      <c r="A31" s="2048"/>
      <c r="B31" s="1572"/>
      <c r="C31" s="1194"/>
      <c r="D31" s="1"/>
      <c r="F31" s="1191"/>
      <c r="G31" s="1191"/>
      <c r="H31" s="1192"/>
      <c r="I31" s="1195">
        <f t="shared" si="1"/>
        <v>0</v>
      </c>
      <c r="J31" s="1192"/>
      <c r="K31" s="1192"/>
      <c r="L31" s="1191"/>
      <c r="M31" s="1191"/>
      <c r="N31" s="1191"/>
      <c r="O31" s="1191"/>
      <c r="P31" s="1191"/>
      <c r="Q31" s="1191"/>
      <c r="R31" s="1191"/>
      <c r="S31" s="1191"/>
      <c r="T31" s="86"/>
      <c r="U31" s="86"/>
    </row>
    <row r="32" spans="1:21" ht="21.95" customHeight="1">
      <c r="A32" s="2048"/>
      <c r="B32" s="1572"/>
      <c r="C32" s="1194"/>
      <c r="D32" s="1"/>
      <c r="F32" s="1191"/>
      <c r="G32" s="1191"/>
      <c r="H32" s="1192"/>
      <c r="I32" s="1195">
        <f t="shared" si="1"/>
        <v>0</v>
      </c>
      <c r="J32" s="1192"/>
      <c r="K32" s="1192"/>
      <c r="L32" s="1191"/>
      <c r="M32" s="1191"/>
      <c r="N32" s="1191"/>
      <c r="O32" s="1191"/>
      <c r="P32" s="1191"/>
      <c r="Q32" s="1191"/>
      <c r="R32" s="1191"/>
      <c r="S32" s="1191"/>
      <c r="T32" s="86"/>
      <c r="U32" s="86"/>
    </row>
    <row r="33" spans="1:21" ht="21.95" customHeight="1">
      <c r="A33" s="2048"/>
      <c r="B33" s="1572"/>
      <c r="C33" s="1194"/>
      <c r="D33" s="1"/>
      <c r="F33" s="1191"/>
      <c r="G33" s="1191"/>
      <c r="H33" s="1192"/>
      <c r="I33" s="1195">
        <f t="shared" si="1"/>
        <v>0</v>
      </c>
      <c r="J33" s="1192"/>
      <c r="K33" s="1192"/>
      <c r="L33" s="1191"/>
      <c r="M33" s="1191"/>
      <c r="N33" s="1191"/>
      <c r="O33" s="1191"/>
      <c r="P33" s="1191"/>
      <c r="Q33" s="1191"/>
      <c r="R33" s="1191"/>
      <c r="S33" s="1191"/>
      <c r="T33" s="86"/>
      <c r="U33" s="86"/>
    </row>
    <row r="34" spans="1:21" ht="21.95" customHeight="1">
      <c r="A34" s="2048"/>
      <c r="B34" s="1572"/>
      <c r="C34" s="1194"/>
      <c r="D34" s="1"/>
      <c r="F34" s="1191"/>
      <c r="G34" s="1191"/>
      <c r="H34" s="1192"/>
      <c r="I34" s="1195">
        <f t="shared" si="1"/>
        <v>0</v>
      </c>
      <c r="J34" s="1192"/>
      <c r="K34" s="1192"/>
      <c r="L34" s="1191"/>
      <c r="M34" s="1191"/>
      <c r="N34" s="1191"/>
      <c r="O34" s="1191"/>
      <c r="P34" s="1191"/>
      <c r="Q34" s="1191"/>
      <c r="R34" s="1191"/>
      <c r="S34" s="1191"/>
      <c r="T34" s="86"/>
      <c r="U34" s="86"/>
    </row>
    <row r="35" spans="1:21" ht="21.95" customHeight="1">
      <c r="A35" s="2048"/>
      <c r="B35" s="1572"/>
      <c r="C35" s="1194"/>
      <c r="D35" s="1"/>
      <c r="F35" s="1191"/>
      <c r="G35" s="1191"/>
      <c r="H35" s="1192"/>
      <c r="I35" s="1195">
        <f t="shared" si="1"/>
        <v>0</v>
      </c>
      <c r="J35" s="1192"/>
      <c r="K35" s="1192"/>
      <c r="L35" s="1191"/>
      <c r="M35" s="1191"/>
      <c r="N35" s="1191"/>
      <c r="O35" s="1191"/>
      <c r="P35" s="1191"/>
      <c r="Q35" s="1191"/>
      <c r="R35" s="1191"/>
      <c r="S35" s="1191"/>
      <c r="T35" s="86"/>
      <c r="U35" s="86"/>
    </row>
    <row r="36" spans="1:21" ht="21.95" customHeight="1">
      <c r="A36" s="2048"/>
      <c r="B36" s="1572"/>
      <c r="C36" s="1194"/>
      <c r="D36" s="1"/>
      <c r="F36" s="1191"/>
      <c r="G36" s="1191"/>
      <c r="H36" s="1192"/>
      <c r="I36" s="1195">
        <f t="shared" si="1"/>
        <v>0</v>
      </c>
      <c r="J36" s="1192"/>
      <c r="K36" s="1192"/>
      <c r="L36" s="1191"/>
      <c r="M36" s="1191"/>
      <c r="N36" s="1191"/>
      <c r="O36" s="1191"/>
      <c r="P36" s="1191"/>
      <c r="Q36" s="1191"/>
      <c r="R36" s="1191"/>
      <c r="S36" s="1191"/>
      <c r="T36" s="86"/>
      <c r="U36" s="86"/>
    </row>
    <row r="37" spans="1:21" ht="21.95" customHeight="1" thickBot="1">
      <c r="A37" s="2048"/>
      <c r="B37" s="1572"/>
      <c r="C37" s="1194"/>
      <c r="D37" s="1"/>
      <c r="F37" s="1191"/>
      <c r="G37" s="1191"/>
      <c r="H37" s="1192"/>
      <c r="I37" s="1195">
        <f t="shared" si="1"/>
        <v>0</v>
      </c>
      <c r="J37" s="1192"/>
      <c r="K37" s="1192"/>
      <c r="L37" s="1191"/>
      <c r="M37" s="1191"/>
      <c r="N37" s="1191"/>
      <c r="O37" s="1191"/>
      <c r="P37" s="1191"/>
      <c r="Q37" s="1191"/>
      <c r="R37" s="1191"/>
      <c r="S37" s="1191"/>
      <c r="T37" s="86"/>
      <c r="U37" s="86"/>
    </row>
    <row r="38" spans="1:21" ht="21.95" customHeight="1" thickBot="1">
      <c r="A38" s="960" t="s">
        <v>1408</v>
      </c>
      <c r="B38" s="1581">
        <f>SUM(B23:B37)</f>
        <v>165805</v>
      </c>
      <c r="C38" s="1581">
        <f>SUM(C23:C37)</f>
        <v>162396</v>
      </c>
      <c r="D38" s="1"/>
      <c r="F38" s="1191"/>
      <c r="G38" s="1191"/>
      <c r="H38" s="1192"/>
      <c r="I38" s="1195">
        <f>IF(A38="",0,1)</f>
        <v>1</v>
      </c>
      <c r="J38" s="1192"/>
      <c r="K38" s="1192"/>
      <c r="L38" s="1191"/>
      <c r="M38" s="1191"/>
      <c r="N38" s="1191"/>
      <c r="O38" s="1191"/>
      <c r="P38" s="1191"/>
      <c r="Q38" s="1191"/>
      <c r="R38" s="1191"/>
      <c r="S38" s="1191"/>
      <c r="T38" s="86"/>
      <c r="U38" s="86"/>
    </row>
    <row r="39" spans="1:21" ht="21.95" customHeight="1">
      <c r="A39" s="1574" t="s">
        <v>1409</v>
      </c>
      <c r="B39" s="1575"/>
      <c r="C39" s="1576"/>
      <c r="D39" s="1"/>
      <c r="F39" s="1191"/>
      <c r="G39" s="1191"/>
      <c r="H39" s="1192"/>
      <c r="I39" s="1195"/>
      <c r="J39" s="1192"/>
      <c r="K39" s="1192"/>
      <c r="L39" s="1191"/>
      <c r="M39" s="1191"/>
      <c r="N39" s="1191"/>
      <c r="O39" s="1191"/>
      <c r="P39" s="1191"/>
      <c r="Q39" s="1191"/>
      <c r="R39" s="1191"/>
      <c r="S39" s="1191"/>
      <c r="T39" s="86"/>
      <c r="U39" s="86"/>
    </row>
    <row r="40" spans="1:21" ht="21.95" customHeight="1">
      <c r="A40" s="2048" t="s">
        <v>3276</v>
      </c>
      <c r="B40" s="1572">
        <v>517178</v>
      </c>
      <c r="C40" s="1194">
        <v>560791</v>
      </c>
      <c r="D40" s="1"/>
      <c r="F40" s="1191"/>
      <c r="G40" s="1191"/>
      <c r="H40" s="1192"/>
      <c r="I40" s="1195">
        <f t="shared" ref="I40:I54" si="2">IF(OR(A40="",A40=0),0,1)</f>
        <v>1</v>
      </c>
      <c r="J40" s="1195">
        <f>IFERROR(MATCH(0,I40:I54,0),31)</f>
        <v>8</v>
      </c>
      <c r="K40" s="1192"/>
      <c r="L40" s="1191"/>
      <c r="M40" s="1191"/>
      <c r="N40" s="1192"/>
      <c r="O40" s="1193"/>
      <c r="P40" s="1193"/>
      <c r="Q40" s="1191"/>
      <c r="R40" s="1191"/>
      <c r="S40" s="1191"/>
      <c r="T40" s="86"/>
      <c r="U40" s="86"/>
    </row>
    <row r="41" spans="1:21" ht="21.95" customHeight="1">
      <c r="A41" s="2048" t="s">
        <v>3277</v>
      </c>
      <c r="B41" s="1572">
        <v>0</v>
      </c>
      <c r="C41" s="1194">
        <v>0</v>
      </c>
      <c r="D41" s="1"/>
      <c r="F41" s="1191"/>
      <c r="G41" s="1191"/>
      <c r="H41" s="1192"/>
      <c r="I41" s="1195">
        <f t="shared" si="2"/>
        <v>1</v>
      </c>
      <c r="J41" s="1192"/>
      <c r="K41" s="1192"/>
      <c r="L41" s="1191"/>
      <c r="M41" s="1191"/>
      <c r="N41" s="1196"/>
      <c r="O41" s="1193"/>
      <c r="P41" s="41"/>
      <c r="Q41" s="1191"/>
      <c r="R41" s="1191"/>
      <c r="S41" s="1191"/>
      <c r="T41" s="86"/>
      <c r="U41" s="86"/>
    </row>
    <row r="42" spans="1:21" ht="21.95" customHeight="1">
      <c r="A42" s="2048" t="s">
        <v>3278</v>
      </c>
      <c r="B42" s="1572">
        <v>16884</v>
      </c>
      <c r="C42" s="1194">
        <v>15003</v>
      </c>
      <c r="D42" s="1"/>
      <c r="F42" s="1191"/>
      <c r="G42" s="1191"/>
      <c r="H42" s="1192"/>
      <c r="I42" s="1195">
        <f t="shared" si="2"/>
        <v>1</v>
      </c>
      <c r="J42" s="1192"/>
      <c r="K42" s="1192"/>
      <c r="L42" s="1191"/>
      <c r="M42" s="1191"/>
      <c r="N42" s="1193"/>
      <c r="O42" s="1193"/>
      <c r="P42" s="1193"/>
      <c r="Q42" s="1191"/>
      <c r="R42" s="1191"/>
      <c r="S42" s="1191"/>
      <c r="T42" s="86"/>
      <c r="U42" s="86"/>
    </row>
    <row r="43" spans="1:21" ht="21.95" customHeight="1">
      <c r="A43" s="2048" t="s">
        <v>3279</v>
      </c>
      <c r="B43" s="1572">
        <v>0</v>
      </c>
      <c r="C43" s="1194">
        <v>0</v>
      </c>
      <c r="D43" s="1"/>
      <c r="F43" s="1191"/>
      <c r="G43" s="1191"/>
      <c r="H43" s="1192"/>
      <c r="I43" s="1195">
        <f t="shared" si="2"/>
        <v>1</v>
      </c>
      <c r="J43" s="1192"/>
      <c r="K43" s="1192"/>
      <c r="L43" s="1191"/>
      <c r="M43" s="1191"/>
      <c r="N43" s="1191"/>
      <c r="O43" s="1191"/>
      <c r="P43" s="1191"/>
      <c r="Q43" s="1191"/>
      <c r="R43" s="1191"/>
      <c r="S43" s="1191"/>
      <c r="T43" s="86"/>
      <c r="U43" s="86"/>
    </row>
    <row r="44" spans="1:21" ht="21.95" customHeight="1">
      <c r="A44" s="2048" t="s">
        <v>3280</v>
      </c>
      <c r="B44" s="1572">
        <v>0</v>
      </c>
      <c r="C44" s="1194">
        <v>0</v>
      </c>
      <c r="D44" s="1"/>
      <c r="F44" s="1191"/>
      <c r="G44" s="1191"/>
      <c r="H44" s="1192"/>
      <c r="I44" s="1195">
        <f t="shared" si="2"/>
        <v>1</v>
      </c>
      <c r="J44" s="1192"/>
      <c r="K44" s="1192"/>
      <c r="L44" s="1191"/>
      <c r="M44" s="1191"/>
      <c r="N44" s="1191"/>
      <c r="O44" s="1191"/>
      <c r="P44" s="1191"/>
      <c r="Q44" s="1191"/>
      <c r="R44" s="1191"/>
      <c r="S44" s="1191"/>
      <c r="T44" s="86"/>
      <c r="U44" s="86"/>
    </row>
    <row r="45" spans="1:21" ht="21.95" customHeight="1">
      <c r="A45" s="2048" t="s">
        <v>3281</v>
      </c>
      <c r="B45" s="1572">
        <v>8682</v>
      </c>
      <c r="C45" s="1194">
        <v>3145</v>
      </c>
      <c r="D45" s="1"/>
      <c r="F45" s="1191"/>
      <c r="G45" s="1191"/>
      <c r="H45" s="1192"/>
      <c r="I45" s="1195">
        <f t="shared" si="2"/>
        <v>1</v>
      </c>
      <c r="J45" s="1192"/>
      <c r="K45" s="1192"/>
      <c r="L45" s="1191"/>
      <c r="M45" s="1191"/>
      <c r="N45" s="1191"/>
      <c r="O45" s="1191"/>
      <c r="P45" s="1191"/>
      <c r="Q45" s="1191"/>
      <c r="R45" s="1191"/>
      <c r="S45" s="1191"/>
      <c r="T45" s="86"/>
      <c r="U45" s="86"/>
    </row>
    <row r="46" spans="1:21" ht="21.95" customHeight="1">
      <c r="A46" s="2048" t="s">
        <v>3282</v>
      </c>
      <c r="B46" s="1572">
        <v>23305</v>
      </c>
      <c r="C46" s="1194">
        <v>143927</v>
      </c>
      <c r="D46" s="1"/>
      <c r="F46" s="1191"/>
      <c r="G46" s="1191"/>
      <c r="H46" s="1192"/>
      <c r="I46" s="1195">
        <f t="shared" si="2"/>
        <v>1</v>
      </c>
      <c r="J46" s="1192"/>
      <c r="K46" s="1192"/>
      <c r="L46" s="1191"/>
      <c r="M46" s="1191"/>
      <c r="N46" s="1191"/>
      <c r="O46" s="1191"/>
      <c r="P46" s="1191"/>
      <c r="Q46" s="1191"/>
      <c r="R46" s="1191"/>
      <c r="S46" s="1191"/>
      <c r="T46" s="86"/>
      <c r="U46" s="86"/>
    </row>
    <row r="47" spans="1:21" ht="21.95" customHeight="1">
      <c r="A47" s="2048"/>
      <c r="B47" s="1572"/>
      <c r="C47" s="1194"/>
      <c r="D47" s="1"/>
      <c r="F47" s="1191"/>
      <c r="G47" s="1191"/>
      <c r="H47" s="1192"/>
      <c r="I47" s="1195">
        <f t="shared" si="2"/>
        <v>0</v>
      </c>
      <c r="J47" s="1192"/>
      <c r="K47" s="1192"/>
      <c r="L47" s="1191"/>
      <c r="M47" s="1191"/>
      <c r="N47" s="1191"/>
      <c r="O47" s="1191"/>
      <c r="P47" s="1191"/>
      <c r="Q47" s="1191"/>
      <c r="R47" s="1191"/>
      <c r="S47" s="1191"/>
      <c r="T47" s="86"/>
      <c r="U47" s="86"/>
    </row>
    <row r="48" spans="1:21" ht="21.95" customHeight="1">
      <c r="A48" s="2048"/>
      <c r="B48" s="1572"/>
      <c r="C48" s="1194"/>
      <c r="D48" s="1"/>
      <c r="F48" s="1191"/>
      <c r="G48" s="1191"/>
      <c r="H48" s="1192"/>
      <c r="I48" s="1195">
        <f t="shared" si="2"/>
        <v>0</v>
      </c>
      <c r="J48" s="1192"/>
      <c r="K48" s="1192"/>
      <c r="L48" s="1191"/>
      <c r="M48" s="1191"/>
      <c r="N48" s="1191"/>
      <c r="O48" s="1191"/>
      <c r="P48" s="1191"/>
      <c r="Q48" s="1191"/>
      <c r="R48" s="1191"/>
      <c r="S48" s="1191"/>
      <c r="T48" s="86"/>
      <c r="U48" s="86"/>
    </row>
    <row r="49" spans="1:21" ht="21.95" customHeight="1">
      <c r="A49" s="2048"/>
      <c r="B49" s="1572"/>
      <c r="C49" s="1194"/>
      <c r="D49" s="1"/>
      <c r="F49" s="1191"/>
      <c r="G49" s="1191"/>
      <c r="H49" s="1192"/>
      <c r="I49" s="1195">
        <f t="shared" si="2"/>
        <v>0</v>
      </c>
      <c r="J49" s="1192"/>
      <c r="K49" s="1192"/>
      <c r="L49" s="1191"/>
      <c r="M49" s="1191"/>
      <c r="N49" s="1191"/>
      <c r="O49" s="1191"/>
      <c r="P49" s="1191"/>
      <c r="Q49" s="1191"/>
      <c r="R49" s="1191"/>
      <c r="S49" s="1191"/>
      <c r="T49" s="86"/>
      <c r="U49" s="86"/>
    </row>
    <row r="50" spans="1:21" ht="21.95" customHeight="1">
      <c r="A50" s="2048"/>
      <c r="B50" s="1572"/>
      <c r="C50" s="1194"/>
      <c r="D50" s="1"/>
      <c r="F50" s="1191"/>
      <c r="G50" s="1191"/>
      <c r="H50" s="1192"/>
      <c r="I50" s="1195">
        <f t="shared" si="2"/>
        <v>0</v>
      </c>
      <c r="J50" s="1192"/>
      <c r="K50" s="1192"/>
      <c r="L50" s="1191"/>
      <c r="M50" s="1191"/>
      <c r="N50" s="1191"/>
      <c r="O50" s="1191"/>
      <c r="P50" s="1191"/>
      <c r="Q50" s="1191"/>
      <c r="R50" s="1191"/>
      <c r="S50" s="1191"/>
      <c r="T50" s="86"/>
      <c r="U50" s="86"/>
    </row>
    <row r="51" spans="1:21" ht="21.95" customHeight="1">
      <c r="A51" s="2048"/>
      <c r="B51" s="1572"/>
      <c r="C51" s="1194"/>
      <c r="D51" s="1"/>
      <c r="F51" s="1191"/>
      <c r="G51" s="1191"/>
      <c r="H51" s="1192"/>
      <c r="I51" s="1195">
        <f t="shared" si="2"/>
        <v>0</v>
      </c>
      <c r="J51" s="1192"/>
      <c r="K51" s="1192"/>
      <c r="L51" s="1191"/>
      <c r="M51" s="1191"/>
      <c r="N51" s="1191"/>
      <c r="O51" s="1191"/>
      <c r="P51" s="1191"/>
      <c r="Q51" s="1191"/>
      <c r="R51" s="1191"/>
      <c r="S51" s="1191"/>
      <c r="T51" s="86"/>
      <c r="U51" s="86"/>
    </row>
    <row r="52" spans="1:21" ht="21.95" customHeight="1">
      <c r="A52" s="2048"/>
      <c r="B52" s="1572"/>
      <c r="C52" s="1194"/>
      <c r="D52" s="1"/>
      <c r="F52" s="1191"/>
      <c r="G52" s="1191"/>
      <c r="H52" s="1192"/>
      <c r="I52" s="1195">
        <f t="shared" si="2"/>
        <v>0</v>
      </c>
      <c r="J52" s="1192"/>
      <c r="K52" s="1192"/>
      <c r="L52" s="1191"/>
      <c r="M52" s="1191"/>
      <c r="N52" s="1191"/>
      <c r="O52" s="1191"/>
      <c r="P52" s="1191"/>
      <c r="Q52" s="1191"/>
      <c r="R52" s="1191"/>
      <c r="S52" s="1191"/>
      <c r="T52" s="86"/>
      <c r="U52" s="86"/>
    </row>
    <row r="53" spans="1:21" ht="21.95" customHeight="1">
      <c r="A53" s="2048"/>
      <c r="B53" s="1572"/>
      <c r="C53" s="1194"/>
      <c r="D53" s="1"/>
      <c r="F53" s="1191"/>
      <c r="G53" s="1191"/>
      <c r="H53" s="1192"/>
      <c r="I53" s="1195">
        <f t="shared" si="2"/>
        <v>0</v>
      </c>
      <c r="J53" s="1192"/>
      <c r="K53" s="1192"/>
      <c r="L53" s="1191"/>
      <c r="M53" s="1191"/>
      <c r="N53" s="1191"/>
      <c r="O53" s="1191"/>
      <c r="P53" s="1191"/>
      <c r="Q53" s="1191"/>
      <c r="R53" s="1191"/>
      <c r="S53" s="1191"/>
      <c r="T53" s="86"/>
      <c r="U53" s="86"/>
    </row>
    <row r="54" spans="1:21" ht="21.95" customHeight="1" thickBot="1">
      <c r="A54" s="2048"/>
      <c r="B54" s="1572"/>
      <c r="C54" s="1194"/>
      <c r="D54" s="1"/>
      <c r="F54" s="1191"/>
      <c r="G54" s="1191"/>
      <c r="H54" s="1192"/>
      <c r="I54" s="1195">
        <f t="shared" si="2"/>
        <v>0</v>
      </c>
      <c r="J54" s="1192"/>
      <c r="K54" s="1192"/>
      <c r="L54" s="1191"/>
      <c r="M54" s="1191"/>
      <c r="N54" s="1191"/>
      <c r="O54" s="1191"/>
      <c r="P54" s="1191"/>
      <c r="Q54" s="1191"/>
      <c r="R54" s="1191"/>
      <c r="S54" s="1191"/>
      <c r="T54" s="86"/>
      <c r="U54" s="86"/>
    </row>
    <row r="55" spans="1:21" s="43" customFormat="1" ht="24.75" customHeight="1" thickBot="1">
      <c r="A55" s="960" t="s">
        <v>1410</v>
      </c>
      <c r="B55" s="1581">
        <f>SUM(B40:B54)</f>
        <v>566049</v>
      </c>
      <c r="C55" s="1581">
        <f>SUM(C40:C54)</f>
        <v>722866</v>
      </c>
      <c r="F55" s="1197"/>
      <c r="G55" s="1197"/>
      <c r="H55" s="1198"/>
      <c r="I55" s="1195"/>
      <c r="J55" s="1192"/>
      <c r="K55" s="1198"/>
      <c r="L55" s="1197"/>
      <c r="M55" s="1197"/>
      <c r="N55" s="1197"/>
      <c r="O55" s="1197"/>
      <c r="P55" s="1197"/>
      <c r="Q55" s="1197"/>
      <c r="R55" s="1197"/>
      <c r="S55" s="1197"/>
      <c r="T55" s="100"/>
      <c r="U55" s="100"/>
    </row>
    <row r="56" spans="1:21" ht="33" customHeight="1">
      <c r="A56" s="1574" t="s">
        <v>1411</v>
      </c>
      <c r="B56" s="1575"/>
      <c r="C56" s="1576"/>
      <c r="D56" s="1"/>
      <c r="F56" s="1191"/>
      <c r="G56" s="1191"/>
      <c r="H56" s="1192"/>
      <c r="I56" s="1192"/>
      <c r="J56" s="1192"/>
      <c r="K56" s="1192"/>
      <c r="L56" s="1191"/>
      <c r="M56" s="1191"/>
      <c r="N56" s="1191"/>
      <c r="O56" s="1191"/>
      <c r="P56" s="1191"/>
      <c r="Q56" s="1191"/>
      <c r="R56" s="1191"/>
      <c r="S56" s="1191"/>
      <c r="T56" s="86"/>
      <c r="U56" s="86"/>
    </row>
    <row r="57" spans="1:21" ht="21.95" customHeight="1">
      <c r="A57" s="1573" t="s">
        <v>636</v>
      </c>
      <c r="B57" s="1572"/>
      <c r="C57" s="1194"/>
      <c r="D57" s="1"/>
      <c r="F57" s="1191"/>
      <c r="G57" s="1191"/>
      <c r="H57" s="1192"/>
      <c r="I57" s="1195">
        <f t="shared" ref="I57:I71" si="3">IF(OR(A57="",A57=0),0,1)</f>
        <v>1</v>
      </c>
      <c r="J57" s="1195">
        <f>IFERROR(MATCH(0,I57:I71,0),31)</f>
        <v>3</v>
      </c>
      <c r="K57" s="1192"/>
      <c r="L57" s="1191"/>
      <c r="M57" s="1191"/>
      <c r="N57" s="1192"/>
      <c r="O57" s="1193"/>
      <c r="P57" s="1193"/>
      <c r="Q57" s="1191"/>
      <c r="R57" s="1191"/>
      <c r="S57" s="1191"/>
      <c r="T57" s="86"/>
      <c r="U57" s="86"/>
    </row>
    <row r="58" spans="1:21" ht="21.95" customHeight="1">
      <c r="A58" s="1573" t="s">
        <v>1680</v>
      </c>
      <c r="B58" s="1572"/>
      <c r="C58" s="1194"/>
      <c r="D58" s="1"/>
      <c r="F58" s="1191"/>
      <c r="G58" s="1191"/>
      <c r="H58" s="1192"/>
      <c r="I58" s="1195">
        <f t="shared" si="3"/>
        <v>1</v>
      </c>
      <c r="J58" s="1195"/>
      <c r="K58" s="1192"/>
      <c r="L58" s="1191"/>
      <c r="M58" s="1191"/>
      <c r="N58" s="1196"/>
      <c r="O58" s="1193"/>
      <c r="P58" s="41"/>
      <c r="Q58" s="1191"/>
      <c r="R58" s="1191"/>
      <c r="S58" s="1191"/>
      <c r="T58" s="86"/>
      <c r="U58" s="86"/>
    </row>
    <row r="59" spans="1:21" ht="21.95" customHeight="1">
      <c r="A59" s="2048"/>
      <c r="B59" s="1572"/>
      <c r="C59" s="1194"/>
      <c r="D59" s="1"/>
      <c r="F59" s="1191"/>
      <c r="G59" s="1191"/>
      <c r="H59" s="1192"/>
      <c r="I59" s="1195">
        <f t="shared" si="3"/>
        <v>0</v>
      </c>
      <c r="J59" s="1192"/>
      <c r="K59" s="1192"/>
      <c r="L59" s="1191"/>
      <c r="M59" s="1191"/>
      <c r="N59" s="1193"/>
      <c r="O59" s="1193"/>
      <c r="P59" s="1193"/>
      <c r="Q59" s="1191"/>
      <c r="R59" s="1191"/>
      <c r="S59" s="1191"/>
      <c r="T59" s="86"/>
      <c r="U59" s="86"/>
    </row>
    <row r="60" spans="1:21" ht="21.95" customHeight="1">
      <c r="A60" s="2048"/>
      <c r="B60" s="1572"/>
      <c r="C60" s="1194"/>
      <c r="D60" s="1"/>
      <c r="F60" s="1191"/>
      <c r="G60" s="1191"/>
      <c r="H60" s="1192"/>
      <c r="I60" s="1195">
        <f t="shared" si="3"/>
        <v>0</v>
      </c>
      <c r="J60" s="1192"/>
      <c r="K60" s="1192"/>
      <c r="L60" s="1191"/>
      <c r="M60" s="1191"/>
      <c r="N60" s="1191"/>
      <c r="O60" s="1191"/>
      <c r="P60" s="1191"/>
      <c r="Q60" s="1191"/>
      <c r="R60" s="1191"/>
      <c r="S60" s="1191"/>
      <c r="T60" s="86"/>
      <c r="U60" s="86"/>
    </row>
    <row r="61" spans="1:21" ht="21.95" customHeight="1">
      <c r="A61" s="2048"/>
      <c r="B61" s="1572"/>
      <c r="C61" s="1194"/>
      <c r="D61" s="1"/>
      <c r="F61" s="1191"/>
      <c r="G61" s="1191"/>
      <c r="H61" s="1192"/>
      <c r="I61" s="1195">
        <f t="shared" si="3"/>
        <v>0</v>
      </c>
      <c r="J61" s="1192"/>
      <c r="K61" s="1192"/>
      <c r="L61" s="1191"/>
      <c r="M61" s="1191"/>
      <c r="N61" s="1191"/>
      <c r="O61" s="1191"/>
      <c r="P61" s="1191"/>
      <c r="Q61" s="1191"/>
      <c r="R61" s="1191"/>
      <c r="S61" s="1191"/>
      <c r="T61" s="86"/>
      <c r="U61" s="86"/>
    </row>
    <row r="62" spans="1:21" ht="21.95" customHeight="1">
      <c r="A62" s="2048"/>
      <c r="B62" s="1572"/>
      <c r="C62" s="1194"/>
      <c r="D62" s="1"/>
      <c r="F62" s="1191"/>
      <c r="G62" s="1191"/>
      <c r="H62" s="1192"/>
      <c r="I62" s="1195">
        <f t="shared" si="3"/>
        <v>0</v>
      </c>
      <c r="J62" s="1192"/>
      <c r="K62" s="1192"/>
      <c r="L62" s="1191"/>
      <c r="M62" s="1191"/>
      <c r="N62" s="1191"/>
      <c r="O62" s="1191"/>
      <c r="P62" s="1191"/>
      <c r="Q62" s="1191"/>
      <c r="R62" s="1191"/>
      <c r="S62" s="1191"/>
      <c r="T62" s="86"/>
      <c r="U62" s="86"/>
    </row>
    <row r="63" spans="1:21" ht="21.95" customHeight="1">
      <c r="A63" s="2048"/>
      <c r="B63" s="1572"/>
      <c r="C63" s="1194"/>
      <c r="D63" s="1"/>
      <c r="F63" s="1191"/>
      <c r="G63" s="1191"/>
      <c r="H63" s="1192"/>
      <c r="I63" s="1195">
        <f t="shared" si="3"/>
        <v>0</v>
      </c>
      <c r="J63" s="1192"/>
      <c r="K63" s="1192"/>
      <c r="L63" s="1191"/>
      <c r="M63" s="1191"/>
      <c r="N63" s="1191"/>
      <c r="O63" s="1191"/>
      <c r="P63" s="1191"/>
      <c r="Q63" s="1191"/>
      <c r="R63" s="1191"/>
      <c r="S63" s="1191"/>
      <c r="T63" s="86"/>
      <c r="U63" s="86"/>
    </row>
    <row r="64" spans="1:21" ht="21.95" customHeight="1">
      <c r="A64" s="2048"/>
      <c r="B64" s="1572"/>
      <c r="C64" s="1194"/>
      <c r="D64" s="1"/>
      <c r="F64" s="1191"/>
      <c r="G64" s="1191"/>
      <c r="H64" s="1192"/>
      <c r="I64" s="1195">
        <f t="shared" si="3"/>
        <v>0</v>
      </c>
      <c r="J64" s="1192"/>
      <c r="K64" s="1192"/>
      <c r="L64" s="1191"/>
      <c r="M64" s="1191"/>
      <c r="N64" s="1191"/>
      <c r="O64" s="1191"/>
      <c r="P64" s="1191"/>
      <c r="Q64" s="1191"/>
      <c r="R64" s="1191"/>
      <c r="S64" s="1191"/>
      <c r="T64" s="86"/>
      <c r="U64" s="86"/>
    </row>
    <row r="65" spans="1:21" ht="21.95" customHeight="1">
      <c r="A65" s="2048"/>
      <c r="B65" s="1572"/>
      <c r="C65" s="1194"/>
      <c r="D65" s="1"/>
      <c r="F65" s="1191"/>
      <c r="G65" s="1191"/>
      <c r="H65" s="1192"/>
      <c r="I65" s="1195">
        <f t="shared" si="3"/>
        <v>0</v>
      </c>
      <c r="J65" s="1192"/>
      <c r="K65" s="1192"/>
      <c r="L65" s="1191"/>
      <c r="M65" s="1191"/>
      <c r="N65" s="1191"/>
      <c r="O65" s="1191"/>
      <c r="P65" s="1191"/>
      <c r="Q65" s="1191"/>
      <c r="R65" s="1191"/>
      <c r="S65" s="1191"/>
      <c r="T65" s="86"/>
      <c r="U65" s="86"/>
    </row>
    <row r="66" spans="1:21" ht="21.95" customHeight="1">
      <c r="A66" s="2048"/>
      <c r="B66" s="1572"/>
      <c r="C66" s="1194"/>
      <c r="D66" s="1"/>
      <c r="F66" s="1191"/>
      <c r="G66" s="1191"/>
      <c r="H66" s="1192"/>
      <c r="I66" s="1195">
        <f t="shared" si="3"/>
        <v>0</v>
      </c>
      <c r="J66" s="1192"/>
      <c r="K66" s="1192"/>
      <c r="L66" s="1191"/>
      <c r="M66" s="1191"/>
      <c r="N66" s="1191"/>
      <c r="O66" s="1191"/>
      <c r="P66" s="1191"/>
      <c r="Q66" s="1191"/>
      <c r="R66" s="1191"/>
      <c r="S66" s="1191"/>
      <c r="T66" s="86"/>
      <c r="U66" s="86"/>
    </row>
    <row r="67" spans="1:21" ht="21.95" customHeight="1">
      <c r="A67" s="2048"/>
      <c r="B67" s="1572"/>
      <c r="C67" s="1194"/>
      <c r="D67" s="1"/>
      <c r="F67" s="1191"/>
      <c r="G67" s="1191"/>
      <c r="H67" s="1192"/>
      <c r="I67" s="1195">
        <f t="shared" si="3"/>
        <v>0</v>
      </c>
      <c r="J67" s="1192"/>
      <c r="K67" s="1192"/>
      <c r="L67" s="1191"/>
      <c r="M67" s="1191"/>
      <c r="N67" s="1191"/>
      <c r="O67" s="1191"/>
      <c r="P67" s="1191"/>
      <c r="Q67" s="1191"/>
      <c r="R67" s="1191"/>
      <c r="S67" s="1191"/>
      <c r="T67" s="86"/>
      <c r="U67" s="86"/>
    </row>
    <row r="68" spans="1:21" ht="21.95" customHeight="1">
      <c r="A68" s="2048"/>
      <c r="B68" s="1572"/>
      <c r="C68" s="1194"/>
      <c r="D68" s="1"/>
      <c r="F68" s="1191"/>
      <c r="G68" s="1191"/>
      <c r="H68" s="1192"/>
      <c r="I68" s="1195">
        <f t="shared" si="3"/>
        <v>0</v>
      </c>
      <c r="J68" s="1192"/>
      <c r="K68" s="1192"/>
      <c r="L68" s="1191"/>
      <c r="M68" s="1191"/>
      <c r="N68" s="1191"/>
      <c r="O68" s="1191"/>
      <c r="P68" s="1191"/>
      <c r="Q68" s="1191"/>
      <c r="R68" s="1191"/>
      <c r="S68" s="1191"/>
      <c r="T68" s="86"/>
      <c r="U68" s="86"/>
    </row>
    <row r="69" spans="1:21" ht="21.95" customHeight="1">
      <c r="A69" s="2048"/>
      <c r="B69" s="1572"/>
      <c r="C69" s="1194"/>
      <c r="D69" s="1"/>
      <c r="F69" s="1191"/>
      <c r="G69" s="1191"/>
      <c r="H69" s="1192"/>
      <c r="I69" s="1195">
        <f t="shared" si="3"/>
        <v>0</v>
      </c>
      <c r="J69" s="1192"/>
      <c r="K69" s="1192"/>
      <c r="L69" s="1191"/>
      <c r="M69" s="1191"/>
      <c r="N69" s="1191"/>
      <c r="O69" s="1191"/>
      <c r="P69" s="1191"/>
      <c r="Q69" s="1191"/>
      <c r="R69" s="1191"/>
      <c r="S69" s="1191"/>
      <c r="T69" s="86"/>
      <c r="U69" s="86"/>
    </row>
    <row r="70" spans="1:21" ht="21.95" customHeight="1">
      <c r="A70" s="2048"/>
      <c r="B70" s="1572"/>
      <c r="C70" s="1194"/>
      <c r="D70" s="1"/>
      <c r="F70" s="1191"/>
      <c r="G70" s="1191"/>
      <c r="H70" s="1192"/>
      <c r="I70" s="1195">
        <f t="shared" si="3"/>
        <v>0</v>
      </c>
      <c r="J70" s="1192"/>
      <c r="K70" s="1192"/>
      <c r="L70" s="1191"/>
      <c r="M70" s="1191"/>
      <c r="N70" s="1191"/>
      <c r="O70" s="1191"/>
      <c r="P70" s="1191"/>
      <c r="Q70" s="1191"/>
      <c r="R70" s="1191"/>
      <c r="S70" s="1191"/>
      <c r="T70" s="86"/>
      <c r="U70" s="86"/>
    </row>
    <row r="71" spans="1:21" ht="21.95" customHeight="1" thickBot="1">
      <c r="A71" s="2048"/>
      <c r="B71" s="1572"/>
      <c r="C71" s="1194"/>
      <c r="D71" s="1"/>
      <c r="F71" s="1191"/>
      <c r="G71" s="1191"/>
      <c r="H71" s="1192"/>
      <c r="I71" s="1195">
        <f t="shared" si="3"/>
        <v>0</v>
      </c>
      <c r="J71" s="1192"/>
      <c r="K71" s="1192"/>
      <c r="L71" s="1191"/>
      <c r="M71" s="1191"/>
      <c r="N71" s="1191"/>
      <c r="O71" s="1191"/>
      <c r="P71" s="1191"/>
      <c r="Q71" s="1191"/>
      <c r="R71" s="1191"/>
      <c r="S71" s="1191"/>
      <c r="T71" s="86"/>
      <c r="U71" s="86"/>
    </row>
    <row r="72" spans="1:21" ht="24.75" thickBot="1">
      <c r="A72" s="960" t="s">
        <v>1412</v>
      </c>
      <c r="B72" s="1581">
        <f>SUM(B57:B71)</f>
        <v>0</v>
      </c>
      <c r="C72" s="1581">
        <f>SUM(C57:C71)</f>
        <v>0</v>
      </c>
      <c r="D72" s="1"/>
      <c r="F72" s="1191"/>
      <c r="G72" s="1191"/>
      <c r="H72" s="1192"/>
      <c r="I72" s="1192"/>
      <c r="J72" s="1192"/>
      <c r="K72" s="1192"/>
      <c r="L72" s="1191"/>
      <c r="M72" s="1191"/>
      <c r="N72" s="1191"/>
      <c r="O72" s="1191"/>
      <c r="P72" s="1191"/>
      <c r="Q72" s="1191"/>
      <c r="R72" s="1191"/>
      <c r="S72" s="1191"/>
      <c r="T72" s="86"/>
      <c r="U72" s="86"/>
    </row>
    <row r="73" spans="1:21" ht="33" customHeight="1">
      <c r="A73" s="1574" t="s">
        <v>1413</v>
      </c>
      <c r="B73" s="1575"/>
      <c r="C73" s="1576"/>
      <c r="D73" s="1"/>
      <c r="F73" s="1191"/>
      <c r="G73" s="1191"/>
      <c r="H73" s="1192"/>
      <c r="I73" s="1192"/>
      <c r="J73" s="1192"/>
      <c r="K73" s="1192"/>
      <c r="L73" s="1191"/>
      <c r="M73" s="1191"/>
      <c r="N73" s="1191"/>
      <c r="O73" s="1191"/>
      <c r="P73" s="1191"/>
      <c r="Q73" s="1191"/>
      <c r="R73" s="1191"/>
      <c r="S73" s="1191"/>
      <c r="T73" s="86"/>
      <c r="U73" s="86"/>
    </row>
    <row r="74" spans="1:21" ht="21.95" customHeight="1">
      <c r="A74" s="2048" t="s">
        <v>3283</v>
      </c>
      <c r="B74" s="1572">
        <v>12297</v>
      </c>
      <c r="C74" s="1194">
        <v>14485</v>
      </c>
      <c r="D74" s="1"/>
      <c r="F74" s="1191"/>
      <c r="G74" s="1191"/>
      <c r="H74" s="1192"/>
      <c r="I74" s="1195">
        <f t="shared" ref="I74:I88" si="4">IF(OR(A74="",A74=0),0,1)</f>
        <v>1</v>
      </c>
      <c r="J74" s="1195">
        <f>IFERROR(MATCH(0,I74:I88,0),31)</f>
        <v>2</v>
      </c>
      <c r="K74" s="1192"/>
      <c r="L74" s="1191"/>
      <c r="M74" s="1191"/>
      <c r="N74" s="1192"/>
      <c r="O74" s="1193"/>
      <c r="P74" s="1193"/>
      <c r="Q74" s="1191"/>
      <c r="R74" s="1191"/>
      <c r="S74" s="1191"/>
      <c r="T74" s="86"/>
      <c r="U74" s="86"/>
    </row>
    <row r="75" spans="1:21" ht="21.95" customHeight="1">
      <c r="A75" s="2048"/>
      <c r="B75" s="1572"/>
      <c r="C75" s="1194"/>
      <c r="D75" s="1"/>
      <c r="F75" s="1191"/>
      <c r="G75" s="1191"/>
      <c r="H75" s="1192"/>
      <c r="I75" s="1195">
        <f t="shared" si="4"/>
        <v>0</v>
      </c>
      <c r="J75" s="1195"/>
      <c r="K75" s="1192"/>
      <c r="L75" s="1191"/>
      <c r="M75" s="1191"/>
      <c r="N75" s="1196"/>
      <c r="O75" s="1193"/>
      <c r="P75" s="41"/>
      <c r="Q75" s="1191"/>
      <c r="R75" s="1191"/>
      <c r="S75" s="1191"/>
      <c r="T75" s="86"/>
      <c r="U75" s="86"/>
    </row>
    <row r="76" spans="1:21" ht="21.95" customHeight="1">
      <c r="A76" s="2048"/>
      <c r="B76" s="1572"/>
      <c r="C76" s="1194"/>
      <c r="D76" s="1"/>
      <c r="F76" s="1191"/>
      <c r="G76" s="1191"/>
      <c r="H76" s="1192"/>
      <c r="I76" s="1195">
        <f t="shared" si="4"/>
        <v>0</v>
      </c>
      <c r="J76" s="1192"/>
      <c r="K76" s="1192"/>
      <c r="L76" s="1191"/>
      <c r="M76" s="1191"/>
      <c r="N76" s="1193"/>
      <c r="O76" s="1193"/>
      <c r="P76" s="1193"/>
      <c r="Q76" s="1191"/>
      <c r="R76" s="1191"/>
      <c r="S76" s="1191"/>
      <c r="T76" s="86"/>
      <c r="U76" s="86"/>
    </row>
    <row r="77" spans="1:21" ht="21.95" customHeight="1">
      <c r="A77" s="2048"/>
      <c r="B77" s="1572"/>
      <c r="C77" s="1194"/>
      <c r="D77" s="1"/>
      <c r="F77" s="1191"/>
      <c r="G77" s="1191"/>
      <c r="H77" s="1192"/>
      <c r="I77" s="1195">
        <f t="shared" si="4"/>
        <v>0</v>
      </c>
      <c r="J77" s="1192"/>
      <c r="K77" s="1192"/>
      <c r="L77" s="1191"/>
      <c r="M77" s="1191"/>
      <c r="N77" s="1191"/>
      <c r="O77" s="1191"/>
      <c r="P77" s="1191"/>
      <c r="Q77" s="1191"/>
      <c r="R77" s="1191"/>
      <c r="S77" s="1191"/>
      <c r="T77" s="86"/>
      <c r="U77" s="86"/>
    </row>
    <row r="78" spans="1:21" ht="21.95" customHeight="1">
      <c r="A78" s="2048"/>
      <c r="B78" s="1572"/>
      <c r="C78" s="1194"/>
      <c r="D78" s="1"/>
      <c r="F78" s="1191"/>
      <c r="G78" s="1191"/>
      <c r="H78" s="1192"/>
      <c r="I78" s="1195">
        <f t="shared" si="4"/>
        <v>0</v>
      </c>
      <c r="J78" s="1192"/>
      <c r="K78" s="1192"/>
      <c r="L78" s="1191"/>
      <c r="M78" s="1191"/>
      <c r="N78" s="1191"/>
      <c r="O78" s="1191"/>
      <c r="P78" s="1191"/>
      <c r="Q78" s="1191"/>
      <c r="R78" s="1191"/>
      <c r="S78" s="1191"/>
      <c r="T78" s="86"/>
      <c r="U78" s="86"/>
    </row>
    <row r="79" spans="1:21" ht="21.95" customHeight="1">
      <c r="A79" s="2048"/>
      <c r="B79" s="1572"/>
      <c r="C79" s="1194"/>
      <c r="D79" s="1"/>
      <c r="F79" s="1191"/>
      <c r="G79" s="1191"/>
      <c r="H79" s="1192"/>
      <c r="I79" s="1195">
        <f t="shared" si="4"/>
        <v>0</v>
      </c>
      <c r="J79" s="1192"/>
      <c r="K79" s="1192"/>
      <c r="L79" s="1191"/>
      <c r="M79" s="1191"/>
      <c r="N79" s="1191"/>
      <c r="O79" s="1191"/>
      <c r="P79" s="1191"/>
      <c r="Q79" s="1191"/>
      <c r="R79" s="1191"/>
      <c r="S79" s="1191"/>
      <c r="T79" s="86"/>
      <c r="U79" s="86"/>
    </row>
    <row r="80" spans="1:21" ht="21.95" customHeight="1">
      <c r="A80" s="2048"/>
      <c r="B80" s="1572"/>
      <c r="C80" s="1194"/>
      <c r="D80" s="1"/>
      <c r="F80" s="1191"/>
      <c r="G80" s="1191"/>
      <c r="H80" s="1192"/>
      <c r="I80" s="1195">
        <f t="shared" si="4"/>
        <v>0</v>
      </c>
      <c r="J80" s="1192"/>
      <c r="K80" s="1192"/>
      <c r="L80" s="1191"/>
      <c r="M80" s="1191"/>
      <c r="N80" s="1191"/>
      <c r="O80" s="1191"/>
      <c r="P80" s="1191"/>
      <c r="Q80" s="1191"/>
      <c r="R80" s="1191"/>
      <c r="S80" s="1191"/>
      <c r="T80" s="86"/>
      <c r="U80" s="86"/>
    </row>
    <row r="81" spans="1:21" ht="21.95" customHeight="1">
      <c r="A81" s="2048"/>
      <c r="B81" s="1572"/>
      <c r="C81" s="1194"/>
      <c r="D81" s="1"/>
      <c r="F81" s="1191"/>
      <c r="G81" s="1191"/>
      <c r="H81" s="1192"/>
      <c r="I81" s="1195">
        <f t="shared" si="4"/>
        <v>0</v>
      </c>
      <c r="J81" s="1192"/>
      <c r="K81" s="1192"/>
      <c r="L81" s="1191"/>
      <c r="M81" s="1191"/>
      <c r="N81" s="1191"/>
      <c r="O81" s="1191"/>
      <c r="P81" s="1191"/>
      <c r="Q81" s="1191"/>
      <c r="R81" s="1191"/>
      <c r="S81" s="1191"/>
      <c r="T81" s="86"/>
      <c r="U81" s="86"/>
    </row>
    <row r="82" spans="1:21" ht="21.95" customHeight="1">
      <c r="A82" s="2048"/>
      <c r="B82" s="1572"/>
      <c r="C82" s="1194"/>
      <c r="D82" s="1"/>
      <c r="F82" s="1191"/>
      <c r="G82" s="1191"/>
      <c r="H82" s="1192"/>
      <c r="I82" s="1195">
        <f t="shared" si="4"/>
        <v>0</v>
      </c>
      <c r="J82" s="1192"/>
      <c r="K82" s="1192"/>
      <c r="L82" s="1191"/>
      <c r="M82" s="1191"/>
      <c r="N82" s="1191"/>
      <c r="O82" s="1191"/>
      <c r="P82" s="1191"/>
      <c r="Q82" s="1191"/>
      <c r="R82" s="1191"/>
      <c r="S82" s="1191"/>
      <c r="T82" s="86"/>
      <c r="U82" s="86"/>
    </row>
    <row r="83" spans="1:21" ht="21.95" customHeight="1">
      <c r="A83" s="2048"/>
      <c r="B83" s="1572"/>
      <c r="C83" s="1194"/>
      <c r="D83" s="1"/>
      <c r="F83" s="1191"/>
      <c r="G83" s="1191"/>
      <c r="H83" s="1192"/>
      <c r="I83" s="1195">
        <f t="shared" si="4"/>
        <v>0</v>
      </c>
      <c r="J83" s="1192"/>
      <c r="K83" s="1192"/>
      <c r="L83" s="1191"/>
      <c r="M83" s="1191"/>
      <c r="N83" s="1191"/>
      <c r="O83" s="1191"/>
      <c r="P83" s="1191"/>
      <c r="Q83" s="1191"/>
      <c r="R83" s="1191"/>
      <c r="S83" s="1191"/>
      <c r="T83" s="86"/>
      <c r="U83" s="86"/>
    </row>
    <row r="84" spans="1:21" ht="21.95" customHeight="1">
      <c r="A84" s="2048"/>
      <c r="B84" s="1572"/>
      <c r="C84" s="1194"/>
      <c r="D84" s="1"/>
      <c r="F84" s="1191"/>
      <c r="G84" s="1191"/>
      <c r="H84" s="1192"/>
      <c r="I84" s="1195">
        <f t="shared" si="4"/>
        <v>0</v>
      </c>
      <c r="J84" s="1192"/>
      <c r="K84" s="1192"/>
      <c r="L84" s="1191"/>
      <c r="M84" s="1191"/>
      <c r="N84" s="1191"/>
      <c r="O84" s="1191"/>
      <c r="P84" s="1191"/>
      <c r="Q84" s="1191"/>
      <c r="R84" s="1191"/>
      <c r="S84" s="1191"/>
      <c r="T84" s="86"/>
      <c r="U84" s="86"/>
    </row>
    <row r="85" spans="1:21" ht="21.95" customHeight="1">
      <c r="A85" s="2048"/>
      <c r="B85" s="1572"/>
      <c r="C85" s="1194"/>
      <c r="D85" s="1"/>
      <c r="F85" s="1191"/>
      <c r="G85" s="1191"/>
      <c r="H85" s="1192"/>
      <c r="I85" s="1195">
        <f t="shared" si="4"/>
        <v>0</v>
      </c>
      <c r="J85" s="1192"/>
      <c r="K85" s="1192"/>
      <c r="L85" s="1191"/>
      <c r="M85" s="1191"/>
      <c r="N85" s="1191"/>
      <c r="O85" s="1191"/>
      <c r="P85" s="1191"/>
      <c r="Q85" s="1191"/>
      <c r="R85" s="1191"/>
      <c r="S85" s="1191"/>
      <c r="T85" s="86"/>
      <c r="U85" s="86"/>
    </row>
    <row r="86" spans="1:21" ht="21.95" customHeight="1">
      <c r="A86" s="2048"/>
      <c r="B86" s="1572"/>
      <c r="C86" s="1194"/>
      <c r="D86" s="1"/>
      <c r="F86" s="1191"/>
      <c r="G86" s="1191"/>
      <c r="H86" s="1192"/>
      <c r="I86" s="1195">
        <f t="shared" si="4"/>
        <v>0</v>
      </c>
      <c r="J86" s="1192"/>
      <c r="K86" s="1192"/>
      <c r="L86" s="1191"/>
      <c r="M86" s="1191"/>
      <c r="N86" s="1191"/>
      <c r="O86" s="1191"/>
      <c r="P86" s="1191"/>
      <c r="Q86" s="1191"/>
      <c r="R86" s="1191"/>
      <c r="S86" s="1191"/>
      <c r="T86" s="86"/>
      <c r="U86" s="86"/>
    </row>
    <row r="87" spans="1:21" ht="21.95" customHeight="1">
      <c r="A87" s="2048"/>
      <c r="B87" s="1572"/>
      <c r="C87" s="1194"/>
      <c r="D87" s="1"/>
      <c r="F87" s="1191"/>
      <c r="G87" s="1191"/>
      <c r="H87" s="1192"/>
      <c r="I87" s="1195">
        <f t="shared" si="4"/>
        <v>0</v>
      </c>
      <c r="J87" s="1192"/>
      <c r="K87" s="1192"/>
      <c r="L87" s="1191"/>
      <c r="M87" s="1191"/>
      <c r="N87" s="1191"/>
      <c r="O87" s="1191"/>
      <c r="P87" s="1191"/>
      <c r="Q87" s="1191"/>
      <c r="R87" s="1191"/>
      <c r="S87" s="1191"/>
      <c r="T87" s="86"/>
      <c r="U87" s="86"/>
    </row>
    <row r="88" spans="1:21" ht="21.95" customHeight="1" thickBot="1">
      <c r="A88" s="2048"/>
      <c r="B88" s="1572"/>
      <c r="C88" s="1194"/>
      <c r="D88" s="1"/>
      <c r="F88" s="1191"/>
      <c r="G88" s="1191"/>
      <c r="H88" s="1192"/>
      <c r="I88" s="1195">
        <f t="shared" si="4"/>
        <v>0</v>
      </c>
      <c r="J88" s="1192"/>
      <c r="K88" s="1192"/>
      <c r="L88" s="1191"/>
      <c r="M88" s="1191"/>
      <c r="N88" s="1191"/>
      <c r="O88" s="1191"/>
      <c r="P88" s="1191"/>
      <c r="Q88" s="1191"/>
      <c r="R88" s="1191"/>
      <c r="S88" s="1191"/>
      <c r="T88" s="86"/>
      <c r="U88" s="86"/>
    </row>
    <row r="89" spans="1:21" ht="21.95" customHeight="1" thickBot="1">
      <c r="A89" s="960" t="s">
        <v>1414</v>
      </c>
      <c r="B89" s="1581">
        <f>SUM(B74:B88)</f>
        <v>12297</v>
      </c>
      <c r="C89" s="1581">
        <f>SUM(C74:C88)</f>
        <v>14485</v>
      </c>
      <c r="D89" s="1"/>
      <c r="F89" s="1191"/>
      <c r="G89" s="1191"/>
      <c r="H89" s="1192"/>
      <c r="I89" s="1195">
        <f>IF(A89="",0,1)</f>
        <v>1</v>
      </c>
      <c r="J89" s="1192"/>
      <c r="K89" s="1192"/>
      <c r="L89" s="1191"/>
      <c r="M89" s="1191"/>
      <c r="N89" s="1191"/>
      <c r="O89" s="1191"/>
      <c r="P89" s="1191"/>
      <c r="Q89" s="1191"/>
      <c r="R89" s="1191"/>
      <c r="S89" s="1191"/>
      <c r="T89" s="86"/>
      <c r="U89" s="86"/>
    </row>
    <row r="90" spans="1:21" ht="21.95" customHeight="1">
      <c r="A90" s="1574" t="s">
        <v>1415</v>
      </c>
      <c r="B90" s="1575"/>
      <c r="C90" s="1576"/>
      <c r="D90" s="1"/>
      <c r="F90" s="1191"/>
      <c r="G90" s="1191"/>
      <c r="H90" s="1192"/>
      <c r="I90" s="1195"/>
      <c r="J90" s="1192"/>
      <c r="K90" s="1192"/>
      <c r="L90" s="1191"/>
      <c r="M90" s="1191"/>
      <c r="N90" s="1191"/>
      <c r="O90" s="1191"/>
      <c r="P90" s="1191"/>
      <c r="Q90" s="1191"/>
      <c r="R90" s="1191"/>
      <c r="S90" s="1191"/>
      <c r="T90" s="86"/>
      <c r="U90" s="86"/>
    </row>
    <row r="91" spans="1:21" ht="21.95" customHeight="1">
      <c r="A91" s="1573" t="s">
        <v>636</v>
      </c>
      <c r="B91" s="1572"/>
      <c r="C91" s="1194"/>
      <c r="D91" s="1"/>
      <c r="F91" s="1191"/>
      <c r="G91" s="1191"/>
      <c r="H91" s="1192"/>
      <c r="I91" s="1195">
        <f t="shared" ref="I91:I105" si="5">IF(OR(A91="",A91=0),0,1)</f>
        <v>1</v>
      </c>
      <c r="J91" s="1195">
        <f>IFERROR(MATCH(0,I91:I105,0),31)</f>
        <v>14</v>
      </c>
      <c r="K91" s="1192"/>
      <c r="L91" s="1191"/>
      <c r="M91" s="1191"/>
      <c r="N91" s="1192"/>
      <c r="O91" s="1193"/>
      <c r="P91" s="1193"/>
      <c r="Q91" s="1191"/>
      <c r="R91" s="1191"/>
      <c r="S91" s="1191"/>
      <c r="T91" s="86"/>
      <c r="U91" s="86"/>
    </row>
    <row r="92" spans="1:21" ht="21.95" customHeight="1">
      <c r="A92" s="1573" t="s">
        <v>1680</v>
      </c>
      <c r="B92" s="1572"/>
      <c r="C92" s="1194"/>
      <c r="D92" s="1"/>
      <c r="F92" s="1191"/>
      <c r="G92" s="1191"/>
      <c r="H92" s="1192"/>
      <c r="I92" s="1195">
        <f t="shared" si="5"/>
        <v>1</v>
      </c>
      <c r="J92" s="1192"/>
      <c r="K92" s="1192"/>
      <c r="L92" s="1191"/>
      <c r="M92" s="1191"/>
      <c r="N92" s="1196"/>
      <c r="O92" s="1193"/>
      <c r="P92" s="41"/>
      <c r="Q92" s="1191"/>
      <c r="R92" s="1191"/>
      <c r="S92" s="1191"/>
      <c r="T92" s="86"/>
      <c r="U92" s="86"/>
    </row>
    <row r="93" spans="1:21" ht="21.95" customHeight="1">
      <c r="A93" s="2048" t="s">
        <v>3284</v>
      </c>
      <c r="B93" s="1572">
        <v>954</v>
      </c>
      <c r="C93" s="1194">
        <v>954</v>
      </c>
      <c r="D93" s="1"/>
      <c r="F93" s="1191"/>
      <c r="G93" s="1191"/>
      <c r="H93" s="1192"/>
      <c r="I93" s="1195">
        <f t="shared" si="5"/>
        <v>1</v>
      </c>
      <c r="J93" s="1192"/>
      <c r="K93" s="1192"/>
      <c r="L93" s="1191"/>
      <c r="M93" s="1191"/>
      <c r="N93" s="1193"/>
      <c r="O93" s="1193"/>
      <c r="P93" s="1193"/>
      <c r="Q93" s="1191"/>
      <c r="R93" s="1191"/>
      <c r="S93" s="1191"/>
      <c r="T93" s="86"/>
      <c r="U93" s="86"/>
    </row>
    <row r="94" spans="1:21" ht="21.95" customHeight="1">
      <c r="A94" s="2048" t="s">
        <v>3285</v>
      </c>
      <c r="B94" s="1572">
        <v>245577</v>
      </c>
      <c r="C94" s="1194">
        <v>348682</v>
      </c>
      <c r="D94" s="1"/>
      <c r="F94" s="1191"/>
      <c r="G94" s="1191"/>
      <c r="H94" s="1192"/>
      <c r="I94" s="1195">
        <f t="shared" si="5"/>
        <v>1</v>
      </c>
      <c r="J94" s="1192"/>
      <c r="K94" s="1192"/>
      <c r="L94" s="1191"/>
      <c r="M94" s="1191"/>
      <c r="N94" s="1191"/>
      <c r="O94" s="1191"/>
      <c r="P94" s="1191"/>
      <c r="Q94" s="1191"/>
      <c r="R94" s="1191"/>
      <c r="S94" s="1191"/>
      <c r="T94" s="86"/>
      <c r="U94" s="86"/>
    </row>
    <row r="95" spans="1:21" ht="21.95" customHeight="1">
      <c r="A95" s="2048" t="s">
        <v>3286</v>
      </c>
      <c r="B95" s="1572">
        <v>13</v>
      </c>
      <c r="C95" s="1194">
        <v>14</v>
      </c>
      <c r="D95" s="1"/>
      <c r="F95" s="1191"/>
      <c r="G95" s="1191"/>
      <c r="H95" s="1192"/>
      <c r="I95" s="1195">
        <f t="shared" si="5"/>
        <v>1</v>
      </c>
      <c r="J95" s="1192"/>
      <c r="K95" s="1192"/>
      <c r="L95" s="1191"/>
      <c r="M95" s="1191"/>
      <c r="N95" s="1191"/>
      <c r="O95" s="1191"/>
      <c r="P95" s="1191"/>
      <c r="Q95" s="1191"/>
      <c r="R95" s="1191"/>
      <c r="S95" s="1191"/>
      <c r="T95" s="86"/>
      <c r="U95" s="86"/>
    </row>
    <row r="96" spans="1:21" ht="21.95" customHeight="1">
      <c r="A96" s="2048" t="s">
        <v>3287</v>
      </c>
      <c r="B96" s="1572">
        <v>119435</v>
      </c>
      <c r="C96" s="1194">
        <v>315262</v>
      </c>
      <c r="D96" s="1"/>
      <c r="F96" s="1191"/>
      <c r="G96" s="1191"/>
      <c r="H96" s="1192"/>
      <c r="I96" s="1195">
        <f t="shared" si="5"/>
        <v>1</v>
      </c>
      <c r="J96" s="1192"/>
      <c r="K96" s="1192"/>
      <c r="L96" s="1191"/>
      <c r="M96" s="1191"/>
      <c r="N96" s="1191"/>
      <c r="O96" s="1191"/>
      <c r="P96" s="1191"/>
      <c r="Q96" s="1191"/>
      <c r="R96" s="1191"/>
      <c r="S96" s="1191"/>
      <c r="T96" s="86"/>
      <c r="U96" s="86"/>
    </row>
    <row r="97" spans="1:21" ht="21.95" customHeight="1">
      <c r="A97" s="2048" t="s">
        <v>3288</v>
      </c>
      <c r="B97" s="1572">
        <v>2878</v>
      </c>
      <c r="C97" s="1194">
        <v>3559</v>
      </c>
      <c r="D97" s="1"/>
      <c r="F97" s="1191"/>
      <c r="G97" s="1191"/>
      <c r="H97" s="1192"/>
      <c r="I97" s="1195">
        <f t="shared" si="5"/>
        <v>1</v>
      </c>
      <c r="J97" s="1192"/>
      <c r="K97" s="1192"/>
      <c r="L97" s="1191"/>
      <c r="M97" s="1191"/>
      <c r="N97" s="1191"/>
      <c r="O97" s="1191"/>
      <c r="P97" s="1191"/>
      <c r="Q97" s="1191"/>
      <c r="R97" s="1191"/>
      <c r="S97" s="1191"/>
      <c r="T97" s="86"/>
      <c r="U97" s="86"/>
    </row>
    <row r="98" spans="1:21" ht="21.95" customHeight="1">
      <c r="A98" s="2048" t="s">
        <v>3289</v>
      </c>
      <c r="B98" s="1572">
        <v>40768</v>
      </c>
      <c r="C98" s="1194">
        <v>33697</v>
      </c>
      <c r="D98" s="1"/>
      <c r="F98" s="1191"/>
      <c r="G98" s="1191"/>
      <c r="H98" s="1192"/>
      <c r="I98" s="1195">
        <f t="shared" si="5"/>
        <v>1</v>
      </c>
      <c r="J98" s="1192"/>
      <c r="K98" s="1192"/>
      <c r="L98" s="1191"/>
      <c r="M98" s="1191"/>
      <c r="N98" s="1191"/>
      <c r="O98" s="1191"/>
      <c r="P98" s="1191"/>
      <c r="Q98" s="1191"/>
      <c r="R98" s="1191"/>
      <c r="S98" s="1191"/>
      <c r="T98" s="86"/>
      <c r="U98" s="86"/>
    </row>
    <row r="99" spans="1:21" ht="21.95" customHeight="1">
      <c r="A99" s="2048" t="s">
        <v>3290</v>
      </c>
      <c r="B99" s="1572">
        <v>35172</v>
      </c>
      <c r="C99" s="1194">
        <v>106438</v>
      </c>
      <c r="D99" s="1"/>
      <c r="F99" s="1191"/>
      <c r="G99" s="1191"/>
      <c r="H99" s="1192"/>
      <c r="I99" s="1195">
        <f t="shared" si="5"/>
        <v>1</v>
      </c>
      <c r="J99" s="1192"/>
      <c r="K99" s="1192"/>
      <c r="L99" s="1191"/>
      <c r="M99" s="1191"/>
      <c r="N99" s="1191"/>
      <c r="O99" s="1191"/>
      <c r="P99" s="1191"/>
      <c r="Q99" s="1191"/>
      <c r="R99" s="1191"/>
      <c r="S99" s="1191"/>
      <c r="T99" s="86"/>
      <c r="U99" s="86"/>
    </row>
    <row r="100" spans="1:21" ht="21.95" customHeight="1">
      <c r="A100" s="2048" t="s">
        <v>3291</v>
      </c>
      <c r="B100" s="1572">
        <v>135775</v>
      </c>
      <c r="C100" s="1194">
        <v>233969</v>
      </c>
      <c r="D100" s="1"/>
      <c r="F100" s="1191"/>
      <c r="G100" s="1191"/>
      <c r="H100" s="1192"/>
      <c r="I100" s="1195">
        <f t="shared" si="5"/>
        <v>1</v>
      </c>
      <c r="J100" s="1192"/>
      <c r="K100" s="1192"/>
      <c r="L100" s="1191"/>
      <c r="M100" s="1191"/>
      <c r="N100" s="1191"/>
      <c r="O100" s="1191"/>
      <c r="P100" s="1191"/>
      <c r="Q100" s="1191"/>
      <c r="R100" s="1191"/>
      <c r="S100" s="1191"/>
      <c r="T100" s="86"/>
      <c r="U100" s="86"/>
    </row>
    <row r="101" spans="1:21" ht="21.95" customHeight="1">
      <c r="A101" s="2048" t="s">
        <v>3292</v>
      </c>
      <c r="B101" s="1572">
        <v>7720</v>
      </c>
      <c r="C101" s="1194">
        <v>-646</v>
      </c>
      <c r="D101" s="1"/>
      <c r="F101" s="1191"/>
      <c r="G101" s="1191"/>
      <c r="H101" s="1192"/>
      <c r="I101" s="1195">
        <f t="shared" si="5"/>
        <v>1</v>
      </c>
      <c r="J101" s="1192"/>
      <c r="K101" s="1192"/>
      <c r="L101" s="1191"/>
      <c r="M101" s="1191"/>
      <c r="N101" s="1191"/>
      <c r="O101" s="1191"/>
      <c r="P101" s="1191"/>
      <c r="Q101" s="1191"/>
      <c r="R101" s="1191"/>
      <c r="S101" s="1191"/>
      <c r="T101" s="86"/>
      <c r="U101" s="86"/>
    </row>
    <row r="102" spans="1:21" ht="21.95" customHeight="1">
      <c r="A102" s="2048" t="s">
        <v>3293</v>
      </c>
      <c r="B102" s="1572">
        <v>503079</v>
      </c>
      <c r="C102" s="1194">
        <v>388814</v>
      </c>
      <c r="D102" s="1"/>
      <c r="F102" s="1191"/>
      <c r="G102" s="1191"/>
      <c r="H102" s="1192"/>
      <c r="I102" s="1195">
        <f t="shared" si="5"/>
        <v>1</v>
      </c>
      <c r="J102" s="1192"/>
      <c r="K102" s="1192"/>
      <c r="L102" s="1191"/>
      <c r="M102" s="1191"/>
      <c r="N102" s="1191"/>
      <c r="O102" s="1191"/>
      <c r="P102" s="1191"/>
      <c r="Q102" s="1191"/>
      <c r="R102" s="1191"/>
      <c r="S102" s="1191"/>
      <c r="T102" s="86"/>
      <c r="U102" s="86"/>
    </row>
    <row r="103" spans="1:21" ht="21.95" customHeight="1">
      <c r="A103" s="2048" t="s">
        <v>3294</v>
      </c>
      <c r="B103" s="1572">
        <v>0</v>
      </c>
      <c r="C103" s="1194">
        <v>995</v>
      </c>
      <c r="D103" s="1"/>
      <c r="F103" s="1191"/>
      <c r="G103" s="1191"/>
      <c r="H103" s="1192"/>
      <c r="I103" s="1195">
        <f t="shared" si="5"/>
        <v>1</v>
      </c>
      <c r="J103" s="1192"/>
      <c r="K103" s="1192"/>
      <c r="L103" s="1191"/>
      <c r="M103" s="1191"/>
      <c r="N103" s="1191"/>
      <c r="O103" s="1191"/>
      <c r="P103" s="1191"/>
      <c r="Q103" s="1191"/>
      <c r="R103" s="1191"/>
      <c r="S103" s="1191"/>
      <c r="T103" s="86"/>
      <c r="U103" s="86"/>
    </row>
    <row r="104" spans="1:21" ht="21.95" customHeight="1">
      <c r="A104" s="2048"/>
      <c r="B104" s="1572"/>
      <c r="C104" s="1194"/>
      <c r="D104" s="1"/>
      <c r="F104" s="1191"/>
      <c r="G104" s="1191"/>
      <c r="H104" s="1192"/>
      <c r="I104" s="1195">
        <f t="shared" si="5"/>
        <v>0</v>
      </c>
      <c r="J104" s="1192"/>
      <c r="K104" s="1192"/>
      <c r="L104" s="1191"/>
      <c r="M104" s="1191"/>
      <c r="N104" s="1191"/>
      <c r="O104" s="1191"/>
      <c r="P104" s="1191"/>
      <c r="Q104" s="1191"/>
      <c r="R104" s="1191"/>
      <c r="S104" s="1191"/>
      <c r="T104" s="86"/>
      <c r="U104" s="86"/>
    </row>
    <row r="105" spans="1:21" ht="21.95" customHeight="1" thickBot="1">
      <c r="A105" s="2048"/>
      <c r="B105" s="1572"/>
      <c r="C105" s="1194"/>
      <c r="D105" s="1"/>
      <c r="F105" s="1191"/>
      <c r="G105" s="1191"/>
      <c r="H105" s="1192"/>
      <c r="I105" s="1195">
        <f t="shared" si="5"/>
        <v>0</v>
      </c>
      <c r="J105" s="1192"/>
      <c r="K105" s="1192"/>
      <c r="L105" s="1191"/>
      <c r="M105" s="1191"/>
      <c r="N105" s="1191"/>
      <c r="O105" s="1191"/>
      <c r="P105" s="1191"/>
      <c r="Q105" s="1191"/>
      <c r="R105" s="1191"/>
      <c r="S105" s="1191"/>
      <c r="T105" s="86"/>
      <c r="U105" s="86"/>
    </row>
    <row r="106" spans="1:21" s="43" customFormat="1" ht="24.75" customHeight="1" thickBot="1">
      <c r="A106" s="960" t="s">
        <v>1416</v>
      </c>
      <c r="B106" s="1581">
        <f>SUM(B91:B105)</f>
        <v>1091371</v>
      </c>
      <c r="C106" s="1581">
        <f>SUM(C91:C105)</f>
        <v>1431738</v>
      </c>
      <c r="F106" s="1197"/>
      <c r="G106" s="1197"/>
      <c r="H106" s="1198"/>
      <c r="I106" s="1195"/>
      <c r="J106" s="1192"/>
      <c r="K106" s="1198"/>
      <c r="L106" s="1197"/>
      <c r="M106" s="1197"/>
      <c r="N106" s="1197"/>
      <c r="O106" s="1197"/>
      <c r="P106" s="1197"/>
      <c r="Q106" s="1197"/>
      <c r="R106" s="1197"/>
      <c r="S106" s="1197"/>
      <c r="T106" s="100"/>
      <c r="U106" s="100"/>
    </row>
    <row r="107" spans="1:21" ht="4.5" customHeight="1">
      <c r="I107" s="1193" t="s">
        <v>206</v>
      </c>
    </row>
    <row r="108" spans="1:21" ht="19.5" customHeight="1">
      <c r="A108" s="718"/>
      <c r="B108" s="718"/>
      <c r="C108" s="8"/>
      <c r="I108" s="1193" t="s">
        <v>206</v>
      </c>
    </row>
    <row r="109" spans="1:21">
      <c r="I109" s="1193" t="s">
        <v>206</v>
      </c>
    </row>
    <row r="110" spans="1:21">
      <c r="I110" s="1193" t="s">
        <v>206</v>
      </c>
    </row>
    <row r="111" spans="1:21">
      <c r="I111" s="1193" t="s">
        <v>206</v>
      </c>
    </row>
    <row r="112" spans="1:21">
      <c r="I112" s="1193" t="s">
        <v>206</v>
      </c>
    </row>
  </sheetData>
  <sheetProtection algorithmName="SHA-512" hashValue="YsmYwv3yE0QR+ay1e4P5AkOKvczFjLjYrVyYDweoJ+pinJpfDiBlIIFKI5ZdEbXsEGfEEXnhrPzIfckcChjhBA==" saltValue="nsmbG8ol/kU4JxnXYeDAbg==" spinCount="100000" sheet="1" objects="1" scenarios="1"/>
  <mergeCells count="1">
    <mergeCell ref="A1:C1"/>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5">
    <tabColor rgb="FFFFA07A"/>
    <pageSetUpPr fitToPage="1"/>
  </sheetPr>
  <dimension ref="A1:G18"/>
  <sheetViews>
    <sheetView rightToLeft="1" view="pageBreakPreview" zoomScale="60" zoomScaleNormal="100" workbookViewId="0">
      <selection activeCell="D6" sqref="D6"/>
    </sheetView>
  </sheetViews>
  <sheetFormatPr defaultColWidth="9" defaultRowHeight="21"/>
  <cols>
    <col min="1" max="1" width="41.85546875" style="455" bestFit="1" customWidth="1"/>
    <col min="2" max="4" width="15.5703125" style="455" customWidth="1"/>
    <col min="5" max="5" width="13.7109375" style="455" customWidth="1"/>
    <col min="6" max="6" width="13.140625" style="455" customWidth="1"/>
    <col min="7" max="7" width="3.7109375" style="455" customWidth="1"/>
    <col min="8" max="16384" width="9" style="455"/>
  </cols>
  <sheetData>
    <row r="1" spans="1:7" customFormat="1" ht="24" customHeight="1">
      <c r="A1" s="2685" t="str">
        <f>روکش!D4</f>
        <v>انبارهای عمومی و خدمات گمرکی ایران</v>
      </c>
      <c r="B1" s="2685"/>
      <c r="C1" s="2685"/>
      <c r="D1" s="2685"/>
      <c r="E1" s="2685"/>
      <c r="F1" s="2685"/>
      <c r="G1" s="2685"/>
    </row>
    <row r="2" spans="1:7" customFormat="1" ht="28.5" customHeight="1">
      <c r="A2" s="1206" t="str">
        <f>"صورت درآمد و هزینه آزادراه در دوره " &amp; روکش!F9 &amp; " سال " &amp; روکش!D9</f>
        <v>صورت درآمد و هزینه آزادراه در دوره شش ماهه سال 1405</v>
      </c>
      <c r="B2" s="1205"/>
      <c r="C2" s="1202"/>
      <c r="D2" s="1202"/>
      <c r="E2" s="1202"/>
      <c r="F2" s="1202"/>
      <c r="G2" s="2264"/>
    </row>
    <row r="3" spans="1:7" ht="24" customHeight="1" thickBot="1">
      <c r="A3" s="1585"/>
      <c r="B3" s="1585"/>
      <c r="C3" s="1585"/>
      <c r="D3" s="1585"/>
      <c r="E3" s="1585"/>
      <c r="F3" s="1238" t="s">
        <v>30</v>
      </c>
      <c r="G3" s="1586"/>
    </row>
    <row r="4" spans="1:7" ht="39.950000000000003" customHeight="1">
      <c r="A4" s="3095" t="s">
        <v>21</v>
      </c>
      <c r="B4" s="2756" t="s">
        <v>768</v>
      </c>
      <c r="C4" s="1434" t="s">
        <v>642</v>
      </c>
      <c r="D4" s="1435"/>
      <c r="E4" s="1435"/>
      <c r="F4" s="2213"/>
      <c r="G4" s="1376"/>
    </row>
    <row r="5" spans="1:7" s="502" customFormat="1" ht="63.75" customHeight="1" thickBot="1">
      <c r="A5" s="3096"/>
      <c r="B5" s="3093"/>
      <c r="C5" s="713" t="s">
        <v>53</v>
      </c>
      <c r="D5" s="714" t="s">
        <v>216</v>
      </c>
      <c r="E5" s="714" t="s">
        <v>804</v>
      </c>
      <c r="F5" s="2875" t="s">
        <v>230</v>
      </c>
      <c r="G5" s="2876"/>
    </row>
    <row r="6" spans="1:7" ht="41.1" customHeight="1">
      <c r="A6" s="1587" t="str">
        <f>'صورتخلاصه درآمد آزادراه'!A6</f>
        <v>منافع حاصل از عوارض دریافتی</v>
      </c>
      <c r="B6" s="1588">
        <f>'صورتخلاصه درآمد آزادراه'!B6</f>
        <v>0</v>
      </c>
      <c r="C6" s="1589">
        <f ca="1">'صورتخلاصه درآمد آزادراه'!C6</f>
        <v>0</v>
      </c>
      <c r="D6" s="1590">
        <f>'صورتخلاصه درآمد آزادراه'!D6</f>
        <v>0</v>
      </c>
      <c r="E6" s="2155" t="str">
        <f t="shared" ref="E6:E16" si="0">IFERROR((D6-B6)*100/B6,"-")</f>
        <v>-</v>
      </c>
      <c r="F6" s="2265" t="str">
        <f t="shared" ref="F6:F16" ca="1" si="1">IFERROR(D6*100/C6,"-")</f>
        <v>-</v>
      </c>
      <c r="G6" s="2266">
        <f ca="1">IFERROR(ABS(F6-100),500)</f>
        <v>500</v>
      </c>
    </row>
    <row r="7" spans="1:7" ht="41.1" customHeight="1">
      <c r="A7" s="1587" t="s">
        <v>1477</v>
      </c>
      <c r="B7" s="1588">
        <f>-'نگهداری آزادراه'!B44-'بهره برداری آزادراه'!B44</f>
        <v>0</v>
      </c>
      <c r="C7" s="1589">
        <f ca="1">-'نگهداری آزادراه'!C44-'بهره برداری آزادراه'!C44</f>
        <v>0</v>
      </c>
      <c r="D7" s="1590">
        <f>-'نگهداری آزادراه'!D44-'بهره برداری آزادراه'!D44</f>
        <v>0</v>
      </c>
      <c r="E7" s="1543" t="str">
        <f t="shared" si="0"/>
        <v>-</v>
      </c>
      <c r="F7" s="2267" t="str">
        <f t="shared" ca="1" si="1"/>
        <v>-</v>
      </c>
      <c r="G7" s="2268">
        <f t="shared" ref="G7:G16" ca="1" si="2">IFERROR(ABS(F7-100),500)</f>
        <v>500</v>
      </c>
    </row>
    <row r="8" spans="1:7" ht="41.1" customHeight="1">
      <c r="A8" s="1587" t="s">
        <v>1478</v>
      </c>
      <c r="B8" s="1588">
        <f>-'هزینه اداری عمومی آزادراه'!B58</f>
        <v>0</v>
      </c>
      <c r="C8" s="1589">
        <f ca="1">-'هزینه اداری عمومی آزادراه'!C58</f>
        <v>0</v>
      </c>
      <c r="D8" s="1590">
        <f>-'هزینه اداری عمومی آزادراه'!D58</f>
        <v>0</v>
      </c>
      <c r="E8" s="1591" t="str">
        <f t="shared" si="0"/>
        <v>-</v>
      </c>
      <c r="F8" s="2267" t="str">
        <f t="shared" ca="1" si="1"/>
        <v>-</v>
      </c>
      <c r="G8" s="2268">
        <f t="shared" ca="1" si="2"/>
        <v>500</v>
      </c>
    </row>
    <row r="9" spans="1:7" ht="41.1" customHeight="1">
      <c r="A9" s="1587" t="s">
        <v>148</v>
      </c>
      <c r="B9" s="1588">
        <f>'سایر عملیاتی آزادراهی'!B22+'صورتخلاصه درآمد آزادراه'!B7</f>
        <v>0</v>
      </c>
      <c r="C9" s="1589">
        <f ca="1">'سایر عملیاتی آزادراهی'!C22+'صورتخلاصه درآمد آزادراه'!C7</f>
        <v>0</v>
      </c>
      <c r="D9" s="1590">
        <f>'سایر عملیاتی آزادراهی'!D22+'صورتخلاصه درآمد آزادراه'!D7</f>
        <v>0</v>
      </c>
      <c r="E9" s="1591" t="str">
        <f t="shared" si="0"/>
        <v>-</v>
      </c>
      <c r="F9" s="2267" t="str">
        <f t="shared" ca="1" si="1"/>
        <v>-</v>
      </c>
      <c r="G9" s="2268">
        <f t="shared" ca="1" si="2"/>
        <v>500</v>
      </c>
    </row>
    <row r="10" spans="1:7" ht="41.1" customHeight="1" thickBot="1">
      <c r="A10" s="1587" t="s">
        <v>189</v>
      </c>
      <c r="B10" s="1588">
        <f>-'سایر عملیاتی آزادراهی'!B39</f>
        <v>0</v>
      </c>
      <c r="C10" s="1589">
        <f ca="1">-'سایر عملیاتی آزادراهی'!C39</f>
        <v>0</v>
      </c>
      <c r="D10" s="1590">
        <f>-'سایر عملیاتی آزادراهی'!D39</f>
        <v>0</v>
      </c>
      <c r="E10" s="1591" t="str">
        <f t="shared" si="0"/>
        <v>-</v>
      </c>
      <c r="F10" s="2267" t="str">
        <f t="shared" ca="1" si="1"/>
        <v>-</v>
      </c>
      <c r="G10" s="2268">
        <f t="shared" ca="1" si="2"/>
        <v>500</v>
      </c>
    </row>
    <row r="11" spans="1:7" ht="41.1" customHeight="1">
      <c r="A11" s="1592" t="s">
        <v>1479</v>
      </c>
      <c r="B11" s="1593">
        <f>SUM(B6:B10)</f>
        <v>0</v>
      </c>
      <c r="C11" s="1594">
        <f ca="1">SUM(C6:C10)</f>
        <v>0</v>
      </c>
      <c r="D11" s="1595">
        <f>SUM(D6:D10)</f>
        <v>0</v>
      </c>
      <c r="E11" s="1596" t="str">
        <f t="shared" si="0"/>
        <v>-</v>
      </c>
      <c r="F11" s="2265" t="str">
        <f t="shared" ca="1" si="1"/>
        <v>-</v>
      </c>
      <c r="G11" s="2266">
        <f t="shared" ca="1" si="2"/>
        <v>500</v>
      </c>
    </row>
    <row r="12" spans="1:7" ht="41.1" customHeight="1">
      <c r="A12" s="1587" t="s">
        <v>1480</v>
      </c>
      <c r="B12" s="1134"/>
      <c r="C12" s="2154" cm="1">
        <f t="array" aca="1" ref="C12" ca="1">IF(ROW()-ROW($A$12)&lt;'الف-ب-ج'!$L$9,IF(روکش!$F$9="سه ماهه",INDIRECT("BudgetDB!GK"&amp;('الف-ب-ج'!$M$9+ROW()-ROW($A$12))),INDIRECT("BudgetDB!KH"&amp;('الف-ب-ج'!$M$9+ROW()-ROW($A$12)))),"")</f>
        <v>0</v>
      </c>
      <c r="D12" s="695"/>
      <c r="E12" s="1591" t="str">
        <f t="shared" si="0"/>
        <v>-</v>
      </c>
      <c r="F12" s="2267" t="str">
        <f t="shared" ca="1" si="1"/>
        <v>-</v>
      </c>
      <c r="G12" s="2268">
        <f t="shared" ca="1" si="2"/>
        <v>500</v>
      </c>
    </row>
    <row r="13" spans="1:7" ht="41.1" customHeight="1" thickBot="1">
      <c r="A13" s="1587" t="s">
        <v>1481</v>
      </c>
      <c r="B13" s="1588">
        <f>'سایر غیرعملیاتی آزادراهی'!B40</f>
        <v>0</v>
      </c>
      <c r="C13" s="1589">
        <f ca="1">'سایر غیرعملیاتی آزادراهی'!C40</f>
        <v>0</v>
      </c>
      <c r="D13" s="1590">
        <f>'سایر غیرعملیاتی آزادراهی'!D40</f>
        <v>0</v>
      </c>
      <c r="E13" s="1591" t="str">
        <f t="shared" si="0"/>
        <v>-</v>
      </c>
      <c r="F13" s="2267" t="str">
        <f t="shared" ca="1" si="1"/>
        <v>-</v>
      </c>
      <c r="G13" s="2268">
        <f t="shared" ca="1" si="2"/>
        <v>500</v>
      </c>
    </row>
    <row r="14" spans="1:7" ht="41.1" customHeight="1">
      <c r="A14" s="1592" t="s">
        <v>366</v>
      </c>
      <c r="B14" s="1593">
        <f>SUM(B11:B13)</f>
        <v>0</v>
      </c>
      <c r="C14" s="1594">
        <f ca="1">SUM(C11:C13)</f>
        <v>0</v>
      </c>
      <c r="D14" s="1595">
        <f>SUM(D11:D13)</f>
        <v>0</v>
      </c>
      <c r="E14" s="1596" t="str">
        <f t="shared" si="0"/>
        <v>-</v>
      </c>
      <c r="F14" s="2265" t="str">
        <f t="shared" ca="1" si="1"/>
        <v>-</v>
      </c>
      <c r="G14" s="2266">
        <f t="shared" ca="1" si="2"/>
        <v>500</v>
      </c>
    </row>
    <row r="15" spans="1:7" ht="41.1" customHeight="1" thickBot="1">
      <c r="A15" s="1597" t="s">
        <v>367</v>
      </c>
      <c r="B15" s="1598">
        <f>-B14</f>
        <v>0</v>
      </c>
      <c r="C15" s="1599">
        <f ca="1">-C14</f>
        <v>0</v>
      </c>
      <c r="D15" s="1600">
        <f>-D14</f>
        <v>0</v>
      </c>
      <c r="E15" s="1601" t="str">
        <f t="shared" si="0"/>
        <v>-</v>
      </c>
      <c r="F15" s="2269" t="str">
        <f t="shared" ca="1" si="1"/>
        <v>-</v>
      </c>
      <c r="G15" s="2270">
        <f t="shared" ca="1" si="2"/>
        <v>500</v>
      </c>
    </row>
    <row r="16" spans="1:7" ht="41.1" customHeight="1" thickBot="1">
      <c r="A16" s="1602"/>
      <c r="B16" s="1247">
        <f>B14+B15</f>
        <v>0</v>
      </c>
      <c r="C16" s="1603">
        <f ca="1">C14+C15</f>
        <v>0</v>
      </c>
      <c r="D16" s="1604">
        <f>D14+D15</f>
        <v>0</v>
      </c>
      <c r="E16" s="537" t="str">
        <f t="shared" si="0"/>
        <v>-</v>
      </c>
      <c r="F16" s="2204" t="str">
        <f t="shared" ca="1" si="1"/>
        <v>-</v>
      </c>
      <c r="G16" s="2205">
        <f t="shared" ca="1" si="2"/>
        <v>500</v>
      </c>
    </row>
    <row r="17" spans="1:7" ht="15" customHeight="1">
      <c r="A17" s="1605"/>
      <c r="B17" s="1606"/>
      <c r="C17" s="1606"/>
      <c r="D17" s="1606"/>
      <c r="E17" s="1606"/>
      <c r="F17" s="1606"/>
      <c r="G17" s="1586"/>
    </row>
    <row r="18" spans="1:7" ht="23.25">
      <c r="A18" s="1607"/>
      <c r="B18" s="1607"/>
      <c r="C18" s="1607"/>
    </row>
  </sheetData>
  <mergeCells count="4">
    <mergeCell ref="A4:A5"/>
    <mergeCell ref="B4:B5"/>
    <mergeCell ref="A1:G1"/>
    <mergeCell ref="F5:G5"/>
  </mergeCells>
  <conditionalFormatting sqref="B12">
    <cfRule type="expression" dxfId="333" priority="10">
      <formula>B12&gt;0</formula>
    </cfRule>
  </conditionalFormatting>
  <conditionalFormatting sqref="D12">
    <cfRule type="expression" dxfId="332" priority="9">
      <formula>D12&gt;0</formula>
    </cfRule>
  </conditionalFormatting>
  <conditionalFormatting sqref="G6:G16">
    <cfRule type="iconSet" priority="1">
      <iconSet iconSet="3Symbols" showValue="0" reverse="1">
        <cfvo type="percent" val="0"/>
        <cfvo type="num" val="10" gte="0"/>
        <cfvo type="num" val="40"/>
      </iconSet>
    </cfRule>
  </conditionalFormatting>
  <dataValidations count="1">
    <dataValidation type="decimal" operator="lessThanOrEqual" allowBlank="1" showInputMessage="1" showErrorMessage="1" error="هزینه ها باید به صورت عددی منفی درج شوند" sqref="B12 D12" xr:uid="{00000000-0002-0000-4200-000000000000}">
      <formula1>0</formula1>
    </dataValidation>
  </dataValidations>
  <printOptions horizontalCentered="1"/>
  <pageMargins left="0.59055118110236227" right="0.59055118110236227" top="0.19685039370078741" bottom="0.78740157480314965" header="0.19685039370078741" footer="0.19685039370078741"/>
  <pageSetup paperSize="9" scale="7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3D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E6:E16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9">
    <tabColor rgb="FFFFA07A"/>
    <pageSetUpPr fitToPage="1"/>
  </sheetPr>
  <dimension ref="A1:J68"/>
  <sheetViews>
    <sheetView rightToLeft="1" view="pageBreakPreview" zoomScale="60" zoomScaleNormal="100" workbookViewId="0">
      <selection activeCell="A22" sqref="A22"/>
    </sheetView>
  </sheetViews>
  <sheetFormatPr defaultColWidth="9" defaultRowHeight="17.25"/>
  <cols>
    <col min="1" max="1" width="62.7109375" style="42" customWidth="1"/>
    <col min="2" max="3" width="30.5703125" style="42" customWidth="1"/>
    <col min="4" max="4" width="9" style="74"/>
    <col min="5" max="5" width="9" style="42"/>
    <col min="6" max="6" width="9" style="42" hidden="1" customWidth="1"/>
    <col min="7" max="7" width="9" style="1079" hidden="1" customWidth="1"/>
    <col min="8" max="10" width="9" style="42" hidden="1" customWidth="1"/>
    <col min="11" max="16384" width="9" style="42"/>
  </cols>
  <sheetData>
    <row r="1" spans="1:10" s="5" customFormat="1" ht="24" customHeight="1">
      <c r="A1" s="2685" t="str">
        <f>روکش!D4</f>
        <v>انبارهای عمومی و خدمات گمرکی ایران</v>
      </c>
      <c r="B1" s="2685"/>
      <c r="C1" s="2685"/>
      <c r="D1" s="79"/>
      <c r="E1" s="212"/>
      <c r="F1" s="212"/>
      <c r="G1" s="1081"/>
      <c r="H1" s="212"/>
    </row>
    <row r="2" spans="1:10" s="5" customFormat="1" ht="28.5" customHeight="1">
      <c r="A2" s="1249" t="str">
        <f>"صورت جریان وجوه نقد آزادراه در دوره " &amp; روکش!F9 &amp; " سال " &amp; روکش!D9</f>
        <v>صورت جریان وجوه نقد آزادراه در دوره شش ماهه سال 1405</v>
      </c>
      <c r="B2" s="1205"/>
      <c r="C2" s="1205"/>
      <c r="D2" s="81"/>
      <c r="E2" s="212"/>
      <c r="F2" s="212"/>
      <c r="G2" s="1081" t="s">
        <v>792</v>
      </c>
      <c r="H2" s="212"/>
    </row>
    <row r="3" spans="1:10" ht="20.100000000000001" customHeight="1" thickBot="1">
      <c r="A3" s="1239"/>
      <c r="B3" s="1239"/>
      <c r="C3" s="1238" t="s">
        <v>30</v>
      </c>
      <c r="G3" s="1079" t="s">
        <v>206</v>
      </c>
    </row>
    <row r="4" spans="1:10" ht="24" customHeight="1" thickBot="1">
      <c r="A4" s="1344" t="s">
        <v>21</v>
      </c>
      <c r="B4" s="1226" t="s">
        <v>639</v>
      </c>
      <c r="C4" s="1226" t="s">
        <v>642</v>
      </c>
      <c r="G4" s="1079" t="s">
        <v>206</v>
      </c>
    </row>
    <row r="5" spans="1:10" ht="21" customHeight="1">
      <c r="A5" s="1636" t="s">
        <v>2095</v>
      </c>
      <c r="B5" s="682"/>
      <c r="C5" s="683"/>
      <c r="G5" s="1635" t="s">
        <v>206</v>
      </c>
      <c r="I5" s="208" t="b">
        <f>OR(AND(COUNTIF($A5,"*پرداخت*")=1,B5&gt;0),AND(COUNTIF($A5,"*دریافت*")=1,B5&lt;0))</f>
        <v>0</v>
      </c>
      <c r="J5" s="208" t="b">
        <f>OR(AND(COUNTIF($A5,"*پرداخت*")=1,C5&gt;0),AND(COUNTIF($A5,"*دریافت*")=1,C5&lt;0))</f>
        <v>0</v>
      </c>
    </row>
    <row r="6" spans="1:10" ht="21" customHeight="1">
      <c r="A6" s="1637" t="s">
        <v>284</v>
      </c>
      <c r="B6" s="69"/>
      <c r="C6" s="70"/>
      <c r="G6" s="1635">
        <f>SUM(B6:C6)</f>
        <v>0</v>
      </c>
      <c r="I6" s="208" t="b">
        <f t="shared" ref="I6:I60" si="0">OR(AND(COUNTIF($A6,"*پرداخت*")=1,B6&gt;0),AND(COUNTIF($A6,"*دریافت*")=1,B6&lt;0))</f>
        <v>0</v>
      </c>
      <c r="J6" s="208" t="b">
        <f t="shared" ref="J6:J60" si="1">OR(AND(COUNTIF($A6,"*پرداخت*")=1,C6&gt;0),AND(COUNTIF($A6,"*دریافت*")=1,C6&lt;0))</f>
        <v>0</v>
      </c>
    </row>
    <row r="7" spans="1:10" ht="21" customHeight="1">
      <c r="A7" s="1637" t="s">
        <v>2060</v>
      </c>
      <c r="B7" s="69"/>
      <c r="C7" s="70"/>
      <c r="G7" s="1635">
        <f>SUM(B7:C7)</f>
        <v>0</v>
      </c>
      <c r="I7" s="208" t="b">
        <f t="shared" si="0"/>
        <v>0</v>
      </c>
      <c r="J7" s="208" t="b">
        <f t="shared" si="1"/>
        <v>0</v>
      </c>
    </row>
    <row r="8" spans="1:10" ht="21" customHeight="1">
      <c r="A8" s="2049"/>
      <c r="B8" s="69"/>
      <c r="C8" s="70"/>
      <c r="G8" s="1635">
        <f>SUM(B8:C8)</f>
        <v>0</v>
      </c>
      <c r="I8" s="208" t="b">
        <f t="shared" si="0"/>
        <v>0</v>
      </c>
      <c r="J8" s="208" t="b">
        <f t="shared" si="1"/>
        <v>0</v>
      </c>
    </row>
    <row r="9" spans="1:10" ht="21" customHeight="1">
      <c r="A9" s="1613" t="s">
        <v>2061</v>
      </c>
      <c r="B9" s="1244">
        <f>SUM(B6:B8)</f>
        <v>0</v>
      </c>
      <c r="C9" s="2110">
        <f>SUM(C6:C8)</f>
        <v>0</v>
      </c>
      <c r="G9" s="1635" t="s">
        <v>206</v>
      </c>
      <c r="I9" s="208" t="b">
        <f t="shared" si="0"/>
        <v>0</v>
      </c>
      <c r="J9" s="208" t="b">
        <f t="shared" si="1"/>
        <v>0</v>
      </c>
    </row>
    <row r="10" spans="1:10" ht="21" customHeight="1">
      <c r="A10" s="1638" t="s">
        <v>2096</v>
      </c>
      <c r="B10" s="69"/>
      <c r="C10" s="70"/>
      <c r="G10" s="1635" t="s">
        <v>206</v>
      </c>
      <c r="I10" s="208" t="b">
        <f t="shared" si="0"/>
        <v>0</v>
      </c>
      <c r="J10" s="208" t="b">
        <f t="shared" si="1"/>
        <v>0</v>
      </c>
    </row>
    <row r="11" spans="1:10" ht="21" customHeight="1">
      <c r="A11" s="1637" t="s">
        <v>2082</v>
      </c>
      <c r="B11" s="69"/>
      <c r="C11" s="70"/>
      <c r="G11" s="1635">
        <f t="shared" ref="G11:G31" si="2">SUM(B11:C11)</f>
        <v>0</v>
      </c>
      <c r="I11" s="208" t="b">
        <f t="shared" si="0"/>
        <v>0</v>
      </c>
      <c r="J11" s="208" t="b">
        <f t="shared" si="1"/>
        <v>0</v>
      </c>
    </row>
    <row r="12" spans="1:10" ht="21" customHeight="1">
      <c r="A12" s="1637" t="s">
        <v>2083</v>
      </c>
      <c r="B12" s="69"/>
      <c r="C12" s="70"/>
      <c r="G12" s="1635">
        <f t="shared" si="2"/>
        <v>0</v>
      </c>
      <c r="I12" s="208" t="b">
        <f t="shared" si="0"/>
        <v>0</v>
      </c>
      <c r="J12" s="208" t="b">
        <f t="shared" si="1"/>
        <v>0</v>
      </c>
    </row>
    <row r="13" spans="1:10" ht="21" customHeight="1">
      <c r="A13" s="1637" t="s">
        <v>2084</v>
      </c>
      <c r="B13" s="69"/>
      <c r="C13" s="70"/>
      <c r="G13" s="1635">
        <f t="shared" si="2"/>
        <v>0</v>
      </c>
      <c r="I13" s="208" t="b">
        <f t="shared" si="0"/>
        <v>0</v>
      </c>
      <c r="J13" s="208" t="b">
        <f t="shared" si="1"/>
        <v>0</v>
      </c>
    </row>
    <row r="14" spans="1:10" ht="21" customHeight="1">
      <c r="A14" s="1637" t="s">
        <v>2085</v>
      </c>
      <c r="B14" s="69"/>
      <c r="C14" s="70"/>
      <c r="G14" s="1635">
        <f t="shared" si="2"/>
        <v>0</v>
      </c>
      <c r="I14" s="208" t="b">
        <f t="shared" si="0"/>
        <v>0</v>
      </c>
      <c r="J14" s="208" t="b">
        <f t="shared" si="1"/>
        <v>0</v>
      </c>
    </row>
    <row r="15" spans="1:10" ht="21" customHeight="1">
      <c r="A15" s="1637" t="s">
        <v>2086</v>
      </c>
      <c r="B15" s="69"/>
      <c r="C15" s="70"/>
      <c r="G15" s="1635">
        <f t="shared" si="2"/>
        <v>0</v>
      </c>
      <c r="I15" s="208" t="b">
        <f t="shared" si="0"/>
        <v>0</v>
      </c>
      <c r="J15" s="208" t="b">
        <f t="shared" si="1"/>
        <v>0</v>
      </c>
    </row>
    <row r="16" spans="1:10" ht="21" customHeight="1">
      <c r="A16" s="1637" t="s">
        <v>2091</v>
      </c>
      <c r="B16" s="69"/>
      <c r="C16" s="70"/>
      <c r="G16" s="1635">
        <f t="shared" si="2"/>
        <v>0</v>
      </c>
      <c r="I16" s="208" t="b">
        <f t="shared" si="0"/>
        <v>0</v>
      </c>
      <c r="J16" s="208" t="b">
        <f t="shared" si="1"/>
        <v>0</v>
      </c>
    </row>
    <row r="17" spans="1:10" ht="21" customHeight="1">
      <c r="A17" s="1637" t="s">
        <v>2087</v>
      </c>
      <c r="B17" s="69"/>
      <c r="C17" s="70"/>
      <c r="G17" s="1635">
        <f t="shared" si="2"/>
        <v>0</v>
      </c>
      <c r="I17" s="208" t="b">
        <f t="shared" si="0"/>
        <v>0</v>
      </c>
      <c r="J17" s="208" t="b">
        <f t="shared" si="1"/>
        <v>0</v>
      </c>
    </row>
    <row r="18" spans="1:10" ht="21" customHeight="1">
      <c r="A18" s="1637" t="s">
        <v>2088</v>
      </c>
      <c r="B18" s="69"/>
      <c r="C18" s="70"/>
      <c r="G18" s="1635">
        <f t="shared" si="2"/>
        <v>0</v>
      </c>
      <c r="I18" s="208" t="b">
        <f t="shared" si="0"/>
        <v>0</v>
      </c>
      <c r="J18" s="208" t="b">
        <f t="shared" si="1"/>
        <v>0</v>
      </c>
    </row>
    <row r="19" spans="1:10" ht="21" customHeight="1">
      <c r="A19" s="1637" t="s">
        <v>2089</v>
      </c>
      <c r="B19" s="69"/>
      <c r="C19" s="70"/>
      <c r="G19" s="1635">
        <f t="shared" si="2"/>
        <v>0</v>
      </c>
      <c r="I19" s="208" t="b">
        <f t="shared" si="0"/>
        <v>0</v>
      </c>
      <c r="J19" s="208" t="b">
        <f t="shared" si="1"/>
        <v>0</v>
      </c>
    </row>
    <row r="20" spans="1:10" ht="21" customHeight="1">
      <c r="A20" s="1637" t="s">
        <v>2092</v>
      </c>
      <c r="B20" s="69"/>
      <c r="C20" s="70"/>
      <c r="G20" s="1635">
        <f t="shared" si="2"/>
        <v>0</v>
      </c>
      <c r="I20" s="208" t="b">
        <f t="shared" si="0"/>
        <v>0</v>
      </c>
      <c r="J20" s="208" t="b">
        <f t="shared" si="1"/>
        <v>0</v>
      </c>
    </row>
    <row r="21" spans="1:10" ht="21" customHeight="1">
      <c r="A21" s="1637" t="s">
        <v>2093</v>
      </c>
      <c r="B21" s="69"/>
      <c r="C21" s="70"/>
      <c r="G21" s="1635">
        <f t="shared" si="2"/>
        <v>0</v>
      </c>
      <c r="I21" s="208" t="b">
        <f t="shared" si="0"/>
        <v>0</v>
      </c>
      <c r="J21" s="208" t="b">
        <f t="shared" si="1"/>
        <v>0</v>
      </c>
    </row>
    <row r="22" spans="1:10" ht="21" customHeight="1">
      <c r="A22" s="1637" t="s">
        <v>2064</v>
      </c>
      <c r="B22" s="69"/>
      <c r="C22" s="70"/>
      <c r="G22" s="1635">
        <f t="shared" si="2"/>
        <v>0</v>
      </c>
      <c r="I22" s="208" t="b">
        <f t="shared" si="0"/>
        <v>0</v>
      </c>
      <c r="J22" s="208" t="b">
        <f t="shared" si="1"/>
        <v>0</v>
      </c>
    </row>
    <row r="23" spans="1:10" ht="21" customHeight="1">
      <c r="A23" s="1637" t="s">
        <v>2073</v>
      </c>
      <c r="B23" s="69"/>
      <c r="C23" s="70"/>
      <c r="G23" s="1635">
        <f t="shared" si="2"/>
        <v>0</v>
      </c>
      <c r="I23" s="208" t="b">
        <f t="shared" si="0"/>
        <v>0</v>
      </c>
      <c r="J23" s="208" t="b">
        <f t="shared" si="1"/>
        <v>0</v>
      </c>
    </row>
    <row r="24" spans="1:10" ht="21" customHeight="1">
      <c r="A24" s="1637" t="s">
        <v>2074</v>
      </c>
      <c r="B24" s="69"/>
      <c r="C24" s="70"/>
      <c r="G24" s="1635">
        <f t="shared" si="2"/>
        <v>0</v>
      </c>
      <c r="I24" s="208" t="b">
        <f t="shared" si="0"/>
        <v>0</v>
      </c>
      <c r="J24" s="208" t="b">
        <f t="shared" si="1"/>
        <v>0</v>
      </c>
    </row>
    <row r="25" spans="1:10" ht="21" customHeight="1">
      <c r="A25" s="1637" t="s">
        <v>2075</v>
      </c>
      <c r="B25" s="69"/>
      <c r="C25" s="70"/>
      <c r="G25" s="1635">
        <f t="shared" si="2"/>
        <v>0</v>
      </c>
      <c r="I25" s="208" t="b">
        <f t="shared" si="0"/>
        <v>0</v>
      </c>
      <c r="J25" s="208" t="b">
        <f t="shared" si="1"/>
        <v>0</v>
      </c>
    </row>
    <row r="26" spans="1:10" ht="21" customHeight="1">
      <c r="A26" s="1637" t="s">
        <v>2094</v>
      </c>
      <c r="B26" s="69"/>
      <c r="C26" s="70"/>
      <c r="G26" s="1635">
        <f t="shared" si="2"/>
        <v>0</v>
      </c>
      <c r="I26" s="208" t="b">
        <f t="shared" si="0"/>
        <v>0</v>
      </c>
      <c r="J26" s="208" t="b">
        <f t="shared" si="1"/>
        <v>0</v>
      </c>
    </row>
    <row r="27" spans="1:10" ht="21" customHeight="1">
      <c r="A27" s="2049"/>
      <c r="B27" s="69"/>
      <c r="C27" s="70"/>
      <c r="G27" s="1635">
        <f t="shared" si="2"/>
        <v>0</v>
      </c>
      <c r="I27" s="208" t="b">
        <f t="shared" si="0"/>
        <v>0</v>
      </c>
      <c r="J27" s="208" t="b">
        <f t="shared" si="1"/>
        <v>0</v>
      </c>
    </row>
    <row r="28" spans="1:10" ht="21" customHeight="1">
      <c r="A28" s="2049"/>
      <c r="B28" s="69"/>
      <c r="C28" s="70"/>
      <c r="G28" s="1635">
        <f t="shared" si="2"/>
        <v>0</v>
      </c>
      <c r="I28" s="208" t="b">
        <f t="shared" si="0"/>
        <v>0</v>
      </c>
      <c r="J28" s="208" t="b">
        <f t="shared" si="1"/>
        <v>0</v>
      </c>
    </row>
    <row r="29" spans="1:10" ht="21" customHeight="1">
      <c r="A29" s="2049"/>
      <c r="B29" s="69"/>
      <c r="C29" s="70"/>
      <c r="G29" s="1635">
        <f t="shared" si="2"/>
        <v>0</v>
      </c>
      <c r="I29" s="208" t="b">
        <f t="shared" si="0"/>
        <v>0</v>
      </c>
      <c r="J29" s="208" t="b">
        <f t="shared" si="1"/>
        <v>0</v>
      </c>
    </row>
    <row r="30" spans="1:10" ht="21" customHeight="1">
      <c r="A30" s="2049"/>
      <c r="B30" s="69"/>
      <c r="C30" s="70"/>
      <c r="G30" s="1635">
        <f t="shared" si="2"/>
        <v>0</v>
      </c>
      <c r="I30" s="208" t="b">
        <f t="shared" si="0"/>
        <v>0</v>
      </c>
      <c r="J30" s="208" t="b">
        <f t="shared" si="1"/>
        <v>0</v>
      </c>
    </row>
    <row r="31" spans="1:10" ht="21" customHeight="1">
      <c r="A31" s="2049"/>
      <c r="B31" s="69"/>
      <c r="C31" s="70"/>
      <c r="G31" s="1635">
        <f t="shared" si="2"/>
        <v>0</v>
      </c>
      <c r="I31" s="208" t="b">
        <f t="shared" si="0"/>
        <v>0</v>
      </c>
      <c r="J31" s="208" t="b">
        <f t="shared" si="1"/>
        <v>0</v>
      </c>
    </row>
    <row r="32" spans="1:10" ht="21" customHeight="1">
      <c r="A32" s="1613" t="s">
        <v>2090</v>
      </c>
      <c r="B32" s="1244">
        <f>SUM(B11:B31)</f>
        <v>0</v>
      </c>
      <c r="C32" s="1244">
        <f>SUM(C11:C31)</f>
        <v>0</v>
      </c>
      <c r="G32" s="1635" t="s">
        <v>206</v>
      </c>
      <c r="I32" s="208" t="b">
        <f t="shared" si="0"/>
        <v>0</v>
      </c>
      <c r="J32" s="208" t="b">
        <f t="shared" si="1"/>
        <v>0</v>
      </c>
    </row>
    <row r="33" spans="1:10" ht="21" customHeight="1">
      <c r="A33" s="1613" t="s">
        <v>2062</v>
      </c>
      <c r="B33" s="1244">
        <f>B32+B9</f>
        <v>0</v>
      </c>
      <c r="C33" s="2110">
        <f>C32+C9</f>
        <v>0</v>
      </c>
      <c r="G33" s="1635" t="s">
        <v>206</v>
      </c>
      <c r="I33" s="208" t="b">
        <f t="shared" si="0"/>
        <v>0</v>
      </c>
      <c r="J33" s="208" t="b">
        <f t="shared" si="1"/>
        <v>0</v>
      </c>
    </row>
    <row r="34" spans="1:10" ht="21" customHeight="1">
      <c r="A34" s="1638" t="s">
        <v>2097</v>
      </c>
      <c r="B34" s="69"/>
      <c r="C34" s="69"/>
      <c r="G34" s="1635" t="s">
        <v>206</v>
      </c>
      <c r="I34" s="208" t="b">
        <f t="shared" si="0"/>
        <v>0</v>
      </c>
      <c r="J34" s="208" t="b">
        <f t="shared" si="1"/>
        <v>0</v>
      </c>
    </row>
    <row r="35" spans="1:10" ht="21" customHeight="1">
      <c r="A35" s="1637" t="s">
        <v>2076</v>
      </c>
      <c r="B35" s="69"/>
      <c r="C35" s="70"/>
      <c r="G35" s="1635">
        <f t="shared" ref="G35:G55" si="3">SUM(B35:C35)</f>
        <v>0</v>
      </c>
      <c r="I35" s="208" t="b">
        <f t="shared" si="0"/>
        <v>0</v>
      </c>
      <c r="J35" s="208" t="b">
        <f t="shared" si="1"/>
        <v>0</v>
      </c>
    </row>
    <row r="36" spans="1:10" ht="21" customHeight="1">
      <c r="A36" s="1637" t="s">
        <v>2077</v>
      </c>
      <c r="B36" s="69"/>
      <c r="C36" s="70"/>
      <c r="G36" s="1635">
        <f t="shared" si="3"/>
        <v>0</v>
      </c>
      <c r="I36" s="208" t="b">
        <f t="shared" si="0"/>
        <v>0</v>
      </c>
      <c r="J36" s="208" t="b">
        <f t="shared" si="1"/>
        <v>0</v>
      </c>
    </row>
    <row r="37" spans="1:10" ht="21" customHeight="1">
      <c r="A37" s="1637" t="s">
        <v>2078</v>
      </c>
      <c r="B37" s="69"/>
      <c r="C37" s="70"/>
      <c r="G37" s="1635">
        <f t="shared" si="3"/>
        <v>0</v>
      </c>
      <c r="I37" s="208" t="b">
        <f t="shared" si="0"/>
        <v>0</v>
      </c>
      <c r="J37" s="208" t="b">
        <f t="shared" si="1"/>
        <v>0</v>
      </c>
    </row>
    <row r="38" spans="1:10" ht="21" customHeight="1">
      <c r="A38" s="1637" t="s">
        <v>2065</v>
      </c>
      <c r="B38" s="69"/>
      <c r="C38" s="70"/>
      <c r="G38" s="1635">
        <f t="shared" si="3"/>
        <v>0</v>
      </c>
      <c r="I38" s="208" t="b">
        <f t="shared" si="0"/>
        <v>0</v>
      </c>
      <c r="J38" s="208" t="b">
        <f t="shared" si="1"/>
        <v>0</v>
      </c>
    </row>
    <row r="39" spans="1:10" ht="21" customHeight="1">
      <c r="A39" s="1637" t="s">
        <v>2079</v>
      </c>
      <c r="B39" s="69"/>
      <c r="C39" s="70"/>
      <c r="G39" s="1635">
        <f t="shared" si="3"/>
        <v>0</v>
      </c>
      <c r="I39" s="208" t="b">
        <f t="shared" si="0"/>
        <v>0</v>
      </c>
      <c r="J39" s="208" t="b">
        <f t="shared" si="1"/>
        <v>0</v>
      </c>
    </row>
    <row r="40" spans="1:10" ht="21" customHeight="1">
      <c r="A40" s="1637" t="s">
        <v>2066</v>
      </c>
      <c r="B40" s="69"/>
      <c r="C40" s="70"/>
      <c r="G40" s="1635">
        <f t="shared" si="3"/>
        <v>0</v>
      </c>
      <c r="I40" s="208" t="b">
        <f t="shared" si="0"/>
        <v>0</v>
      </c>
      <c r="J40" s="208" t="b">
        <f t="shared" si="1"/>
        <v>0</v>
      </c>
    </row>
    <row r="41" spans="1:10" ht="21" customHeight="1">
      <c r="A41" s="1637" t="s">
        <v>2067</v>
      </c>
      <c r="B41" s="69"/>
      <c r="C41" s="70"/>
      <c r="G41" s="1635">
        <f t="shared" si="3"/>
        <v>0</v>
      </c>
      <c r="I41" s="208" t="b">
        <f t="shared" si="0"/>
        <v>0</v>
      </c>
      <c r="J41" s="208" t="b">
        <f t="shared" si="1"/>
        <v>0</v>
      </c>
    </row>
    <row r="42" spans="1:10" ht="21" customHeight="1">
      <c r="A42" s="1637" t="s">
        <v>2080</v>
      </c>
      <c r="B42" s="69"/>
      <c r="C42" s="70"/>
      <c r="G42" s="1635">
        <f t="shared" si="3"/>
        <v>0</v>
      </c>
      <c r="I42" s="208" t="b">
        <f t="shared" si="0"/>
        <v>0</v>
      </c>
      <c r="J42" s="208" t="b">
        <f t="shared" si="1"/>
        <v>0</v>
      </c>
    </row>
    <row r="43" spans="1:10" ht="21" customHeight="1">
      <c r="A43" s="1637" t="s">
        <v>2068</v>
      </c>
      <c r="B43" s="69"/>
      <c r="C43" s="70"/>
      <c r="G43" s="1635">
        <f t="shared" si="3"/>
        <v>0</v>
      </c>
      <c r="I43" s="208" t="b">
        <f t="shared" si="0"/>
        <v>0</v>
      </c>
      <c r="J43" s="208" t="b">
        <f t="shared" si="1"/>
        <v>0</v>
      </c>
    </row>
    <row r="44" spans="1:10" ht="21" customHeight="1">
      <c r="A44" s="1637" t="s">
        <v>2069</v>
      </c>
      <c r="B44" s="69"/>
      <c r="C44" s="70"/>
      <c r="G44" s="1635">
        <f t="shared" si="3"/>
        <v>0</v>
      </c>
      <c r="I44" s="208" t="b">
        <f t="shared" si="0"/>
        <v>0</v>
      </c>
      <c r="J44" s="208" t="b">
        <f t="shared" si="1"/>
        <v>0</v>
      </c>
    </row>
    <row r="45" spans="1:10" ht="21" customHeight="1">
      <c r="A45" s="1637" t="s">
        <v>2081</v>
      </c>
      <c r="B45" s="69"/>
      <c r="C45" s="70"/>
      <c r="G45" s="1635">
        <f t="shared" si="3"/>
        <v>0</v>
      </c>
      <c r="I45" s="208" t="b">
        <f t="shared" si="0"/>
        <v>0</v>
      </c>
      <c r="J45" s="208" t="b">
        <f t="shared" si="1"/>
        <v>0</v>
      </c>
    </row>
    <row r="46" spans="1:10" ht="21" customHeight="1">
      <c r="A46" s="1637" t="s">
        <v>2070</v>
      </c>
      <c r="B46" s="69"/>
      <c r="C46" s="70"/>
      <c r="G46" s="1635">
        <f t="shared" si="3"/>
        <v>0</v>
      </c>
      <c r="I46" s="208" t="b">
        <f t="shared" si="0"/>
        <v>0</v>
      </c>
      <c r="J46" s="208" t="b">
        <f t="shared" si="1"/>
        <v>0</v>
      </c>
    </row>
    <row r="47" spans="1:10" ht="21" customHeight="1">
      <c r="A47" s="1637" t="s">
        <v>2071</v>
      </c>
      <c r="B47" s="69"/>
      <c r="C47" s="70"/>
      <c r="G47" s="1635">
        <f t="shared" si="3"/>
        <v>0</v>
      </c>
      <c r="I47" s="208" t="b">
        <f t="shared" si="0"/>
        <v>0</v>
      </c>
      <c r="J47" s="208" t="b">
        <f t="shared" si="1"/>
        <v>0</v>
      </c>
    </row>
    <row r="48" spans="1:10" ht="21" customHeight="1">
      <c r="A48" s="1637" t="s">
        <v>2098</v>
      </c>
      <c r="B48" s="69"/>
      <c r="C48" s="70"/>
      <c r="G48" s="1635">
        <f t="shared" si="3"/>
        <v>0</v>
      </c>
      <c r="I48" s="208" t="b">
        <f t="shared" si="0"/>
        <v>0</v>
      </c>
      <c r="J48" s="208" t="b">
        <f t="shared" si="1"/>
        <v>0</v>
      </c>
    </row>
    <row r="49" spans="1:10" ht="21" customHeight="1">
      <c r="A49" s="1637" t="s">
        <v>2099</v>
      </c>
      <c r="B49" s="69"/>
      <c r="C49" s="70"/>
      <c r="G49" s="1635">
        <f t="shared" si="3"/>
        <v>0</v>
      </c>
      <c r="I49" s="208" t="b">
        <f t="shared" si="0"/>
        <v>0</v>
      </c>
      <c r="J49" s="208" t="b">
        <f t="shared" si="1"/>
        <v>0</v>
      </c>
    </row>
    <row r="50" spans="1:10" ht="21" customHeight="1">
      <c r="A50" s="1637" t="s">
        <v>2072</v>
      </c>
      <c r="B50" s="69"/>
      <c r="C50" s="70"/>
      <c r="G50" s="1635">
        <f t="shared" si="3"/>
        <v>0</v>
      </c>
      <c r="I50" s="208" t="b">
        <f t="shared" si="0"/>
        <v>0</v>
      </c>
      <c r="J50" s="208" t="b">
        <f t="shared" si="1"/>
        <v>0</v>
      </c>
    </row>
    <row r="51" spans="1:10" ht="21" customHeight="1">
      <c r="A51" s="2049"/>
      <c r="B51" s="69"/>
      <c r="C51" s="70"/>
      <c r="G51" s="1635">
        <f t="shared" si="3"/>
        <v>0</v>
      </c>
      <c r="I51" s="208" t="b">
        <f t="shared" si="0"/>
        <v>0</v>
      </c>
      <c r="J51" s="208" t="b">
        <f t="shared" si="1"/>
        <v>0</v>
      </c>
    </row>
    <row r="52" spans="1:10" ht="21" customHeight="1">
      <c r="A52" s="2049"/>
      <c r="B52" s="69"/>
      <c r="C52" s="70"/>
      <c r="G52" s="1635">
        <f t="shared" si="3"/>
        <v>0</v>
      </c>
      <c r="I52" s="208" t="b">
        <f t="shared" si="0"/>
        <v>0</v>
      </c>
      <c r="J52" s="208" t="b">
        <f t="shared" si="1"/>
        <v>0</v>
      </c>
    </row>
    <row r="53" spans="1:10" ht="21" customHeight="1">
      <c r="A53" s="2049"/>
      <c r="B53" s="69"/>
      <c r="C53" s="70"/>
      <c r="G53" s="1635">
        <f t="shared" si="3"/>
        <v>0</v>
      </c>
      <c r="I53" s="208" t="b">
        <f t="shared" si="0"/>
        <v>0</v>
      </c>
      <c r="J53" s="208" t="b">
        <f t="shared" si="1"/>
        <v>0</v>
      </c>
    </row>
    <row r="54" spans="1:10" ht="21" customHeight="1">
      <c r="A54" s="2049"/>
      <c r="B54" s="69"/>
      <c r="C54" s="70"/>
      <c r="G54" s="1635">
        <f t="shared" si="3"/>
        <v>0</v>
      </c>
      <c r="I54" s="208" t="b">
        <f t="shared" si="0"/>
        <v>0</v>
      </c>
      <c r="J54" s="208" t="b">
        <f t="shared" si="1"/>
        <v>0</v>
      </c>
    </row>
    <row r="55" spans="1:10" ht="21" customHeight="1">
      <c r="A55" s="2049"/>
      <c r="B55" s="69"/>
      <c r="C55" s="70"/>
      <c r="G55" s="1635">
        <f t="shared" si="3"/>
        <v>0</v>
      </c>
      <c r="I55" s="208" t="b">
        <f t="shared" si="0"/>
        <v>0</v>
      </c>
      <c r="J55" s="208" t="b">
        <f t="shared" si="1"/>
        <v>0</v>
      </c>
    </row>
    <row r="56" spans="1:10" ht="21" customHeight="1">
      <c r="A56" s="1613" t="s">
        <v>2063</v>
      </c>
      <c r="B56" s="1244">
        <f>SUM(B35:B55)</f>
        <v>0</v>
      </c>
      <c r="C56" s="1244">
        <f>SUM(C35:C55)</f>
        <v>0</v>
      </c>
      <c r="G56" s="1635" t="s">
        <v>206</v>
      </c>
      <c r="I56" s="208" t="b">
        <f t="shared" si="0"/>
        <v>0</v>
      </c>
      <c r="J56" s="208" t="b">
        <f t="shared" si="1"/>
        <v>0</v>
      </c>
    </row>
    <row r="57" spans="1:10" ht="21" customHeight="1">
      <c r="A57" s="2111" t="s">
        <v>296</v>
      </c>
      <c r="B57" s="1245">
        <f>B33+B56</f>
        <v>0</v>
      </c>
      <c r="C57" s="2112">
        <f>C33+C56</f>
        <v>0</v>
      </c>
      <c r="G57" s="1635" t="s">
        <v>206</v>
      </c>
      <c r="I57" s="208" t="b">
        <f t="shared" si="0"/>
        <v>0</v>
      </c>
      <c r="J57" s="208" t="b">
        <f t="shared" si="1"/>
        <v>0</v>
      </c>
    </row>
    <row r="58" spans="1:10" ht="21" customHeight="1">
      <c r="A58" s="1639" t="s">
        <v>297</v>
      </c>
      <c r="B58" s="71"/>
      <c r="C58" s="566"/>
      <c r="G58" s="1635" t="s">
        <v>206</v>
      </c>
      <c r="I58" s="208" t="b">
        <f t="shared" si="0"/>
        <v>0</v>
      </c>
      <c r="J58" s="208" t="b">
        <f t="shared" si="1"/>
        <v>0</v>
      </c>
    </row>
    <row r="59" spans="1:10" ht="21" customHeight="1">
      <c r="A59" s="1639" t="s">
        <v>298</v>
      </c>
      <c r="B59" s="72"/>
      <c r="C59" s="73"/>
      <c r="G59" s="1635">
        <f>SUM(B59:C59)</f>
        <v>0</v>
      </c>
      <c r="I59" s="208" t="b">
        <f t="shared" si="0"/>
        <v>0</v>
      </c>
      <c r="J59" s="208" t="b">
        <f t="shared" si="1"/>
        <v>0</v>
      </c>
    </row>
    <row r="60" spans="1:10" ht="21" customHeight="1" thickBot="1">
      <c r="A60" s="2115" t="s">
        <v>299</v>
      </c>
      <c r="B60" s="2113">
        <f>B57+B59+B58</f>
        <v>0</v>
      </c>
      <c r="C60" s="2114">
        <f>C57+C59+C58</f>
        <v>0</v>
      </c>
      <c r="G60" s="1635" t="s">
        <v>206</v>
      </c>
      <c r="I60" s="208" t="b">
        <f t="shared" si="0"/>
        <v>0</v>
      </c>
      <c r="J60" s="208" t="b">
        <f t="shared" si="1"/>
        <v>0</v>
      </c>
    </row>
    <row r="61" spans="1:10" ht="14.25" customHeight="1" thickTop="1">
      <c r="B61" s="9"/>
      <c r="C61" s="9"/>
      <c r="G61" s="1079" t="s">
        <v>206</v>
      </c>
    </row>
    <row r="62" spans="1:10" ht="22.5" customHeight="1">
      <c r="A62" s="2"/>
      <c r="B62" s="3098"/>
      <c r="C62" s="3098"/>
      <c r="G62" s="1079" t="s">
        <v>206</v>
      </c>
    </row>
    <row r="63" spans="1:10" ht="24.95" customHeight="1">
      <c r="A63" s="8"/>
      <c r="B63" s="8"/>
      <c r="C63" s="8"/>
      <c r="D63" s="87"/>
      <c r="E63" s="254"/>
      <c r="G63" s="1079" t="s">
        <v>206</v>
      </c>
    </row>
    <row r="64" spans="1:10" ht="24.95" customHeight="1">
      <c r="A64" s="3097"/>
      <c r="B64" s="3097"/>
      <c r="C64" s="3097"/>
      <c r="G64" s="1079" t="s">
        <v>206</v>
      </c>
    </row>
    <row r="65" spans="1:7" ht="24.95" customHeight="1">
      <c r="A65" s="3097"/>
      <c r="B65" s="3097"/>
      <c r="C65" s="3097"/>
      <c r="G65" s="1079" t="s">
        <v>206</v>
      </c>
    </row>
    <row r="66" spans="1:7" ht="24.95" customHeight="1">
      <c r="A66" s="3097"/>
      <c r="B66" s="3097"/>
      <c r="C66" s="3097"/>
      <c r="G66" s="1079" t="s">
        <v>206</v>
      </c>
    </row>
    <row r="67" spans="1:7" ht="24.95" customHeight="1">
      <c r="A67" s="3097"/>
      <c r="B67" s="3097"/>
      <c r="C67" s="3097"/>
    </row>
    <row r="68" spans="1:7" ht="27">
      <c r="A68" s="45"/>
      <c r="B68" s="45"/>
      <c r="C68" s="45"/>
    </row>
  </sheetData>
  <mergeCells count="6">
    <mergeCell ref="A67:C67"/>
    <mergeCell ref="A1:C1"/>
    <mergeCell ref="B62:C62"/>
    <mergeCell ref="A64:C64"/>
    <mergeCell ref="A65:C65"/>
    <mergeCell ref="A66:C66"/>
  </mergeCells>
  <conditionalFormatting sqref="B5:B60">
    <cfRule type="expression" dxfId="331" priority="2">
      <formula>$I5=TRUE</formula>
    </cfRule>
  </conditionalFormatting>
  <conditionalFormatting sqref="C5:C60">
    <cfRule type="expression" dxfId="330" priority="1">
      <formula>$J5=TRUE</formula>
    </cfRule>
  </conditionalFormatting>
  <dataValidations count="3">
    <dataValidation type="custom" allowBlank="1" showInputMessage="1" showErrorMessage="1" sqref="B58:C59" xr:uid="{00000000-0002-0000-4300-000000000000}">
      <formula1>IF(ISNUMBER(SEARCH("پرداخت", A2)), B2&lt;0, TRUE)</formula1>
    </dataValidation>
    <dataValidation type="custom" allowBlank="1" showInputMessage="1" showErrorMessage="1" error="مبالغ پرداختی باید به صورت منفی و مبالغ دریافتی به صورت مثبت درج شود" sqref="B5:C8" xr:uid="{00000000-0002-0000-4300-000001000000}">
      <formula1>IF(ISNUMBER(SEARCH("پرداخت", $A5)), B5&lt;0, IF(ISNUMBER(SEARCH("دریافت", $A5)), B5&gt;0, TRUE))</formula1>
    </dataValidation>
    <dataValidation type="custom" allowBlank="1" showInputMessage="1" showErrorMessage="1" error="مبالغ پرداختی باید به صورت عدد منفی و مبالغ دریافتی باید به صورت عدد مثبت درج شود." sqref="B34:C55 B10:C31" xr:uid="{00000000-0002-0000-4300-000002000000}">
      <formula1>IF(ISNUMBER(SEARCH("پرداخت", $A10)), B10&lt;0, IF(ISNUMBER(SEARCH("دریافت", $A10)), B10&gt;0, TRUE))</formula1>
    </dataValidation>
  </dataValidations>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9">
    <tabColor rgb="FF32CD32"/>
    <pageSetUpPr fitToPage="1"/>
  </sheetPr>
  <dimension ref="A1:J68"/>
  <sheetViews>
    <sheetView rightToLeft="1" view="pageBreakPreview" topLeftCell="A7" zoomScale="60" zoomScaleNormal="100" workbookViewId="0">
      <selection activeCell="A14" sqref="A14"/>
    </sheetView>
  </sheetViews>
  <sheetFormatPr defaultColWidth="9" defaultRowHeight="17.25"/>
  <cols>
    <col min="1" max="1" width="62.7109375" style="42" customWidth="1"/>
    <col min="2" max="2" width="30.5703125" style="42" customWidth="1"/>
    <col min="3" max="3" width="30.5703125" style="74" customWidth="1"/>
    <col min="4" max="5" width="9" style="42"/>
    <col min="6" max="6" width="9" style="42" customWidth="1"/>
    <col min="7" max="7" width="9" style="1079" hidden="1" customWidth="1"/>
    <col min="8" max="10" width="0" style="42" hidden="1" customWidth="1"/>
    <col min="11" max="16384" width="9" style="42"/>
  </cols>
  <sheetData>
    <row r="1" spans="1:10" s="5" customFormat="1" ht="24" customHeight="1">
      <c r="A1" s="2685" t="str">
        <f>روکش!D4</f>
        <v>انبارهای عمومی و خدمات گمرکی ایران</v>
      </c>
      <c r="B1" s="2685"/>
      <c r="C1" s="2685"/>
      <c r="D1" s="212"/>
      <c r="E1" s="212"/>
      <c r="F1" s="212"/>
      <c r="G1" s="1081"/>
    </row>
    <row r="2" spans="1:10" s="5" customFormat="1" ht="28.5" customHeight="1">
      <c r="A2" s="1249" t="str">
        <f>"صورت جریان وجوه نقد در دوره " &amp; روکش!F9 &amp; " سال " &amp; روکش!D9</f>
        <v>صورت جریان وجوه نقد در دوره شش ماهه سال 1405</v>
      </c>
      <c r="B2" s="1205"/>
      <c r="C2" s="1205"/>
      <c r="D2" s="212"/>
      <c r="E2" s="212"/>
      <c r="G2" s="1081" t="s">
        <v>792</v>
      </c>
    </row>
    <row r="3" spans="1:10" ht="20.100000000000001" customHeight="1" thickBot="1">
      <c r="A3" s="1239"/>
      <c r="B3" s="1239"/>
      <c r="C3" s="1238" t="s">
        <v>30</v>
      </c>
      <c r="G3" s="1079" t="s">
        <v>206</v>
      </c>
    </row>
    <row r="4" spans="1:10" ht="24" customHeight="1" thickBot="1">
      <c r="A4" s="1344" t="s">
        <v>21</v>
      </c>
      <c r="B4" s="1226" t="s">
        <v>639</v>
      </c>
      <c r="C4" s="1226" t="s">
        <v>642</v>
      </c>
      <c r="D4" s="74"/>
      <c r="G4" s="1079" t="s">
        <v>206</v>
      </c>
    </row>
    <row r="5" spans="1:10" ht="21" customHeight="1">
      <c r="A5" s="1636" t="s">
        <v>2095</v>
      </c>
      <c r="B5" s="682"/>
      <c r="C5" s="683"/>
      <c r="D5" s="74"/>
      <c r="G5" s="1635" t="s">
        <v>206</v>
      </c>
      <c r="I5" s="2159" t="b">
        <f>OR(AND(COUNTIF($A5,"*پرداخت*")=1,B5&gt;0),AND(COUNTIF($A5,"*دریافت*")=1,B5&lt;0))</f>
        <v>0</v>
      </c>
      <c r="J5" s="2159" t="b">
        <f>OR(AND(COUNTIF($A5,"*پرداخت*")=1,C5&gt;0),AND(COUNTIF($A5,"*دریافت*")=1,C5&lt;0))</f>
        <v>0</v>
      </c>
    </row>
    <row r="6" spans="1:10" ht="21" customHeight="1">
      <c r="A6" s="1637" t="s">
        <v>284</v>
      </c>
      <c r="B6" s="69"/>
      <c r="C6" s="70"/>
      <c r="D6" s="74"/>
      <c r="G6" s="1635">
        <f>SUM(B6:C6)</f>
        <v>0</v>
      </c>
      <c r="I6" s="2159" t="b">
        <f t="shared" ref="I6:J60" si="0">OR(AND(COUNTIF($A6,"*پرداخت*")=1,B6&gt;0),AND(COUNTIF($A6,"*دریافت*")=1,B6&lt;0))</f>
        <v>0</v>
      </c>
      <c r="J6" s="2159" t="b">
        <f t="shared" si="0"/>
        <v>0</v>
      </c>
    </row>
    <row r="7" spans="1:10" ht="21" customHeight="1">
      <c r="A7" s="1637" t="s">
        <v>2060</v>
      </c>
      <c r="B7" s="69"/>
      <c r="C7" s="70"/>
      <c r="D7" s="74"/>
      <c r="G7" s="1635">
        <f>SUM(B7:C7)</f>
        <v>0</v>
      </c>
      <c r="I7" s="2159" t="b">
        <f t="shared" si="0"/>
        <v>0</v>
      </c>
      <c r="J7" s="2159" t="b">
        <f t="shared" si="0"/>
        <v>0</v>
      </c>
    </row>
    <row r="8" spans="1:10" ht="21" customHeight="1">
      <c r="A8" s="2049"/>
      <c r="B8" s="69"/>
      <c r="C8" s="70"/>
      <c r="D8" s="74"/>
      <c r="G8" s="1635">
        <f>SUM(B8:C8)</f>
        <v>0</v>
      </c>
      <c r="I8" s="2159" t="b">
        <f t="shared" si="0"/>
        <v>0</v>
      </c>
      <c r="J8" s="2159" t="b">
        <f t="shared" si="0"/>
        <v>0</v>
      </c>
    </row>
    <row r="9" spans="1:10" ht="21" customHeight="1">
      <c r="A9" s="1613" t="s">
        <v>2061</v>
      </c>
      <c r="B9" s="1244">
        <f>SUM(B6:B8)</f>
        <v>0</v>
      </c>
      <c r="C9" s="2110">
        <f>SUM(C6:C8)</f>
        <v>0</v>
      </c>
      <c r="D9" s="74"/>
      <c r="G9" s="1635" t="s">
        <v>206</v>
      </c>
      <c r="I9" s="2159" t="b">
        <f t="shared" si="0"/>
        <v>0</v>
      </c>
      <c r="J9" s="2159" t="b">
        <f t="shared" si="0"/>
        <v>0</v>
      </c>
    </row>
    <row r="10" spans="1:10" ht="21" customHeight="1">
      <c r="A10" s="1638" t="s">
        <v>2096</v>
      </c>
      <c r="B10" s="69"/>
      <c r="C10" s="70"/>
      <c r="D10" s="74"/>
      <c r="G10" s="1635" t="s">
        <v>206</v>
      </c>
      <c r="I10" s="2159" t="b">
        <f t="shared" si="0"/>
        <v>0</v>
      </c>
      <c r="J10" s="2159" t="b">
        <f t="shared" si="0"/>
        <v>0</v>
      </c>
    </row>
    <row r="11" spans="1:10" ht="21" customHeight="1">
      <c r="A11" s="1637" t="s">
        <v>2082</v>
      </c>
      <c r="B11" s="69"/>
      <c r="C11" s="70"/>
      <c r="D11" s="74"/>
      <c r="G11" s="1635">
        <f t="shared" ref="G11:G31" si="1">SUM(B11:C11)</f>
        <v>0</v>
      </c>
      <c r="I11" s="2159" t="b">
        <f t="shared" si="0"/>
        <v>0</v>
      </c>
      <c r="J11" s="2159" t="b">
        <f t="shared" si="0"/>
        <v>0</v>
      </c>
    </row>
    <row r="12" spans="1:10" ht="21" customHeight="1">
      <c r="A12" s="1637" t="s">
        <v>2083</v>
      </c>
      <c r="B12" s="69"/>
      <c r="C12" s="70"/>
      <c r="D12" s="74"/>
      <c r="G12" s="1635">
        <f t="shared" si="1"/>
        <v>0</v>
      </c>
      <c r="I12" s="2159" t="b">
        <f t="shared" si="0"/>
        <v>0</v>
      </c>
      <c r="J12" s="2159" t="b">
        <f t="shared" si="0"/>
        <v>0</v>
      </c>
    </row>
    <row r="13" spans="1:10" ht="21" customHeight="1">
      <c r="A13" s="1637" t="s">
        <v>2084</v>
      </c>
      <c r="B13" s="69"/>
      <c r="C13" s="70"/>
      <c r="D13" s="74"/>
      <c r="G13" s="1635">
        <f t="shared" si="1"/>
        <v>0</v>
      </c>
      <c r="I13" s="2159" t="b">
        <f t="shared" si="0"/>
        <v>0</v>
      </c>
      <c r="J13" s="2159" t="b">
        <f t="shared" si="0"/>
        <v>0</v>
      </c>
    </row>
    <row r="14" spans="1:10" ht="21" customHeight="1">
      <c r="A14" s="1637" t="s">
        <v>2085</v>
      </c>
      <c r="B14" s="69"/>
      <c r="C14" s="70"/>
      <c r="D14" s="74"/>
      <c r="G14" s="1635">
        <f t="shared" si="1"/>
        <v>0</v>
      </c>
      <c r="I14" s="2159" t="b">
        <f t="shared" si="0"/>
        <v>0</v>
      </c>
      <c r="J14" s="2159" t="b">
        <f t="shared" si="0"/>
        <v>0</v>
      </c>
    </row>
    <row r="15" spans="1:10" ht="21" customHeight="1">
      <c r="A15" s="1637" t="s">
        <v>2086</v>
      </c>
      <c r="B15" s="69"/>
      <c r="C15" s="70"/>
      <c r="D15" s="74"/>
      <c r="G15" s="1635">
        <f t="shared" si="1"/>
        <v>0</v>
      </c>
      <c r="I15" s="2159" t="b">
        <f t="shared" si="0"/>
        <v>0</v>
      </c>
      <c r="J15" s="2159" t="b">
        <f t="shared" si="0"/>
        <v>0</v>
      </c>
    </row>
    <row r="16" spans="1:10" ht="21" customHeight="1">
      <c r="A16" s="1637" t="s">
        <v>2091</v>
      </c>
      <c r="B16" s="69"/>
      <c r="C16" s="70"/>
      <c r="D16" s="74"/>
      <c r="G16" s="1635">
        <f t="shared" si="1"/>
        <v>0</v>
      </c>
      <c r="I16" s="2159" t="b">
        <f t="shared" si="0"/>
        <v>0</v>
      </c>
      <c r="J16" s="2159" t="b">
        <f t="shared" si="0"/>
        <v>0</v>
      </c>
    </row>
    <row r="17" spans="1:10" ht="21" customHeight="1">
      <c r="A17" s="1637" t="s">
        <v>2087</v>
      </c>
      <c r="B17" s="69"/>
      <c r="C17" s="70"/>
      <c r="D17" s="74"/>
      <c r="G17" s="1635">
        <f t="shared" si="1"/>
        <v>0</v>
      </c>
      <c r="I17" s="2159" t="b">
        <f t="shared" si="0"/>
        <v>0</v>
      </c>
      <c r="J17" s="2159" t="b">
        <f t="shared" si="0"/>
        <v>0</v>
      </c>
    </row>
    <row r="18" spans="1:10" ht="21" customHeight="1">
      <c r="A18" s="1637" t="s">
        <v>2088</v>
      </c>
      <c r="B18" s="69"/>
      <c r="C18" s="70"/>
      <c r="D18" s="74"/>
      <c r="G18" s="1635">
        <f t="shared" si="1"/>
        <v>0</v>
      </c>
      <c r="I18" s="2159" t="b">
        <f t="shared" si="0"/>
        <v>0</v>
      </c>
      <c r="J18" s="2159" t="b">
        <f t="shared" si="0"/>
        <v>0</v>
      </c>
    </row>
    <row r="19" spans="1:10" ht="21" customHeight="1">
      <c r="A19" s="1637" t="s">
        <v>2089</v>
      </c>
      <c r="B19" s="69"/>
      <c r="C19" s="70"/>
      <c r="D19" s="74"/>
      <c r="G19" s="1635">
        <f t="shared" si="1"/>
        <v>0</v>
      </c>
      <c r="I19" s="2159" t="b">
        <f t="shared" si="0"/>
        <v>0</v>
      </c>
      <c r="J19" s="2159" t="b">
        <f t="shared" si="0"/>
        <v>0</v>
      </c>
    </row>
    <row r="20" spans="1:10" ht="21" customHeight="1">
      <c r="A20" s="1637" t="s">
        <v>2092</v>
      </c>
      <c r="B20" s="69"/>
      <c r="C20" s="70"/>
      <c r="D20" s="74"/>
      <c r="G20" s="1635">
        <f t="shared" si="1"/>
        <v>0</v>
      </c>
      <c r="I20" s="2159" t="b">
        <f t="shared" si="0"/>
        <v>0</v>
      </c>
      <c r="J20" s="2159" t="b">
        <f t="shared" si="0"/>
        <v>0</v>
      </c>
    </row>
    <row r="21" spans="1:10" ht="21" customHeight="1">
      <c r="A21" s="1637" t="s">
        <v>2093</v>
      </c>
      <c r="B21" s="69"/>
      <c r="C21" s="70"/>
      <c r="D21" s="74"/>
      <c r="G21" s="1635">
        <f t="shared" si="1"/>
        <v>0</v>
      </c>
      <c r="I21" s="2159" t="b">
        <f t="shared" si="0"/>
        <v>0</v>
      </c>
      <c r="J21" s="2159" t="b">
        <f t="shared" si="0"/>
        <v>0</v>
      </c>
    </row>
    <row r="22" spans="1:10" ht="21" customHeight="1">
      <c r="A22" s="1637" t="s">
        <v>2064</v>
      </c>
      <c r="B22" s="69"/>
      <c r="C22" s="70"/>
      <c r="D22" s="74"/>
      <c r="G22" s="1635">
        <f t="shared" si="1"/>
        <v>0</v>
      </c>
      <c r="I22" s="2159" t="b">
        <f t="shared" si="0"/>
        <v>0</v>
      </c>
      <c r="J22" s="2159" t="b">
        <f t="shared" si="0"/>
        <v>0</v>
      </c>
    </row>
    <row r="23" spans="1:10" ht="21" customHeight="1">
      <c r="A23" s="1637" t="s">
        <v>2073</v>
      </c>
      <c r="B23" s="69"/>
      <c r="C23" s="70"/>
      <c r="D23" s="74"/>
      <c r="G23" s="1635">
        <f t="shared" si="1"/>
        <v>0</v>
      </c>
      <c r="I23" s="2159" t="b">
        <f t="shared" si="0"/>
        <v>0</v>
      </c>
      <c r="J23" s="2159" t="b">
        <f t="shared" si="0"/>
        <v>0</v>
      </c>
    </row>
    <row r="24" spans="1:10" ht="21" customHeight="1">
      <c r="A24" s="1637" t="s">
        <v>2074</v>
      </c>
      <c r="B24" s="69"/>
      <c r="C24" s="70"/>
      <c r="D24" s="74"/>
      <c r="G24" s="1635">
        <f t="shared" si="1"/>
        <v>0</v>
      </c>
      <c r="I24" s="2159" t="b">
        <f t="shared" si="0"/>
        <v>0</v>
      </c>
      <c r="J24" s="2159" t="b">
        <f t="shared" si="0"/>
        <v>0</v>
      </c>
    </row>
    <row r="25" spans="1:10" ht="21" customHeight="1">
      <c r="A25" s="1637" t="s">
        <v>2075</v>
      </c>
      <c r="B25" s="69"/>
      <c r="C25" s="70"/>
      <c r="D25" s="74"/>
      <c r="G25" s="1635">
        <f t="shared" si="1"/>
        <v>0</v>
      </c>
      <c r="I25" s="2159" t="b">
        <f t="shared" si="0"/>
        <v>0</v>
      </c>
      <c r="J25" s="2159" t="b">
        <f t="shared" si="0"/>
        <v>0</v>
      </c>
    </row>
    <row r="26" spans="1:10" ht="21" customHeight="1">
      <c r="A26" s="1637" t="s">
        <v>2094</v>
      </c>
      <c r="B26" s="69"/>
      <c r="C26" s="70"/>
      <c r="D26" s="74"/>
      <c r="G26" s="1635">
        <f t="shared" si="1"/>
        <v>0</v>
      </c>
      <c r="I26" s="2159" t="b">
        <f t="shared" si="0"/>
        <v>0</v>
      </c>
      <c r="J26" s="2159" t="b">
        <f t="shared" si="0"/>
        <v>0</v>
      </c>
    </row>
    <row r="27" spans="1:10" ht="21" customHeight="1">
      <c r="A27" s="2049"/>
      <c r="B27" s="69"/>
      <c r="C27" s="70"/>
      <c r="D27" s="74"/>
      <c r="G27" s="1635">
        <f t="shared" si="1"/>
        <v>0</v>
      </c>
      <c r="I27" s="2159" t="b">
        <f t="shared" si="0"/>
        <v>0</v>
      </c>
      <c r="J27" s="2159" t="b">
        <f t="shared" si="0"/>
        <v>0</v>
      </c>
    </row>
    <row r="28" spans="1:10" ht="21" customHeight="1">
      <c r="A28" s="2049"/>
      <c r="B28" s="69"/>
      <c r="C28" s="70"/>
      <c r="D28" s="74"/>
      <c r="G28" s="1635">
        <f t="shared" si="1"/>
        <v>0</v>
      </c>
      <c r="I28" s="2159" t="b">
        <f t="shared" si="0"/>
        <v>0</v>
      </c>
      <c r="J28" s="2159" t="b">
        <f t="shared" si="0"/>
        <v>0</v>
      </c>
    </row>
    <row r="29" spans="1:10" ht="21" customHeight="1">
      <c r="A29" s="2049"/>
      <c r="B29" s="69"/>
      <c r="C29" s="70"/>
      <c r="D29" s="74"/>
      <c r="G29" s="1635">
        <f t="shared" si="1"/>
        <v>0</v>
      </c>
      <c r="I29" s="2159" t="b">
        <f t="shared" si="0"/>
        <v>0</v>
      </c>
      <c r="J29" s="2159" t="b">
        <f t="shared" si="0"/>
        <v>0</v>
      </c>
    </row>
    <row r="30" spans="1:10" ht="21" customHeight="1">
      <c r="A30" s="2049"/>
      <c r="B30" s="69"/>
      <c r="C30" s="70"/>
      <c r="D30" s="74"/>
      <c r="G30" s="1635">
        <f t="shared" si="1"/>
        <v>0</v>
      </c>
      <c r="I30" s="2159" t="b">
        <f t="shared" si="0"/>
        <v>0</v>
      </c>
      <c r="J30" s="2159" t="b">
        <f t="shared" si="0"/>
        <v>0</v>
      </c>
    </row>
    <row r="31" spans="1:10" ht="21" customHeight="1">
      <c r="A31" s="2049"/>
      <c r="B31" s="69"/>
      <c r="C31" s="70"/>
      <c r="D31" s="74"/>
      <c r="G31" s="1635">
        <f t="shared" si="1"/>
        <v>0</v>
      </c>
      <c r="I31" s="2159" t="b">
        <f t="shared" si="0"/>
        <v>0</v>
      </c>
      <c r="J31" s="2159" t="b">
        <f t="shared" si="0"/>
        <v>0</v>
      </c>
    </row>
    <row r="32" spans="1:10" ht="21" customHeight="1">
      <c r="A32" s="1613" t="s">
        <v>2090</v>
      </c>
      <c r="B32" s="1244">
        <f>SUM(B11:B31)</f>
        <v>0</v>
      </c>
      <c r="C32" s="1244">
        <f>SUM(C11:C31)</f>
        <v>0</v>
      </c>
      <c r="D32" s="74"/>
      <c r="G32" s="1635" t="s">
        <v>206</v>
      </c>
      <c r="I32" s="2159" t="b">
        <f t="shared" si="0"/>
        <v>0</v>
      </c>
      <c r="J32" s="2159" t="b">
        <f t="shared" si="0"/>
        <v>0</v>
      </c>
    </row>
    <row r="33" spans="1:10" ht="21" customHeight="1">
      <c r="A33" s="1613" t="s">
        <v>2062</v>
      </c>
      <c r="B33" s="1244">
        <f>B32+B9</f>
        <v>0</v>
      </c>
      <c r="C33" s="2110">
        <f>C32+C9</f>
        <v>0</v>
      </c>
      <c r="D33" s="74"/>
      <c r="G33" s="1635" t="s">
        <v>206</v>
      </c>
      <c r="I33" s="2159" t="b">
        <f t="shared" si="0"/>
        <v>0</v>
      </c>
      <c r="J33" s="2159" t="b">
        <f t="shared" si="0"/>
        <v>0</v>
      </c>
    </row>
    <row r="34" spans="1:10" ht="21" customHeight="1">
      <c r="A34" s="1638" t="s">
        <v>2097</v>
      </c>
      <c r="B34" s="69"/>
      <c r="C34" s="69"/>
      <c r="D34" s="74"/>
      <c r="G34" s="1635" t="s">
        <v>206</v>
      </c>
      <c r="I34" s="2159" t="b">
        <f t="shared" si="0"/>
        <v>0</v>
      </c>
      <c r="J34" s="2159" t="b">
        <f t="shared" si="0"/>
        <v>0</v>
      </c>
    </row>
    <row r="35" spans="1:10" ht="21" customHeight="1">
      <c r="A35" s="1637" t="s">
        <v>2076</v>
      </c>
      <c r="B35" s="69"/>
      <c r="C35" s="70"/>
      <c r="D35" s="74"/>
      <c r="G35" s="1635">
        <f t="shared" ref="G35:G55" si="2">SUM(B35:C35)</f>
        <v>0</v>
      </c>
      <c r="I35" s="2159" t="b">
        <f t="shared" si="0"/>
        <v>0</v>
      </c>
      <c r="J35" s="2159" t="b">
        <f t="shared" si="0"/>
        <v>0</v>
      </c>
    </row>
    <row r="36" spans="1:10" ht="21" customHeight="1">
      <c r="A36" s="1637" t="s">
        <v>2077</v>
      </c>
      <c r="B36" s="69"/>
      <c r="C36" s="70"/>
      <c r="D36" s="74"/>
      <c r="G36" s="1635">
        <f t="shared" si="2"/>
        <v>0</v>
      </c>
      <c r="I36" s="2159" t="b">
        <f t="shared" si="0"/>
        <v>0</v>
      </c>
      <c r="J36" s="2159" t="b">
        <f t="shared" si="0"/>
        <v>0</v>
      </c>
    </row>
    <row r="37" spans="1:10" ht="21" customHeight="1">
      <c r="A37" s="1637" t="s">
        <v>2078</v>
      </c>
      <c r="B37" s="69"/>
      <c r="C37" s="70"/>
      <c r="D37" s="74"/>
      <c r="G37" s="1635">
        <f t="shared" si="2"/>
        <v>0</v>
      </c>
      <c r="I37" s="2159" t="b">
        <f t="shared" si="0"/>
        <v>0</v>
      </c>
      <c r="J37" s="2159" t="b">
        <f t="shared" si="0"/>
        <v>0</v>
      </c>
    </row>
    <row r="38" spans="1:10" ht="21" customHeight="1">
      <c r="A38" s="1637" t="s">
        <v>2065</v>
      </c>
      <c r="B38" s="69"/>
      <c r="C38" s="70"/>
      <c r="D38" s="74"/>
      <c r="G38" s="1635">
        <f t="shared" si="2"/>
        <v>0</v>
      </c>
      <c r="I38" s="2159" t="b">
        <f t="shared" si="0"/>
        <v>0</v>
      </c>
      <c r="J38" s="2159" t="b">
        <f t="shared" si="0"/>
        <v>0</v>
      </c>
    </row>
    <row r="39" spans="1:10" ht="21" customHeight="1">
      <c r="A39" s="1637" t="s">
        <v>2079</v>
      </c>
      <c r="B39" s="69"/>
      <c r="C39" s="70"/>
      <c r="D39" s="74"/>
      <c r="G39" s="1635">
        <f t="shared" si="2"/>
        <v>0</v>
      </c>
      <c r="I39" s="2159" t="b">
        <f t="shared" si="0"/>
        <v>0</v>
      </c>
      <c r="J39" s="2159" t="b">
        <f t="shared" si="0"/>
        <v>0</v>
      </c>
    </row>
    <row r="40" spans="1:10" ht="21" customHeight="1">
      <c r="A40" s="1637" t="s">
        <v>2066</v>
      </c>
      <c r="B40" s="69"/>
      <c r="C40" s="70"/>
      <c r="D40" s="74"/>
      <c r="G40" s="1635">
        <f t="shared" si="2"/>
        <v>0</v>
      </c>
      <c r="I40" s="2159" t="b">
        <f t="shared" si="0"/>
        <v>0</v>
      </c>
      <c r="J40" s="2159" t="b">
        <f t="shared" si="0"/>
        <v>0</v>
      </c>
    </row>
    <row r="41" spans="1:10" ht="21" customHeight="1">
      <c r="A41" s="1637" t="s">
        <v>2067</v>
      </c>
      <c r="B41" s="69"/>
      <c r="C41" s="70"/>
      <c r="D41" s="74"/>
      <c r="G41" s="1635">
        <f t="shared" si="2"/>
        <v>0</v>
      </c>
      <c r="I41" s="2159" t="b">
        <f t="shared" si="0"/>
        <v>0</v>
      </c>
      <c r="J41" s="2159" t="b">
        <f t="shared" si="0"/>
        <v>0</v>
      </c>
    </row>
    <row r="42" spans="1:10" ht="21" customHeight="1">
      <c r="A42" s="1637" t="s">
        <v>2080</v>
      </c>
      <c r="B42" s="69"/>
      <c r="C42" s="70"/>
      <c r="D42" s="74"/>
      <c r="G42" s="1635">
        <f t="shared" si="2"/>
        <v>0</v>
      </c>
      <c r="I42" s="2159" t="b">
        <f t="shared" si="0"/>
        <v>0</v>
      </c>
      <c r="J42" s="2159" t="b">
        <f t="shared" si="0"/>
        <v>0</v>
      </c>
    </row>
    <row r="43" spans="1:10" ht="21" customHeight="1">
      <c r="A43" s="1637" t="s">
        <v>2068</v>
      </c>
      <c r="B43" s="69"/>
      <c r="C43" s="70"/>
      <c r="D43" s="74"/>
      <c r="G43" s="1635">
        <f t="shared" si="2"/>
        <v>0</v>
      </c>
      <c r="I43" s="2159" t="b">
        <f t="shared" si="0"/>
        <v>0</v>
      </c>
      <c r="J43" s="2159" t="b">
        <f t="shared" si="0"/>
        <v>0</v>
      </c>
    </row>
    <row r="44" spans="1:10" ht="21" customHeight="1">
      <c r="A44" s="1637" t="s">
        <v>2069</v>
      </c>
      <c r="B44" s="69"/>
      <c r="C44" s="70"/>
      <c r="D44" s="74"/>
      <c r="G44" s="1635">
        <f t="shared" si="2"/>
        <v>0</v>
      </c>
      <c r="I44" s="2159" t="b">
        <f t="shared" si="0"/>
        <v>0</v>
      </c>
      <c r="J44" s="2159" t="b">
        <f t="shared" si="0"/>
        <v>0</v>
      </c>
    </row>
    <row r="45" spans="1:10" ht="21" customHeight="1">
      <c r="A45" s="1637" t="s">
        <v>2081</v>
      </c>
      <c r="B45" s="69"/>
      <c r="C45" s="70"/>
      <c r="D45" s="74"/>
      <c r="G45" s="1635">
        <f t="shared" si="2"/>
        <v>0</v>
      </c>
      <c r="I45" s="2159" t="b">
        <f t="shared" si="0"/>
        <v>0</v>
      </c>
      <c r="J45" s="2159" t="b">
        <f t="shared" si="0"/>
        <v>0</v>
      </c>
    </row>
    <row r="46" spans="1:10" ht="21" customHeight="1">
      <c r="A46" s="1637" t="s">
        <v>2070</v>
      </c>
      <c r="B46" s="69"/>
      <c r="C46" s="70"/>
      <c r="D46" s="74"/>
      <c r="G46" s="1635">
        <f t="shared" si="2"/>
        <v>0</v>
      </c>
      <c r="I46" s="2159" t="b">
        <f t="shared" si="0"/>
        <v>0</v>
      </c>
      <c r="J46" s="2159" t="b">
        <f t="shared" si="0"/>
        <v>0</v>
      </c>
    </row>
    <row r="47" spans="1:10" ht="21" customHeight="1">
      <c r="A47" s="1637" t="s">
        <v>2071</v>
      </c>
      <c r="B47" s="69"/>
      <c r="C47" s="70"/>
      <c r="D47" s="74"/>
      <c r="G47" s="1635">
        <f t="shared" si="2"/>
        <v>0</v>
      </c>
      <c r="I47" s="2159" t="b">
        <f t="shared" si="0"/>
        <v>0</v>
      </c>
      <c r="J47" s="2159" t="b">
        <f t="shared" si="0"/>
        <v>0</v>
      </c>
    </row>
    <row r="48" spans="1:10" ht="21" customHeight="1">
      <c r="A48" s="1637" t="s">
        <v>2098</v>
      </c>
      <c r="B48" s="69"/>
      <c r="C48" s="70"/>
      <c r="D48" s="74"/>
      <c r="G48" s="1635">
        <f t="shared" si="2"/>
        <v>0</v>
      </c>
      <c r="I48" s="2159" t="b">
        <f t="shared" si="0"/>
        <v>0</v>
      </c>
      <c r="J48" s="2159" t="b">
        <f t="shared" si="0"/>
        <v>0</v>
      </c>
    </row>
    <row r="49" spans="1:10" ht="21" customHeight="1">
      <c r="A49" s="1637" t="s">
        <v>2099</v>
      </c>
      <c r="B49" s="69"/>
      <c r="C49" s="70"/>
      <c r="D49" s="74"/>
      <c r="G49" s="1635">
        <f t="shared" si="2"/>
        <v>0</v>
      </c>
      <c r="I49" s="2159" t="b">
        <f t="shared" si="0"/>
        <v>0</v>
      </c>
      <c r="J49" s="2159" t="b">
        <f t="shared" si="0"/>
        <v>0</v>
      </c>
    </row>
    <row r="50" spans="1:10" ht="21" customHeight="1">
      <c r="A50" s="1637" t="s">
        <v>2072</v>
      </c>
      <c r="B50" s="69"/>
      <c r="C50" s="70"/>
      <c r="D50" s="74"/>
      <c r="G50" s="1635">
        <f t="shared" si="2"/>
        <v>0</v>
      </c>
      <c r="I50" s="2159" t="b">
        <f t="shared" si="0"/>
        <v>0</v>
      </c>
      <c r="J50" s="2159" t="b">
        <f t="shared" si="0"/>
        <v>0</v>
      </c>
    </row>
    <row r="51" spans="1:10" ht="21" customHeight="1">
      <c r="A51" s="2049"/>
      <c r="B51" s="69"/>
      <c r="C51" s="70"/>
      <c r="D51" s="74"/>
      <c r="G51" s="1635">
        <f t="shared" si="2"/>
        <v>0</v>
      </c>
      <c r="I51" s="2159" t="b">
        <f t="shared" si="0"/>
        <v>0</v>
      </c>
      <c r="J51" s="2159" t="b">
        <f t="shared" si="0"/>
        <v>0</v>
      </c>
    </row>
    <row r="52" spans="1:10" ht="21" customHeight="1">
      <c r="A52" s="2049"/>
      <c r="B52" s="69"/>
      <c r="C52" s="70"/>
      <c r="D52" s="74"/>
      <c r="G52" s="1635">
        <f t="shared" si="2"/>
        <v>0</v>
      </c>
      <c r="I52" s="2159" t="b">
        <f t="shared" si="0"/>
        <v>0</v>
      </c>
      <c r="J52" s="2159" t="b">
        <f t="shared" si="0"/>
        <v>0</v>
      </c>
    </row>
    <row r="53" spans="1:10" ht="21" customHeight="1">
      <c r="A53" s="2049"/>
      <c r="B53" s="69"/>
      <c r="C53" s="70"/>
      <c r="D53" s="74"/>
      <c r="G53" s="1635">
        <f t="shared" si="2"/>
        <v>0</v>
      </c>
      <c r="I53" s="2159" t="b">
        <f t="shared" si="0"/>
        <v>0</v>
      </c>
      <c r="J53" s="2159" t="b">
        <f t="shared" si="0"/>
        <v>0</v>
      </c>
    </row>
    <row r="54" spans="1:10" ht="21" customHeight="1">
      <c r="A54" s="2049"/>
      <c r="B54" s="69"/>
      <c r="C54" s="70"/>
      <c r="D54" s="74"/>
      <c r="G54" s="1635">
        <f t="shared" si="2"/>
        <v>0</v>
      </c>
      <c r="I54" s="2159" t="b">
        <f t="shared" si="0"/>
        <v>0</v>
      </c>
      <c r="J54" s="2159" t="b">
        <f t="shared" si="0"/>
        <v>0</v>
      </c>
    </row>
    <row r="55" spans="1:10" ht="21" customHeight="1">
      <c r="A55" s="2049"/>
      <c r="B55" s="69"/>
      <c r="C55" s="70"/>
      <c r="D55" s="74"/>
      <c r="G55" s="1635">
        <f t="shared" si="2"/>
        <v>0</v>
      </c>
      <c r="I55" s="2159" t="b">
        <f t="shared" si="0"/>
        <v>0</v>
      </c>
      <c r="J55" s="2159" t="b">
        <f t="shared" si="0"/>
        <v>0</v>
      </c>
    </row>
    <row r="56" spans="1:10" ht="21" customHeight="1">
      <c r="A56" s="1613" t="s">
        <v>2063</v>
      </c>
      <c r="B56" s="1244">
        <f>SUM(B35:B55)</f>
        <v>0</v>
      </c>
      <c r="C56" s="1244">
        <f>SUM(C35:C55)</f>
        <v>0</v>
      </c>
      <c r="D56" s="74"/>
      <c r="G56" s="1635" t="s">
        <v>206</v>
      </c>
      <c r="I56" s="2159" t="b">
        <f t="shared" si="0"/>
        <v>0</v>
      </c>
      <c r="J56" s="2159" t="b">
        <f t="shared" si="0"/>
        <v>0</v>
      </c>
    </row>
    <row r="57" spans="1:10" ht="21" customHeight="1">
      <c r="A57" s="2111" t="s">
        <v>296</v>
      </c>
      <c r="B57" s="1245">
        <f>B33+B56</f>
        <v>0</v>
      </c>
      <c r="C57" s="2112">
        <f>C33+C56</f>
        <v>0</v>
      </c>
      <c r="D57" s="74"/>
      <c r="G57" s="1635" t="s">
        <v>206</v>
      </c>
      <c r="I57" s="2159" t="b">
        <f t="shared" si="0"/>
        <v>0</v>
      </c>
      <c r="J57" s="2159" t="b">
        <f t="shared" si="0"/>
        <v>0</v>
      </c>
    </row>
    <row r="58" spans="1:10" ht="21" customHeight="1">
      <c r="A58" s="1639" t="s">
        <v>297</v>
      </c>
      <c r="B58" s="71"/>
      <c r="C58" s="566"/>
      <c r="D58" s="74"/>
      <c r="G58" s="1635" t="s">
        <v>206</v>
      </c>
      <c r="I58" s="2159" t="b">
        <f t="shared" si="0"/>
        <v>0</v>
      </c>
      <c r="J58" s="2159" t="b">
        <f t="shared" si="0"/>
        <v>0</v>
      </c>
    </row>
    <row r="59" spans="1:10" ht="21" customHeight="1">
      <c r="A59" s="1639" t="s">
        <v>298</v>
      </c>
      <c r="B59" s="72"/>
      <c r="C59" s="73"/>
      <c r="D59" s="74"/>
      <c r="G59" s="1635">
        <f>SUM(B59:C59)</f>
        <v>0</v>
      </c>
      <c r="I59" s="2159" t="b">
        <f t="shared" si="0"/>
        <v>0</v>
      </c>
      <c r="J59" s="2159" t="b">
        <f t="shared" si="0"/>
        <v>0</v>
      </c>
    </row>
    <row r="60" spans="1:10" ht="21" customHeight="1" thickBot="1">
      <c r="A60" s="2115" t="s">
        <v>299</v>
      </c>
      <c r="B60" s="2113">
        <f>B57+B59+B58</f>
        <v>0</v>
      </c>
      <c r="C60" s="2114">
        <f>C57+C59+C58</f>
        <v>0</v>
      </c>
      <c r="D60" s="74"/>
      <c r="G60" s="1635" t="s">
        <v>206</v>
      </c>
      <c r="I60" s="2159" t="b">
        <f t="shared" si="0"/>
        <v>0</v>
      </c>
      <c r="J60" s="2159" t="b">
        <f t="shared" si="0"/>
        <v>0</v>
      </c>
    </row>
    <row r="61" spans="1:10" ht="14.25" customHeight="1" thickTop="1">
      <c r="B61" s="9"/>
      <c r="G61" s="1079" t="s">
        <v>206</v>
      </c>
    </row>
    <row r="62" spans="1:10" ht="22.5" customHeight="1">
      <c r="A62" s="2"/>
      <c r="B62" s="1138"/>
      <c r="G62" s="1079" t="s">
        <v>206</v>
      </c>
    </row>
    <row r="63" spans="1:10" ht="24.95" customHeight="1">
      <c r="A63" s="8"/>
      <c r="B63" s="8"/>
      <c r="C63" s="87"/>
      <c r="D63" s="254"/>
      <c r="G63" s="1079" t="s">
        <v>206</v>
      </c>
    </row>
    <row r="64" spans="1:10" ht="24.95" customHeight="1">
      <c r="A64" s="3097"/>
      <c r="B64" s="3097"/>
      <c r="G64" s="1079" t="s">
        <v>206</v>
      </c>
    </row>
    <row r="65" spans="1:7" ht="24.95" customHeight="1">
      <c r="A65" s="3097"/>
      <c r="B65" s="3097"/>
      <c r="G65" s="1079" t="s">
        <v>206</v>
      </c>
    </row>
    <row r="66" spans="1:7" ht="24.95" customHeight="1">
      <c r="A66" s="3097"/>
      <c r="B66" s="3097"/>
      <c r="F66" s="42" t="s">
        <v>206</v>
      </c>
    </row>
    <row r="67" spans="1:7" ht="24.95" customHeight="1">
      <c r="A67" s="3097"/>
      <c r="B67" s="3097"/>
    </row>
    <row r="68" spans="1:7" ht="27">
      <c r="A68" s="45"/>
      <c r="B68" s="45"/>
    </row>
  </sheetData>
  <sheetProtection algorithmName="SHA-512" hashValue="rRN3ZeQlZoQfG3Lgb1H0hhJFd4IUZomTBiPyJTLbvweQGN5VyQnfwvDSUgW30Jh10SajZUzdcBfWmnvjdbZA7g==" saltValue="Tvf5Ea5IqaUbCoKo/dsXWA==" spinCount="100000" sheet="1" objects="1" scenarios="1"/>
  <mergeCells count="5">
    <mergeCell ref="A1:C1"/>
    <mergeCell ref="A67:B67"/>
    <mergeCell ref="A64:B64"/>
    <mergeCell ref="A65:B65"/>
    <mergeCell ref="A66:B66"/>
  </mergeCells>
  <conditionalFormatting sqref="B5:B60">
    <cfRule type="expression" dxfId="329" priority="2">
      <formula>$I5=TRUE</formula>
    </cfRule>
  </conditionalFormatting>
  <conditionalFormatting sqref="C5:C60">
    <cfRule type="expression" dxfId="328" priority="1">
      <formula>$J5=TRUE</formula>
    </cfRule>
  </conditionalFormatting>
  <dataValidations count="3">
    <dataValidation type="custom" allowBlank="1" showInputMessage="1" showErrorMessage="1" error="مبالغ پرداختی باید به صورت عدد منفی و مبالغ دریافتی باید به صورت عدد مثبت درج شود." sqref="B10:C31 B34:C55" xr:uid="{00000000-0002-0000-4400-000000000000}">
      <formula1>IF(ISNUMBER(SEARCH("پرداخت", $A10)), B10&lt;0, IF(ISNUMBER(SEARCH("دریافت", $A10)), B10&gt;0, TRUE))</formula1>
    </dataValidation>
    <dataValidation type="custom" allowBlank="1" showInputMessage="1" showErrorMessage="1" error="مبالغ پرداختی باید به صورت منفی و مبالغ دریافتی به صورت مثبت درج شود" sqref="B5:C8" xr:uid="{00000000-0002-0000-4400-000001000000}">
      <formula1>IF(ISNUMBER(SEARCH("پرداخت", $A5)), B5&lt;0, IF(ISNUMBER(SEARCH("دریافت", $A5)), B5&gt;0, TRUE))</formula1>
    </dataValidation>
    <dataValidation type="custom" allowBlank="1" showInputMessage="1" showErrorMessage="1" sqref="B58:C59" xr:uid="{00000000-0002-0000-4400-000002000000}">
      <formula1>IF(ISNUMBER(SEARCH("پرداخت", A2)), B2&lt;0, TRUE)</formula1>
    </dataValidation>
  </dataValidations>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82">
    <tabColor rgb="FFCD1076"/>
    <pageSetUpPr fitToPage="1"/>
  </sheetPr>
  <dimension ref="A1:J68"/>
  <sheetViews>
    <sheetView rightToLeft="1" topLeftCell="A7" workbookViewId="0">
      <selection activeCell="B26" sqref="B26"/>
    </sheetView>
  </sheetViews>
  <sheetFormatPr defaultColWidth="9" defaultRowHeight="17.25"/>
  <cols>
    <col min="1" max="1" width="62.7109375" style="42" customWidth="1"/>
    <col min="2" max="2" width="30.5703125" style="42" customWidth="1"/>
    <col min="3" max="3" width="30.5703125" style="74" customWidth="1"/>
    <col min="4" max="5" width="9" style="42"/>
    <col min="6" max="6" width="9" style="42" customWidth="1"/>
    <col min="7" max="7" width="9" style="1079" hidden="1" customWidth="1"/>
    <col min="8" max="8" width="9" style="42"/>
    <col min="9" max="10" width="0" style="42" hidden="1" customWidth="1"/>
    <col min="11" max="16384" width="9" style="42"/>
  </cols>
  <sheetData>
    <row r="1" spans="1:10" s="5" customFormat="1" ht="26.25" customHeight="1">
      <c r="A1" s="2685" t="str">
        <f>روکش!D4</f>
        <v>انبارهای عمومی و خدمات گمرکی ایران</v>
      </c>
      <c r="B1" s="2685"/>
      <c r="C1" s="2685"/>
      <c r="D1" s="212"/>
      <c r="E1" s="212"/>
      <c r="F1" s="212"/>
      <c r="G1" s="1081"/>
    </row>
    <row r="2" spans="1:10" s="5" customFormat="1" ht="24" customHeight="1">
      <c r="A2" s="1249" t="str">
        <f>"صورت جریان وجوه نقد شرکت اصلی در دوره " &amp; روکش!F9 &amp; " سال " &amp; روکش!D9</f>
        <v>صورت جریان وجوه نقد شرکت اصلی در دوره شش ماهه سال 1405</v>
      </c>
      <c r="B2" s="1205"/>
      <c r="C2" s="1205"/>
      <c r="D2" s="212"/>
      <c r="E2" s="212"/>
      <c r="G2" s="1081" t="s">
        <v>792</v>
      </c>
    </row>
    <row r="3" spans="1:10" ht="24" customHeight="1" thickBot="1">
      <c r="A3" s="1239"/>
      <c r="B3" s="1239"/>
      <c r="C3" s="1238" t="s">
        <v>30</v>
      </c>
      <c r="G3" s="1079" t="s">
        <v>206</v>
      </c>
    </row>
    <row r="4" spans="1:10" ht="24" customHeight="1" thickBot="1">
      <c r="A4" s="1344" t="s">
        <v>21</v>
      </c>
      <c r="B4" s="1226" t="s">
        <v>639</v>
      </c>
      <c r="C4" s="1226" t="s">
        <v>642</v>
      </c>
      <c r="D4" s="74"/>
      <c r="G4" s="1079" t="s">
        <v>206</v>
      </c>
    </row>
    <row r="5" spans="1:10" ht="21" customHeight="1">
      <c r="A5" s="1636" t="s">
        <v>2095</v>
      </c>
      <c r="B5" s="682"/>
      <c r="C5" s="683"/>
      <c r="D5" s="74"/>
      <c r="G5" s="1635" t="s">
        <v>206</v>
      </c>
      <c r="I5" s="2159" t="b">
        <f>OR(AND(COUNTIF($A5,"*پرداخت*")=1,B5&gt;0),AND(COUNTIF($A5,"*دریافت*")=1,B5&lt;0))</f>
        <v>0</v>
      </c>
      <c r="J5" s="2159" t="b">
        <f>OR(AND(COUNTIF($A5,"*پرداخت*")=1,C5&gt;0),AND(COUNTIF($A5,"*دریافت*")=1,C5&lt;0))</f>
        <v>0</v>
      </c>
    </row>
    <row r="6" spans="1:10" ht="21" customHeight="1">
      <c r="A6" s="1637" t="s">
        <v>284</v>
      </c>
      <c r="B6" s="69"/>
      <c r="C6" s="70"/>
      <c r="D6" s="74"/>
      <c r="G6" s="1635">
        <f>SUM(B6:C6)</f>
        <v>0</v>
      </c>
      <c r="I6" s="2159" t="b">
        <f t="shared" ref="I6:J60" si="0">OR(AND(COUNTIF($A6,"*پرداخت*")=1,B6&gt;0),AND(COUNTIF($A6,"*دریافت*")=1,B6&lt;0))</f>
        <v>0</v>
      </c>
      <c r="J6" s="2159" t="b">
        <f t="shared" si="0"/>
        <v>0</v>
      </c>
    </row>
    <row r="7" spans="1:10" ht="21" customHeight="1">
      <c r="A7" s="1637" t="s">
        <v>2060</v>
      </c>
      <c r="B7" s="69"/>
      <c r="C7" s="70"/>
      <c r="D7" s="74"/>
      <c r="G7" s="1635">
        <f>SUM(B7:C7)</f>
        <v>0</v>
      </c>
      <c r="I7" s="2159" t="b">
        <f t="shared" si="0"/>
        <v>0</v>
      </c>
      <c r="J7" s="2159" t="b">
        <f t="shared" si="0"/>
        <v>0</v>
      </c>
    </row>
    <row r="8" spans="1:10" ht="21" customHeight="1">
      <c r="A8" s="2049"/>
      <c r="B8" s="69"/>
      <c r="C8" s="70"/>
      <c r="D8" s="74"/>
      <c r="G8" s="1635">
        <f>SUM(B8:C8)</f>
        <v>0</v>
      </c>
      <c r="I8" s="2159" t="b">
        <f t="shared" si="0"/>
        <v>0</v>
      </c>
      <c r="J8" s="2159" t="b">
        <f t="shared" si="0"/>
        <v>0</v>
      </c>
    </row>
    <row r="9" spans="1:10" ht="21" customHeight="1">
      <c r="A9" s="1613" t="s">
        <v>2061</v>
      </c>
      <c r="B9" s="1244">
        <f>SUM(B6:B8)</f>
        <v>0</v>
      </c>
      <c r="C9" s="2110">
        <f>SUM(C6:C8)</f>
        <v>0</v>
      </c>
      <c r="D9" s="74"/>
      <c r="G9" s="1635" t="s">
        <v>206</v>
      </c>
      <c r="I9" s="2159" t="b">
        <f t="shared" si="0"/>
        <v>0</v>
      </c>
      <c r="J9" s="2159" t="b">
        <f t="shared" si="0"/>
        <v>0</v>
      </c>
    </row>
    <row r="10" spans="1:10" ht="21" customHeight="1">
      <c r="A10" s="1638" t="s">
        <v>2096</v>
      </c>
      <c r="B10" s="69"/>
      <c r="C10" s="70"/>
      <c r="D10" s="74"/>
      <c r="G10" s="1635" t="s">
        <v>206</v>
      </c>
      <c r="I10" s="2159" t="b">
        <f t="shared" si="0"/>
        <v>0</v>
      </c>
      <c r="J10" s="2159" t="b">
        <f t="shared" si="0"/>
        <v>0</v>
      </c>
    </row>
    <row r="11" spans="1:10" ht="21" customHeight="1">
      <c r="A11" s="1637" t="s">
        <v>2082</v>
      </c>
      <c r="B11" s="69"/>
      <c r="C11" s="70"/>
      <c r="D11" s="74"/>
      <c r="G11" s="1635">
        <f t="shared" ref="G11:G31" si="1">SUM(B11:C11)</f>
        <v>0</v>
      </c>
      <c r="I11" s="2159" t="b">
        <f t="shared" si="0"/>
        <v>0</v>
      </c>
      <c r="J11" s="2159" t="b">
        <f t="shared" si="0"/>
        <v>0</v>
      </c>
    </row>
    <row r="12" spans="1:10" ht="21" customHeight="1">
      <c r="A12" s="1637" t="s">
        <v>2083</v>
      </c>
      <c r="B12" s="69"/>
      <c r="C12" s="70"/>
      <c r="D12" s="74"/>
      <c r="G12" s="1635">
        <f t="shared" si="1"/>
        <v>0</v>
      </c>
      <c r="I12" s="2159" t="b">
        <f t="shared" si="0"/>
        <v>0</v>
      </c>
      <c r="J12" s="2159" t="b">
        <f t="shared" si="0"/>
        <v>0</v>
      </c>
    </row>
    <row r="13" spans="1:10" ht="21" customHeight="1">
      <c r="A13" s="1637" t="s">
        <v>2084</v>
      </c>
      <c r="B13" s="69"/>
      <c r="C13" s="70"/>
      <c r="D13" s="74"/>
      <c r="G13" s="1635">
        <f t="shared" si="1"/>
        <v>0</v>
      </c>
      <c r="I13" s="2159" t="b">
        <f t="shared" si="0"/>
        <v>0</v>
      </c>
      <c r="J13" s="2159" t="b">
        <f t="shared" si="0"/>
        <v>0</v>
      </c>
    </row>
    <row r="14" spans="1:10" ht="21" customHeight="1">
      <c r="A14" s="1637" t="s">
        <v>2085</v>
      </c>
      <c r="B14" s="69"/>
      <c r="C14" s="70"/>
      <c r="D14" s="74"/>
      <c r="G14" s="1635">
        <f t="shared" si="1"/>
        <v>0</v>
      </c>
      <c r="I14" s="2159" t="b">
        <f t="shared" si="0"/>
        <v>0</v>
      </c>
      <c r="J14" s="2159" t="b">
        <f t="shared" si="0"/>
        <v>0</v>
      </c>
    </row>
    <row r="15" spans="1:10" ht="21" customHeight="1">
      <c r="A15" s="1637" t="s">
        <v>2086</v>
      </c>
      <c r="B15" s="69"/>
      <c r="C15" s="70"/>
      <c r="D15" s="74"/>
      <c r="G15" s="1635">
        <f t="shared" si="1"/>
        <v>0</v>
      </c>
      <c r="I15" s="2159" t="b">
        <f t="shared" si="0"/>
        <v>0</v>
      </c>
      <c r="J15" s="2159" t="b">
        <f t="shared" si="0"/>
        <v>0</v>
      </c>
    </row>
    <row r="16" spans="1:10" ht="21" customHeight="1">
      <c r="A16" s="1637" t="s">
        <v>2091</v>
      </c>
      <c r="B16" s="69"/>
      <c r="C16" s="70"/>
      <c r="D16" s="74"/>
      <c r="G16" s="1635">
        <f t="shared" si="1"/>
        <v>0</v>
      </c>
      <c r="I16" s="2159" t="b">
        <f t="shared" si="0"/>
        <v>0</v>
      </c>
      <c r="J16" s="2159" t="b">
        <f t="shared" si="0"/>
        <v>0</v>
      </c>
    </row>
    <row r="17" spans="1:10" ht="21" customHeight="1">
      <c r="A17" s="1637" t="s">
        <v>2087</v>
      </c>
      <c r="B17" s="69"/>
      <c r="C17" s="70"/>
      <c r="D17" s="74"/>
      <c r="G17" s="1635">
        <f t="shared" si="1"/>
        <v>0</v>
      </c>
      <c r="I17" s="2159" t="b">
        <f t="shared" si="0"/>
        <v>0</v>
      </c>
      <c r="J17" s="2159" t="b">
        <f t="shared" si="0"/>
        <v>0</v>
      </c>
    </row>
    <row r="18" spans="1:10" ht="21" customHeight="1">
      <c r="A18" s="1637" t="s">
        <v>2088</v>
      </c>
      <c r="B18" s="69"/>
      <c r="C18" s="70"/>
      <c r="D18" s="74"/>
      <c r="G18" s="1635">
        <f t="shared" si="1"/>
        <v>0</v>
      </c>
      <c r="I18" s="2159" t="b">
        <f t="shared" si="0"/>
        <v>0</v>
      </c>
      <c r="J18" s="2159" t="b">
        <f t="shared" si="0"/>
        <v>0</v>
      </c>
    </row>
    <row r="19" spans="1:10" ht="21" customHeight="1">
      <c r="A19" s="1637" t="s">
        <v>2089</v>
      </c>
      <c r="B19" s="69"/>
      <c r="C19" s="70"/>
      <c r="D19" s="74"/>
      <c r="G19" s="1635">
        <f t="shared" si="1"/>
        <v>0</v>
      </c>
      <c r="I19" s="2159" t="b">
        <f t="shared" si="0"/>
        <v>0</v>
      </c>
      <c r="J19" s="2159" t="b">
        <f t="shared" si="0"/>
        <v>0</v>
      </c>
    </row>
    <row r="20" spans="1:10" ht="21" customHeight="1">
      <c r="A20" s="1637" t="s">
        <v>2092</v>
      </c>
      <c r="B20" s="69"/>
      <c r="C20" s="70"/>
      <c r="D20" s="74"/>
      <c r="G20" s="1635">
        <f t="shared" si="1"/>
        <v>0</v>
      </c>
      <c r="I20" s="2159" t="b">
        <f t="shared" si="0"/>
        <v>0</v>
      </c>
      <c r="J20" s="2159" t="b">
        <f t="shared" si="0"/>
        <v>0</v>
      </c>
    </row>
    <row r="21" spans="1:10" ht="21" customHeight="1">
      <c r="A21" s="1637" t="s">
        <v>2093</v>
      </c>
      <c r="B21" s="69"/>
      <c r="C21" s="70"/>
      <c r="D21" s="74"/>
      <c r="G21" s="1635">
        <f t="shared" si="1"/>
        <v>0</v>
      </c>
      <c r="I21" s="2159" t="b">
        <f t="shared" si="0"/>
        <v>0</v>
      </c>
      <c r="J21" s="2159" t="b">
        <f t="shared" si="0"/>
        <v>0</v>
      </c>
    </row>
    <row r="22" spans="1:10" ht="21" customHeight="1">
      <c r="A22" s="1637" t="s">
        <v>2064</v>
      </c>
      <c r="B22" s="69"/>
      <c r="C22" s="70"/>
      <c r="D22" s="74"/>
      <c r="G22" s="1635">
        <f t="shared" si="1"/>
        <v>0</v>
      </c>
      <c r="I22" s="2159" t="b">
        <f t="shared" si="0"/>
        <v>0</v>
      </c>
      <c r="J22" s="2159" t="b">
        <f t="shared" si="0"/>
        <v>0</v>
      </c>
    </row>
    <row r="23" spans="1:10" ht="21" customHeight="1">
      <c r="A23" s="1637" t="s">
        <v>2073</v>
      </c>
      <c r="B23" s="69"/>
      <c r="C23" s="70"/>
      <c r="D23" s="74"/>
      <c r="G23" s="1635">
        <f t="shared" si="1"/>
        <v>0</v>
      </c>
      <c r="I23" s="2159" t="b">
        <f t="shared" si="0"/>
        <v>0</v>
      </c>
      <c r="J23" s="2159" t="b">
        <f t="shared" si="0"/>
        <v>0</v>
      </c>
    </row>
    <row r="24" spans="1:10" ht="21" customHeight="1">
      <c r="A24" s="1637" t="s">
        <v>2074</v>
      </c>
      <c r="B24" s="69"/>
      <c r="C24" s="70"/>
      <c r="D24" s="74"/>
      <c r="G24" s="1635">
        <f t="shared" si="1"/>
        <v>0</v>
      </c>
      <c r="I24" s="2159" t="b">
        <f t="shared" si="0"/>
        <v>0</v>
      </c>
      <c r="J24" s="2159" t="b">
        <f t="shared" si="0"/>
        <v>0</v>
      </c>
    </row>
    <row r="25" spans="1:10" ht="21" customHeight="1">
      <c r="A25" s="1637" t="s">
        <v>2075</v>
      </c>
      <c r="B25" s="69"/>
      <c r="C25" s="70"/>
      <c r="D25" s="74"/>
      <c r="G25" s="1635">
        <f t="shared" si="1"/>
        <v>0</v>
      </c>
      <c r="I25" s="2159" t="b">
        <f t="shared" si="0"/>
        <v>0</v>
      </c>
      <c r="J25" s="2159" t="b">
        <f t="shared" si="0"/>
        <v>0</v>
      </c>
    </row>
    <row r="26" spans="1:10" ht="21" customHeight="1">
      <c r="A26" s="1637" t="s">
        <v>2094</v>
      </c>
      <c r="B26" s="69"/>
      <c r="C26" s="70"/>
      <c r="D26" s="74"/>
      <c r="G26" s="1635">
        <f t="shared" si="1"/>
        <v>0</v>
      </c>
      <c r="I26" s="2159" t="b">
        <f t="shared" si="0"/>
        <v>0</v>
      </c>
      <c r="J26" s="2159" t="b">
        <f t="shared" si="0"/>
        <v>0</v>
      </c>
    </row>
    <row r="27" spans="1:10" ht="21" customHeight="1">
      <c r="A27" s="2049"/>
      <c r="B27" s="69"/>
      <c r="C27" s="70"/>
      <c r="D27" s="74"/>
      <c r="G27" s="1635">
        <f t="shared" si="1"/>
        <v>0</v>
      </c>
      <c r="I27" s="2159" t="b">
        <f t="shared" si="0"/>
        <v>0</v>
      </c>
      <c r="J27" s="2159" t="b">
        <f t="shared" si="0"/>
        <v>0</v>
      </c>
    </row>
    <row r="28" spans="1:10" ht="21" customHeight="1">
      <c r="A28" s="2049"/>
      <c r="B28" s="69"/>
      <c r="C28" s="70"/>
      <c r="D28" s="74"/>
      <c r="G28" s="1635">
        <f t="shared" si="1"/>
        <v>0</v>
      </c>
      <c r="I28" s="2159" t="b">
        <f t="shared" si="0"/>
        <v>0</v>
      </c>
      <c r="J28" s="2159" t="b">
        <f t="shared" si="0"/>
        <v>0</v>
      </c>
    </row>
    <row r="29" spans="1:10" ht="21" customHeight="1">
      <c r="A29" s="2049"/>
      <c r="B29" s="69"/>
      <c r="C29" s="70"/>
      <c r="D29" s="74"/>
      <c r="G29" s="1635">
        <f t="shared" si="1"/>
        <v>0</v>
      </c>
      <c r="I29" s="2159" t="b">
        <f t="shared" si="0"/>
        <v>0</v>
      </c>
      <c r="J29" s="2159" t="b">
        <f t="shared" si="0"/>
        <v>0</v>
      </c>
    </row>
    <row r="30" spans="1:10" ht="21" customHeight="1">
      <c r="A30" s="2049"/>
      <c r="B30" s="69"/>
      <c r="C30" s="70"/>
      <c r="D30" s="74"/>
      <c r="G30" s="1635">
        <f t="shared" si="1"/>
        <v>0</v>
      </c>
      <c r="I30" s="2159" t="b">
        <f t="shared" si="0"/>
        <v>0</v>
      </c>
      <c r="J30" s="2159" t="b">
        <f t="shared" si="0"/>
        <v>0</v>
      </c>
    </row>
    <row r="31" spans="1:10" ht="21" customHeight="1">
      <c r="A31" s="2049"/>
      <c r="B31" s="69"/>
      <c r="C31" s="70"/>
      <c r="D31" s="74"/>
      <c r="G31" s="1635">
        <f t="shared" si="1"/>
        <v>0</v>
      </c>
      <c r="I31" s="2159" t="b">
        <f t="shared" si="0"/>
        <v>0</v>
      </c>
      <c r="J31" s="2159" t="b">
        <f t="shared" si="0"/>
        <v>0</v>
      </c>
    </row>
    <row r="32" spans="1:10" ht="21" customHeight="1">
      <c r="A32" s="1613" t="s">
        <v>2090</v>
      </c>
      <c r="B32" s="1244">
        <f>SUM(B11:B31)</f>
        <v>0</v>
      </c>
      <c r="C32" s="1244">
        <f>SUM(C11:C31)</f>
        <v>0</v>
      </c>
      <c r="D32" s="74"/>
      <c r="G32" s="1635" t="s">
        <v>206</v>
      </c>
      <c r="I32" s="2159" t="b">
        <f t="shared" si="0"/>
        <v>0</v>
      </c>
      <c r="J32" s="2159" t="b">
        <f t="shared" si="0"/>
        <v>0</v>
      </c>
    </row>
    <row r="33" spans="1:10" ht="21" customHeight="1">
      <c r="A33" s="1613" t="s">
        <v>2062</v>
      </c>
      <c r="B33" s="1244">
        <f>B32+B9</f>
        <v>0</v>
      </c>
      <c r="C33" s="2110">
        <f>C32+C9</f>
        <v>0</v>
      </c>
      <c r="D33" s="74"/>
      <c r="G33" s="1635" t="s">
        <v>206</v>
      </c>
      <c r="I33" s="2159" t="b">
        <f t="shared" si="0"/>
        <v>0</v>
      </c>
      <c r="J33" s="2159" t="b">
        <f t="shared" si="0"/>
        <v>0</v>
      </c>
    </row>
    <row r="34" spans="1:10" ht="21" customHeight="1">
      <c r="A34" s="1638" t="s">
        <v>2097</v>
      </c>
      <c r="B34" s="69"/>
      <c r="C34" s="69"/>
      <c r="D34" s="74"/>
      <c r="G34" s="1635" t="s">
        <v>206</v>
      </c>
      <c r="I34" s="2159" t="b">
        <f t="shared" si="0"/>
        <v>0</v>
      </c>
      <c r="J34" s="2159" t="b">
        <f t="shared" si="0"/>
        <v>0</v>
      </c>
    </row>
    <row r="35" spans="1:10" ht="21" customHeight="1">
      <c r="A35" s="1637" t="s">
        <v>2076</v>
      </c>
      <c r="B35" s="69"/>
      <c r="C35" s="70"/>
      <c r="D35" s="74"/>
      <c r="G35" s="1635">
        <f t="shared" ref="G35:G55" si="2">SUM(B35:C35)</f>
        <v>0</v>
      </c>
      <c r="I35" s="2159" t="b">
        <f t="shared" si="0"/>
        <v>0</v>
      </c>
      <c r="J35" s="2159" t="b">
        <f t="shared" si="0"/>
        <v>0</v>
      </c>
    </row>
    <row r="36" spans="1:10" ht="21" customHeight="1">
      <c r="A36" s="1637" t="s">
        <v>2077</v>
      </c>
      <c r="B36" s="69"/>
      <c r="C36" s="70"/>
      <c r="D36" s="74"/>
      <c r="G36" s="1635">
        <f t="shared" si="2"/>
        <v>0</v>
      </c>
      <c r="I36" s="2159" t="b">
        <f t="shared" si="0"/>
        <v>0</v>
      </c>
      <c r="J36" s="2159" t="b">
        <f t="shared" si="0"/>
        <v>0</v>
      </c>
    </row>
    <row r="37" spans="1:10" ht="21" customHeight="1">
      <c r="A37" s="1637" t="s">
        <v>2078</v>
      </c>
      <c r="B37" s="69"/>
      <c r="C37" s="70"/>
      <c r="D37" s="74"/>
      <c r="G37" s="1635">
        <f t="shared" si="2"/>
        <v>0</v>
      </c>
      <c r="I37" s="2159" t="b">
        <f t="shared" si="0"/>
        <v>0</v>
      </c>
      <c r="J37" s="2159" t="b">
        <f t="shared" si="0"/>
        <v>0</v>
      </c>
    </row>
    <row r="38" spans="1:10" ht="21" customHeight="1">
      <c r="A38" s="1637" t="s">
        <v>2065</v>
      </c>
      <c r="B38" s="69"/>
      <c r="C38" s="70"/>
      <c r="D38" s="74"/>
      <c r="G38" s="1635">
        <f t="shared" si="2"/>
        <v>0</v>
      </c>
      <c r="I38" s="2159" t="b">
        <f t="shared" si="0"/>
        <v>0</v>
      </c>
      <c r="J38" s="2159" t="b">
        <f t="shared" si="0"/>
        <v>0</v>
      </c>
    </row>
    <row r="39" spans="1:10" ht="21" customHeight="1">
      <c r="A39" s="1637" t="s">
        <v>2079</v>
      </c>
      <c r="B39" s="69"/>
      <c r="C39" s="70"/>
      <c r="D39" s="74"/>
      <c r="G39" s="1635">
        <f t="shared" si="2"/>
        <v>0</v>
      </c>
      <c r="I39" s="2159" t="b">
        <f t="shared" si="0"/>
        <v>0</v>
      </c>
      <c r="J39" s="2159" t="b">
        <f t="shared" si="0"/>
        <v>0</v>
      </c>
    </row>
    <row r="40" spans="1:10" ht="21" customHeight="1">
      <c r="A40" s="1637" t="s">
        <v>2066</v>
      </c>
      <c r="B40" s="69"/>
      <c r="C40" s="70"/>
      <c r="D40" s="74"/>
      <c r="G40" s="1635">
        <f t="shared" si="2"/>
        <v>0</v>
      </c>
      <c r="I40" s="2159" t="b">
        <f t="shared" si="0"/>
        <v>0</v>
      </c>
      <c r="J40" s="2159" t="b">
        <f t="shared" si="0"/>
        <v>0</v>
      </c>
    </row>
    <row r="41" spans="1:10" ht="21" customHeight="1">
      <c r="A41" s="1637" t="s">
        <v>2067</v>
      </c>
      <c r="B41" s="69"/>
      <c r="C41" s="70"/>
      <c r="D41" s="74"/>
      <c r="G41" s="1635">
        <f t="shared" si="2"/>
        <v>0</v>
      </c>
      <c r="I41" s="2159" t="b">
        <f t="shared" si="0"/>
        <v>0</v>
      </c>
      <c r="J41" s="2159" t="b">
        <f t="shared" si="0"/>
        <v>0</v>
      </c>
    </row>
    <row r="42" spans="1:10" ht="21" customHeight="1">
      <c r="A42" s="1637" t="s">
        <v>2080</v>
      </c>
      <c r="B42" s="69"/>
      <c r="C42" s="70"/>
      <c r="D42" s="74"/>
      <c r="G42" s="1635">
        <f t="shared" si="2"/>
        <v>0</v>
      </c>
      <c r="I42" s="2159" t="b">
        <f t="shared" si="0"/>
        <v>0</v>
      </c>
      <c r="J42" s="2159" t="b">
        <f t="shared" si="0"/>
        <v>0</v>
      </c>
    </row>
    <row r="43" spans="1:10" ht="21" customHeight="1">
      <c r="A43" s="1637" t="s">
        <v>2068</v>
      </c>
      <c r="B43" s="69"/>
      <c r="C43" s="70"/>
      <c r="D43" s="74"/>
      <c r="G43" s="1635">
        <f t="shared" si="2"/>
        <v>0</v>
      </c>
      <c r="I43" s="2159" t="b">
        <f t="shared" si="0"/>
        <v>0</v>
      </c>
      <c r="J43" s="2159" t="b">
        <f t="shared" si="0"/>
        <v>0</v>
      </c>
    </row>
    <row r="44" spans="1:10" ht="21" customHeight="1">
      <c r="A44" s="1637" t="s">
        <v>2069</v>
      </c>
      <c r="B44" s="69"/>
      <c r="C44" s="70"/>
      <c r="D44" s="74"/>
      <c r="G44" s="1635">
        <f t="shared" si="2"/>
        <v>0</v>
      </c>
      <c r="I44" s="2159" t="b">
        <f t="shared" si="0"/>
        <v>0</v>
      </c>
      <c r="J44" s="2159" t="b">
        <f t="shared" si="0"/>
        <v>0</v>
      </c>
    </row>
    <row r="45" spans="1:10" ht="21" customHeight="1">
      <c r="A45" s="1637" t="s">
        <v>2081</v>
      </c>
      <c r="B45" s="69"/>
      <c r="C45" s="70"/>
      <c r="D45" s="74"/>
      <c r="G45" s="1635">
        <f t="shared" si="2"/>
        <v>0</v>
      </c>
      <c r="I45" s="2159" t="b">
        <f t="shared" si="0"/>
        <v>0</v>
      </c>
      <c r="J45" s="2159" t="b">
        <f t="shared" si="0"/>
        <v>0</v>
      </c>
    </row>
    <row r="46" spans="1:10" ht="21" customHeight="1">
      <c r="A46" s="1637" t="s">
        <v>2070</v>
      </c>
      <c r="B46" s="69"/>
      <c r="C46" s="70"/>
      <c r="D46" s="74"/>
      <c r="G46" s="1635">
        <f t="shared" si="2"/>
        <v>0</v>
      </c>
      <c r="I46" s="2159" t="b">
        <f t="shared" si="0"/>
        <v>0</v>
      </c>
      <c r="J46" s="2159" t="b">
        <f t="shared" si="0"/>
        <v>0</v>
      </c>
    </row>
    <row r="47" spans="1:10" ht="21" customHeight="1">
      <c r="A47" s="1637" t="s">
        <v>2071</v>
      </c>
      <c r="B47" s="69"/>
      <c r="C47" s="70"/>
      <c r="D47" s="74"/>
      <c r="G47" s="1635">
        <f t="shared" si="2"/>
        <v>0</v>
      </c>
      <c r="I47" s="2159" t="b">
        <f t="shared" si="0"/>
        <v>0</v>
      </c>
      <c r="J47" s="2159" t="b">
        <f t="shared" si="0"/>
        <v>0</v>
      </c>
    </row>
    <row r="48" spans="1:10" ht="21" customHeight="1">
      <c r="A48" s="1637" t="s">
        <v>2098</v>
      </c>
      <c r="B48" s="69"/>
      <c r="C48" s="70"/>
      <c r="D48" s="74"/>
      <c r="G48" s="1635">
        <f t="shared" si="2"/>
        <v>0</v>
      </c>
      <c r="I48" s="2159" t="b">
        <f t="shared" si="0"/>
        <v>0</v>
      </c>
      <c r="J48" s="2159" t="b">
        <f t="shared" si="0"/>
        <v>0</v>
      </c>
    </row>
    <row r="49" spans="1:10" ht="21" customHeight="1">
      <c r="A49" s="1637" t="s">
        <v>2099</v>
      </c>
      <c r="B49" s="69"/>
      <c r="C49" s="70"/>
      <c r="D49" s="74"/>
      <c r="G49" s="1635">
        <f t="shared" si="2"/>
        <v>0</v>
      </c>
      <c r="I49" s="2159" t="b">
        <f t="shared" si="0"/>
        <v>0</v>
      </c>
      <c r="J49" s="2159" t="b">
        <f t="shared" si="0"/>
        <v>0</v>
      </c>
    </row>
    <row r="50" spans="1:10" ht="21" customHeight="1">
      <c r="A50" s="1637" t="s">
        <v>2072</v>
      </c>
      <c r="B50" s="69"/>
      <c r="C50" s="70"/>
      <c r="D50" s="74"/>
      <c r="G50" s="1635">
        <f t="shared" si="2"/>
        <v>0</v>
      </c>
      <c r="I50" s="2159" t="b">
        <f t="shared" si="0"/>
        <v>0</v>
      </c>
      <c r="J50" s="2159" t="b">
        <f t="shared" si="0"/>
        <v>0</v>
      </c>
    </row>
    <row r="51" spans="1:10" ht="21" customHeight="1">
      <c r="A51" s="2049"/>
      <c r="B51" s="69"/>
      <c r="C51" s="70"/>
      <c r="D51" s="74"/>
      <c r="G51" s="1635">
        <f t="shared" si="2"/>
        <v>0</v>
      </c>
      <c r="I51" s="2159" t="b">
        <f t="shared" si="0"/>
        <v>0</v>
      </c>
      <c r="J51" s="2159" t="b">
        <f t="shared" si="0"/>
        <v>0</v>
      </c>
    </row>
    <row r="52" spans="1:10" ht="21" customHeight="1">
      <c r="A52" s="2049"/>
      <c r="B52" s="69"/>
      <c r="C52" s="70"/>
      <c r="D52" s="74"/>
      <c r="G52" s="1635">
        <f t="shared" si="2"/>
        <v>0</v>
      </c>
      <c r="I52" s="2159" t="b">
        <f t="shared" si="0"/>
        <v>0</v>
      </c>
      <c r="J52" s="2159" t="b">
        <f t="shared" si="0"/>
        <v>0</v>
      </c>
    </row>
    <row r="53" spans="1:10" ht="21" customHeight="1">
      <c r="A53" s="2049"/>
      <c r="B53" s="69"/>
      <c r="C53" s="70"/>
      <c r="D53" s="74"/>
      <c r="G53" s="1635">
        <f t="shared" si="2"/>
        <v>0</v>
      </c>
      <c r="I53" s="2159" t="b">
        <f t="shared" si="0"/>
        <v>0</v>
      </c>
      <c r="J53" s="2159" t="b">
        <f t="shared" si="0"/>
        <v>0</v>
      </c>
    </row>
    <row r="54" spans="1:10" ht="21" customHeight="1">
      <c r="A54" s="2049"/>
      <c r="B54" s="69"/>
      <c r="C54" s="70"/>
      <c r="D54" s="74"/>
      <c r="G54" s="1635">
        <f t="shared" si="2"/>
        <v>0</v>
      </c>
      <c r="I54" s="2159" t="b">
        <f t="shared" si="0"/>
        <v>0</v>
      </c>
      <c r="J54" s="2159" t="b">
        <f t="shared" si="0"/>
        <v>0</v>
      </c>
    </row>
    <row r="55" spans="1:10" ht="21" customHeight="1">
      <c r="A55" s="2049"/>
      <c r="B55" s="69"/>
      <c r="C55" s="70"/>
      <c r="D55" s="74"/>
      <c r="G55" s="1635">
        <f t="shared" si="2"/>
        <v>0</v>
      </c>
      <c r="I55" s="2159" t="b">
        <f t="shared" si="0"/>
        <v>0</v>
      </c>
      <c r="J55" s="2159" t="b">
        <f t="shared" si="0"/>
        <v>0</v>
      </c>
    </row>
    <row r="56" spans="1:10" ht="21" customHeight="1">
      <c r="A56" s="1613" t="s">
        <v>2063</v>
      </c>
      <c r="B56" s="1244">
        <f>SUM(B35:B55)</f>
        <v>0</v>
      </c>
      <c r="C56" s="1244">
        <f>SUM(C35:C55)</f>
        <v>0</v>
      </c>
      <c r="D56" s="74"/>
      <c r="G56" s="1635" t="s">
        <v>206</v>
      </c>
      <c r="I56" s="2159" t="b">
        <f t="shared" si="0"/>
        <v>0</v>
      </c>
      <c r="J56" s="2159" t="b">
        <f t="shared" si="0"/>
        <v>0</v>
      </c>
    </row>
    <row r="57" spans="1:10" ht="21" customHeight="1">
      <c r="A57" s="2111" t="s">
        <v>296</v>
      </c>
      <c r="B57" s="1245">
        <f>B33+B56</f>
        <v>0</v>
      </c>
      <c r="C57" s="2112">
        <f>C33+C56</f>
        <v>0</v>
      </c>
      <c r="D57" s="74"/>
      <c r="G57" s="1635" t="s">
        <v>206</v>
      </c>
      <c r="I57" s="2159" t="b">
        <f t="shared" si="0"/>
        <v>0</v>
      </c>
      <c r="J57" s="2159" t="b">
        <f t="shared" si="0"/>
        <v>0</v>
      </c>
    </row>
    <row r="58" spans="1:10" ht="21" customHeight="1">
      <c r="A58" s="1639" t="s">
        <v>297</v>
      </c>
      <c r="B58" s="71"/>
      <c r="C58" s="566"/>
      <c r="D58" s="74"/>
      <c r="G58" s="1635" t="s">
        <v>206</v>
      </c>
      <c r="I58" s="2159" t="b">
        <f t="shared" si="0"/>
        <v>0</v>
      </c>
      <c r="J58" s="2159" t="b">
        <f t="shared" si="0"/>
        <v>0</v>
      </c>
    </row>
    <row r="59" spans="1:10" ht="21" customHeight="1">
      <c r="A59" s="1639" t="s">
        <v>298</v>
      </c>
      <c r="B59" s="72"/>
      <c r="C59" s="73"/>
      <c r="D59" s="74"/>
      <c r="G59" s="1635">
        <f>SUM(B59:C59)</f>
        <v>0</v>
      </c>
      <c r="I59" s="2159" t="b">
        <f t="shared" si="0"/>
        <v>0</v>
      </c>
      <c r="J59" s="2159" t="b">
        <f t="shared" si="0"/>
        <v>0</v>
      </c>
    </row>
    <row r="60" spans="1:10" ht="21" customHeight="1" thickBot="1">
      <c r="A60" s="2115" t="s">
        <v>299</v>
      </c>
      <c r="B60" s="2113">
        <f>B57+B59+B58</f>
        <v>0</v>
      </c>
      <c r="C60" s="2114">
        <f>C57+C59+C58</f>
        <v>0</v>
      </c>
      <c r="D60" s="74"/>
      <c r="G60" s="1635" t="s">
        <v>206</v>
      </c>
      <c r="I60" s="2159" t="b">
        <f t="shared" si="0"/>
        <v>0</v>
      </c>
      <c r="J60" s="2159" t="b">
        <f t="shared" si="0"/>
        <v>0</v>
      </c>
    </row>
    <row r="61" spans="1:10" ht="14.25" customHeight="1" thickTop="1">
      <c r="B61" s="9"/>
      <c r="G61" s="1079" t="s">
        <v>206</v>
      </c>
    </row>
    <row r="62" spans="1:10" ht="22.5" customHeight="1">
      <c r="A62" s="2"/>
      <c r="B62" s="1138"/>
      <c r="G62" s="1079" t="s">
        <v>206</v>
      </c>
    </row>
    <row r="63" spans="1:10" ht="24.95" customHeight="1">
      <c r="A63" s="8"/>
      <c r="B63" s="8"/>
      <c r="C63" s="87"/>
      <c r="D63" s="254"/>
      <c r="G63" s="1079" t="s">
        <v>206</v>
      </c>
    </row>
    <row r="64" spans="1:10" ht="24.95" customHeight="1">
      <c r="A64" s="3097"/>
      <c r="B64" s="3097"/>
      <c r="G64" s="1079" t="s">
        <v>206</v>
      </c>
    </row>
    <row r="65" spans="1:7" ht="24.95" customHeight="1">
      <c r="A65" s="3097"/>
      <c r="B65" s="3097"/>
      <c r="G65" s="1079" t="s">
        <v>206</v>
      </c>
    </row>
    <row r="66" spans="1:7" ht="24.95" customHeight="1">
      <c r="A66" s="3097"/>
      <c r="B66" s="3097"/>
      <c r="F66" s="42" t="s">
        <v>206</v>
      </c>
    </row>
    <row r="67" spans="1:7" ht="24.95" customHeight="1">
      <c r="A67" s="3097"/>
      <c r="B67" s="3097"/>
    </row>
    <row r="68" spans="1:7" ht="27">
      <c r="A68" s="45"/>
      <c r="B68" s="45"/>
    </row>
  </sheetData>
  <sheetProtection algorithmName="SHA-512" hashValue="2GQypByXQL5k110xGmafWBwvvlv90ZXS23Zch/fVbMc3mXzDZnQZIe4KkY0JLDDl6icRvfDj3AXOHpXeekzrDA==" saltValue="0H5eUyUeSS6o4IoCIIsN/Q==" spinCount="100000" sheet="1" objects="1" scenarios="1"/>
  <mergeCells count="5">
    <mergeCell ref="A67:B67"/>
    <mergeCell ref="A64:B64"/>
    <mergeCell ref="A65:B65"/>
    <mergeCell ref="A66:B66"/>
    <mergeCell ref="A1:C1"/>
  </mergeCells>
  <conditionalFormatting sqref="B5:B60">
    <cfRule type="expression" dxfId="327" priority="2">
      <formula>$I5=TRUE</formula>
    </cfRule>
  </conditionalFormatting>
  <conditionalFormatting sqref="C5:C60">
    <cfRule type="expression" dxfId="326" priority="1">
      <formula>$J5=TRUE</formula>
    </cfRule>
  </conditionalFormatting>
  <dataValidations count="3">
    <dataValidation type="custom" allowBlank="1" showInputMessage="1" showErrorMessage="1" error="مبالغ پرداختی باید به صورت عدد منفی و مبالغ دریافتی باید به صورت عدد مثبت درج شود." sqref="B10:C31 B34:C55" xr:uid="{00000000-0002-0000-4500-000000000000}">
      <formula1>IF(ISNUMBER(SEARCH("پرداخت", $A10)), B10&lt;0, IF(ISNUMBER(SEARCH("دریافت", $A10)), B10&gt;0, TRUE))</formula1>
    </dataValidation>
    <dataValidation type="custom" allowBlank="1" showInputMessage="1" showErrorMessage="1" error="مبالغ پرداختی باید به صورت منفی و مبالغ دریافتی به صورت مثبت درج شود" sqref="B5:C8" xr:uid="{00000000-0002-0000-4500-000001000000}">
      <formula1>IF(ISNUMBER(SEARCH("پرداخت", $A5)), B5&lt;0, IF(ISNUMBER(SEARCH("دریافت", $A5)), B5&gt;0, TRUE))</formula1>
    </dataValidation>
    <dataValidation type="custom" allowBlank="1" showInputMessage="1" showErrorMessage="1" sqref="B58:C59" xr:uid="{00000000-0002-0000-4500-000002000000}">
      <formula1>IF(ISNUMBER(SEARCH("پرداخت", A2)), B2&lt;0, TRUE)</formula1>
    </dataValidation>
  </dataValidations>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50">
    <tabColor rgb="FFFFA07A"/>
    <pageSetUpPr fitToPage="1"/>
  </sheetPr>
  <dimension ref="A1:O218"/>
  <sheetViews>
    <sheetView rightToLeft="1" view="pageBreakPreview" zoomScale="60" zoomScaleNormal="100" workbookViewId="0">
      <selection activeCell="H13" sqref="H13"/>
    </sheetView>
  </sheetViews>
  <sheetFormatPr defaultColWidth="9" defaultRowHeight="18.75"/>
  <cols>
    <col min="1" max="1" width="5.5703125" style="46" customWidth="1"/>
    <col min="2" max="2" width="8.5703125" style="46" customWidth="1"/>
    <col min="3" max="3" width="24.140625" style="46" bestFit="1" customWidth="1"/>
    <col min="4" max="4" width="35.5703125" style="46" bestFit="1" customWidth="1"/>
    <col min="5" max="5" width="16.7109375" style="46" customWidth="1"/>
    <col min="6" max="6" width="17.85546875" style="46" customWidth="1"/>
    <col min="7" max="7" width="11.5703125" style="46" customWidth="1"/>
    <col min="8" max="9" width="15.7109375" style="46" customWidth="1"/>
    <col min="10" max="12" width="9" style="259"/>
    <col min="13" max="13" width="9" style="259" customWidth="1"/>
    <col min="14" max="14" width="9" style="1673" hidden="1" customWidth="1"/>
    <col min="15" max="15" width="9" style="259" customWidth="1"/>
    <col min="16" max="16" width="9" style="46" customWidth="1"/>
    <col min="17" max="16384" width="9" style="46"/>
  </cols>
  <sheetData>
    <row r="1" spans="1:15" s="52" customFormat="1" ht="24" customHeight="1">
      <c r="A1" s="3094" t="str">
        <f>روکش!D4</f>
        <v>انبارهای عمومی و خدمات گمرکی ایران</v>
      </c>
      <c r="B1" s="3094"/>
      <c r="C1" s="3094"/>
      <c r="D1" s="3094"/>
      <c r="E1" s="3094"/>
      <c r="F1" s="3094"/>
      <c r="G1" s="3094"/>
      <c r="H1" s="3094"/>
      <c r="I1" s="3094"/>
      <c r="J1" s="249"/>
      <c r="K1" s="249"/>
      <c r="L1" s="249"/>
      <c r="M1" s="249"/>
      <c r="N1" s="1671"/>
      <c r="O1" s="249"/>
    </row>
    <row r="2" spans="1:15" s="5" customFormat="1" ht="28.5" customHeight="1">
      <c r="A2" s="1355" t="str">
        <f>"گزارش دريافت‌ها و پرداخت‌هاي نقدي آزادراه در دوره " &amp; روکش!F9 &amp; " سال " &amp; روکش!D9</f>
        <v>گزارش دريافت‌ها و پرداخت‌هاي نقدي آزادراه در دوره شش ماهه سال 1405</v>
      </c>
      <c r="B2" s="1355"/>
      <c r="C2" s="1355"/>
      <c r="D2" s="1355"/>
      <c r="E2" s="1355"/>
      <c r="F2" s="1299"/>
      <c r="G2" s="1299"/>
      <c r="H2" s="1299"/>
      <c r="I2" s="1299"/>
      <c r="J2" s="212"/>
      <c r="K2" s="212"/>
      <c r="L2" s="212"/>
      <c r="M2" s="212"/>
      <c r="N2" s="1081"/>
      <c r="O2" s="212"/>
    </row>
    <row r="3" spans="1:15" s="101" customFormat="1" ht="20.100000000000001" customHeight="1" thickBot="1">
      <c r="A3" s="1640"/>
      <c r="B3" s="1641"/>
      <c r="C3" s="1642"/>
      <c r="D3" s="1642"/>
      <c r="E3" s="1642"/>
      <c r="F3" s="1642"/>
      <c r="G3" s="1643"/>
      <c r="H3" s="1642"/>
      <c r="I3" s="1565" t="s">
        <v>30</v>
      </c>
      <c r="N3" s="1672"/>
    </row>
    <row r="4" spans="1:15" ht="27.75" customHeight="1" thickBot="1">
      <c r="A4" s="1644" t="s">
        <v>21</v>
      </c>
      <c r="B4" s="1645"/>
      <c r="C4" s="1645"/>
      <c r="D4" s="1646"/>
      <c r="E4" s="3099" t="s">
        <v>639</v>
      </c>
      <c r="F4" s="1647" t="s">
        <v>642</v>
      </c>
      <c r="G4" s="1648"/>
      <c r="H4" s="1648"/>
      <c r="I4" s="1649"/>
      <c r="N4" s="1673" t="s">
        <v>792</v>
      </c>
    </row>
    <row r="5" spans="1:15" ht="51" customHeight="1" thickBot="1">
      <c r="A5" s="1650"/>
      <c r="B5" s="1651" t="s">
        <v>143</v>
      </c>
      <c r="C5" s="1652" t="s">
        <v>144</v>
      </c>
      <c r="D5" s="1653" t="s">
        <v>145</v>
      </c>
      <c r="E5" s="3100"/>
      <c r="F5" s="1632" t="s">
        <v>53</v>
      </c>
      <c r="G5" s="1633" t="s">
        <v>216</v>
      </c>
      <c r="H5" s="1654" t="s">
        <v>793</v>
      </c>
      <c r="I5" s="1655" t="s">
        <v>230</v>
      </c>
      <c r="N5" s="1673" t="s">
        <v>206</v>
      </c>
    </row>
    <row r="6" spans="1:15" ht="18.75" customHeight="1">
      <c r="A6" s="3113" t="s">
        <v>142</v>
      </c>
      <c r="B6" s="3104" t="s">
        <v>146</v>
      </c>
      <c r="C6" s="3108" t="s">
        <v>1686</v>
      </c>
      <c r="D6" s="1145">
        <f ca="1">IF(ROW()-ROW($A$6)&lt;'الف-ب-ج'!$L$9,INDIRECT("BudgetDB!GO"&amp;('الف-ب-ج'!$M$9+ROW()-ROW($A$6))),"")</f>
        <v>0</v>
      </c>
      <c r="E6" s="1144"/>
      <c r="F6" s="969" cm="1">
        <f t="array" aca="1" ref="F6" ca="1">IF(ROW()-ROW($A$6)&lt;'الف-ب-ج'!$L$9,IF(روکش!$F$9="سه ماهه",INDIRECT("BudgetDB!GP"&amp;('الف-ب-ج'!$M$9+ROW()-ROW($A$6))),INDIRECT("BudgetDB!GQ"&amp;('الف-ب-ج'!$M$9+ROW()-ROW($A$6)))),"")</f>
        <v>0</v>
      </c>
      <c r="G6" s="255"/>
      <c r="H6" s="1656" t="str">
        <f>IFERROR((G6-E6)*100/E6,"-")</f>
        <v>-</v>
      </c>
      <c r="I6" s="1657" t="str">
        <f ca="1">IFERROR(G6*100/F6,"-")</f>
        <v>-</v>
      </c>
      <c r="N6" s="1674">
        <f ca="1">G6+F6+E6</f>
        <v>0</v>
      </c>
    </row>
    <row r="7" spans="1:15" ht="18.75" customHeight="1">
      <c r="A7" s="3114"/>
      <c r="B7" s="3105"/>
      <c r="C7" s="3102"/>
      <c r="D7" s="1146">
        <f ca="1">IF(ROW()-ROW($A$6)&lt;'الف-ب-ج'!$L$9,INDIRECT("BudgetDB!GO"&amp;('الف-ب-ج'!$M$9+ROW()-ROW($A$6))),"")</f>
        <v>0</v>
      </c>
      <c r="E7" s="1143"/>
      <c r="F7" s="1683" cm="1">
        <f t="array" aca="1" ref="F7" ca="1">IF(ROW()-ROW($A$6)&lt;'الف-ب-ج'!$L$9,IF(روکش!$F$9="سه ماهه",INDIRECT("BudgetDB!GP"&amp;('الف-ب-ج'!$M$9+ROW()-ROW($A$6))),INDIRECT("BudgetDB!GQ"&amp;('الف-ب-ج'!$M$9+ROW()-ROW($A$6)))),"")</f>
        <v>0</v>
      </c>
      <c r="G7" s="256"/>
      <c r="H7" s="1658" t="str">
        <f t="shared" ref="H7:H75" si="0">IFERROR((G7-E7)*100/E7,"-")</f>
        <v>-</v>
      </c>
      <c r="I7" s="1659" t="str">
        <f t="shared" ref="I7:I75" ca="1" si="1">IFERROR(G7*100/F7,"-")</f>
        <v>-</v>
      </c>
      <c r="N7" s="1674">
        <f t="shared" ref="N7:N75" ca="1" si="2">G7+F7+E7</f>
        <v>0</v>
      </c>
    </row>
    <row r="8" spans="1:15" ht="18.75" customHeight="1">
      <c r="A8" s="3114"/>
      <c r="B8" s="3105"/>
      <c r="C8" s="3101" t="s">
        <v>147</v>
      </c>
      <c r="D8" s="1681">
        <f ca="1">IF(ROW()-ROW($A$6)&lt;'الف-ب-ج'!$L$9,INDIRECT("BudgetDB!GO"&amp;('الف-ب-ج'!$M$9+ROW()-ROW($A$6))),"")</f>
        <v>0</v>
      </c>
      <c r="E8" s="1143"/>
      <c r="F8" s="1683" cm="1">
        <f t="array" aca="1" ref="F8" ca="1">IF(ROW()-ROW($A$6)&lt;'الف-ب-ج'!$L$9,IF(روکش!$F$9="سه ماهه",INDIRECT("BudgetDB!GP"&amp;('الف-ب-ج'!$M$9+ROW()-ROW($A$6))),INDIRECT("BudgetDB!GQ"&amp;('الف-ب-ج'!$M$9+ROW()-ROW($A$6)))),"")</f>
        <v>0</v>
      </c>
      <c r="G8" s="256"/>
      <c r="H8" s="1658" t="str">
        <f t="shared" si="0"/>
        <v>-</v>
      </c>
      <c r="I8" s="1659" t="str">
        <f t="shared" ca="1" si="1"/>
        <v>-</v>
      </c>
      <c r="N8" s="1674">
        <f t="shared" ca="1" si="2"/>
        <v>0</v>
      </c>
    </row>
    <row r="9" spans="1:15" ht="18.75" customHeight="1">
      <c r="A9" s="3114"/>
      <c r="B9" s="3105"/>
      <c r="C9" s="3102"/>
      <c r="D9" s="1681">
        <f ca="1">IF(ROW()-ROW($A$6)&lt;'الف-ب-ج'!$L$9,INDIRECT("BudgetDB!GO"&amp;('الف-ب-ج'!$M$9+ROW()-ROW($A$6))),"")</f>
        <v>0</v>
      </c>
      <c r="E9" s="1143"/>
      <c r="F9" s="1683" cm="1">
        <f t="array" aca="1" ref="F9" ca="1">IF(ROW()-ROW($A$6)&lt;'الف-ب-ج'!$L$9,IF(روکش!$F$9="سه ماهه",INDIRECT("BudgetDB!GP"&amp;('الف-ب-ج'!$M$9+ROW()-ROW($A$6))),INDIRECT("BudgetDB!GQ"&amp;('الف-ب-ج'!$M$9+ROW()-ROW($A$6)))),"")</f>
        <v>0</v>
      </c>
      <c r="G9" s="256"/>
      <c r="H9" s="1658" t="str">
        <f t="shared" si="0"/>
        <v>-</v>
      </c>
      <c r="I9" s="1659" t="str">
        <f t="shared" ca="1" si="1"/>
        <v>-</v>
      </c>
      <c r="N9" s="1674">
        <f t="shared" ca="1" si="2"/>
        <v>0</v>
      </c>
    </row>
    <row r="10" spans="1:15" ht="18.75" customHeight="1">
      <c r="A10" s="3114"/>
      <c r="B10" s="3105"/>
      <c r="C10" s="3102"/>
      <c r="D10" s="1681">
        <f ca="1">IF(ROW()-ROW($A$6)&lt;'الف-ب-ج'!$L$9,INDIRECT("BudgetDB!GO"&amp;('الف-ب-ج'!$M$9+ROW()-ROW($A$6))),"")</f>
        <v>0</v>
      </c>
      <c r="E10" s="1143"/>
      <c r="F10" s="1683" cm="1">
        <f t="array" aca="1" ref="F10" ca="1">IF(ROW()-ROW($A$6)&lt;'الف-ب-ج'!$L$9,IF(روکش!$F$9="سه ماهه",INDIRECT("BudgetDB!GP"&amp;('الف-ب-ج'!$M$9+ROW()-ROW($A$6))),INDIRECT("BudgetDB!GQ"&amp;('الف-ب-ج'!$M$9+ROW()-ROW($A$6)))),"")</f>
        <v>0</v>
      </c>
      <c r="G10" s="256"/>
      <c r="H10" s="1658" t="str">
        <f t="shared" si="0"/>
        <v>-</v>
      </c>
      <c r="I10" s="1659" t="str">
        <f t="shared" ca="1" si="1"/>
        <v>-</v>
      </c>
      <c r="N10" s="1674">
        <f t="shared" ca="1" si="2"/>
        <v>0</v>
      </c>
    </row>
    <row r="11" spans="1:15" ht="18.75" customHeight="1">
      <c r="A11" s="3114"/>
      <c r="B11" s="3105"/>
      <c r="C11" s="3102"/>
      <c r="D11" s="1681">
        <f ca="1">IF(ROW()-ROW($A$6)&lt;'الف-ب-ج'!$L$9,INDIRECT("BudgetDB!GO"&amp;('الف-ب-ج'!$M$9+ROW()-ROW($A$6))),"")</f>
        <v>0</v>
      </c>
      <c r="E11" s="1143"/>
      <c r="F11" s="1683" cm="1">
        <f t="array" aca="1" ref="F11" ca="1">IF(ROW()-ROW($A$6)&lt;'الف-ب-ج'!$L$9,IF(روکش!$F$9="سه ماهه",INDIRECT("BudgetDB!GP"&amp;('الف-ب-ج'!$M$9+ROW()-ROW($A$6))),INDIRECT("BudgetDB!GQ"&amp;('الف-ب-ج'!$M$9+ROW()-ROW($A$6)))),"")</f>
        <v>0</v>
      </c>
      <c r="G11" s="256"/>
      <c r="H11" s="1658" t="str">
        <f t="shared" si="0"/>
        <v>-</v>
      </c>
      <c r="I11" s="1659" t="str">
        <f t="shared" ca="1" si="1"/>
        <v>-</v>
      </c>
      <c r="N11" s="1674">
        <f t="shared" ca="1" si="2"/>
        <v>0</v>
      </c>
    </row>
    <row r="12" spans="1:15" ht="18.75" customHeight="1">
      <c r="A12" s="3114"/>
      <c r="B12" s="3105"/>
      <c r="C12" s="3102"/>
      <c r="D12" s="1681">
        <f ca="1">IF(ROW()-ROW($A$6)&lt;'الف-ب-ج'!$L$9,INDIRECT("BudgetDB!GO"&amp;('الف-ب-ج'!$M$9+ROW()-ROW($A$6))),"")</f>
        <v>0</v>
      </c>
      <c r="E12" s="1143"/>
      <c r="F12" s="1683" cm="1">
        <f t="array" aca="1" ref="F12" ca="1">IF(ROW()-ROW($A$6)&lt;'الف-ب-ج'!$L$9,IF(روکش!$F$9="سه ماهه",INDIRECT("BudgetDB!GP"&amp;('الف-ب-ج'!$M$9+ROW()-ROW($A$6))),INDIRECT("BudgetDB!GQ"&amp;('الف-ب-ج'!$M$9+ROW()-ROW($A$6)))),"")</f>
        <v>0</v>
      </c>
      <c r="G12" s="256"/>
      <c r="H12" s="1658" t="str">
        <f t="shared" si="0"/>
        <v>-</v>
      </c>
      <c r="I12" s="1659" t="str">
        <f t="shared" ca="1" si="1"/>
        <v>-</v>
      </c>
      <c r="N12" s="1674">
        <f t="shared" ca="1" si="2"/>
        <v>0</v>
      </c>
    </row>
    <row r="13" spans="1:15" ht="18.75" customHeight="1">
      <c r="A13" s="3114"/>
      <c r="B13" s="3105"/>
      <c r="C13" s="3102"/>
      <c r="D13" s="1681">
        <f ca="1">IF(ROW()-ROW($A$6)&lt;'الف-ب-ج'!$L$9,INDIRECT("BudgetDB!GO"&amp;('الف-ب-ج'!$M$9+ROW()-ROW($A$6))),"")</f>
        <v>0</v>
      </c>
      <c r="E13" s="1143"/>
      <c r="F13" s="1683" cm="1">
        <f t="array" aca="1" ref="F13" ca="1">IF(ROW()-ROW($A$6)&lt;'الف-ب-ج'!$L$9,IF(روکش!$F$9="سه ماهه",INDIRECT("BudgetDB!GP"&amp;('الف-ب-ج'!$M$9+ROW()-ROW($A$6))),INDIRECT("BudgetDB!GQ"&amp;('الف-ب-ج'!$M$9+ROW()-ROW($A$6)))),"")</f>
        <v>0</v>
      </c>
      <c r="G13" s="256"/>
      <c r="H13" s="1658" t="str">
        <f t="shared" si="0"/>
        <v>-</v>
      </c>
      <c r="I13" s="1659" t="str">
        <f t="shared" ca="1" si="1"/>
        <v>-</v>
      </c>
      <c r="N13" s="1674">
        <f t="shared" ca="1" si="2"/>
        <v>0</v>
      </c>
    </row>
    <row r="14" spans="1:15" ht="18.75" customHeight="1">
      <c r="A14" s="3114"/>
      <c r="B14" s="3105"/>
      <c r="C14" s="3102"/>
      <c r="D14" s="699">
        <f ca="1">IF(ROW()-ROW($A$6)&lt;'الف-ب-ج'!$L$9,INDIRECT("BudgetDB!GO"&amp;('الف-ب-ج'!$M$9+ROW()-ROW($A$6))),"")</f>
        <v>0</v>
      </c>
      <c r="E14" s="1143"/>
      <c r="F14" s="1683" cm="1">
        <f t="array" aca="1" ref="F14" ca="1">IF(ROW()-ROW($A$6)&lt;'الف-ب-ج'!$L$9,IF(روکش!$F$9="سه ماهه",INDIRECT("BudgetDB!GP"&amp;('الف-ب-ج'!$M$9+ROW()-ROW($A$6))),INDIRECT("BudgetDB!GQ"&amp;('الف-ب-ج'!$M$9+ROW()-ROW($A$6)))),"")</f>
        <v>0</v>
      </c>
      <c r="G14" s="256"/>
      <c r="H14" s="1658" t="str">
        <f t="shared" si="0"/>
        <v>-</v>
      </c>
      <c r="I14" s="1659" t="str">
        <f t="shared" ca="1" si="1"/>
        <v>-</v>
      </c>
      <c r="N14" s="1674">
        <f t="shared" ca="1" si="2"/>
        <v>0</v>
      </c>
    </row>
    <row r="15" spans="1:15" ht="18.75" customHeight="1">
      <c r="A15" s="3114"/>
      <c r="B15" s="3105"/>
      <c r="C15" s="3102"/>
      <c r="D15" s="699">
        <f ca="1">IF(ROW()-ROW($A$6)&lt;'الف-ب-ج'!$L$9,INDIRECT("BudgetDB!GO"&amp;('الف-ب-ج'!$M$9+ROW()-ROW($A$6))),"")</f>
        <v>0</v>
      </c>
      <c r="E15" s="1143"/>
      <c r="F15" s="1683" cm="1">
        <f t="array" aca="1" ref="F15" ca="1">IF(ROW()-ROW($A$6)&lt;'الف-ب-ج'!$L$9,IF(روکش!$F$9="سه ماهه",INDIRECT("BudgetDB!GP"&amp;('الف-ب-ج'!$M$9+ROW()-ROW($A$6))),INDIRECT("BudgetDB!GQ"&amp;('الف-ب-ج'!$M$9+ROW()-ROW($A$6)))),"")</f>
        <v>0</v>
      </c>
      <c r="G15" s="256"/>
      <c r="H15" s="1658" t="str">
        <f t="shared" si="0"/>
        <v>-</v>
      </c>
      <c r="I15" s="1659" t="str">
        <f t="shared" ca="1" si="1"/>
        <v>-</v>
      </c>
      <c r="N15" s="1674">
        <f t="shared" ca="1" si="2"/>
        <v>0</v>
      </c>
    </row>
    <row r="16" spans="1:15" ht="18.75" customHeight="1">
      <c r="A16" s="3114"/>
      <c r="B16" s="3105"/>
      <c r="C16" s="3102"/>
      <c r="D16" s="699">
        <f ca="1">IF(ROW()-ROW($A$6)&lt;'الف-ب-ج'!$L$9,INDIRECT("BudgetDB!GO"&amp;('الف-ب-ج'!$M$9+ROW()-ROW($A$6))),"")</f>
        <v>0</v>
      </c>
      <c r="E16" s="1143"/>
      <c r="F16" s="1683" cm="1">
        <f t="array" aca="1" ref="F16" ca="1">IF(ROW()-ROW($A$6)&lt;'الف-ب-ج'!$L$9,IF(روکش!$F$9="سه ماهه",INDIRECT("BudgetDB!GP"&amp;('الف-ب-ج'!$M$9+ROW()-ROW($A$6))),INDIRECT("BudgetDB!GQ"&amp;('الف-ب-ج'!$M$9+ROW()-ROW($A$6)))),"")</f>
        <v>0</v>
      </c>
      <c r="G16" s="256"/>
      <c r="H16" s="1658" t="str">
        <f t="shared" si="0"/>
        <v>-</v>
      </c>
      <c r="I16" s="1659" t="str">
        <f t="shared" ca="1" si="1"/>
        <v>-</v>
      </c>
      <c r="N16" s="1674">
        <f t="shared" ca="1" si="2"/>
        <v>0</v>
      </c>
    </row>
    <row r="17" spans="1:14" ht="18.75" customHeight="1">
      <c r="A17" s="3114"/>
      <c r="B17" s="3105"/>
      <c r="C17" s="3109"/>
      <c r="D17" s="699">
        <f ca="1">IF(ROW()-ROW($A$6)&lt;'الف-ب-ج'!$L$9,INDIRECT("BudgetDB!GO"&amp;('الف-ب-ج'!$M$9+ROW()-ROW($A$6))),"")</f>
        <v>0</v>
      </c>
      <c r="E17" s="1143"/>
      <c r="F17" s="1683" cm="1">
        <f t="array" aca="1" ref="F17" ca="1">IF(ROW()-ROW($A$6)&lt;'الف-ب-ج'!$L$9,IF(روکش!$F$9="سه ماهه",INDIRECT("BudgetDB!GP"&amp;('الف-ب-ج'!$M$9+ROW()-ROW($A$6))),INDIRECT("BudgetDB!GQ"&amp;('الف-ب-ج'!$M$9+ROW()-ROW($A$6)))),"")</f>
        <v>0</v>
      </c>
      <c r="G17" s="256"/>
      <c r="H17" s="1658" t="str">
        <f t="shared" si="0"/>
        <v>-</v>
      </c>
      <c r="I17" s="1659" t="str">
        <f t="shared" ca="1" si="1"/>
        <v>-</v>
      </c>
      <c r="N17" s="1674">
        <f t="shared" ca="1" si="2"/>
        <v>0</v>
      </c>
    </row>
    <row r="18" spans="1:14" ht="18.75" customHeight="1">
      <c r="A18" s="3114"/>
      <c r="B18" s="3105"/>
      <c r="C18" s="3101" t="s">
        <v>1413</v>
      </c>
      <c r="D18" s="1681">
        <f ca="1">IF(ROW()-ROW($A$6)&lt;'الف-ب-ج'!$L$9,INDIRECT("BudgetDB!GO"&amp;('الف-ب-ج'!$M$9+ROW()-ROW($A$6))),"")</f>
        <v>0</v>
      </c>
      <c r="E18" s="1143"/>
      <c r="F18" s="1683" cm="1">
        <f t="array" aca="1" ref="F18" ca="1">IF(ROW()-ROW($A$6)&lt;'الف-ب-ج'!$L$9,IF(روکش!$F$9="سه ماهه",INDIRECT("BudgetDB!GP"&amp;('الف-ب-ج'!$M$9+ROW()-ROW($A$6))),INDIRECT("BudgetDB!GQ"&amp;('الف-ب-ج'!$M$9+ROW()-ROW($A$6)))),"")</f>
        <v>0</v>
      </c>
      <c r="G18" s="256"/>
      <c r="H18" s="1658" t="str">
        <f t="shared" si="0"/>
        <v>-</v>
      </c>
      <c r="I18" s="1659" t="str">
        <f t="shared" ca="1" si="1"/>
        <v>-</v>
      </c>
      <c r="N18" s="1674">
        <f t="shared" ca="1" si="2"/>
        <v>0</v>
      </c>
    </row>
    <row r="19" spans="1:14" ht="18.75" customHeight="1">
      <c r="A19" s="3114"/>
      <c r="B19" s="3105"/>
      <c r="C19" s="3102"/>
      <c r="D19" s="1681">
        <f ca="1">IF(ROW()-ROW($A$6)&lt;'الف-ب-ج'!$L$9,INDIRECT("BudgetDB!GO"&amp;('الف-ب-ج'!$M$9+ROW()-ROW($A$6))),"")</f>
        <v>0</v>
      </c>
      <c r="E19" s="1143"/>
      <c r="F19" s="1683" cm="1">
        <f t="array" aca="1" ref="F19" ca="1">IF(ROW()-ROW($A$6)&lt;'الف-ب-ج'!$L$9,IF(روکش!$F$9="سه ماهه",INDIRECT("BudgetDB!GP"&amp;('الف-ب-ج'!$M$9+ROW()-ROW($A$6))),INDIRECT("BudgetDB!GQ"&amp;('الف-ب-ج'!$M$9+ROW()-ROW($A$6)))),"")</f>
        <v>0</v>
      </c>
      <c r="G19" s="256"/>
      <c r="H19" s="1658" t="str">
        <f t="shared" si="0"/>
        <v>-</v>
      </c>
      <c r="I19" s="1659" t="str">
        <f t="shared" ca="1" si="1"/>
        <v>-</v>
      </c>
      <c r="N19" s="1674">
        <f t="shared" ca="1" si="2"/>
        <v>0</v>
      </c>
    </row>
    <row r="20" spans="1:14" ht="18.75" customHeight="1">
      <c r="A20" s="3114"/>
      <c r="B20" s="3105"/>
      <c r="C20" s="3102"/>
      <c r="D20" s="1681">
        <f ca="1">IF(ROW()-ROW($A$6)&lt;'الف-ب-ج'!$L$9,INDIRECT("BudgetDB!GO"&amp;('الف-ب-ج'!$M$9+ROW()-ROW($A$6))),"")</f>
        <v>0</v>
      </c>
      <c r="E20" s="1143"/>
      <c r="F20" s="1683" cm="1">
        <f t="array" aca="1" ref="F20" ca="1">IF(ROW()-ROW($A$6)&lt;'الف-ب-ج'!$L$9,IF(روکش!$F$9="سه ماهه",INDIRECT("BudgetDB!GP"&amp;('الف-ب-ج'!$M$9+ROW()-ROW($A$6))),INDIRECT("BudgetDB!GQ"&amp;('الف-ب-ج'!$M$9+ROW()-ROW($A$6)))),"")</f>
        <v>0</v>
      </c>
      <c r="G20" s="256"/>
      <c r="H20" s="1658" t="str">
        <f>IFERROR((G20-E20)*100/E20,"-")</f>
        <v>-</v>
      </c>
      <c r="I20" s="1659" t="str">
        <f t="shared" ca="1" si="1"/>
        <v>-</v>
      </c>
      <c r="N20" s="1674">
        <f t="shared" ca="1" si="2"/>
        <v>0</v>
      </c>
    </row>
    <row r="21" spans="1:14" ht="18.75" customHeight="1">
      <c r="A21" s="3114"/>
      <c r="B21" s="3105"/>
      <c r="C21" s="3102"/>
      <c r="D21" s="699">
        <f ca="1">IF(ROW()-ROW($A$6)&lt;'الف-ب-ج'!$L$9,INDIRECT("BudgetDB!GO"&amp;('الف-ب-ج'!$M$9+ROW()-ROW($A$6))),"")</f>
        <v>0</v>
      </c>
      <c r="E21" s="1143"/>
      <c r="F21" s="1683" cm="1">
        <f t="array" aca="1" ref="F21" ca="1">IF(ROW()-ROW($A$6)&lt;'الف-ب-ج'!$L$9,IF(روکش!$F$9="سه ماهه",INDIRECT("BudgetDB!GP"&amp;('الف-ب-ج'!$M$9+ROW()-ROW($A$6))),INDIRECT("BudgetDB!GQ"&amp;('الف-ب-ج'!$M$9+ROW()-ROW($A$6)))),"")</f>
        <v>0</v>
      </c>
      <c r="G21" s="256"/>
      <c r="H21" s="1658" t="str">
        <f t="shared" si="0"/>
        <v>-</v>
      </c>
      <c r="I21" s="1659" t="str">
        <f t="shared" ca="1" si="1"/>
        <v>-</v>
      </c>
      <c r="N21" s="1674">
        <f t="shared" ca="1" si="2"/>
        <v>0</v>
      </c>
    </row>
    <row r="22" spans="1:14" ht="18.75" customHeight="1">
      <c r="A22" s="3114"/>
      <c r="B22" s="3105"/>
      <c r="C22" s="3109"/>
      <c r="D22" s="699">
        <f ca="1">IF(ROW()-ROW($A$6)&lt;'الف-ب-ج'!$L$9,INDIRECT("BudgetDB!GO"&amp;('الف-ب-ج'!$M$9+ROW()-ROW($A$6))),"")</f>
        <v>0</v>
      </c>
      <c r="E22" s="1143"/>
      <c r="F22" s="1683" cm="1">
        <f t="array" aca="1" ref="F22" ca="1">IF(ROW()-ROW($A$6)&lt;'الف-ب-ج'!$L$9,IF(روکش!$F$9="سه ماهه",INDIRECT("BudgetDB!GP"&amp;('الف-ب-ج'!$M$9+ROW()-ROW($A$6))),INDIRECT("BudgetDB!GQ"&amp;('الف-ب-ج'!$M$9+ROW()-ROW($A$6)))),"")</f>
        <v>0</v>
      </c>
      <c r="G22" s="256"/>
      <c r="H22" s="1658" t="str">
        <f t="shared" si="0"/>
        <v>-</v>
      </c>
      <c r="I22" s="1659" t="str">
        <f t="shared" ca="1" si="1"/>
        <v>-</v>
      </c>
      <c r="N22" s="1674">
        <f t="shared" ca="1" si="2"/>
        <v>0</v>
      </c>
    </row>
    <row r="23" spans="1:14" ht="18.75" customHeight="1">
      <c r="A23" s="3114"/>
      <c r="B23" s="3105"/>
      <c r="C23" s="3101" t="s">
        <v>1685</v>
      </c>
      <c r="D23" s="1681">
        <f ca="1">IF(ROW()-ROW($A$6)&lt;'الف-ب-ج'!$L$9,INDIRECT("BudgetDB!GO"&amp;('الف-ب-ج'!$M$9+ROW()-ROW($A$6))),"")</f>
        <v>0</v>
      </c>
      <c r="E23" s="1143"/>
      <c r="F23" s="1683" cm="1">
        <f t="array" aca="1" ref="F23" ca="1">IF(ROW()-ROW($A$6)&lt;'الف-ب-ج'!$L$9,IF(روکش!$F$9="سه ماهه",INDIRECT("BudgetDB!GP"&amp;('الف-ب-ج'!$M$9+ROW()-ROW($A$6))),INDIRECT("BudgetDB!GQ"&amp;('الف-ب-ج'!$M$9+ROW()-ROW($A$6)))),"")</f>
        <v>0</v>
      </c>
      <c r="G23" s="256"/>
      <c r="H23" s="1658" t="str">
        <f t="shared" si="0"/>
        <v>-</v>
      </c>
      <c r="I23" s="1659" t="str">
        <f t="shared" ca="1" si="1"/>
        <v>-</v>
      </c>
      <c r="N23" s="1674">
        <f t="shared" ca="1" si="2"/>
        <v>0</v>
      </c>
    </row>
    <row r="24" spans="1:14" ht="18.75" customHeight="1">
      <c r="A24" s="3114"/>
      <c r="B24" s="3105"/>
      <c r="C24" s="3102"/>
      <c r="D24" s="1681">
        <f ca="1">IF(ROW()-ROW($A$6)&lt;'الف-ب-ج'!$L$9,INDIRECT("BudgetDB!GO"&amp;('الف-ب-ج'!$M$9+ROW()-ROW($A$6))),"")</f>
        <v>0</v>
      </c>
      <c r="E24" s="1143"/>
      <c r="F24" s="1683" cm="1">
        <f t="array" aca="1" ref="F24" ca="1">IF(ROW()-ROW($A$6)&lt;'الف-ب-ج'!$L$9,IF(روکش!$F$9="سه ماهه",INDIRECT("BudgetDB!GP"&amp;('الف-ب-ج'!$M$9+ROW()-ROW($A$6))),INDIRECT("BudgetDB!GQ"&amp;('الف-ب-ج'!$M$9+ROW()-ROW($A$6)))),"")</f>
        <v>0</v>
      </c>
      <c r="G24" s="256"/>
      <c r="H24" s="1658" t="str">
        <f t="shared" si="0"/>
        <v>-</v>
      </c>
      <c r="I24" s="1659" t="str">
        <f t="shared" ca="1" si="1"/>
        <v>-</v>
      </c>
      <c r="N24" s="1674">
        <f t="shared" ca="1" si="2"/>
        <v>0</v>
      </c>
    </row>
    <row r="25" spans="1:14" ht="18.75" customHeight="1">
      <c r="A25" s="3114"/>
      <c r="B25" s="3105"/>
      <c r="C25" s="3102"/>
      <c r="D25" s="699">
        <f ca="1">IF(ROW()-ROW($A$6)&lt;'الف-ب-ج'!$L$9,INDIRECT("BudgetDB!GO"&amp;('الف-ب-ج'!$M$9+ROW()-ROW($A$6))),"")</f>
        <v>0</v>
      </c>
      <c r="E25" s="1143"/>
      <c r="F25" s="1683" cm="1">
        <f t="array" aca="1" ref="F25" ca="1">IF(ROW()-ROW($A$6)&lt;'الف-ب-ج'!$L$9,IF(روکش!$F$9="سه ماهه",INDIRECT("BudgetDB!GP"&amp;('الف-ب-ج'!$M$9+ROW()-ROW($A$6))),INDIRECT("BudgetDB!GQ"&amp;('الف-ب-ج'!$M$9+ROW()-ROW($A$6)))),"")</f>
        <v>0</v>
      </c>
      <c r="G25" s="256"/>
      <c r="H25" s="1658" t="str">
        <f t="shared" si="0"/>
        <v>-</v>
      </c>
      <c r="I25" s="1659" t="str">
        <f t="shared" ca="1" si="1"/>
        <v>-</v>
      </c>
      <c r="N25" s="1674">
        <f t="shared" ca="1" si="2"/>
        <v>0</v>
      </c>
    </row>
    <row r="26" spans="1:14" ht="18.75" customHeight="1">
      <c r="A26" s="3114"/>
      <c r="B26" s="3105"/>
      <c r="C26" s="3109"/>
      <c r="D26" s="699">
        <f ca="1">IF(ROW()-ROW($A$6)&lt;'الف-ب-ج'!$L$9,INDIRECT("BudgetDB!GO"&amp;('الف-ب-ج'!$M$9+ROW()-ROW($A$6))),"")</f>
        <v>0</v>
      </c>
      <c r="E26" s="1143"/>
      <c r="F26" s="1683" cm="1">
        <f t="array" aca="1" ref="F26" ca="1">IF(ROW()-ROW($A$6)&lt;'الف-ب-ج'!$L$9,IF(روکش!$F$9="سه ماهه",INDIRECT("BudgetDB!GP"&amp;('الف-ب-ج'!$M$9+ROW()-ROW($A$6))),INDIRECT("BudgetDB!GQ"&amp;('الف-ب-ج'!$M$9+ROW()-ROW($A$6)))),"")</f>
        <v>0</v>
      </c>
      <c r="G26" s="256"/>
      <c r="H26" s="1658" t="str">
        <f t="shared" si="0"/>
        <v>-</v>
      </c>
      <c r="I26" s="1659" t="str">
        <f t="shared" ca="1" si="1"/>
        <v>-</v>
      </c>
      <c r="N26" s="1674">
        <f t="shared" ca="1" si="2"/>
        <v>0</v>
      </c>
    </row>
    <row r="27" spans="1:14" ht="18.75" customHeight="1">
      <c r="A27" s="3114"/>
      <c r="B27" s="3105"/>
      <c r="C27" s="3101" t="s">
        <v>148</v>
      </c>
      <c r="D27" s="1139">
        <f ca="1">'سایر عملیاتی آزادراهی'!A7</f>
        <v>0</v>
      </c>
      <c r="E27" s="1143"/>
      <c r="F27" s="1683" cm="1">
        <f t="array" aca="1" ref="F27" ca="1">IF(ROW()-ROW($A$6)&lt;'الف-ب-ج'!$L$9,IF(روکش!$F$9="سه ماهه",INDIRECT("BudgetDB!GP"&amp;('الف-ب-ج'!$M$9+ROW()-ROW($A$6))),INDIRECT("BudgetDB!GQ"&amp;('الف-ب-ج'!$M$9+ROW()-ROW($A$6)))),"")</f>
        <v>0</v>
      </c>
      <c r="G27" s="256"/>
      <c r="H27" s="1658" t="str">
        <f t="shared" si="0"/>
        <v>-</v>
      </c>
      <c r="I27" s="1659" t="str">
        <f t="shared" ca="1" si="1"/>
        <v>-</v>
      </c>
      <c r="N27" s="1674">
        <f t="shared" ca="1" si="2"/>
        <v>0</v>
      </c>
    </row>
    <row r="28" spans="1:14" ht="18.75" customHeight="1">
      <c r="A28" s="3114"/>
      <c r="B28" s="3105"/>
      <c r="C28" s="3102"/>
      <c r="D28" s="1139">
        <f ca="1">'سایر عملیاتی آزادراهی'!A8</f>
        <v>0</v>
      </c>
      <c r="E28" s="1141"/>
      <c r="F28" s="1684" cm="1">
        <f t="array" aca="1" ref="F28" ca="1">IF(ROW()-ROW($A$6)&lt;'الف-ب-ج'!$L$9,IF(روکش!$F$9="سه ماهه",INDIRECT("BudgetDB!GP"&amp;('الف-ب-ج'!$M$9+ROW()-ROW($A$6))),INDIRECT("BudgetDB!GQ"&amp;('الف-ب-ج'!$M$9+ROW()-ROW($A$6)))),"")</f>
        <v>0</v>
      </c>
      <c r="G28" s="257"/>
      <c r="H28" s="1660" t="str">
        <f t="shared" ref="H28:H41" si="3">IFERROR((G28-E28)*100/E28,"-")</f>
        <v>-</v>
      </c>
      <c r="I28" s="1661" t="str">
        <f t="shared" ref="I28:I41" ca="1" si="4">IFERROR(G28*100/F28,"-")</f>
        <v>-</v>
      </c>
      <c r="N28" s="1674">
        <f t="shared" ca="1" si="2"/>
        <v>0</v>
      </c>
    </row>
    <row r="29" spans="1:14" ht="18.75" customHeight="1">
      <c r="A29" s="3114"/>
      <c r="B29" s="3105"/>
      <c r="C29" s="3102"/>
      <c r="D29" s="1139">
        <f ca="1">'سایر عملیاتی آزادراهی'!A9</f>
        <v>0</v>
      </c>
      <c r="E29" s="1141"/>
      <c r="F29" s="1684" cm="1">
        <f t="array" aca="1" ref="F29" ca="1">IF(ROW()-ROW($A$6)&lt;'الف-ب-ج'!$L$9,IF(روکش!$F$9="سه ماهه",INDIRECT("BudgetDB!GP"&amp;('الف-ب-ج'!$M$9+ROW()-ROW($A$6))),INDIRECT("BudgetDB!GQ"&amp;('الف-ب-ج'!$M$9+ROW()-ROW($A$6)))),"")</f>
        <v>0</v>
      </c>
      <c r="G29" s="257"/>
      <c r="H29" s="1660" t="str">
        <f t="shared" si="3"/>
        <v>-</v>
      </c>
      <c r="I29" s="1661" t="str">
        <f t="shared" ca="1" si="4"/>
        <v>-</v>
      </c>
      <c r="N29" s="1674">
        <f t="shared" ca="1" si="2"/>
        <v>0</v>
      </c>
    </row>
    <row r="30" spans="1:14" ht="18.75" customHeight="1">
      <c r="A30" s="3114"/>
      <c r="B30" s="3105"/>
      <c r="C30" s="3102"/>
      <c r="D30" s="1139">
        <f ca="1">'سایر عملیاتی آزادراهی'!A10</f>
        <v>0</v>
      </c>
      <c r="E30" s="1141"/>
      <c r="F30" s="1684" cm="1">
        <f t="array" aca="1" ref="F30" ca="1">IF(ROW()-ROW($A$6)&lt;'الف-ب-ج'!$L$9,IF(روکش!$F$9="سه ماهه",INDIRECT("BudgetDB!GP"&amp;('الف-ب-ج'!$M$9+ROW()-ROW($A$6))),INDIRECT("BudgetDB!GQ"&amp;('الف-ب-ج'!$M$9+ROW()-ROW($A$6)))),"")</f>
        <v>0</v>
      </c>
      <c r="G30" s="257"/>
      <c r="H30" s="1660" t="str">
        <f t="shared" si="3"/>
        <v>-</v>
      </c>
      <c r="I30" s="1661" t="str">
        <f t="shared" ca="1" si="4"/>
        <v>-</v>
      </c>
      <c r="N30" s="1674">
        <f t="shared" ca="1" si="2"/>
        <v>0</v>
      </c>
    </row>
    <row r="31" spans="1:14" ht="18.75" customHeight="1">
      <c r="A31" s="3114"/>
      <c r="B31" s="3105"/>
      <c r="C31" s="3102"/>
      <c r="D31" s="1139">
        <f ca="1">'سایر عملیاتی آزادراهی'!A11</f>
        <v>0</v>
      </c>
      <c r="E31" s="1141"/>
      <c r="F31" s="1684" cm="1">
        <f t="array" aca="1" ref="F31" ca="1">IF(ROW()-ROW($A$6)&lt;'الف-ب-ج'!$L$9,IF(روکش!$F$9="سه ماهه",INDIRECT("BudgetDB!GP"&amp;('الف-ب-ج'!$M$9+ROW()-ROW($A$6))),INDIRECT("BudgetDB!GQ"&amp;('الف-ب-ج'!$M$9+ROW()-ROW($A$6)))),"")</f>
        <v>0</v>
      </c>
      <c r="G31" s="257"/>
      <c r="H31" s="1660" t="str">
        <f t="shared" si="3"/>
        <v>-</v>
      </c>
      <c r="I31" s="1661" t="str">
        <f t="shared" ca="1" si="4"/>
        <v>-</v>
      </c>
      <c r="N31" s="1674">
        <f t="shared" ca="1" si="2"/>
        <v>0</v>
      </c>
    </row>
    <row r="32" spans="1:14" ht="18.75" customHeight="1">
      <c r="A32" s="3114"/>
      <c r="B32" s="3105"/>
      <c r="C32" s="3102"/>
      <c r="D32" s="1139">
        <f ca="1">'سایر عملیاتی آزادراهی'!A12</f>
        <v>0</v>
      </c>
      <c r="E32" s="1141"/>
      <c r="F32" s="1684" cm="1">
        <f t="array" aca="1" ref="F32" ca="1">IF(ROW()-ROW($A$6)&lt;'الف-ب-ج'!$L$9,IF(روکش!$F$9="سه ماهه",INDIRECT("BudgetDB!GP"&amp;('الف-ب-ج'!$M$9+ROW()-ROW($A$6))),INDIRECT("BudgetDB!GQ"&amp;('الف-ب-ج'!$M$9+ROW()-ROW($A$6)))),"")</f>
        <v>0</v>
      </c>
      <c r="G32" s="257"/>
      <c r="H32" s="1660" t="str">
        <f t="shared" si="3"/>
        <v>-</v>
      </c>
      <c r="I32" s="1661" t="str">
        <f t="shared" ca="1" si="4"/>
        <v>-</v>
      </c>
      <c r="N32" s="1674">
        <f t="shared" ca="1" si="2"/>
        <v>0</v>
      </c>
    </row>
    <row r="33" spans="1:14" ht="18.75" customHeight="1">
      <c r="A33" s="3114"/>
      <c r="B33" s="3105"/>
      <c r="C33" s="3102"/>
      <c r="D33" s="1139">
        <f ca="1">'سایر عملیاتی آزادراهی'!A13</f>
        <v>0</v>
      </c>
      <c r="E33" s="1141"/>
      <c r="F33" s="1684" cm="1">
        <f t="array" aca="1" ref="F33" ca="1">IF(ROW()-ROW($A$6)&lt;'الف-ب-ج'!$L$9,IF(روکش!$F$9="سه ماهه",INDIRECT("BudgetDB!GP"&amp;('الف-ب-ج'!$M$9+ROW()-ROW($A$6))),INDIRECT("BudgetDB!GQ"&amp;('الف-ب-ج'!$M$9+ROW()-ROW($A$6)))),"")</f>
        <v>0</v>
      </c>
      <c r="G33" s="257"/>
      <c r="H33" s="1660" t="str">
        <f t="shared" si="3"/>
        <v>-</v>
      </c>
      <c r="I33" s="1661" t="str">
        <f t="shared" ca="1" si="4"/>
        <v>-</v>
      </c>
      <c r="N33" s="1674">
        <f t="shared" ca="1" si="2"/>
        <v>0</v>
      </c>
    </row>
    <row r="34" spans="1:14" ht="18.75" customHeight="1">
      <c r="A34" s="3114"/>
      <c r="B34" s="3105"/>
      <c r="C34" s="3102"/>
      <c r="D34" s="1139">
        <f ca="1">'سایر عملیاتی آزادراهی'!A14</f>
        <v>0</v>
      </c>
      <c r="E34" s="1141"/>
      <c r="F34" s="1684" cm="1">
        <f t="array" aca="1" ref="F34" ca="1">IF(ROW()-ROW($A$6)&lt;'الف-ب-ج'!$L$9,IF(روکش!$F$9="سه ماهه",INDIRECT("BudgetDB!GP"&amp;('الف-ب-ج'!$M$9+ROW()-ROW($A$6))),INDIRECT("BudgetDB!GQ"&amp;('الف-ب-ج'!$M$9+ROW()-ROW($A$6)))),"")</f>
        <v>0</v>
      </c>
      <c r="G34" s="257"/>
      <c r="H34" s="1660" t="str">
        <f t="shared" si="3"/>
        <v>-</v>
      </c>
      <c r="I34" s="1661" t="str">
        <f t="shared" ca="1" si="4"/>
        <v>-</v>
      </c>
      <c r="N34" s="1674">
        <f t="shared" ca="1" si="2"/>
        <v>0</v>
      </c>
    </row>
    <row r="35" spans="1:14" ht="18.75" customHeight="1">
      <c r="A35" s="3114"/>
      <c r="B35" s="3105"/>
      <c r="C35" s="3102"/>
      <c r="D35" s="1139">
        <f ca="1">'سایر عملیاتی آزادراهی'!A15</f>
        <v>0</v>
      </c>
      <c r="E35" s="1141"/>
      <c r="F35" s="1684" cm="1">
        <f t="array" aca="1" ref="F35" ca="1">IF(ROW()-ROW($A$6)&lt;'الف-ب-ج'!$L$9,IF(روکش!$F$9="سه ماهه",INDIRECT("BudgetDB!GP"&amp;('الف-ب-ج'!$M$9+ROW()-ROW($A$6))),INDIRECT("BudgetDB!GQ"&amp;('الف-ب-ج'!$M$9+ROW()-ROW($A$6)))),"")</f>
        <v>0</v>
      </c>
      <c r="G35" s="257"/>
      <c r="H35" s="1660" t="str">
        <f t="shared" si="3"/>
        <v>-</v>
      </c>
      <c r="I35" s="1661" t="str">
        <f t="shared" ca="1" si="4"/>
        <v>-</v>
      </c>
      <c r="N35" s="1674">
        <f t="shared" ca="1" si="2"/>
        <v>0</v>
      </c>
    </row>
    <row r="36" spans="1:14" ht="18.75" customHeight="1">
      <c r="A36" s="3114"/>
      <c r="B36" s="3105"/>
      <c r="C36" s="3102"/>
      <c r="D36" s="1139">
        <f ca="1">'سایر عملیاتی آزادراهی'!A16</f>
        <v>0</v>
      </c>
      <c r="E36" s="1141"/>
      <c r="F36" s="1684" cm="1">
        <f t="array" aca="1" ref="F36" ca="1">IF(ROW()-ROW($A$6)&lt;'الف-ب-ج'!$L$9,IF(روکش!$F$9="سه ماهه",INDIRECT("BudgetDB!GP"&amp;('الف-ب-ج'!$M$9+ROW()-ROW($A$6))),INDIRECT("BudgetDB!GQ"&amp;('الف-ب-ج'!$M$9+ROW()-ROW($A$6)))),"")</f>
        <v>0</v>
      </c>
      <c r="G36" s="257"/>
      <c r="H36" s="1660" t="str">
        <f t="shared" si="3"/>
        <v>-</v>
      </c>
      <c r="I36" s="1661" t="str">
        <f t="shared" ca="1" si="4"/>
        <v>-</v>
      </c>
      <c r="N36" s="1674">
        <f t="shared" ca="1" si="2"/>
        <v>0</v>
      </c>
    </row>
    <row r="37" spans="1:14" ht="18.75" customHeight="1">
      <c r="A37" s="3114"/>
      <c r="B37" s="3105"/>
      <c r="C37" s="3102"/>
      <c r="D37" s="1139">
        <f ca="1">'سایر عملیاتی آزادراهی'!A17</f>
        <v>0</v>
      </c>
      <c r="E37" s="1141"/>
      <c r="F37" s="1684" cm="1">
        <f t="array" aca="1" ref="F37" ca="1">IF(ROW()-ROW($A$6)&lt;'الف-ب-ج'!$L$9,IF(روکش!$F$9="سه ماهه",INDIRECT("BudgetDB!GP"&amp;('الف-ب-ج'!$M$9+ROW()-ROW($A$6))),INDIRECT("BudgetDB!GQ"&amp;('الف-ب-ج'!$M$9+ROW()-ROW($A$6)))),"")</f>
        <v>0</v>
      </c>
      <c r="G37" s="257"/>
      <c r="H37" s="1660" t="str">
        <f t="shared" si="3"/>
        <v>-</v>
      </c>
      <c r="I37" s="1661" t="str">
        <f t="shared" ca="1" si="4"/>
        <v>-</v>
      </c>
      <c r="N37" s="1674">
        <f t="shared" ca="1" si="2"/>
        <v>0</v>
      </c>
    </row>
    <row r="38" spans="1:14" ht="18.75" customHeight="1">
      <c r="A38" s="3114"/>
      <c r="B38" s="3105"/>
      <c r="C38" s="3102"/>
      <c r="D38" s="1139">
        <f ca="1">'سایر عملیاتی آزادراهی'!A18</f>
        <v>0</v>
      </c>
      <c r="E38" s="1141"/>
      <c r="F38" s="1684" cm="1">
        <f t="array" aca="1" ref="F38" ca="1">IF(ROW()-ROW($A$6)&lt;'الف-ب-ج'!$L$9,IF(روکش!$F$9="سه ماهه",INDIRECT("BudgetDB!GP"&amp;('الف-ب-ج'!$M$9+ROW()-ROW($A$6))),INDIRECT("BudgetDB!GQ"&amp;('الف-ب-ج'!$M$9+ROW()-ROW($A$6)))),"")</f>
        <v>0</v>
      </c>
      <c r="G38" s="257"/>
      <c r="H38" s="1660" t="str">
        <f t="shared" si="3"/>
        <v>-</v>
      </c>
      <c r="I38" s="1661" t="str">
        <f t="shared" ca="1" si="4"/>
        <v>-</v>
      </c>
      <c r="N38" s="1674">
        <f t="shared" ca="1" si="2"/>
        <v>0</v>
      </c>
    </row>
    <row r="39" spans="1:14" ht="18.75" customHeight="1">
      <c r="A39" s="3114"/>
      <c r="B39" s="3105"/>
      <c r="C39" s="3102"/>
      <c r="D39" s="1139">
        <f ca="1">'سایر عملیاتی آزادراهی'!A19</f>
        <v>0</v>
      </c>
      <c r="E39" s="1141"/>
      <c r="F39" s="1684" cm="1">
        <f t="array" aca="1" ref="F39" ca="1">IF(ROW()-ROW($A$6)&lt;'الف-ب-ج'!$L$9,IF(روکش!$F$9="سه ماهه",INDIRECT("BudgetDB!GP"&amp;('الف-ب-ج'!$M$9+ROW()-ROW($A$6))),INDIRECT("BudgetDB!GQ"&amp;('الف-ب-ج'!$M$9+ROW()-ROW($A$6)))),"")</f>
        <v>0</v>
      </c>
      <c r="G39" s="257"/>
      <c r="H39" s="1660" t="str">
        <f t="shared" si="3"/>
        <v>-</v>
      </c>
      <c r="I39" s="1661" t="str">
        <f t="shared" ca="1" si="4"/>
        <v>-</v>
      </c>
      <c r="N39" s="1674">
        <f t="shared" ca="1" si="2"/>
        <v>0</v>
      </c>
    </row>
    <row r="40" spans="1:14" ht="18.75" customHeight="1">
      <c r="A40" s="3114"/>
      <c r="B40" s="3105"/>
      <c r="C40" s="3102"/>
      <c r="D40" s="1139">
        <f ca="1">'سایر عملیاتی آزادراهی'!A20</f>
        <v>0</v>
      </c>
      <c r="E40" s="1141"/>
      <c r="F40" s="1684" cm="1">
        <f t="array" aca="1" ref="F40" ca="1">IF(ROW()-ROW($A$6)&lt;'الف-ب-ج'!$L$9,IF(روکش!$F$9="سه ماهه",INDIRECT("BudgetDB!GP"&amp;('الف-ب-ج'!$M$9+ROW()-ROW($A$6))),INDIRECT("BudgetDB!GQ"&amp;('الف-ب-ج'!$M$9+ROW()-ROW($A$6)))),"")</f>
        <v>0</v>
      </c>
      <c r="G40" s="257"/>
      <c r="H40" s="1660" t="str">
        <f t="shared" si="3"/>
        <v>-</v>
      </c>
      <c r="I40" s="1661" t="str">
        <f t="shared" ca="1" si="4"/>
        <v>-</v>
      </c>
      <c r="N40" s="1674">
        <f t="shared" ca="1" si="2"/>
        <v>0</v>
      </c>
    </row>
    <row r="41" spans="1:14" ht="18.75" customHeight="1">
      <c r="A41" s="3114"/>
      <c r="B41" s="3105"/>
      <c r="C41" s="3102"/>
      <c r="D41" s="1139">
        <f ca="1">'سایر عملیاتی آزادراهی'!A21</f>
        <v>0</v>
      </c>
      <c r="E41" s="1141"/>
      <c r="F41" s="1684" cm="1">
        <f t="array" aca="1" ref="F41" ca="1">IF(ROW()-ROW($A$6)&lt;'الف-ب-ج'!$L$9,IF(روکش!$F$9="سه ماهه",INDIRECT("BudgetDB!GP"&amp;('الف-ب-ج'!$M$9+ROW()-ROW($A$6))),INDIRECT("BudgetDB!GQ"&amp;('الف-ب-ج'!$M$9+ROW()-ROW($A$6)))),"")</f>
        <v>0</v>
      </c>
      <c r="G41" s="257"/>
      <c r="H41" s="1660" t="str">
        <f t="shared" si="3"/>
        <v>-</v>
      </c>
      <c r="I41" s="1661" t="str">
        <f t="shared" ca="1" si="4"/>
        <v>-</v>
      </c>
      <c r="N41" s="1674">
        <f t="shared" ca="1" si="2"/>
        <v>0</v>
      </c>
    </row>
    <row r="42" spans="1:14" ht="18.75" customHeight="1">
      <c r="A42" s="3114"/>
      <c r="B42" s="3106"/>
      <c r="C42" s="3101" t="s">
        <v>1684</v>
      </c>
      <c r="D42" s="1681">
        <f ca="1">IF(ROW()-ROW($A$6)&lt;'الف-ب-ج'!$L$9,INDIRECT("BudgetDB!GO"&amp;('الف-ب-ج'!$M$9+ROW()-ROW($A$6))),"")</f>
        <v>0</v>
      </c>
      <c r="E42" s="1141"/>
      <c r="F42" s="1684" cm="1">
        <f t="array" aca="1" ref="F42" ca="1">IF(ROW()-ROW($A$6)&lt;'الف-ب-ج'!$L$9,IF(روکش!$F$9="سه ماهه",INDIRECT("BudgetDB!GP"&amp;('الف-ب-ج'!$M$9+ROW()-ROW($A$6))),INDIRECT("BudgetDB!GQ"&amp;('الف-ب-ج'!$M$9+ROW()-ROW($A$6)))),"")</f>
        <v>0</v>
      </c>
      <c r="G42" s="257"/>
      <c r="H42" s="1660" t="str">
        <f t="shared" si="0"/>
        <v>-</v>
      </c>
      <c r="I42" s="1661" t="str">
        <f t="shared" ca="1" si="1"/>
        <v>-</v>
      </c>
      <c r="N42" s="1674">
        <f t="shared" ca="1" si="2"/>
        <v>0</v>
      </c>
    </row>
    <row r="43" spans="1:14" ht="18.75" customHeight="1">
      <c r="A43" s="3114"/>
      <c r="B43" s="3106"/>
      <c r="C43" s="3102"/>
      <c r="D43" s="1681">
        <f ca="1">IF(ROW()-ROW($A$6)&lt;'الف-ب-ج'!$L$9,INDIRECT("BudgetDB!GO"&amp;('الف-ب-ج'!$M$9+ROW()-ROW($A$6))),"")</f>
        <v>0</v>
      </c>
      <c r="E43" s="1141"/>
      <c r="F43" s="1684" cm="1">
        <f t="array" aca="1" ref="F43" ca="1">IF(ROW()-ROW($A$6)&lt;'الف-ب-ج'!$L$9,IF(روکش!$F$9="سه ماهه",INDIRECT("BudgetDB!GP"&amp;('الف-ب-ج'!$M$9+ROW()-ROW($A$6))),INDIRECT("BudgetDB!GQ"&amp;('الف-ب-ج'!$M$9+ROW()-ROW($A$6)))),"")</f>
        <v>0</v>
      </c>
      <c r="G43" s="257"/>
      <c r="H43" s="1660" t="str">
        <f t="shared" si="0"/>
        <v>-</v>
      </c>
      <c r="I43" s="1661" t="str">
        <f t="shared" ca="1" si="1"/>
        <v>-</v>
      </c>
      <c r="N43" s="1674">
        <f t="shared" ca="1" si="2"/>
        <v>0</v>
      </c>
    </row>
    <row r="44" spans="1:14" ht="18.75" customHeight="1" thickBot="1">
      <c r="A44" s="3114"/>
      <c r="B44" s="3106"/>
      <c r="C44" s="3103"/>
      <c r="D44" s="699">
        <f ca="1">IF(ROW()-ROW($A$6)&lt;'الف-ب-ج'!$L$9,INDIRECT("BudgetDB!GO"&amp;('الف-ب-ج'!$M$9+ROW()-ROW($A$6))),"")</f>
        <v>0</v>
      </c>
      <c r="E44" s="1141"/>
      <c r="F44" s="1684" cm="1">
        <f t="array" aca="1" ref="F44" ca="1">IF(ROW()-ROW($A$6)&lt;'الف-ب-ج'!$L$9,IF(روکش!$F$9="سه ماهه",INDIRECT("BudgetDB!GP"&amp;('الف-ب-ج'!$M$9+ROW()-ROW($A$6))),INDIRECT("BudgetDB!GQ"&amp;('الف-ب-ج'!$M$9+ROW()-ROW($A$6)))),"")</f>
        <v>0</v>
      </c>
      <c r="G44" s="257"/>
      <c r="H44" s="1660" t="str">
        <f t="shared" si="0"/>
        <v>-</v>
      </c>
      <c r="I44" s="1661" t="str">
        <f t="shared" ca="1" si="1"/>
        <v>-</v>
      </c>
      <c r="N44" s="1674">
        <f t="shared" ca="1" si="2"/>
        <v>0</v>
      </c>
    </row>
    <row r="45" spans="1:14" ht="18.75" customHeight="1" thickBot="1">
      <c r="A45" s="3114"/>
      <c r="B45" s="3107"/>
      <c r="C45" s="1676" t="s">
        <v>149</v>
      </c>
      <c r="D45" s="1680"/>
      <c r="E45" s="1662">
        <f>SUM(E6:E44)</f>
        <v>0</v>
      </c>
      <c r="F45" s="966">
        <f ca="1">SUM(F6:F44)</f>
        <v>0</v>
      </c>
      <c r="G45" s="1663">
        <f>SUM(G6:G44)</f>
        <v>0</v>
      </c>
      <c r="H45" s="1664" t="str">
        <f t="shared" si="0"/>
        <v>-</v>
      </c>
      <c r="I45" s="1665" t="str">
        <f t="shared" ca="1" si="1"/>
        <v>-</v>
      </c>
      <c r="N45" s="1674" t="s">
        <v>206</v>
      </c>
    </row>
    <row r="46" spans="1:14" ht="18.75" customHeight="1">
      <c r="A46" s="3114"/>
      <c r="B46" s="3110" t="s">
        <v>150</v>
      </c>
      <c r="C46" s="3108" t="s">
        <v>151</v>
      </c>
      <c r="D46" s="1681">
        <f ca="1">IF(ROW()-ROW($A$6)&lt;'الف-ب-ج'!$L$9,INDIRECT("BudgetDB!GO"&amp;('الف-ب-ج'!$M$9+ROW()-ROW($A$6))),"")</f>
        <v>0</v>
      </c>
      <c r="E46" s="1142"/>
      <c r="F46" s="1685" cm="1">
        <f t="array" aca="1" ref="F46" ca="1">IF(ROW()-ROW($A$6)&lt;'الف-ب-ج'!$L$9,IF(روکش!$F$9="سه ماهه",INDIRECT("BudgetDB!GP"&amp;('الف-ب-ج'!$M$9+ROW()-ROW($A$6))),INDIRECT("BudgetDB!GQ"&amp;('الف-ب-ج'!$M$9+ROW()-ROW($A$6)))),"")</f>
        <v>0</v>
      </c>
      <c r="G46" s="258"/>
      <c r="H46" s="1666" t="str">
        <f t="shared" si="0"/>
        <v>-</v>
      </c>
      <c r="I46" s="1667" t="str">
        <f t="shared" ca="1" si="1"/>
        <v>-</v>
      </c>
      <c r="N46" s="1674">
        <f t="shared" ca="1" si="2"/>
        <v>0</v>
      </c>
    </row>
    <row r="47" spans="1:14" ht="18.75" customHeight="1">
      <c r="A47" s="3114"/>
      <c r="B47" s="3110"/>
      <c r="C47" s="3102"/>
      <c r="D47" s="1681">
        <f ca="1">IF(ROW()-ROW($A$6)&lt;'الف-ب-ج'!$L$9,INDIRECT("BudgetDB!GO"&amp;('الف-ب-ج'!$M$9+ROW()-ROW($A$6))),"")</f>
        <v>0</v>
      </c>
      <c r="E47" s="1142"/>
      <c r="F47" s="1685" cm="1">
        <f t="array" aca="1" ref="F47" ca="1">IF(ROW()-ROW($A$6)&lt;'الف-ب-ج'!$L$9,IF(روکش!$F$9="سه ماهه",INDIRECT("BudgetDB!GP"&amp;('الف-ب-ج'!$M$9+ROW()-ROW($A$6))),INDIRECT("BudgetDB!GQ"&amp;('الف-ب-ج'!$M$9+ROW()-ROW($A$6)))),"")</f>
        <v>0</v>
      </c>
      <c r="G47" s="258"/>
      <c r="H47" s="1666" t="str">
        <f t="shared" si="0"/>
        <v>-</v>
      </c>
      <c r="I47" s="1667" t="str">
        <f t="shared" ca="1" si="1"/>
        <v>-</v>
      </c>
      <c r="N47" s="1674">
        <f t="shared" ca="1" si="2"/>
        <v>0</v>
      </c>
    </row>
    <row r="48" spans="1:14" ht="18.75" customHeight="1">
      <c r="A48" s="3114"/>
      <c r="B48" s="3110"/>
      <c r="C48" s="3102"/>
      <c r="D48" s="1681">
        <f ca="1">IF(ROW()-ROW($A$6)&lt;'الف-ب-ج'!$L$9,INDIRECT("BudgetDB!GO"&amp;('الف-ب-ج'!$M$9+ROW()-ROW($A$6))),"")</f>
        <v>0</v>
      </c>
      <c r="E48" s="1142"/>
      <c r="F48" s="1685" cm="1">
        <f t="array" aca="1" ref="F48" ca="1">IF(ROW()-ROW($A$6)&lt;'الف-ب-ج'!$L$9,IF(روکش!$F$9="سه ماهه",INDIRECT("BudgetDB!GP"&amp;('الف-ب-ج'!$M$9+ROW()-ROW($A$6))),INDIRECT("BudgetDB!GQ"&amp;('الف-ب-ج'!$M$9+ROW()-ROW($A$6)))),"")</f>
        <v>0</v>
      </c>
      <c r="G48" s="258"/>
      <c r="H48" s="1666" t="str">
        <f t="shared" si="0"/>
        <v>-</v>
      </c>
      <c r="I48" s="1667" t="str">
        <f t="shared" ca="1" si="1"/>
        <v>-</v>
      </c>
      <c r="N48" s="1674">
        <f t="shared" ca="1" si="2"/>
        <v>0</v>
      </c>
    </row>
    <row r="49" spans="1:14" ht="18.75" customHeight="1">
      <c r="A49" s="3114"/>
      <c r="B49" s="3110"/>
      <c r="C49" s="3102"/>
      <c r="D49" s="1681">
        <f ca="1">IF(ROW()-ROW($A$6)&lt;'الف-ب-ج'!$L$9,INDIRECT("BudgetDB!GO"&amp;('الف-ب-ج'!$M$9+ROW()-ROW($A$6))),"")</f>
        <v>0</v>
      </c>
      <c r="E49" s="1142"/>
      <c r="F49" s="1685" cm="1">
        <f t="array" aca="1" ref="F49" ca="1">IF(ROW()-ROW($A$6)&lt;'الف-ب-ج'!$L$9,IF(روکش!$F$9="سه ماهه",INDIRECT("BudgetDB!GP"&amp;('الف-ب-ج'!$M$9+ROW()-ROW($A$6))),INDIRECT("BudgetDB!GQ"&amp;('الف-ب-ج'!$M$9+ROW()-ROW($A$6)))),"")</f>
        <v>0</v>
      </c>
      <c r="G49" s="258"/>
      <c r="H49" s="1666" t="str">
        <f t="shared" si="0"/>
        <v>-</v>
      </c>
      <c r="I49" s="1667" t="str">
        <f t="shared" ca="1" si="1"/>
        <v>-</v>
      </c>
      <c r="N49" s="1674">
        <f t="shared" ca="1" si="2"/>
        <v>0</v>
      </c>
    </row>
    <row r="50" spans="1:14" ht="18.75" customHeight="1">
      <c r="A50" s="3114"/>
      <c r="B50" s="3110"/>
      <c r="C50" s="3102"/>
      <c r="D50" s="698">
        <f ca="1">IF(ROW()-ROW($A$6)&lt;'الف-ب-ج'!$L$9,INDIRECT("BudgetDB!GO"&amp;('الف-ب-ج'!$M$9+ROW()-ROW($A$6))),"")</f>
        <v>0</v>
      </c>
      <c r="E50" s="1142"/>
      <c r="F50" s="1685" cm="1">
        <f t="array" aca="1" ref="F50" ca="1">IF(ROW()-ROW($A$6)&lt;'الف-ب-ج'!$L$9,IF(روکش!$F$9="سه ماهه",INDIRECT("BudgetDB!GP"&amp;('الف-ب-ج'!$M$9+ROW()-ROW($A$6))),INDIRECT("BudgetDB!GQ"&amp;('الف-ب-ج'!$M$9+ROW()-ROW($A$6)))),"")</f>
        <v>0</v>
      </c>
      <c r="G50" s="258"/>
      <c r="H50" s="1666" t="str">
        <f t="shared" si="0"/>
        <v>-</v>
      </c>
      <c r="I50" s="1667" t="str">
        <f t="shared" ca="1" si="1"/>
        <v>-</v>
      </c>
      <c r="N50" s="1674">
        <f t="shared" ca="1" si="2"/>
        <v>0</v>
      </c>
    </row>
    <row r="51" spans="1:14" ht="18.75" customHeight="1">
      <c r="A51" s="3114"/>
      <c r="B51" s="3110"/>
      <c r="C51" s="3109"/>
      <c r="D51" s="698">
        <f ca="1">IF(ROW()-ROW($A$6)&lt;'الف-ب-ج'!$L$9,INDIRECT("BudgetDB!GO"&amp;('الف-ب-ج'!$M$9+ROW()-ROW($A$6))),"")</f>
        <v>0</v>
      </c>
      <c r="E51" s="1142"/>
      <c r="F51" s="1685" cm="1">
        <f t="array" aca="1" ref="F51" ca="1">IF(ROW()-ROW($A$6)&lt;'الف-ب-ج'!$L$9,IF(روکش!$F$9="سه ماهه",INDIRECT("BudgetDB!GP"&amp;('الف-ب-ج'!$M$9+ROW()-ROW($A$6))),INDIRECT("BudgetDB!GQ"&amp;('الف-ب-ج'!$M$9+ROW()-ROW($A$6)))),"")</f>
        <v>0</v>
      </c>
      <c r="G51" s="258"/>
      <c r="H51" s="1666" t="str">
        <f t="shared" si="0"/>
        <v>-</v>
      </c>
      <c r="I51" s="1667" t="str">
        <f t="shared" ca="1" si="1"/>
        <v>-</v>
      </c>
      <c r="N51" s="1674">
        <f t="shared" ca="1" si="2"/>
        <v>0</v>
      </c>
    </row>
    <row r="52" spans="1:14" ht="18.75" customHeight="1">
      <c r="A52" s="3114"/>
      <c r="B52" s="3110"/>
      <c r="C52" s="3101" t="s">
        <v>152</v>
      </c>
      <c r="D52" s="1681">
        <f ca="1">IF(ROW()-ROW($A$6)&lt;'الف-ب-ج'!$L$9,INDIRECT("BudgetDB!GO"&amp;('الف-ب-ج'!$M$9+ROW()-ROW($A$6))),"")</f>
        <v>0</v>
      </c>
      <c r="E52" s="1143"/>
      <c r="F52" s="1683" cm="1">
        <f t="array" aca="1" ref="F52" ca="1">IF(ROW()-ROW($A$6)&lt;'الف-ب-ج'!$L$9,IF(روکش!$F$9="سه ماهه",INDIRECT("BudgetDB!GP"&amp;('الف-ب-ج'!$M$9+ROW()-ROW($A$6))),INDIRECT("BudgetDB!GQ"&amp;('الف-ب-ج'!$M$9+ROW()-ROW($A$6)))),"")</f>
        <v>0</v>
      </c>
      <c r="G52" s="256"/>
      <c r="H52" s="1658" t="str">
        <f t="shared" si="0"/>
        <v>-</v>
      </c>
      <c r="I52" s="1659" t="str">
        <f t="shared" ca="1" si="1"/>
        <v>-</v>
      </c>
      <c r="N52" s="1674">
        <f t="shared" ca="1" si="2"/>
        <v>0</v>
      </c>
    </row>
    <row r="53" spans="1:14" ht="18.75" customHeight="1">
      <c r="A53" s="3114"/>
      <c r="B53" s="3110"/>
      <c r="C53" s="3102"/>
      <c r="D53" s="1681">
        <f ca="1">IF(ROW()-ROW($A$6)&lt;'الف-ب-ج'!$L$9,INDIRECT("BudgetDB!GO"&amp;('الف-ب-ج'!$M$9+ROW()-ROW($A$6))),"")</f>
        <v>0</v>
      </c>
      <c r="E53" s="1143"/>
      <c r="F53" s="1683" cm="1">
        <f t="array" aca="1" ref="F53" ca="1">IF(ROW()-ROW($A$6)&lt;'الف-ب-ج'!$L$9,IF(روکش!$F$9="سه ماهه",INDIRECT("BudgetDB!GP"&amp;('الف-ب-ج'!$M$9+ROW()-ROW($A$6))),INDIRECT("BudgetDB!GQ"&amp;('الف-ب-ج'!$M$9+ROW()-ROW($A$6)))),"")</f>
        <v>0</v>
      </c>
      <c r="G53" s="256"/>
      <c r="H53" s="1658" t="str">
        <f t="shared" si="0"/>
        <v>-</v>
      </c>
      <c r="I53" s="1659" t="str">
        <f t="shared" ca="1" si="1"/>
        <v>-</v>
      </c>
      <c r="N53" s="1674">
        <f t="shared" ca="1" si="2"/>
        <v>0</v>
      </c>
    </row>
    <row r="54" spans="1:14" ht="18.75" customHeight="1">
      <c r="A54" s="3114"/>
      <c r="B54" s="3110"/>
      <c r="C54" s="3102"/>
      <c r="D54" s="1681">
        <f ca="1">IF(ROW()-ROW($A$6)&lt;'الف-ب-ج'!$L$9,INDIRECT("BudgetDB!GO"&amp;('الف-ب-ج'!$M$9+ROW()-ROW($A$6))),"")</f>
        <v>0</v>
      </c>
      <c r="E54" s="1143"/>
      <c r="F54" s="1683" cm="1">
        <f t="array" aca="1" ref="F54" ca="1">IF(ROW()-ROW($A$6)&lt;'الف-ب-ج'!$L$9,IF(روکش!$F$9="سه ماهه",INDIRECT("BudgetDB!GP"&amp;('الف-ب-ج'!$M$9+ROW()-ROW($A$6))),INDIRECT("BudgetDB!GQ"&amp;('الف-ب-ج'!$M$9+ROW()-ROW($A$6)))),"")</f>
        <v>0</v>
      </c>
      <c r="G54" s="256"/>
      <c r="H54" s="1658" t="str">
        <f t="shared" si="0"/>
        <v>-</v>
      </c>
      <c r="I54" s="1659" t="str">
        <f t="shared" ca="1" si="1"/>
        <v>-</v>
      </c>
      <c r="N54" s="1674">
        <f t="shared" ca="1" si="2"/>
        <v>0</v>
      </c>
    </row>
    <row r="55" spans="1:14" ht="18.75" customHeight="1">
      <c r="A55" s="3114"/>
      <c r="B55" s="3110"/>
      <c r="C55" s="3102"/>
      <c r="D55" s="698">
        <f ca="1">IF(ROW()-ROW($A$6)&lt;'الف-ب-ج'!$L$9,INDIRECT("BudgetDB!GO"&amp;('الف-ب-ج'!$M$9+ROW()-ROW($A$6))),"")</f>
        <v>0</v>
      </c>
      <c r="E55" s="1143"/>
      <c r="F55" s="1683" cm="1">
        <f t="array" aca="1" ref="F55" ca="1">IF(ROW()-ROW($A$6)&lt;'الف-ب-ج'!$L$9,IF(روکش!$F$9="سه ماهه",INDIRECT("BudgetDB!GP"&amp;('الف-ب-ج'!$M$9+ROW()-ROW($A$6))),INDIRECT("BudgetDB!GQ"&amp;('الف-ب-ج'!$M$9+ROW()-ROW($A$6)))),"")</f>
        <v>0</v>
      </c>
      <c r="G55" s="256"/>
      <c r="H55" s="1658" t="str">
        <f t="shared" si="0"/>
        <v>-</v>
      </c>
      <c r="I55" s="1659" t="str">
        <f t="shared" ca="1" si="1"/>
        <v>-</v>
      </c>
      <c r="N55" s="1674">
        <f t="shared" ca="1" si="2"/>
        <v>0</v>
      </c>
    </row>
    <row r="56" spans="1:14" ht="18.75" customHeight="1">
      <c r="A56" s="3114"/>
      <c r="B56" s="3110"/>
      <c r="C56" s="3101" t="s">
        <v>311</v>
      </c>
      <c r="D56" s="1681">
        <f ca="1">IF(ROW()-ROW($A$6)&lt;'الف-ب-ج'!$L$9,INDIRECT("BudgetDB!GO"&amp;('الف-ب-ج'!$M$9+ROW()-ROW($A$6))),"")</f>
        <v>0</v>
      </c>
      <c r="E56" s="1143"/>
      <c r="F56" s="1683" cm="1">
        <f t="array" aca="1" ref="F56" ca="1">IF(ROW()-ROW($A$6)&lt;'الف-ب-ج'!$L$9,IF(روکش!$F$9="سه ماهه",INDIRECT("BudgetDB!GP"&amp;('الف-ب-ج'!$M$9+ROW()-ROW($A$6))),INDIRECT("BudgetDB!GQ"&amp;('الف-ب-ج'!$M$9+ROW()-ROW($A$6)))),"")</f>
        <v>0</v>
      </c>
      <c r="G56" s="256"/>
      <c r="H56" s="1658" t="str">
        <f t="shared" si="0"/>
        <v>-</v>
      </c>
      <c r="I56" s="1659" t="str">
        <f t="shared" ca="1" si="1"/>
        <v>-</v>
      </c>
      <c r="N56" s="1674">
        <f t="shared" ca="1" si="2"/>
        <v>0</v>
      </c>
    </row>
    <row r="57" spans="1:14" ht="18.75" customHeight="1">
      <c r="A57" s="3114"/>
      <c r="B57" s="3110"/>
      <c r="C57" s="3102"/>
      <c r="D57" s="1681">
        <f ca="1">IF(ROW()-ROW($A$6)&lt;'الف-ب-ج'!$L$9,INDIRECT("BudgetDB!GO"&amp;('الف-ب-ج'!$M$9+ROW()-ROW($A$6))),"")</f>
        <v>0</v>
      </c>
      <c r="E57" s="1141"/>
      <c r="F57" s="1684" cm="1">
        <f t="array" aca="1" ref="F57" ca="1">IF(ROW()-ROW($A$6)&lt;'الف-ب-ج'!$L$9,IF(روکش!$F$9="سه ماهه",INDIRECT("BudgetDB!GP"&amp;('الف-ب-ج'!$M$9+ROW()-ROW($A$6))),INDIRECT("BudgetDB!GQ"&amp;('الف-ب-ج'!$M$9+ROW()-ROW($A$6)))),"")</f>
        <v>0</v>
      </c>
      <c r="G57" s="257"/>
      <c r="H57" s="1660" t="str">
        <f t="shared" si="0"/>
        <v>-</v>
      </c>
      <c r="I57" s="1661" t="str">
        <f t="shared" ca="1" si="1"/>
        <v>-</v>
      </c>
      <c r="N57" s="1674">
        <f t="shared" ca="1" si="2"/>
        <v>0</v>
      </c>
    </row>
    <row r="58" spans="1:14" ht="18.75" customHeight="1">
      <c r="A58" s="3114"/>
      <c r="B58" s="3110"/>
      <c r="C58" s="3102"/>
      <c r="D58" s="1681">
        <f ca="1">IF(ROW()-ROW($A$6)&lt;'الف-ب-ج'!$L$9,INDIRECT("BudgetDB!GO"&amp;('الف-ب-ج'!$M$9+ROW()-ROW($A$6))),"")</f>
        <v>0</v>
      </c>
      <c r="E58" s="1141"/>
      <c r="F58" s="1684" cm="1">
        <f t="array" aca="1" ref="F58" ca="1">IF(ROW()-ROW($A$6)&lt;'الف-ب-ج'!$L$9,IF(روکش!$F$9="سه ماهه",INDIRECT("BudgetDB!GP"&amp;('الف-ب-ج'!$M$9+ROW()-ROW($A$6))),INDIRECT("BudgetDB!GQ"&amp;('الف-ب-ج'!$M$9+ROW()-ROW($A$6)))),"")</f>
        <v>0</v>
      </c>
      <c r="G58" s="257"/>
      <c r="H58" s="1660" t="str">
        <f t="shared" si="0"/>
        <v>-</v>
      </c>
      <c r="I58" s="1661" t="str">
        <f t="shared" ca="1" si="1"/>
        <v>-</v>
      </c>
      <c r="N58" s="1674">
        <f t="shared" ca="1" si="2"/>
        <v>0</v>
      </c>
    </row>
    <row r="59" spans="1:14" ht="18.75" customHeight="1">
      <c r="A59" s="3114"/>
      <c r="B59" s="3110"/>
      <c r="C59" s="3102"/>
      <c r="D59" s="1681">
        <f ca="1">IF(ROW()-ROW($A$6)&lt;'الف-ب-ج'!$L$9,INDIRECT("BudgetDB!GO"&amp;('الف-ب-ج'!$M$9+ROW()-ROW($A$6))),"")</f>
        <v>0</v>
      </c>
      <c r="E59" s="1141"/>
      <c r="F59" s="1684" cm="1">
        <f t="array" aca="1" ref="F59" ca="1">IF(ROW()-ROW($A$6)&lt;'الف-ب-ج'!$L$9,IF(روکش!$F$9="سه ماهه",INDIRECT("BudgetDB!GP"&amp;('الف-ب-ج'!$M$9+ROW()-ROW($A$6))),INDIRECT("BudgetDB!GQ"&amp;('الف-ب-ج'!$M$9+ROW()-ROW($A$6)))),"")</f>
        <v>0</v>
      </c>
      <c r="G59" s="257"/>
      <c r="H59" s="1660" t="str">
        <f t="shared" si="0"/>
        <v>-</v>
      </c>
      <c r="I59" s="1661" t="str">
        <f t="shared" ca="1" si="1"/>
        <v>-</v>
      </c>
      <c r="N59" s="1674">
        <f t="shared" ca="1" si="2"/>
        <v>0</v>
      </c>
    </row>
    <row r="60" spans="1:14" ht="18.75" customHeight="1">
      <c r="A60" s="3114"/>
      <c r="B60" s="3110"/>
      <c r="C60" s="3109"/>
      <c r="D60" s="698">
        <f ca="1">IF(ROW()-ROW($A$6)&lt;'الف-ب-ج'!$L$9,INDIRECT("BudgetDB!GO"&amp;('الف-ب-ج'!$M$9+ROW()-ROW($A$6))),"")</f>
        <v>0</v>
      </c>
      <c r="E60" s="1141"/>
      <c r="F60" s="1684" cm="1">
        <f t="array" aca="1" ref="F60" ca="1">IF(ROW()-ROW($A$6)&lt;'الف-ب-ج'!$L$9,IF(روکش!$F$9="سه ماهه",INDIRECT("BudgetDB!GP"&amp;('الف-ب-ج'!$M$9+ROW()-ROW($A$6))),INDIRECT("BudgetDB!GQ"&amp;('الف-ب-ج'!$M$9+ROW()-ROW($A$6)))),"")</f>
        <v>0</v>
      </c>
      <c r="G60" s="257"/>
      <c r="H60" s="1660" t="str">
        <f t="shared" si="0"/>
        <v>-</v>
      </c>
      <c r="I60" s="1661" t="str">
        <f t="shared" ca="1" si="1"/>
        <v>-</v>
      </c>
      <c r="N60" s="1674">
        <f t="shared" ca="1" si="2"/>
        <v>0</v>
      </c>
    </row>
    <row r="61" spans="1:14" ht="18.75" customHeight="1">
      <c r="A61" s="3114"/>
      <c r="B61" s="3110"/>
      <c r="C61" s="3101" t="s">
        <v>153</v>
      </c>
      <c r="D61" s="1682">
        <f ca="1">'سایر غیرعملیاتی آزادراهی'!A7</f>
        <v>0</v>
      </c>
      <c r="E61" s="1141"/>
      <c r="F61" s="1684" cm="1">
        <f t="array" aca="1" ref="F61" ca="1">IF(ROW()-ROW($A$6)&lt;'الف-ب-ج'!$L$9,IF(روکش!$F$9="سه ماهه",INDIRECT("BudgetDB!GP"&amp;('الف-ب-ج'!$M$9+ROW()-ROW($A$6))),INDIRECT("BudgetDB!GQ"&amp;('الف-ب-ج'!$M$9+ROW()-ROW($A$6)))),"")</f>
        <v>0</v>
      </c>
      <c r="G61" s="257"/>
      <c r="H61" s="1660" t="str">
        <f t="shared" si="0"/>
        <v>-</v>
      </c>
      <c r="I61" s="1661" t="str">
        <f t="shared" ca="1" si="1"/>
        <v>-</v>
      </c>
      <c r="N61" s="1674">
        <f t="shared" ca="1" si="2"/>
        <v>0</v>
      </c>
    </row>
    <row r="62" spans="1:14" ht="18.75" customHeight="1">
      <c r="A62" s="3114"/>
      <c r="B62" s="3110"/>
      <c r="C62" s="3102"/>
      <c r="D62" s="1682">
        <f ca="1">'سایر غیرعملیاتی آزادراهی'!A8</f>
        <v>0</v>
      </c>
      <c r="E62" s="1141"/>
      <c r="F62" s="1684" cm="1">
        <f t="array" aca="1" ref="F62" ca="1">IF(ROW()-ROW($A$6)&lt;'الف-ب-ج'!$L$9,IF(روکش!$F$9="سه ماهه",INDIRECT("BudgetDB!GP"&amp;('الف-ب-ج'!$M$9+ROW()-ROW($A$6))),INDIRECT("BudgetDB!GQ"&amp;('الف-ب-ج'!$M$9+ROW()-ROW($A$6)))),"")</f>
        <v>0</v>
      </c>
      <c r="G62" s="257"/>
      <c r="H62" s="1660" t="str">
        <f t="shared" si="0"/>
        <v>-</v>
      </c>
      <c r="I62" s="1661" t="str">
        <f t="shared" ca="1" si="1"/>
        <v>-</v>
      </c>
      <c r="N62" s="1674">
        <f t="shared" ca="1" si="2"/>
        <v>0</v>
      </c>
    </row>
    <row r="63" spans="1:14" ht="18.75" customHeight="1">
      <c r="A63" s="3114"/>
      <c r="B63" s="3110"/>
      <c r="C63" s="3102"/>
      <c r="D63" s="1682">
        <f ca="1">'سایر غیرعملیاتی آزادراهی'!A9</f>
        <v>0</v>
      </c>
      <c r="E63" s="1141"/>
      <c r="F63" s="1684" cm="1">
        <f t="array" aca="1" ref="F63" ca="1">IF(ROW()-ROW($A$6)&lt;'الف-ب-ج'!$L$9,IF(روکش!$F$9="سه ماهه",INDIRECT("BudgetDB!GP"&amp;('الف-ب-ج'!$M$9+ROW()-ROW($A$6))),INDIRECT("BudgetDB!GQ"&amp;('الف-ب-ج'!$M$9+ROW()-ROW($A$6)))),"")</f>
        <v>0</v>
      </c>
      <c r="G63" s="257"/>
      <c r="H63" s="1660" t="str">
        <f t="shared" si="0"/>
        <v>-</v>
      </c>
      <c r="I63" s="1661" t="str">
        <f t="shared" ca="1" si="1"/>
        <v>-</v>
      </c>
      <c r="N63" s="1674">
        <f t="shared" ca="1" si="2"/>
        <v>0</v>
      </c>
    </row>
    <row r="64" spans="1:14" ht="18.75" customHeight="1">
      <c r="A64" s="3114"/>
      <c r="B64" s="3110"/>
      <c r="C64" s="3102"/>
      <c r="D64" s="1682">
        <f ca="1">'سایر غیرعملیاتی آزادراهی'!A10</f>
        <v>0</v>
      </c>
      <c r="E64" s="1141"/>
      <c r="F64" s="1684" cm="1">
        <f t="array" aca="1" ref="F64" ca="1">IF(ROW()-ROW($A$6)&lt;'الف-ب-ج'!$L$9,IF(روکش!$F$9="سه ماهه",INDIRECT("BudgetDB!GP"&amp;('الف-ب-ج'!$M$9+ROW()-ROW($A$6))),INDIRECT("BudgetDB!GQ"&amp;('الف-ب-ج'!$M$9+ROW()-ROW($A$6)))),"")</f>
        <v>0</v>
      </c>
      <c r="G64" s="257"/>
      <c r="H64" s="1660" t="str">
        <f t="shared" si="0"/>
        <v>-</v>
      </c>
      <c r="I64" s="1661" t="str">
        <f t="shared" ca="1" si="1"/>
        <v>-</v>
      </c>
      <c r="N64" s="1674">
        <f t="shared" ca="1" si="2"/>
        <v>0</v>
      </c>
    </row>
    <row r="65" spans="1:14" ht="18.75" customHeight="1">
      <c r="A65" s="3114"/>
      <c r="B65" s="3110"/>
      <c r="C65" s="3102"/>
      <c r="D65" s="1682">
        <f ca="1">'سایر غیرعملیاتی آزادراهی'!A11</f>
        <v>0</v>
      </c>
      <c r="E65" s="1141"/>
      <c r="F65" s="1684" cm="1">
        <f t="array" aca="1" ref="F65" ca="1">IF(ROW()-ROW($A$6)&lt;'الف-ب-ج'!$L$9,IF(روکش!$F$9="سه ماهه",INDIRECT("BudgetDB!GP"&amp;('الف-ب-ج'!$M$9+ROW()-ROW($A$6))),INDIRECT("BudgetDB!GQ"&amp;('الف-ب-ج'!$M$9+ROW()-ROW($A$6)))),"")</f>
        <v>0</v>
      </c>
      <c r="G65" s="257"/>
      <c r="H65" s="1660" t="str">
        <f t="shared" si="0"/>
        <v>-</v>
      </c>
      <c r="I65" s="1661" t="str">
        <f t="shared" ca="1" si="1"/>
        <v>-</v>
      </c>
      <c r="N65" s="1674">
        <f t="shared" ca="1" si="2"/>
        <v>0</v>
      </c>
    </row>
    <row r="66" spans="1:14" ht="18.75" customHeight="1">
      <c r="A66" s="3114"/>
      <c r="B66" s="3110"/>
      <c r="C66" s="3102"/>
      <c r="D66" s="1682">
        <f ca="1">'سایر غیرعملیاتی آزادراهی'!A12</f>
        <v>0</v>
      </c>
      <c r="E66" s="1141"/>
      <c r="F66" s="1684" cm="1">
        <f t="array" aca="1" ref="F66" ca="1">IF(ROW()-ROW($A$6)&lt;'الف-ب-ج'!$L$9,IF(روکش!$F$9="سه ماهه",INDIRECT("BudgetDB!GP"&amp;('الف-ب-ج'!$M$9+ROW()-ROW($A$6))),INDIRECT("BudgetDB!GQ"&amp;('الف-ب-ج'!$M$9+ROW()-ROW($A$6)))),"")</f>
        <v>0</v>
      </c>
      <c r="G66" s="257"/>
      <c r="H66" s="1660" t="str">
        <f t="shared" si="0"/>
        <v>-</v>
      </c>
      <c r="I66" s="1661" t="str">
        <f t="shared" ca="1" si="1"/>
        <v>-</v>
      </c>
      <c r="N66" s="1674">
        <f t="shared" ca="1" si="2"/>
        <v>0</v>
      </c>
    </row>
    <row r="67" spans="1:14" ht="18.75" customHeight="1">
      <c r="A67" s="3114"/>
      <c r="B67" s="3110"/>
      <c r="C67" s="3102"/>
      <c r="D67" s="1682">
        <f ca="1">'سایر غیرعملیاتی آزادراهی'!A13</f>
        <v>0</v>
      </c>
      <c r="E67" s="1141"/>
      <c r="F67" s="1684" cm="1">
        <f t="array" aca="1" ref="F67" ca="1">IF(ROW()-ROW($A$6)&lt;'الف-ب-ج'!$L$9,IF(روکش!$F$9="سه ماهه",INDIRECT("BudgetDB!GP"&amp;('الف-ب-ج'!$M$9+ROW()-ROW($A$6))),INDIRECT("BudgetDB!GQ"&amp;('الف-ب-ج'!$M$9+ROW()-ROW($A$6)))),"")</f>
        <v>0</v>
      </c>
      <c r="G67" s="257"/>
      <c r="H67" s="1660" t="str">
        <f t="shared" si="0"/>
        <v>-</v>
      </c>
      <c r="I67" s="1661" t="str">
        <f t="shared" ca="1" si="1"/>
        <v>-</v>
      </c>
      <c r="N67" s="1674">
        <f t="shared" ca="1" si="2"/>
        <v>0</v>
      </c>
    </row>
    <row r="68" spans="1:14" ht="18.75" customHeight="1">
      <c r="A68" s="3114"/>
      <c r="B68" s="3110"/>
      <c r="C68" s="3102"/>
      <c r="D68" s="1682">
        <f ca="1">'سایر غیرعملیاتی آزادراهی'!A14</f>
        <v>0</v>
      </c>
      <c r="E68" s="1141"/>
      <c r="F68" s="1684" cm="1">
        <f t="array" aca="1" ref="F68" ca="1">IF(ROW()-ROW($A$6)&lt;'الف-ب-ج'!$L$9,IF(روکش!$F$9="سه ماهه",INDIRECT("BudgetDB!GP"&amp;('الف-ب-ج'!$M$9+ROW()-ROW($A$6))),INDIRECT("BudgetDB!GQ"&amp;('الف-ب-ج'!$M$9+ROW()-ROW($A$6)))),"")</f>
        <v>0</v>
      </c>
      <c r="G68" s="257"/>
      <c r="H68" s="1660" t="str">
        <f t="shared" si="0"/>
        <v>-</v>
      </c>
      <c r="I68" s="1661" t="str">
        <f t="shared" ca="1" si="1"/>
        <v>-</v>
      </c>
      <c r="N68" s="1674">
        <f t="shared" ca="1" si="2"/>
        <v>0</v>
      </c>
    </row>
    <row r="69" spans="1:14" ht="18.75" customHeight="1">
      <c r="A69" s="3114"/>
      <c r="B69" s="3110"/>
      <c r="C69" s="3102"/>
      <c r="D69" s="1682">
        <f ca="1">'سایر غیرعملیاتی آزادراهی'!A15</f>
        <v>0</v>
      </c>
      <c r="E69" s="1141"/>
      <c r="F69" s="1684" cm="1">
        <f t="array" aca="1" ref="F69" ca="1">IF(ROW()-ROW($A$6)&lt;'الف-ب-ج'!$L$9,IF(روکش!$F$9="سه ماهه",INDIRECT("BudgetDB!GP"&amp;('الف-ب-ج'!$M$9+ROW()-ROW($A$6))),INDIRECT("BudgetDB!GQ"&amp;('الف-ب-ج'!$M$9+ROW()-ROW($A$6)))),"")</f>
        <v>0</v>
      </c>
      <c r="G69" s="257"/>
      <c r="H69" s="1660" t="str">
        <f>IFERROR((G69-E69)*100/E69,"-")</f>
        <v>-</v>
      </c>
      <c r="I69" s="1661" t="str">
        <f ca="1">IFERROR(G69*100/F69,"-")</f>
        <v>-</v>
      </c>
      <c r="N69" s="1674">
        <f t="shared" ca="1" si="2"/>
        <v>0</v>
      </c>
    </row>
    <row r="70" spans="1:14" ht="18.75" customHeight="1">
      <c r="A70" s="3114"/>
      <c r="B70" s="3110"/>
      <c r="C70" s="3102"/>
      <c r="D70" s="1682">
        <f ca="1">'سایر غیرعملیاتی آزادراهی'!A16</f>
        <v>0</v>
      </c>
      <c r="E70" s="1141"/>
      <c r="F70" s="1684" cm="1">
        <f t="array" aca="1" ref="F70" ca="1">IF(ROW()-ROW($A$6)&lt;'الف-ب-ج'!$L$9,IF(روکش!$F$9="سه ماهه",INDIRECT("BudgetDB!GP"&amp;('الف-ب-ج'!$M$9+ROW()-ROW($A$6))),INDIRECT("BudgetDB!GQ"&amp;('الف-ب-ج'!$M$9+ROW()-ROW($A$6)))),"")</f>
        <v>0</v>
      </c>
      <c r="G70" s="257"/>
      <c r="H70" s="1660" t="str">
        <f>IFERROR((G70-E70)*100/E70,"-")</f>
        <v>-</v>
      </c>
      <c r="I70" s="1661" t="str">
        <f ca="1">IFERROR(G70*100/F70,"-")</f>
        <v>-</v>
      </c>
      <c r="N70" s="1674">
        <f t="shared" ca="1" si="2"/>
        <v>0</v>
      </c>
    </row>
    <row r="71" spans="1:14" ht="18.75" customHeight="1">
      <c r="A71" s="3114"/>
      <c r="B71" s="3110"/>
      <c r="C71" s="3102"/>
      <c r="D71" s="1682">
        <f ca="1">'سایر غیرعملیاتی آزادراهی'!A17</f>
        <v>0</v>
      </c>
      <c r="E71" s="1141"/>
      <c r="F71" s="1684" cm="1">
        <f t="array" aca="1" ref="F71" ca="1">IF(ROW()-ROW($A$6)&lt;'الف-ب-ج'!$L$9,IF(روکش!$F$9="سه ماهه",INDIRECT("BudgetDB!GP"&amp;('الف-ب-ج'!$M$9+ROW()-ROW($A$6))),INDIRECT("BudgetDB!GQ"&amp;('الف-ب-ج'!$M$9+ROW()-ROW($A$6)))),"")</f>
        <v>0</v>
      </c>
      <c r="G71" s="257"/>
      <c r="H71" s="1660" t="str">
        <f>IFERROR((G71-E71)*100/E71,"-")</f>
        <v>-</v>
      </c>
      <c r="I71" s="1661" t="str">
        <f ca="1">IFERROR(G71*100/F71,"-")</f>
        <v>-</v>
      </c>
      <c r="N71" s="1674">
        <f t="shared" ca="1" si="2"/>
        <v>0</v>
      </c>
    </row>
    <row r="72" spans="1:14" ht="18.75" customHeight="1">
      <c r="A72" s="3114"/>
      <c r="B72" s="3110"/>
      <c r="C72" s="3102"/>
      <c r="D72" s="1682">
        <f ca="1">'سایر غیرعملیاتی آزادراهی'!A18</f>
        <v>0</v>
      </c>
      <c r="E72" s="1141"/>
      <c r="F72" s="1684" cm="1">
        <f t="array" aca="1" ref="F72" ca="1">IF(ROW()-ROW($A$6)&lt;'الف-ب-ج'!$L$9,IF(روکش!$F$9="سه ماهه",INDIRECT("BudgetDB!GP"&amp;('الف-ب-ج'!$M$9+ROW()-ROW($A$6))),INDIRECT("BudgetDB!GQ"&amp;('الف-ب-ج'!$M$9+ROW()-ROW($A$6)))),"")</f>
        <v>0</v>
      </c>
      <c r="G72" s="257"/>
      <c r="H72" s="1660" t="str">
        <f>IFERROR((G72-E72)*100/E72,"-")</f>
        <v>-</v>
      </c>
      <c r="I72" s="1661" t="str">
        <f ca="1">IFERROR(G72*100/F72,"-")</f>
        <v>-</v>
      </c>
      <c r="N72" s="1674">
        <f t="shared" ca="1" si="2"/>
        <v>0</v>
      </c>
    </row>
    <row r="73" spans="1:14" ht="18.75" customHeight="1">
      <c r="A73" s="3114"/>
      <c r="B73" s="3110"/>
      <c r="C73" s="3102"/>
      <c r="D73" s="1682">
        <f ca="1">'سایر غیرعملیاتی آزادراهی'!A19</f>
        <v>0</v>
      </c>
      <c r="E73" s="1141"/>
      <c r="F73" s="1684" cm="1">
        <f t="array" aca="1" ref="F73" ca="1">IF(ROW()-ROW($A$6)&lt;'الف-ب-ج'!$L$9,IF(روکش!$F$9="سه ماهه",INDIRECT("BudgetDB!GP"&amp;('الف-ب-ج'!$M$9+ROW()-ROW($A$6))),INDIRECT("BudgetDB!GQ"&amp;('الف-ب-ج'!$M$9+ROW()-ROW($A$6)))),"")</f>
        <v>0</v>
      </c>
      <c r="G73" s="257"/>
      <c r="H73" s="1660" t="str">
        <f>IFERROR((G73-E73)*100/E73,"-")</f>
        <v>-</v>
      </c>
      <c r="I73" s="1661" t="str">
        <f ca="1">IFERROR(G73*100/F73,"-")</f>
        <v>-</v>
      </c>
      <c r="N73" s="1674">
        <f t="shared" ca="1" si="2"/>
        <v>0</v>
      </c>
    </row>
    <row r="74" spans="1:14" ht="18.75" customHeight="1">
      <c r="A74" s="3114"/>
      <c r="B74" s="3110"/>
      <c r="C74" s="3102"/>
      <c r="D74" s="1682">
        <f ca="1">'سایر غیرعملیاتی آزادراهی'!A20</f>
        <v>0</v>
      </c>
      <c r="E74" s="1141"/>
      <c r="F74" s="1684" cm="1">
        <f t="array" aca="1" ref="F74" ca="1">IF(ROW()-ROW($A$6)&lt;'الف-ب-ج'!$L$9,IF(روکش!$F$9="سه ماهه",INDIRECT("BudgetDB!GP"&amp;('الف-ب-ج'!$M$9+ROW()-ROW($A$6))),INDIRECT("BudgetDB!GQ"&amp;('الف-ب-ج'!$M$9+ROW()-ROW($A$6)))),"")</f>
        <v>0</v>
      </c>
      <c r="G74" s="257"/>
      <c r="H74" s="1660" t="str">
        <f t="shared" si="0"/>
        <v>-</v>
      </c>
      <c r="I74" s="1661" t="str">
        <f t="shared" ca="1" si="1"/>
        <v>-</v>
      </c>
      <c r="N74" s="1674">
        <f t="shared" ca="1" si="2"/>
        <v>0</v>
      </c>
    </row>
    <row r="75" spans="1:14" ht="18.75" customHeight="1" thickBot="1">
      <c r="A75" s="3114"/>
      <c r="B75" s="3110"/>
      <c r="C75" s="3102"/>
      <c r="D75" s="1682">
        <f ca="1">'سایر غیرعملیاتی آزادراهی'!A21</f>
        <v>0</v>
      </c>
      <c r="E75" s="1141"/>
      <c r="F75" s="1684" cm="1">
        <f t="array" aca="1" ref="F75" ca="1">IF(ROW()-ROW($A$6)&lt;'الف-ب-ج'!$L$9,IF(روکش!$F$9="سه ماهه",INDIRECT("BudgetDB!GP"&amp;('الف-ب-ج'!$M$9+ROW()-ROW($A$6))),INDIRECT("BudgetDB!GQ"&amp;('الف-ب-ج'!$M$9+ROW()-ROW($A$6)))),"")</f>
        <v>0</v>
      </c>
      <c r="G75" s="257"/>
      <c r="H75" s="1660" t="str">
        <f t="shared" si="0"/>
        <v>-</v>
      </c>
      <c r="I75" s="1661" t="str">
        <f t="shared" ca="1" si="1"/>
        <v>-</v>
      </c>
      <c r="N75" s="1674">
        <f t="shared" ca="1" si="2"/>
        <v>0</v>
      </c>
    </row>
    <row r="76" spans="1:14" ht="18.75" customHeight="1" thickBot="1">
      <c r="A76" s="3114"/>
      <c r="B76" s="3111"/>
      <c r="C76" s="1676" t="s">
        <v>154</v>
      </c>
      <c r="D76" s="1680"/>
      <c r="E76" s="1662">
        <f>SUM(E46:E75)</f>
        <v>0</v>
      </c>
      <c r="F76" s="966">
        <f ca="1">SUM(F46:F75)</f>
        <v>0</v>
      </c>
      <c r="G76" s="1663">
        <f>SUM(G46:G75)</f>
        <v>0</v>
      </c>
      <c r="H76" s="1664" t="str">
        <f t="shared" ref="H76:H134" si="5">IFERROR((G76-E76)*100/E76,"-")</f>
        <v>-</v>
      </c>
      <c r="I76" s="1665" t="str">
        <f t="shared" ref="I76:I134" ca="1" si="6">IFERROR(G76*100/F76,"-")</f>
        <v>-</v>
      </c>
      <c r="N76" s="1674" t="s">
        <v>206</v>
      </c>
    </row>
    <row r="77" spans="1:14" ht="18.75" customHeight="1" thickBot="1">
      <c r="A77" s="3114"/>
      <c r="B77" s="3124" t="s">
        <v>155</v>
      </c>
      <c r="C77" s="3102"/>
      <c r="D77" s="697">
        <f ca="1">IF(ROW()-ROW($A$6)&lt;'الف-ب-ج'!$L$9,INDIRECT("BudgetDB!GO"&amp;('الف-ب-ج'!$M$9+ROW()-ROW($A$6))),"")</f>
        <v>0</v>
      </c>
      <c r="E77" s="1141"/>
      <c r="F77" s="1684" cm="1">
        <f t="array" aca="1" ref="F77" ca="1">IF(ROW()-ROW($A$6)&lt;'الف-ب-ج'!$L$9,IF(روکش!$F$9="سه ماهه",INDIRECT("BudgetDB!GP"&amp;('الف-ب-ج'!$M$9+ROW()-ROW($A$6))),INDIRECT("BudgetDB!GQ"&amp;('الف-ب-ج'!$M$9+ROW()-ROW($A$6)))),"")</f>
        <v>0</v>
      </c>
      <c r="G77" s="257"/>
      <c r="H77" s="1660" t="str">
        <f t="shared" si="5"/>
        <v>-</v>
      </c>
      <c r="I77" s="1661" t="str">
        <f t="shared" ca="1" si="6"/>
        <v>-</v>
      </c>
      <c r="N77" s="1674" t="s">
        <v>206</v>
      </c>
    </row>
    <row r="78" spans="1:14" ht="18.75" customHeight="1" thickBot="1">
      <c r="A78" s="3115"/>
      <c r="B78" s="1677" t="s">
        <v>156</v>
      </c>
      <c r="C78" s="1676"/>
      <c r="D78" s="1680"/>
      <c r="E78" s="1662">
        <f>E45+E76+E77</f>
        <v>0</v>
      </c>
      <c r="F78" s="966">
        <f ca="1">F45+F76+F77</f>
        <v>0</v>
      </c>
      <c r="G78" s="1663">
        <f>G45+G76+G77</f>
        <v>0</v>
      </c>
      <c r="H78" s="1664" t="str">
        <f t="shared" si="5"/>
        <v>-</v>
      </c>
      <c r="I78" s="1665" t="str">
        <f t="shared" ca="1" si="6"/>
        <v>-</v>
      </c>
      <c r="N78" s="1674" t="s">
        <v>206</v>
      </c>
    </row>
    <row r="79" spans="1:14" ht="18.75" customHeight="1">
      <c r="A79" s="3116" t="s">
        <v>157</v>
      </c>
      <c r="B79" s="3120" t="s">
        <v>146</v>
      </c>
      <c r="C79" s="3108" t="s">
        <v>158</v>
      </c>
      <c r="D79" s="1681">
        <f ca="1">IF(ROW()-ROW($A$6)&lt;'الف-ب-ج'!$L$9,INDIRECT("BudgetDB!GO"&amp;('الف-ب-ج'!$M$9+ROW()-ROW($A$6))),"")</f>
        <v>0</v>
      </c>
      <c r="E79" s="1142"/>
      <c r="F79" s="1685" cm="1">
        <f t="array" aca="1" ref="F79" ca="1">IF(ROW()-ROW($A$6)&lt;'الف-ب-ج'!$L$9,IF(روکش!$F$9="سه ماهه",INDIRECT("BudgetDB!GP"&amp;('الف-ب-ج'!$M$9+ROW()-ROW($A$6))),INDIRECT("BudgetDB!GQ"&amp;('الف-ب-ج'!$M$9+ROW()-ROW($A$6)))),"")</f>
        <v>0</v>
      </c>
      <c r="G79" s="258"/>
      <c r="H79" s="1666" t="str">
        <f t="shared" si="5"/>
        <v>-</v>
      </c>
      <c r="I79" s="1667" t="str">
        <f t="shared" ca="1" si="6"/>
        <v>-</v>
      </c>
      <c r="N79" s="1674">
        <f t="shared" ref="N79:N134" ca="1" si="7">G79+F79+E79</f>
        <v>0</v>
      </c>
    </row>
    <row r="80" spans="1:14" ht="18.75" customHeight="1">
      <c r="A80" s="3117"/>
      <c r="B80" s="3120"/>
      <c r="C80" s="3102"/>
      <c r="D80" s="1681">
        <f ca="1">IF(ROW()-ROW($A$6)&lt;'الف-ب-ج'!$L$9,INDIRECT("BudgetDB!GO"&amp;('الف-ب-ج'!$M$9+ROW()-ROW($A$6))),"")</f>
        <v>0</v>
      </c>
      <c r="E80" s="1142"/>
      <c r="F80" s="1685" cm="1">
        <f t="array" aca="1" ref="F80" ca="1">IF(ROW()-ROW($A$6)&lt;'الف-ب-ج'!$L$9,IF(روکش!$F$9="سه ماهه",INDIRECT("BudgetDB!GP"&amp;('الف-ب-ج'!$M$9+ROW()-ROW($A$6))),INDIRECT("BudgetDB!GQ"&amp;('الف-ب-ج'!$M$9+ROW()-ROW($A$6)))),"")</f>
        <v>0</v>
      </c>
      <c r="G80" s="258"/>
      <c r="H80" s="1666" t="str">
        <f t="shared" si="5"/>
        <v>-</v>
      </c>
      <c r="I80" s="1667" t="str">
        <f t="shared" ca="1" si="6"/>
        <v>-</v>
      </c>
      <c r="N80" s="1674">
        <f t="shared" ca="1" si="7"/>
        <v>0</v>
      </c>
    </row>
    <row r="81" spans="1:14" ht="18.75" customHeight="1">
      <c r="A81" s="3117"/>
      <c r="B81" s="3120"/>
      <c r="C81" s="3102"/>
      <c r="D81" s="1681">
        <f ca="1">IF(ROW()-ROW($A$6)&lt;'الف-ب-ج'!$L$9,INDIRECT("BudgetDB!GO"&amp;('الف-ب-ج'!$M$9+ROW()-ROW($A$6))),"")</f>
        <v>0</v>
      </c>
      <c r="E81" s="1142"/>
      <c r="F81" s="1685" cm="1">
        <f t="array" aca="1" ref="F81" ca="1">IF(ROW()-ROW($A$6)&lt;'الف-ب-ج'!$L$9,IF(روکش!$F$9="سه ماهه",INDIRECT("BudgetDB!GP"&amp;('الف-ب-ج'!$M$9+ROW()-ROW($A$6))),INDIRECT("BudgetDB!GQ"&amp;('الف-ب-ج'!$M$9+ROW()-ROW($A$6)))),"")</f>
        <v>0</v>
      </c>
      <c r="G81" s="258"/>
      <c r="H81" s="1666" t="str">
        <f t="shared" si="5"/>
        <v>-</v>
      </c>
      <c r="I81" s="1667" t="str">
        <f t="shared" ca="1" si="6"/>
        <v>-</v>
      </c>
      <c r="N81" s="1674">
        <f t="shared" ca="1" si="7"/>
        <v>0</v>
      </c>
    </row>
    <row r="82" spans="1:14" ht="18.75" customHeight="1">
      <c r="A82" s="3117"/>
      <c r="B82" s="3120"/>
      <c r="C82" s="3102"/>
      <c r="D82" s="1681">
        <f ca="1">IF(ROW()-ROW($A$6)&lt;'الف-ب-ج'!$L$9,INDIRECT("BudgetDB!GO"&amp;('الف-ب-ج'!$M$9+ROW()-ROW($A$6))),"")</f>
        <v>0</v>
      </c>
      <c r="E82" s="1142"/>
      <c r="F82" s="1685" cm="1">
        <f t="array" aca="1" ref="F82" ca="1">IF(ROW()-ROW($A$6)&lt;'الف-ب-ج'!$L$9,IF(روکش!$F$9="سه ماهه",INDIRECT("BudgetDB!GP"&amp;('الف-ب-ج'!$M$9+ROW()-ROW($A$6))),INDIRECT("BudgetDB!GQ"&amp;('الف-ب-ج'!$M$9+ROW()-ROW($A$6)))),"")</f>
        <v>0</v>
      </c>
      <c r="G82" s="258"/>
      <c r="H82" s="1666" t="str">
        <f t="shared" si="5"/>
        <v>-</v>
      </c>
      <c r="I82" s="1667" t="str">
        <f t="shared" ca="1" si="6"/>
        <v>-</v>
      </c>
      <c r="N82" s="1674">
        <f t="shared" ca="1" si="7"/>
        <v>0</v>
      </c>
    </row>
    <row r="83" spans="1:14" ht="18.75" customHeight="1">
      <c r="A83" s="3117"/>
      <c r="B83" s="3120"/>
      <c r="C83" s="3102"/>
      <c r="D83" s="1681">
        <f ca="1">IF(ROW()-ROW($A$6)&lt;'الف-ب-ج'!$L$9,INDIRECT("BudgetDB!GO"&amp;('الف-ب-ج'!$M$9+ROW()-ROW($A$6))),"")</f>
        <v>0</v>
      </c>
      <c r="E83" s="1142"/>
      <c r="F83" s="1685" cm="1">
        <f t="array" aca="1" ref="F83" ca="1">IF(ROW()-ROW($A$6)&lt;'الف-ب-ج'!$L$9,IF(روکش!$F$9="سه ماهه",INDIRECT("BudgetDB!GP"&amp;('الف-ب-ج'!$M$9+ROW()-ROW($A$6))),INDIRECT("BudgetDB!GQ"&amp;('الف-ب-ج'!$M$9+ROW()-ROW($A$6)))),"")</f>
        <v>0</v>
      </c>
      <c r="G83" s="258"/>
      <c r="H83" s="1666" t="str">
        <f t="shared" si="5"/>
        <v>-</v>
      </c>
      <c r="I83" s="1667" t="str">
        <f t="shared" ca="1" si="6"/>
        <v>-</v>
      </c>
      <c r="N83" s="1674">
        <f t="shared" ca="1" si="7"/>
        <v>0</v>
      </c>
    </row>
    <row r="84" spans="1:14" ht="18.75" customHeight="1">
      <c r="A84" s="3117"/>
      <c r="B84" s="3120"/>
      <c r="C84" s="3102"/>
      <c r="D84" s="698">
        <f ca="1">IF(ROW()-ROW($A$6)&lt;'الف-ب-ج'!$L$9,INDIRECT("BudgetDB!GO"&amp;('الف-ب-ج'!$M$9+ROW()-ROW($A$6))),"")</f>
        <v>0</v>
      </c>
      <c r="E84" s="1142"/>
      <c r="F84" s="1685" cm="1">
        <f t="array" aca="1" ref="F84" ca="1">IF(ROW()-ROW($A$6)&lt;'الف-ب-ج'!$L$9,IF(روکش!$F$9="سه ماهه",INDIRECT("BudgetDB!GP"&amp;('الف-ب-ج'!$M$9+ROW()-ROW($A$6))),INDIRECT("BudgetDB!GQ"&amp;('الف-ب-ج'!$M$9+ROW()-ROW($A$6)))),"")</f>
        <v>0</v>
      </c>
      <c r="G84" s="258"/>
      <c r="H84" s="1666" t="str">
        <f t="shared" si="5"/>
        <v>-</v>
      </c>
      <c r="I84" s="1667" t="str">
        <f t="shared" ca="1" si="6"/>
        <v>-</v>
      </c>
      <c r="N84" s="1674">
        <f t="shared" ca="1" si="7"/>
        <v>0</v>
      </c>
    </row>
    <row r="85" spans="1:14" ht="18.75" customHeight="1">
      <c r="A85" s="3117"/>
      <c r="B85" s="3120"/>
      <c r="C85" s="3102"/>
      <c r="D85" s="698">
        <f ca="1">IF(ROW()-ROW($A$6)&lt;'الف-ب-ج'!$L$9,INDIRECT("BudgetDB!GO"&amp;('الف-ب-ج'!$M$9+ROW()-ROW($A$6))),"")</f>
        <v>0</v>
      </c>
      <c r="E85" s="1142"/>
      <c r="F85" s="1685" cm="1">
        <f t="array" aca="1" ref="F85" ca="1">IF(ROW()-ROW($A$6)&lt;'الف-ب-ج'!$L$9,IF(روکش!$F$9="سه ماهه",INDIRECT("BudgetDB!GP"&amp;('الف-ب-ج'!$M$9+ROW()-ROW($A$6))),INDIRECT("BudgetDB!GQ"&amp;('الف-ب-ج'!$M$9+ROW()-ROW($A$6)))),"")</f>
        <v>0</v>
      </c>
      <c r="G85" s="258"/>
      <c r="H85" s="1666" t="str">
        <f t="shared" si="5"/>
        <v>-</v>
      </c>
      <c r="I85" s="1667" t="str">
        <f t="shared" ca="1" si="6"/>
        <v>-</v>
      </c>
      <c r="N85" s="1674">
        <f t="shared" ca="1" si="7"/>
        <v>0</v>
      </c>
    </row>
    <row r="86" spans="1:14" ht="18.75" customHeight="1">
      <c r="A86" s="3117"/>
      <c r="B86" s="3120"/>
      <c r="C86" s="3109"/>
      <c r="D86" s="698">
        <f ca="1">IF(ROW()-ROW($A$6)&lt;'الف-ب-ج'!$L$9,INDIRECT("BudgetDB!GO"&amp;('الف-ب-ج'!$M$9+ROW()-ROW($A$6))),"")</f>
        <v>0</v>
      </c>
      <c r="E86" s="1142"/>
      <c r="F86" s="1685" cm="1">
        <f t="array" aca="1" ref="F86" ca="1">IF(ROW()-ROW($A$6)&lt;'الف-ب-ج'!$L$9,IF(روکش!$F$9="سه ماهه",INDIRECT("BudgetDB!GP"&amp;('الف-ب-ج'!$M$9+ROW()-ROW($A$6))),INDIRECT("BudgetDB!GQ"&amp;('الف-ب-ج'!$M$9+ROW()-ROW($A$6)))),"")</f>
        <v>0</v>
      </c>
      <c r="G86" s="258"/>
      <c r="H86" s="1666" t="str">
        <f t="shared" si="5"/>
        <v>-</v>
      </c>
      <c r="I86" s="1667" t="str">
        <f t="shared" ca="1" si="6"/>
        <v>-</v>
      </c>
      <c r="N86" s="1674">
        <f t="shared" ca="1" si="7"/>
        <v>0</v>
      </c>
    </row>
    <row r="87" spans="1:14" ht="18.75" customHeight="1">
      <c r="A87" s="3118"/>
      <c r="B87" s="3110"/>
      <c r="C87" s="3121" t="s">
        <v>1694</v>
      </c>
      <c r="D87" s="1681">
        <f ca="1">IF(ROW()-ROW($A$6)&lt;'الف-ب-ج'!$L$9,INDIRECT("BudgetDB!GO"&amp;('الف-ب-ج'!$M$9+ROW()-ROW($A$6))),"")</f>
        <v>0</v>
      </c>
      <c r="E87" s="1142"/>
      <c r="F87" s="1685" cm="1">
        <f t="array" aca="1" ref="F87" ca="1">IF(ROW()-ROW($A$6)&lt;'الف-ب-ج'!$L$9,IF(روکش!$F$9="سه ماهه",INDIRECT("BudgetDB!GP"&amp;('الف-ب-ج'!$M$9+ROW()-ROW($A$6))),INDIRECT("BudgetDB!GQ"&amp;('الف-ب-ج'!$M$9+ROW()-ROW($A$6)))),"")</f>
        <v>0</v>
      </c>
      <c r="G87" s="258"/>
      <c r="H87" s="1666" t="str">
        <f t="shared" si="5"/>
        <v>-</v>
      </c>
      <c r="I87" s="1667" t="str">
        <f t="shared" ca="1" si="6"/>
        <v>-</v>
      </c>
      <c r="N87" s="1674">
        <f t="shared" ca="1" si="7"/>
        <v>0</v>
      </c>
    </row>
    <row r="88" spans="1:14" ht="18.75" customHeight="1">
      <c r="A88" s="3118"/>
      <c r="B88" s="3110"/>
      <c r="C88" s="3122"/>
      <c r="D88" s="1681">
        <f ca="1">IF(ROW()-ROW($A$6)&lt;'الف-ب-ج'!$L$9,INDIRECT("BudgetDB!GO"&amp;('الف-ب-ج'!$M$9+ROW()-ROW($A$6))),"")</f>
        <v>0</v>
      </c>
      <c r="E88" s="1142"/>
      <c r="F88" s="1685" cm="1">
        <f t="array" aca="1" ref="F88" ca="1">IF(ROW()-ROW($A$6)&lt;'الف-ب-ج'!$L$9,IF(روکش!$F$9="سه ماهه",INDIRECT("BudgetDB!GP"&amp;('الف-ب-ج'!$M$9+ROW()-ROW($A$6))),INDIRECT("BudgetDB!GQ"&amp;('الف-ب-ج'!$M$9+ROW()-ROW($A$6)))),"")</f>
        <v>0</v>
      </c>
      <c r="G88" s="258"/>
      <c r="H88" s="1666" t="str">
        <f t="shared" si="5"/>
        <v>-</v>
      </c>
      <c r="I88" s="1667" t="str">
        <f t="shared" ca="1" si="6"/>
        <v>-</v>
      </c>
      <c r="N88" s="1674">
        <f t="shared" ca="1" si="7"/>
        <v>0</v>
      </c>
    </row>
    <row r="89" spans="1:14" ht="18.75" customHeight="1">
      <c r="A89" s="3118"/>
      <c r="B89" s="3110"/>
      <c r="C89" s="3122"/>
      <c r="D89" s="1681">
        <f ca="1">IF(ROW()-ROW($A$6)&lt;'الف-ب-ج'!$L$9,INDIRECT("BudgetDB!GO"&amp;('الف-ب-ج'!$M$9+ROW()-ROW($A$6))),"")</f>
        <v>0</v>
      </c>
      <c r="E89" s="1142"/>
      <c r="F89" s="1685" cm="1">
        <f t="array" aca="1" ref="F89" ca="1">IF(ROW()-ROW($A$6)&lt;'الف-ب-ج'!$L$9,IF(روکش!$F$9="سه ماهه",INDIRECT("BudgetDB!GP"&amp;('الف-ب-ج'!$M$9+ROW()-ROW($A$6))),INDIRECT("BudgetDB!GQ"&amp;('الف-ب-ج'!$M$9+ROW()-ROW($A$6)))),"")</f>
        <v>0</v>
      </c>
      <c r="G89" s="258"/>
      <c r="H89" s="1666" t="str">
        <f t="shared" si="5"/>
        <v>-</v>
      </c>
      <c r="I89" s="1667" t="str">
        <f t="shared" ca="1" si="6"/>
        <v>-</v>
      </c>
      <c r="N89" s="1674">
        <f t="shared" ca="1" si="7"/>
        <v>0</v>
      </c>
    </row>
    <row r="90" spans="1:14" ht="18.75" customHeight="1">
      <c r="A90" s="3118"/>
      <c r="B90" s="3110"/>
      <c r="C90" s="3122"/>
      <c r="D90" s="1681">
        <f ca="1">IF(ROW()-ROW($A$6)&lt;'الف-ب-ج'!$L$9,INDIRECT("BudgetDB!GO"&amp;('الف-ب-ج'!$M$9+ROW()-ROW($A$6))),"")</f>
        <v>0</v>
      </c>
      <c r="E90" s="1142"/>
      <c r="F90" s="1685" cm="1">
        <f t="array" aca="1" ref="F90" ca="1">IF(ROW()-ROW($A$6)&lt;'الف-ب-ج'!$L$9,IF(روکش!$F$9="سه ماهه",INDIRECT("BudgetDB!GP"&amp;('الف-ب-ج'!$M$9+ROW()-ROW($A$6))),INDIRECT("BudgetDB!GQ"&amp;('الف-ب-ج'!$M$9+ROW()-ROW($A$6)))),"")</f>
        <v>0</v>
      </c>
      <c r="G90" s="258"/>
      <c r="H90" s="1666" t="str">
        <f t="shared" si="5"/>
        <v>-</v>
      </c>
      <c r="I90" s="1667" t="str">
        <f t="shared" ca="1" si="6"/>
        <v>-</v>
      </c>
      <c r="N90" s="1674">
        <f t="shared" ca="1" si="7"/>
        <v>0</v>
      </c>
    </row>
    <row r="91" spans="1:14" ht="18.75" customHeight="1">
      <c r="A91" s="3118"/>
      <c r="B91" s="3110"/>
      <c r="C91" s="3122"/>
      <c r="D91" s="1681">
        <f ca="1">IF(ROW()-ROW($A$6)&lt;'الف-ب-ج'!$L$9,INDIRECT("BudgetDB!GO"&amp;('الف-ب-ج'!$M$9+ROW()-ROW($A$6))),"")</f>
        <v>0</v>
      </c>
      <c r="E91" s="1142"/>
      <c r="F91" s="1685" cm="1">
        <f t="array" aca="1" ref="F91" ca="1">IF(ROW()-ROW($A$6)&lt;'الف-ب-ج'!$L$9,IF(روکش!$F$9="سه ماهه",INDIRECT("BudgetDB!GP"&amp;('الف-ب-ج'!$M$9+ROW()-ROW($A$6))),INDIRECT("BudgetDB!GQ"&amp;('الف-ب-ج'!$M$9+ROW()-ROW($A$6)))),"")</f>
        <v>0</v>
      </c>
      <c r="G91" s="258"/>
      <c r="H91" s="1666" t="str">
        <f t="shared" si="5"/>
        <v>-</v>
      </c>
      <c r="I91" s="1667" t="str">
        <f t="shared" ca="1" si="6"/>
        <v>-</v>
      </c>
      <c r="N91" s="1674">
        <f t="shared" ca="1" si="7"/>
        <v>0</v>
      </c>
    </row>
    <row r="92" spans="1:14" ht="18.75" customHeight="1">
      <c r="A92" s="3118"/>
      <c r="B92" s="3110"/>
      <c r="C92" s="3122"/>
      <c r="D92" s="1681">
        <f ca="1">IF(ROW()-ROW($A$6)&lt;'الف-ب-ج'!$L$9,INDIRECT("BudgetDB!GO"&amp;('الف-ب-ج'!$M$9+ROW()-ROW($A$6))),"")</f>
        <v>0</v>
      </c>
      <c r="E92" s="1142"/>
      <c r="F92" s="1685" cm="1">
        <f t="array" aca="1" ref="F92" ca="1">IF(ROW()-ROW($A$6)&lt;'الف-ب-ج'!$L$9,IF(روکش!$F$9="سه ماهه",INDIRECT("BudgetDB!GP"&amp;('الف-ب-ج'!$M$9+ROW()-ROW($A$6))),INDIRECT("BudgetDB!GQ"&amp;('الف-ب-ج'!$M$9+ROW()-ROW($A$6)))),"")</f>
        <v>0</v>
      </c>
      <c r="G92" s="258"/>
      <c r="H92" s="1666" t="str">
        <f t="shared" si="5"/>
        <v>-</v>
      </c>
      <c r="I92" s="1667" t="str">
        <f t="shared" ca="1" si="6"/>
        <v>-</v>
      </c>
      <c r="N92" s="1674">
        <f t="shared" ca="1" si="7"/>
        <v>0</v>
      </c>
    </row>
    <row r="93" spans="1:14" ht="18.75" customHeight="1">
      <c r="A93" s="3118"/>
      <c r="B93" s="3110"/>
      <c r="C93" s="3122"/>
      <c r="D93" s="1681">
        <f ca="1">IF(ROW()-ROW($A$6)&lt;'الف-ب-ج'!$L$9,INDIRECT("BudgetDB!GO"&amp;('الف-ب-ج'!$M$9+ROW()-ROW($A$6))),"")</f>
        <v>0</v>
      </c>
      <c r="E93" s="1142"/>
      <c r="F93" s="1685" cm="1">
        <f t="array" aca="1" ref="F93" ca="1">IF(ROW()-ROW($A$6)&lt;'الف-ب-ج'!$L$9,IF(روکش!$F$9="سه ماهه",INDIRECT("BudgetDB!GP"&amp;('الف-ب-ج'!$M$9+ROW()-ROW($A$6))),INDIRECT("BudgetDB!GQ"&amp;('الف-ب-ج'!$M$9+ROW()-ROW($A$6)))),"")</f>
        <v>0</v>
      </c>
      <c r="G93" s="258"/>
      <c r="H93" s="1666" t="str">
        <f t="shared" si="5"/>
        <v>-</v>
      </c>
      <c r="I93" s="1667" t="str">
        <f t="shared" ca="1" si="6"/>
        <v>-</v>
      </c>
      <c r="N93" s="1674">
        <f t="shared" ca="1" si="7"/>
        <v>0</v>
      </c>
    </row>
    <row r="94" spans="1:14" ht="18.75" customHeight="1">
      <c r="A94" s="3118"/>
      <c r="B94" s="3110"/>
      <c r="C94" s="3122"/>
      <c r="D94" s="699">
        <f ca="1">IF(ROW()-ROW($A$6)&lt;'الف-ب-ج'!$L$9,INDIRECT("BudgetDB!GO"&amp;('الف-ب-ج'!$M$9+ROW()-ROW($A$6))),"")</f>
        <v>0</v>
      </c>
      <c r="E94" s="1142"/>
      <c r="F94" s="1685" cm="1">
        <f t="array" aca="1" ref="F94" ca="1">IF(ROW()-ROW($A$6)&lt;'الف-ب-ج'!$L$9,IF(روکش!$F$9="سه ماهه",INDIRECT("BudgetDB!GP"&amp;('الف-ب-ج'!$M$9+ROW()-ROW($A$6))),INDIRECT("BudgetDB!GQ"&amp;('الف-ب-ج'!$M$9+ROW()-ROW($A$6)))),"")</f>
        <v>0</v>
      </c>
      <c r="G94" s="258"/>
      <c r="H94" s="1666" t="str">
        <f t="shared" si="5"/>
        <v>-</v>
      </c>
      <c r="I94" s="1667" t="str">
        <f t="shared" ca="1" si="6"/>
        <v>-</v>
      </c>
      <c r="N94" s="1674">
        <f t="shared" ca="1" si="7"/>
        <v>0</v>
      </c>
    </row>
    <row r="95" spans="1:14" ht="18.75" customHeight="1">
      <c r="A95" s="3118"/>
      <c r="B95" s="3110"/>
      <c r="C95" s="3122"/>
      <c r="D95" s="699">
        <f ca="1">IF(ROW()-ROW($A$6)&lt;'الف-ب-ج'!$L$9,INDIRECT("BudgetDB!GO"&amp;('الف-ب-ج'!$M$9+ROW()-ROW($A$6))),"")</f>
        <v>0</v>
      </c>
      <c r="E95" s="1142"/>
      <c r="F95" s="1685" cm="1">
        <f t="array" aca="1" ref="F95" ca="1">IF(ROW()-ROW($A$6)&lt;'الف-ب-ج'!$L$9,IF(روکش!$F$9="سه ماهه",INDIRECT("BudgetDB!GP"&amp;('الف-ب-ج'!$M$9+ROW()-ROW($A$6))),INDIRECT("BudgetDB!GQ"&amp;('الف-ب-ج'!$M$9+ROW()-ROW($A$6)))),"")</f>
        <v>0</v>
      </c>
      <c r="G95" s="258"/>
      <c r="H95" s="1666" t="str">
        <f t="shared" si="5"/>
        <v>-</v>
      </c>
      <c r="I95" s="1667" t="str">
        <f t="shared" ca="1" si="6"/>
        <v>-</v>
      </c>
      <c r="N95" s="1674">
        <f t="shared" ca="1" si="7"/>
        <v>0</v>
      </c>
    </row>
    <row r="96" spans="1:14" ht="18.75" customHeight="1">
      <c r="A96" s="3118"/>
      <c r="B96" s="3110"/>
      <c r="C96" s="3123"/>
      <c r="D96" s="699">
        <f ca="1">IF(ROW()-ROW($A$6)&lt;'الف-ب-ج'!$L$9,INDIRECT("BudgetDB!GO"&amp;('الف-ب-ج'!$M$9+ROW()-ROW($A$6))),"")</f>
        <v>0</v>
      </c>
      <c r="E96" s="1142"/>
      <c r="F96" s="1685" cm="1">
        <f t="array" aca="1" ref="F96" ca="1">IF(ROW()-ROW($A$6)&lt;'الف-ب-ج'!$L$9,IF(روکش!$F$9="سه ماهه",INDIRECT("BudgetDB!GP"&amp;('الف-ب-ج'!$M$9+ROW()-ROW($A$6))),INDIRECT("BudgetDB!GQ"&amp;('الف-ب-ج'!$M$9+ROW()-ROW($A$6)))),"")</f>
        <v>0</v>
      </c>
      <c r="G96" s="258"/>
      <c r="H96" s="1666" t="str">
        <f t="shared" si="5"/>
        <v>-</v>
      </c>
      <c r="I96" s="1667" t="str">
        <f t="shared" ca="1" si="6"/>
        <v>-</v>
      </c>
      <c r="N96" s="1674">
        <f t="shared" ca="1" si="7"/>
        <v>0</v>
      </c>
    </row>
    <row r="97" spans="1:14" ht="18.75" customHeight="1">
      <c r="A97" s="3118"/>
      <c r="B97" s="3110"/>
      <c r="C97" s="1668" t="s">
        <v>1676</v>
      </c>
      <c r="D97" s="1146">
        <f ca="1">IF(ROW()-ROW($A$6)&lt;'الف-ب-ج'!$L$9,INDIRECT("BudgetDB!GO"&amp;('الف-ب-ج'!$M$9+ROW()-ROW($A$6))),"")</f>
        <v>0</v>
      </c>
      <c r="E97" s="1142"/>
      <c r="F97" s="1685" cm="1">
        <f t="array" aca="1" ref="F97" ca="1">IF(ROW()-ROW($A$6)&lt;'الف-ب-ج'!$L$9,IF(روکش!$F$9="سه ماهه",INDIRECT("BudgetDB!GP"&amp;('الف-ب-ج'!$M$9+ROW()-ROW($A$6))),INDIRECT("BudgetDB!GQ"&amp;('الف-ب-ج'!$M$9+ROW()-ROW($A$6)))),"")</f>
        <v>0</v>
      </c>
      <c r="G97" s="258"/>
      <c r="H97" s="1666" t="str">
        <f t="shared" si="5"/>
        <v>-</v>
      </c>
      <c r="I97" s="1667" t="str">
        <f t="shared" ca="1" si="6"/>
        <v>-</v>
      </c>
      <c r="N97" s="1674">
        <f t="shared" ca="1" si="7"/>
        <v>0</v>
      </c>
    </row>
    <row r="98" spans="1:14" ht="18.75" customHeight="1">
      <c r="A98" s="3118"/>
      <c r="B98" s="3110"/>
      <c r="C98" s="1668" t="s">
        <v>313</v>
      </c>
      <c r="D98" s="1146">
        <f ca="1">IF(ROW()-ROW($A$6)&lt;'الف-ب-ج'!$L$9,INDIRECT("BudgetDB!GO"&amp;('الف-ب-ج'!$M$9+ROW()-ROW($A$6))),"")</f>
        <v>0</v>
      </c>
      <c r="E98" s="1142"/>
      <c r="F98" s="1685" cm="1">
        <f t="array" aca="1" ref="F98" ca="1">IF(ROW()-ROW($A$6)&lt;'الف-ب-ج'!$L$9,IF(روکش!$F$9="سه ماهه",INDIRECT("BudgetDB!GP"&amp;('الف-ب-ج'!$M$9+ROW()-ROW($A$6))),INDIRECT("BudgetDB!GQ"&amp;('الف-ب-ج'!$M$9+ROW()-ROW($A$6)))),"")</f>
        <v>0</v>
      </c>
      <c r="G98" s="258"/>
      <c r="H98" s="1666" t="str">
        <f t="shared" si="5"/>
        <v>-</v>
      </c>
      <c r="I98" s="1667" t="str">
        <f t="shared" ca="1" si="6"/>
        <v>-</v>
      </c>
      <c r="N98" s="1674">
        <f t="shared" ca="1" si="7"/>
        <v>0</v>
      </c>
    </row>
    <row r="99" spans="1:14" ht="18.75" customHeight="1">
      <c r="A99" s="3118"/>
      <c r="B99" s="3110"/>
      <c r="C99" s="1668" t="s">
        <v>369</v>
      </c>
      <c r="D99" s="1146">
        <f ca="1">IF(ROW()-ROW($A$6)&lt;'الف-ب-ج'!$L$9,INDIRECT("BudgetDB!GO"&amp;('الف-ب-ج'!$M$9+ROW()-ROW($A$6))),"")</f>
        <v>0</v>
      </c>
      <c r="E99" s="1142"/>
      <c r="F99" s="1685" cm="1">
        <f t="array" aca="1" ref="F99" ca="1">IF(ROW()-ROW($A$6)&lt;'الف-ب-ج'!$L$9,IF(روکش!$F$9="سه ماهه",INDIRECT("BudgetDB!GP"&amp;('الف-ب-ج'!$M$9+ROW()-ROW($A$6))),INDIRECT("BudgetDB!GQ"&amp;('الف-ب-ج'!$M$9+ROW()-ROW($A$6)))),"")</f>
        <v>0</v>
      </c>
      <c r="G99" s="258"/>
      <c r="H99" s="1666" t="str">
        <f t="shared" si="5"/>
        <v>-</v>
      </c>
      <c r="I99" s="1667" t="str">
        <f t="shared" ca="1" si="6"/>
        <v>-</v>
      </c>
      <c r="N99" s="1674">
        <f t="shared" ca="1" si="7"/>
        <v>0</v>
      </c>
    </row>
    <row r="100" spans="1:14" ht="18.75" customHeight="1">
      <c r="A100" s="3118"/>
      <c r="B100" s="3110"/>
      <c r="C100" s="1668" t="s">
        <v>370</v>
      </c>
      <c r="D100" s="1146">
        <f ca="1">IF(ROW()-ROW($A$6)&lt;'الف-ب-ج'!$L$9,INDIRECT("BudgetDB!GO"&amp;('الف-ب-ج'!$M$9+ROW()-ROW($A$6))),"")</f>
        <v>0</v>
      </c>
      <c r="E100" s="1142"/>
      <c r="F100" s="1685" cm="1">
        <f t="array" aca="1" ref="F100" ca="1">IF(ROW()-ROW($A$6)&lt;'الف-ب-ج'!$L$9,IF(روکش!$F$9="سه ماهه",INDIRECT("BudgetDB!GP"&amp;('الف-ب-ج'!$M$9+ROW()-ROW($A$6))),INDIRECT("BudgetDB!GQ"&amp;('الف-ب-ج'!$M$9+ROW()-ROW($A$6)))),"")</f>
        <v>0</v>
      </c>
      <c r="G100" s="258"/>
      <c r="H100" s="1666" t="str">
        <f t="shared" si="5"/>
        <v>-</v>
      </c>
      <c r="I100" s="1667" t="str">
        <f t="shared" ca="1" si="6"/>
        <v>-</v>
      </c>
      <c r="N100" s="1674">
        <f t="shared" ca="1" si="7"/>
        <v>0</v>
      </c>
    </row>
    <row r="101" spans="1:14" ht="18.75" customHeight="1">
      <c r="A101" s="3118"/>
      <c r="B101" s="3110"/>
      <c r="C101" s="1668" t="s">
        <v>371</v>
      </c>
      <c r="D101" s="1146">
        <f ca="1">IF(ROW()-ROW($A$6)&lt;'الف-ب-ج'!$L$9,INDIRECT("BudgetDB!GO"&amp;('الف-ب-ج'!$M$9+ROW()-ROW($A$6))),"")</f>
        <v>0</v>
      </c>
      <c r="E101" s="1142"/>
      <c r="F101" s="1685" cm="1">
        <f t="array" aca="1" ref="F101" ca="1">IF(ROW()-ROW($A$6)&lt;'الف-ب-ج'!$L$9,IF(روکش!$F$9="سه ماهه",INDIRECT("BudgetDB!GP"&amp;('الف-ب-ج'!$M$9+ROW()-ROW($A$6))),INDIRECT("BudgetDB!GQ"&amp;('الف-ب-ج'!$M$9+ROW()-ROW($A$6)))),"")</f>
        <v>0</v>
      </c>
      <c r="G101" s="258"/>
      <c r="H101" s="1666" t="str">
        <f t="shared" si="5"/>
        <v>-</v>
      </c>
      <c r="I101" s="1667" t="str">
        <f t="shared" ca="1" si="6"/>
        <v>-</v>
      </c>
      <c r="N101" s="1674">
        <f t="shared" ca="1" si="7"/>
        <v>0</v>
      </c>
    </row>
    <row r="102" spans="1:14" ht="18.75" customHeight="1">
      <c r="A102" s="3118"/>
      <c r="B102" s="3110"/>
      <c r="C102" s="1668" t="s">
        <v>1675</v>
      </c>
      <c r="D102" s="1146">
        <f ca="1">IF(ROW()-ROW($A$6)&lt;'الف-ب-ج'!$L$9,INDIRECT("BudgetDB!GO"&amp;('الف-ب-ج'!$M$9+ROW()-ROW($A$6))),"")</f>
        <v>0</v>
      </c>
      <c r="E102" s="1142"/>
      <c r="F102" s="1685" cm="1">
        <f t="array" aca="1" ref="F102" ca="1">IF(ROW()-ROW($A$6)&lt;'الف-ب-ج'!$L$9,IF(روکش!$F$9="سه ماهه",INDIRECT("BudgetDB!GP"&amp;('الف-ب-ج'!$M$9+ROW()-ROW($A$6))),INDIRECT("BudgetDB!GQ"&amp;('الف-ب-ج'!$M$9+ROW()-ROW($A$6)))),"")</f>
        <v>0</v>
      </c>
      <c r="G102" s="258"/>
      <c r="H102" s="1666" t="str">
        <f t="shared" si="5"/>
        <v>-</v>
      </c>
      <c r="I102" s="1667" t="str">
        <f t="shared" ca="1" si="6"/>
        <v>-</v>
      </c>
      <c r="N102" s="1674">
        <f t="shared" ca="1" si="7"/>
        <v>0</v>
      </c>
    </row>
    <row r="103" spans="1:14" ht="18.75" customHeight="1">
      <c r="A103" s="3118"/>
      <c r="B103" s="3110"/>
      <c r="C103" s="3101" t="s">
        <v>1692</v>
      </c>
      <c r="D103" s="1139">
        <f ca="1">'سایر عملیاتی آزادراهی'!A24</f>
        <v>0</v>
      </c>
      <c r="E103" s="1143"/>
      <c r="F103" s="1683" cm="1">
        <f t="array" aca="1" ref="F103" ca="1">IF(ROW()-ROW($A$6)&lt;'الف-ب-ج'!$L$9,IF(روکش!$F$9="سه ماهه",INDIRECT("BudgetDB!GP"&amp;('الف-ب-ج'!$M$9+ROW()-ROW($A$6))),INDIRECT("BudgetDB!GQ"&amp;('الف-ب-ج'!$M$9+ROW()-ROW($A$6)))),"")</f>
        <v>0</v>
      </c>
      <c r="G103" s="256"/>
      <c r="H103" s="1658" t="str">
        <f t="shared" si="5"/>
        <v>-</v>
      </c>
      <c r="I103" s="1659" t="str">
        <f t="shared" ca="1" si="6"/>
        <v>-</v>
      </c>
      <c r="N103" s="1674">
        <f t="shared" ca="1" si="7"/>
        <v>0</v>
      </c>
    </row>
    <row r="104" spans="1:14" ht="18.75" customHeight="1">
      <c r="A104" s="3118"/>
      <c r="B104" s="3110"/>
      <c r="C104" s="3102"/>
      <c r="D104" s="1139">
        <f ca="1">'سایر عملیاتی آزادراهی'!A25</f>
        <v>0</v>
      </c>
      <c r="E104" s="1141"/>
      <c r="F104" s="1684" cm="1">
        <f t="array" aca="1" ref="F104" ca="1">IF(ROW()-ROW($A$6)&lt;'الف-ب-ج'!$L$9,IF(روکش!$F$9="سه ماهه",INDIRECT("BudgetDB!GP"&amp;('الف-ب-ج'!$M$9+ROW()-ROW($A$6))),INDIRECT("BudgetDB!GQ"&amp;('الف-ب-ج'!$M$9+ROW()-ROW($A$6)))),"")</f>
        <v>0</v>
      </c>
      <c r="G104" s="257"/>
      <c r="H104" s="1660" t="str">
        <f t="shared" si="5"/>
        <v>-</v>
      </c>
      <c r="I104" s="1659" t="str">
        <f t="shared" ca="1" si="6"/>
        <v>-</v>
      </c>
      <c r="N104" s="1674">
        <f t="shared" ca="1" si="7"/>
        <v>0</v>
      </c>
    </row>
    <row r="105" spans="1:14" ht="18.75" customHeight="1">
      <c r="A105" s="3118"/>
      <c r="B105" s="3110"/>
      <c r="C105" s="3102"/>
      <c r="D105" s="1139">
        <f ca="1">'سایر عملیاتی آزادراهی'!A26</f>
        <v>0</v>
      </c>
      <c r="E105" s="1141"/>
      <c r="F105" s="1684" cm="1">
        <f t="array" aca="1" ref="F105" ca="1">IF(ROW()-ROW($A$6)&lt;'الف-ب-ج'!$L$9,IF(روکش!$F$9="سه ماهه",INDIRECT("BudgetDB!GP"&amp;('الف-ب-ج'!$M$9+ROW()-ROW($A$6))),INDIRECT("BudgetDB!GQ"&amp;('الف-ب-ج'!$M$9+ROW()-ROW($A$6)))),"")</f>
        <v>0</v>
      </c>
      <c r="G105" s="257"/>
      <c r="H105" s="1660" t="str">
        <f t="shared" ref="H105:H119" si="8">IFERROR((G105-E105)*100/E105,"-")</f>
        <v>-</v>
      </c>
      <c r="I105" s="1659" t="str">
        <f t="shared" ref="I105:I119" ca="1" si="9">IFERROR(G105*100/F105,"-")</f>
        <v>-</v>
      </c>
      <c r="N105" s="1674">
        <f t="shared" ca="1" si="7"/>
        <v>0</v>
      </c>
    </row>
    <row r="106" spans="1:14" ht="18.75" customHeight="1">
      <c r="A106" s="3118"/>
      <c r="B106" s="3110"/>
      <c r="C106" s="3102"/>
      <c r="D106" s="1139">
        <f ca="1">'سایر عملیاتی آزادراهی'!A27</f>
        <v>0</v>
      </c>
      <c r="E106" s="1141"/>
      <c r="F106" s="1684" cm="1">
        <f t="array" aca="1" ref="F106" ca="1">IF(ROW()-ROW($A$6)&lt;'الف-ب-ج'!$L$9,IF(روکش!$F$9="سه ماهه",INDIRECT("BudgetDB!GP"&amp;('الف-ب-ج'!$M$9+ROW()-ROW($A$6))),INDIRECT("BudgetDB!GQ"&amp;('الف-ب-ج'!$M$9+ROW()-ROW($A$6)))),"")</f>
        <v>0</v>
      </c>
      <c r="G106" s="257"/>
      <c r="H106" s="1660" t="str">
        <f t="shared" si="8"/>
        <v>-</v>
      </c>
      <c r="I106" s="1659" t="str">
        <f t="shared" ca="1" si="9"/>
        <v>-</v>
      </c>
      <c r="N106" s="1674">
        <f t="shared" ca="1" si="7"/>
        <v>0</v>
      </c>
    </row>
    <row r="107" spans="1:14" ht="18.75" customHeight="1">
      <c r="A107" s="3118"/>
      <c r="B107" s="3110"/>
      <c r="C107" s="3102"/>
      <c r="D107" s="1139">
        <f ca="1">'سایر عملیاتی آزادراهی'!A28</f>
        <v>0</v>
      </c>
      <c r="E107" s="1141"/>
      <c r="F107" s="1684" cm="1">
        <f t="array" aca="1" ref="F107" ca="1">IF(ROW()-ROW($A$6)&lt;'الف-ب-ج'!$L$9,IF(روکش!$F$9="سه ماهه",INDIRECT("BudgetDB!GP"&amp;('الف-ب-ج'!$M$9+ROW()-ROW($A$6))),INDIRECT("BudgetDB!GQ"&amp;('الف-ب-ج'!$M$9+ROW()-ROW($A$6)))),"")</f>
        <v>0</v>
      </c>
      <c r="G107" s="257"/>
      <c r="H107" s="1660" t="str">
        <f t="shared" si="8"/>
        <v>-</v>
      </c>
      <c r="I107" s="1659" t="str">
        <f t="shared" ca="1" si="9"/>
        <v>-</v>
      </c>
      <c r="N107" s="1674">
        <f t="shared" ca="1" si="7"/>
        <v>0</v>
      </c>
    </row>
    <row r="108" spans="1:14" ht="18.75" customHeight="1">
      <c r="A108" s="3118"/>
      <c r="B108" s="3110"/>
      <c r="C108" s="3102"/>
      <c r="D108" s="1139">
        <f ca="1">'سایر عملیاتی آزادراهی'!A29</f>
        <v>0</v>
      </c>
      <c r="E108" s="1141"/>
      <c r="F108" s="1684" cm="1">
        <f t="array" aca="1" ref="F108" ca="1">IF(ROW()-ROW($A$6)&lt;'الف-ب-ج'!$L$9,IF(روکش!$F$9="سه ماهه",INDIRECT("BudgetDB!GP"&amp;('الف-ب-ج'!$M$9+ROW()-ROW($A$6))),INDIRECT("BudgetDB!GQ"&amp;('الف-ب-ج'!$M$9+ROW()-ROW($A$6)))),"")</f>
        <v>0</v>
      </c>
      <c r="G108" s="257"/>
      <c r="H108" s="1660" t="str">
        <f t="shared" si="8"/>
        <v>-</v>
      </c>
      <c r="I108" s="1659" t="str">
        <f t="shared" ca="1" si="9"/>
        <v>-</v>
      </c>
      <c r="N108" s="1674">
        <f t="shared" ca="1" si="7"/>
        <v>0</v>
      </c>
    </row>
    <row r="109" spans="1:14" ht="18.75" customHeight="1">
      <c r="A109" s="3118"/>
      <c r="B109" s="3110"/>
      <c r="C109" s="3102"/>
      <c r="D109" s="1139">
        <f ca="1">'سایر عملیاتی آزادراهی'!A30</f>
        <v>0</v>
      </c>
      <c r="E109" s="1141"/>
      <c r="F109" s="1684" cm="1">
        <f t="array" aca="1" ref="F109" ca="1">IF(ROW()-ROW($A$6)&lt;'الف-ب-ج'!$L$9,IF(روکش!$F$9="سه ماهه",INDIRECT("BudgetDB!GP"&amp;('الف-ب-ج'!$M$9+ROW()-ROW($A$6))),INDIRECT("BudgetDB!GQ"&amp;('الف-ب-ج'!$M$9+ROW()-ROW($A$6)))),"")</f>
        <v>0</v>
      </c>
      <c r="G109" s="257"/>
      <c r="H109" s="1660" t="str">
        <f t="shared" si="8"/>
        <v>-</v>
      </c>
      <c r="I109" s="1659" t="str">
        <f t="shared" ca="1" si="9"/>
        <v>-</v>
      </c>
      <c r="N109" s="1674">
        <f t="shared" ca="1" si="7"/>
        <v>0</v>
      </c>
    </row>
    <row r="110" spans="1:14" ht="18.75" customHeight="1">
      <c r="A110" s="3118"/>
      <c r="B110" s="3110"/>
      <c r="C110" s="3102"/>
      <c r="D110" s="1139">
        <f ca="1">'سایر عملیاتی آزادراهی'!A31</f>
        <v>0</v>
      </c>
      <c r="E110" s="1141"/>
      <c r="F110" s="1684" cm="1">
        <f t="array" aca="1" ref="F110" ca="1">IF(ROW()-ROW($A$6)&lt;'الف-ب-ج'!$L$9,IF(روکش!$F$9="سه ماهه",INDIRECT("BudgetDB!GP"&amp;('الف-ب-ج'!$M$9+ROW()-ROW($A$6))),INDIRECT("BudgetDB!GQ"&amp;('الف-ب-ج'!$M$9+ROW()-ROW($A$6)))),"")</f>
        <v>0</v>
      </c>
      <c r="G110" s="257"/>
      <c r="H110" s="1660" t="str">
        <f t="shared" si="8"/>
        <v>-</v>
      </c>
      <c r="I110" s="1659" t="str">
        <f t="shared" ca="1" si="9"/>
        <v>-</v>
      </c>
      <c r="N110" s="1674">
        <f t="shared" ca="1" si="7"/>
        <v>0</v>
      </c>
    </row>
    <row r="111" spans="1:14" ht="18.75" customHeight="1">
      <c r="A111" s="3118"/>
      <c r="B111" s="3110"/>
      <c r="C111" s="3102"/>
      <c r="D111" s="1139">
        <f ca="1">'سایر عملیاتی آزادراهی'!A32</f>
        <v>0</v>
      </c>
      <c r="E111" s="1141"/>
      <c r="F111" s="1684" cm="1">
        <f t="array" aca="1" ref="F111" ca="1">IF(ROW()-ROW($A$6)&lt;'الف-ب-ج'!$L$9,IF(روکش!$F$9="سه ماهه",INDIRECT("BudgetDB!GP"&amp;('الف-ب-ج'!$M$9+ROW()-ROW($A$6))),INDIRECT("BudgetDB!GQ"&amp;('الف-ب-ج'!$M$9+ROW()-ROW($A$6)))),"")</f>
        <v>0</v>
      </c>
      <c r="G111" s="257"/>
      <c r="H111" s="1660" t="str">
        <f t="shared" si="8"/>
        <v>-</v>
      </c>
      <c r="I111" s="1659" t="str">
        <f t="shared" ca="1" si="9"/>
        <v>-</v>
      </c>
      <c r="N111" s="1674">
        <f t="shared" ca="1" si="7"/>
        <v>0</v>
      </c>
    </row>
    <row r="112" spans="1:14" ht="18.75" customHeight="1">
      <c r="A112" s="3118"/>
      <c r="B112" s="3110"/>
      <c r="C112" s="3102"/>
      <c r="D112" s="1139">
        <f ca="1">'سایر عملیاتی آزادراهی'!A33</f>
        <v>0</v>
      </c>
      <c r="E112" s="1141"/>
      <c r="F112" s="1684" cm="1">
        <f t="array" aca="1" ref="F112" ca="1">IF(ROW()-ROW($A$6)&lt;'الف-ب-ج'!$L$9,IF(روکش!$F$9="سه ماهه",INDIRECT("BudgetDB!GP"&amp;('الف-ب-ج'!$M$9+ROW()-ROW($A$6))),INDIRECT("BudgetDB!GQ"&amp;('الف-ب-ج'!$M$9+ROW()-ROW($A$6)))),"")</f>
        <v>0</v>
      </c>
      <c r="G112" s="257"/>
      <c r="H112" s="1660" t="str">
        <f t="shared" si="8"/>
        <v>-</v>
      </c>
      <c r="I112" s="1659" t="str">
        <f t="shared" ca="1" si="9"/>
        <v>-</v>
      </c>
      <c r="N112" s="1674">
        <f t="shared" ca="1" si="7"/>
        <v>0</v>
      </c>
    </row>
    <row r="113" spans="1:14" ht="18.75" customHeight="1">
      <c r="A113" s="3118"/>
      <c r="B113" s="3110"/>
      <c r="C113" s="3102"/>
      <c r="D113" s="1139">
        <f ca="1">'سایر عملیاتی آزادراهی'!A34</f>
        <v>0</v>
      </c>
      <c r="E113" s="1141"/>
      <c r="F113" s="1684" cm="1">
        <f t="array" aca="1" ref="F113" ca="1">IF(ROW()-ROW($A$6)&lt;'الف-ب-ج'!$L$9,IF(روکش!$F$9="سه ماهه",INDIRECT("BudgetDB!GP"&amp;('الف-ب-ج'!$M$9+ROW()-ROW($A$6))),INDIRECT("BudgetDB!GQ"&amp;('الف-ب-ج'!$M$9+ROW()-ROW($A$6)))),"")</f>
        <v>0</v>
      </c>
      <c r="G113" s="257"/>
      <c r="H113" s="1660" t="str">
        <f t="shared" si="8"/>
        <v>-</v>
      </c>
      <c r="I113" s="1659" t="str">
        <f t="shared" ca="1" si="9"/>
        <v>-</v>
      </c>
      <c r="N113" s="1674">
        <f t="shared" ca="1" si="7"/>
        <v>0</v>
      </c>
    </row>
    <row r="114" spans="1:14" ht="18.75" customHeight="1">
      <c r="A114" s="3118"/>
      <c r="B114" s="3110"/>
      <c r="C114" s="3102"/>
      <c r="D114" s="1139">
        <f ca="1">'سایر عملیاتی آزادراهی'!A35</f>
        <v>0</v>
      </c>
      <c r="E114" s="1141"/>
      <c r="F114" s="1684" cm="1">
        <f t="array" aca="1" ref="F114" ca="1">IF(ROW()-ROW($A$6)&lt;'الف-ب-ج'!$L$9,IF(روکش!$F$9="سه ماهه",INDIRECT("BudgetDB!GP"&amp;('الف-ب-ج'!$M$9+ROW()-ROW($A$6))),INDIRECT("BudgetDB!GQ"&amp;('الف-ب-ج'!$M$9+ROW()-ROW($A$6)))),"")</f>
        <v>0</v>
      </c>
      <c r="G114" s="257"/>
      <c r="H114" s="1660" t="str">
        <f t="shared" si="8"/>
        <v>-</v>
      </c>
      <c r="I114" s="1659" t="str">
        <f t="shared" ca="1" si="9"/>
        <v>-</v>
      </c>
      <c r="N114" s="1674">
        <f t="shared" ca="1" si="7"/>
        <v>0</v>
      </c>
    </row>
    <row r="115" spans="1:14" ht="18.75" customHeight="1">
      <c r="A115" s="3118"/>
      <c r="B115" s="3110"/>
      <c r="C115" s="3102"/>
      <c r="D115" s="1139">
        <f ca="1">'سایر عملیاتی آزادراهی'!A36</f>
        <v>0</v>
      </c>
      <c r="E115" s="1141"/>
      <c r="F115" s="1684" cm="1">
        <f t="array" aca="1" ref="F115" ca="1">IF(ROW()-ROW($A$6)&lt;'الف-ب-ج'!$L$9,IF(روکش!$F$9="سه ماهه",INDIRECT("BudgetDB!GP"&amp;('الف-ب-ج'!$M$9+ROW()-ROW($A$6))),INDIRECT("BudgetDB!GQ"&amp;('الف-ب-ج'!$M$9+ROW()-ROW($A$6)))),"")</f>
        <v>0</v>
      </c>
      <c r="G115" s="257"/>
      <c r="H115" s="1660" t="str">
        <f t="shared" si="8"/>
        <v>-</v>
      </c>
      <c r="I115" s="1659" t="str">
        <f t="shared" ca="1" si="9"/>
        <v>-</v>
      </c>
      <c r="N115" s="1674">
        <f t="shared" ca="1" si="7"/>
        <v>0</v>
      </c>
    </row>
    <row r="116" spans="1:14" ht="18.75" customHeight="1">
      <c r="A116" s="3118"/>
      <c r="B116" s="3110"/>
      <c r="C116" s="3102"/>
      <c r="D116" s="1139">
        <f ca="1">'سایر عملیاتی آزادراهی'!A37</f>
        <v>0</v>
      </c>
      <c r="E116" s="1141"/>
      <c r="F116" s="1684" cm="1">
        <f t="array" aca="1" ref="F116" ca="1">IF(ROW()-ROW($A$6)&lt;'الف-ب-ج'!$L$9,IF(روکش!$F$9="سه ماهه",INDIRECT("BudgetDB!GP"&amp;('الف-ب-ج'!$M$9+ROW()-ROW($A$6))),INDIRECT("BudgetDB!GQ"&amp;('الف-ب-ج'!$M$9+ROW()-ROW($A$6)))),"")</f>
        <v>0</v>
      </c>
      <c r="G116" s="257"/>
      <c r="H116" s="1660" t="str">
        <f t="shared" si="8"/>
        <v>-</v>
      </c>
      <c r="I116" s="1659" t="str">
        <f t="shared" ca="1" si="9"/>
        <v>-</v>
      </c>
      <c r="N116" s="1674">
        <f t="shared" ca="1" si="7"/>
        <v>0</v>
      </c>
    </row>
    <row r="117" spans="1:14" ht="18.75" customHeight="1">
      <c r="A117" s="3118"/>
      <c r="B117" s="3110"/>
      <c r="C117" s="3102"/>
      <c r="D117" s="1139">
        <f ca="1">'سایر عملیاتی آزادراهی'!A38</f>
        <v>0</v>
      </c>
      <c r="E117" s="1141"/>
      <c r="F117" s="1684" cm="1">
        <f t="array" aca="1" ref="F117" ca="1">IF(ROW()-ROW($A$6)&lt;'الف-ب-ج'!$L$9,IF(روکش!$F$9="سه ماهه",INDIRECT("BudgetDB!GP"&amp;('الف-ب-ج'!$M$9+ROW()-ROW($A$6))),INDIRECT("BudgetDB!GQ"&amp;('الف-ب-ج'!$M$9+ROW()-ROW($A$6)))),"")</f>
        <v>0</v>
      </c>
      <c r="G117" s="257"/>
      <c r="H117" s="1660" t="str">
        <f t="shared" si="8"/>
        <v>-</v>
      </c>
      <c r="I117" s="1659" t="str">
        <f t="shared" ca="1" si="9"/>
        <v>-</v>
      </c>
      <c r="N117" s="1674">
        <f t="shared" ca="1" si="7"/>
        <v>0</v>
      </c>
    </row>
    <row r="118" spans="1:14" ht="18.75" customHeight="1">
      <c r="A118" s="3118"/>
      <c r="B118" s="3110"/>
      <c r="C118" s="3101" t="s">
        <v>160</v>
      </c>
      <c r="D118" s="1146">
        <f ca="1">IF(ROW()-ROW($A$6)&lt;'الف-ب-ج'!$L$9,INDIRECT("BudgetDB!GO"&amp;('الف-ب-ج'!$M$9+ROW()-ROW($A$6))),"")</f>
        <v>0</v>
      </c>
      <c r="E118" s="1143"/>
      <c r="F118" s="1683" cm="1">
        <f t="array" aca="1" ref="F118" ca="1">IF(ROW()-ROW($A$6)&lt;'الف-ب-ج'!$L$9,IF(روکش!$F$9="سه ماهه",INDIRECT("BudgetDB!GP"&amp;('الف-ب-ج'!$M$9+ROW()-ROW($A$6))),INDIRECT("BudgetDB!GQ"&amp;('الف-ب-ج'!$M$9+ROW()-ROW($A$6)))),"")</f>
        <v>0</v>
      </c>
      <c r="G118" s="256"/>
      <c r="H118" s="1660" t="str">
        <f t="shared" si="8"/>
        <v>-</v>
      </c>
      <c r="I118" s="1659" t="str">
        <f t="shared" ca="1" si="9"/>
        <v>-</v>
      </c>
      <c r="N118" s="1674">
        <f t="shared" ca="1" si="7"/>
        <v>0</v>
      </c>
    </row>
    <row r="119" spans="1:14" ht="18.75" customHeight="1">
      <c r="A119" s="3118"/>
      <c r="B119" s="3110"/>
      <c r="C119" s="3102"/>
      <c r="D119" s="1146">
        <f ca="1">IF(ROW()-ROW($A$6)&lt;'الف-ب-ج'!$L$9,INDIRECT("BudgetDB!GO"&amp;('الف-ب-ج'!$M$9+ROW()-ROW($A$6))),"")</f>
        <v>0</v>
      </c>
      <c r="E119" s="1143"/>
      <c r="F119" s="1683" cm="1">
        <f t="array" aca="1" ref="F119" ca="1">IF(ROW()-ROW($A$6)&lt;'الف-ب-ج'!$L$9,IF(روکش!$F$9="سه ماهه",INDIRECT("BudgetDB!GP"&amp;('الف-ب-ج'!$M$9+ROW()-ROW($A$6))),INDIRECT("BudgetDB!GQ"&amp;('الف-ب-ج'!$M$9+ROW()-ROW($A$6)))),"")</f>
        <v>0</v>
      </c>
      <c r="G119" s="256"/>
      <c r="H119" s="1660" t="str">
        <f t="shared" si="8"/>
        <v>-</v>
      </c>
      <c r="I119" s="1659" t="str">
        <f t="shared" ca="1" si="9"/>
        <v>-</v>
      </c>
      <c r="N119" s="1674">
        <f t="shared" ca="1" si="7"/>
        <v>0</v>
      </c>
    </row>
    <row r="120" spans="1:14" ht="18.75" customHeight="1">
      <c r="A120" s="3118"/>
      <c r="B120" s="3110"/>
      <c r="C120" s="3102"/>
      <c r="D120" s="1146">
        <f ca="1">IF(ROW()-ROW($A$6)&lt;'الف-ب-ج'!$L$9,INDIRECT("BudgetDB!GO"&amp;('الف-ب-ج'!$M$9+ROW()-ROW($A$6))),"")</f>
        <v>0</v>
      </c>
      <c r="E120" s="1143"/>
      <c r="F120" s="1683" cm="1">
        <f t="array" aca="1" ref="F120" ca="1">IF(ROW()-ROW($A$6)&lt;'الف-ب-ج'!$L$9,IF(روکش!$F$9="سه ماهه",INDIRECT("BudgetDB!GP"&amp;('الف-ب-ج'!$M$9+ROW()-ROW($A$6))),INDIRECT("BudgetDB!GQ"&amp;('الف-ب-ج'!$M$9+ROW()-ROW($A$6)))),"")</f>
        <v>0</v>
      </c>
      <c r="G120" s="256"/>
      <c r="H120" s="1658" t="str">
        <f t="shared" si="5"/>
        <v>-</v>
      </c>
      <c r="I120" s="1659" t="str">
        <f t="shared" ca="1" si="6"/>
        <v>-</v>
      </c>
      <c r="N120" s="1674">
        <f t="shared" ca="1" si="7"/>
        <v>0</v>
      </c>
    </row>
    <row r="121" spans="1:14" ht="18.75" customHeight="1">
      <c r="A121" s="3118"/>
      <c r="B121" s="3110"/>
      <c r="C121" s="3102"/>
      <c r="D121" s="1146">
        <f ca="1">IF(ROW()-ROW($A$6)&lt;'الف-ب-ج'!$L$9,INDIRECT("BudgetDB!GO"&amp;('الف-ب-ج'!$M$9+ROW()-ROW($A$6))),"")</f>
        <v>0</v>
      </c>
      <c r="E121" s="1143"/>
      <c r="F121" s="1683" cm="1">
        <f t="array" aca="1" ref="F121" ca="1">IF(ROW()-ROW($A$6)&lt;'الف-ب-ج'!$L$9,IF(روکش!$F$9="سه ماهه",INDIRECT("BudgetDB!GP"&amp;('الف-ب-ج'!$M$9+ROW()-ROW($A$6))),INDIRECT("BudgetDB!GQ"&amp;('الف-ب-ج'!$M$9+ROW()-ROW($A$6)))),"")</f>
        <v>0</v>
      </c>
      <c r="G121" s="256"/>
      <c r="H121" s="1658" t="str">
        <f t="shared" si="5"/>
        <v>-</v>
      </c>
      <c r="I121" s="1659" t="str">
        <f t="shared" ca="1" si="6"/>
        <v>-</v>
      </c>
      <c r="N121" s="1674">
        <f t="shared" ca="1" si="7"/>
        <v>0</v>
      </c>
    </row>
    <row r="122" spans="1:14" ht="18.75" customHeight="1">
      <c r="A122" s="3118"/>
      <c r="B122" s="3110"/>
      <c r="C122" s="3102"/>
      <c r="D122" s="1146">
        <f ca="1">IF(ROW()-ROW($A$6)&lt;'الف-ب-ج'!$L$9,INDIRECT("BudgetDB!GO"&amp;('الف-ب-ج'!$M$9+ROW()-ROW($A$6))),"")</f>
        <v>0</v>
      </c>
      <c r="E122" s="1143"/>
      <c r="F122" s="1683" cm="1">
        <f t="array" aca="1" ref="F122" ca="1">IF(ROW()-ROW($A$6)&lt;'الف-ب-ج'!$L$9,IF(روکش!$F$9="سه ماهه",INDIRECT("BudgetDB!GP"&amp;('الف-ب-ج'!$M$9+ROW()-ROW($A$6))),INDIRECT("BudgetDB!GQ"&amp;('الف-ب-ج'!$M$9+ROW()-ROW($A$6)))),"")</f>
        <v>0</v>
      </c>
      <c r="G122" s="256"/>
      <c r="H122" s="1658" t="str">
        <f t="shared" si="5"/>
        <v>-</v>
      </c>
      <c r="I122" s="1659" t="str">
        <f t="shared" ca="1" si="6"/>
        <v>-</v>
      </c>
      <c r="N122" s="1674">
        <f t="shared" ca="1" si="7"/>
        <v>0</v>
      </c>
    </row>
    <row r="123" spans="1:14" ht="18.75" customHeight="1">
      <c r="A123" s="3118"/>
      <c r="B123" s="3110"/>
      <c r="C123" s="3102"/>
      <c r="D123" s="1146">
        <f ca="1">IF(ROW()-ROW($A$6)&lt;'الف-ب-ج'!$L$9,INDIRECT("BudgetDB!GO"&amp;('الف-ب-ج'!$M$9+ROW()-ROW($A$6))),"")</f>
        <v>0</v>
      </c>
      <c r="E123" s="1143"/>
      <c r="F123" s="1683" cm="1">
        <f t="array" aca="1" ref="F123" ca="1">IF(ROW()-ROW($A$6)&lt;'الف-ب-ج'!$L$9,IF(روکش!$F$9="سه ماهه",INDIRECT("BudgetDB!GP"&amp;('الف-ب-ج'!$M$9+ROW()-ROW($A$6))),INDIRECT("BudgetDB!GQ"&amp;('الف-ب-ج'!$M$9+ROW()-ROW($A$6)))),"")</f>
        <v>0</v>
      </c>
      <c r="G123" s="256"/>
      <c r="H123" s="1658" t="str">
        <f t="shared" si="5"/>
        <v>-</v>
      </c>
      <c r="I123" s="1659" t="str">
        <f t="shared" ca="1" si="6"/>
        <v>-</v>
      </c>
      <c r="N123" s="1674">
        <f t="shared" ca="1" si="7"/>
        <v>0</v>
      </c>
    </row>
    <row r="124" spans="1:14" ht="18.75" customHeight="1">
      <c r="A124" s="3118"/>
      <c r="B124" s="3110"/>
      <c r="C124" s="3102"/>
      <c r="D124" s="1146">
        <f ca="1">IF(ROW()-ROW($A$6)&lt;'الف-ب-ج'!$L$9,INDIRECT("BudgetDB!GO"&amp;('الف-ب-ج'!$M$9+ROW()-ROW($A$6))),"")</f>
        <v>0</v>
      </c>
      <c r="E124" s="1143"/>
      <c r="F124" s="1683" cm="1">
        <f t="array" aca="1" ref="F124" ca="1">IF(ROW()-ROW($A$6)&lt;'الف-ب-ج'!$L$9,IF(روکش!$F$9="سه ماهه",INDIRECT("BudgetDB!GP"&amp;('الف-ب-ج'!$M$9+ROW()-ROW($A$6))),INDIRECT("BudgetDB!GQ"&amp;('الف-ب-ج'!$M$9+ROW()-ROW($A$6)))),"")</f>
        <v>0</v>
      </c>
      <c r="G124" s="256"/>
      <c r="H124" s="1658" t="str">
        <f t="shared" si="5"/>
        <v>-</v>
      </c>
      <c r="I124" s="1659" t="str">
        <f t="shared" ca="1" si="6"/>
        <v>-</v>
      </c>
      <c r="N124" s="1674">
        <f t="shared" ca="1" si="7"/>
        <v>0</v>
      </c>
    </row>
    <row r="125" spans="1:14" ht="18.75" customHeight="1">
      <c r="A125" s="3118"/>
      <c r="B125" s="3110"/>
      <c r="C125" s="3102"/>
      <c r="D125" s="1146">
        <f ca="1">IF(ROW()-ROW($A$6)&lt;'الف-ب-ج'!$L$9,INDIRECT("BudgetDB!GO"&amp;('الف-ب-ج'!$M$9+ROW()-ROW($A$6))),"")</f>
        <v>0</v>
      </c>
      <c r="E125" s="1143"/>
      <c r="F125" s="1683" cm="1">
        <f t="array" aca="1" ref="F125" ca="1">IF(ROW()-ROW($A$6)&lt;'الف-ب-ج'!$L$9,IF(روکش!$F$9="سه ماهه",INDIRECT("BudgetDB!GP"&amp;('الف-ب-ج'!$M$9+ROW()-ROW($A$6))),INDIRECT("BudgetDB!GQ"&amp;('الف-ب-ج'!$M$9+ROW()-ROW($A$6)))),"")</f>
        <v>0</v>
      </c>
      <c r="G125" s="256"/>
      <c r="H125" s="1658" t="str">
        <f t="shared" si="5"/>
        <v>-</v>
      </c>
      <c r="I125" s="1659" t="str">
        <f t="shared" ca="1" si="6"/>
        <v>-</v>
      </c>
      <c r="N125" s="1674">
        <f t="shared" ca="1" si="7"/>
        <v>0</v>
      </c>
    </row>
    <row r="126" spans="1:14" ht="18.75" customHeight="1">
      <c r="A126" s="3118"/>
      <c r="B126" s="3110"/>
      <c r="C126" s="3102"/>
      <c r="D126" s="1146">
        <f ca="1">IF(ROW()-ROW($A$6)&lt;'الف-ب-ج'!$L$9,INDIRECT("BudgetDB!GO"&amp;('الف-ب-ج'!$M$9+ROW()-ROW($A$6))),"")</f>
        <v>0</v>
      </c>
      <c r="E126" s="1143"/>
      <c r="F126" s="1683" cm="1">
        <f t="array" aca="1" ref="F126" ca="1">IF(ROW()-ROW($A$6)&lt;'الف-ب-ج'!$L$9,IF(روکش!$F$9="سه ماهه",INDIRECT("BudgetDB!GP"&amp;('الف-ب-ج'!$M$9+ROW()-ROW($A$6))),INDIRECT("BudgetDB!GQ"&amp;('الف-ب-ج'!$M$9+ROW()-ROW($A$6)))),"")</f>
        <v>0</v>
      </c>
      <c r="G126" s="256"/>
      <c r="H126" s="1658" t="str">
        <f t="shared" si="5"/>
        <v>-</v>
      </c>
      <c r="I126" s="1659" t="str">
        <f t="shared" ca="1" si="6"/>
        <v>-</v>
      </c>
      <c r="N126" s="1674">
        <f t="shared" ca="1" si="7"/>
        <v>0</v>
      </c>
    </row>
    <row r="127" spans="1:14" ht="18.75" customHeight="1">
      <c r="A127" s="3118"/>
      <c r="B127" s="3110"/>
      <c r="C127" s="3102"/>
      <c r="D127" s="1146">
        <f ca="1">IF(ROW()-ROW($A$6)&lt;'الف-ب-ج'!$L$9,INDIRECT("BudgetDB!GO"&amp;('الف-ب-ج'!$M$9+ROW()-ROW($A$6))),"")</f>
        <v>0</v>
      </c>
      <c r="E127" s="1143"/>
      <c r="F127" s="1683" cm="1">
        <f t="array" aca="1" ref="F127" ca="1">IF(ROW()-ROW($A$6)&lt;'الف-ب-ج'!$L$9,IF(روکش!$F$9="سه ماهه",INDIRECT("BudgetDB!GP"&amp;('الف-ب-ج'!$M$9+ROW()-ROW($A$6))),INDIRECT("BudgetDB!GQ"&amp;('الف-ب-ج'!$M$9+ROW()-ROW($A$6)))),"")</f>
        <v>0</v>
      </c>
      <c r="G127" s="256"/>
      <c r="H127" s="1658" t="str">
        <f t="shared" si="5"/>
        <v>-</v>
      </c>
      <c r="I127" s="1659" t="str">
        <f t="shared" ca="1" si="6"/>
        <v>-</v>
      </c>
      <c r="N127" s="1674">
        <f t="shared" ca="1" si="7"/>
        <v>0</v>
      </c>
    </row>
    <row r="128" spans="1:14" ht="18.75" customHeight="1">
      <c r="A128" s="3118"/>
      <c r="B128" s="3110"/>
      <c r="C128" s="3102"/>
      <c r="D128" s="699">
        <f ca="1">IF(ROW()-ROW($A$6)&lt;'الف-ب-ج'!$L$9,INDIRECT("BudgetDB!GO"&amp;('الف-ب-ج'!$M$9+ROW()-ROW($A$6))),"")</f>
        <v>0</v>
      </c>
      <c r="E128" s="1143"/>
      <c r="F128" s="1683" cm="1">
        <f t="array" aca="1" ref="F128" ca="1">IF(ROW()-ROW($A$6)&lt;'الف-ب-ج'!$L$9,IF(روکش!$F$9="سه ماهه",INDIRECT("BudgetDB!GP"&amp;('الف-ب-ج'!$M$9+ROW()-ROW($A$6))),INDIRECT("BudgetDB!GQ"&amp;('الف-ب-ج'!$M$9+ROW()-ROW($A$6)))),"")</f>
        <v>0</v>
      </c>
      <c r="G128" s="256"/>
      <c r="H128" s="1658" t="str">
        <f t="shared" si="5"/>
        <v>-</v>
      </c>
      <c r="I128" s="1659" t="str">
        <f t="shared" ca="1" si="6"/>
        <v>-</v>
      </c>
      <c r="N128" s="1674">
        <f t="shared" ca="1" si="7"/>
        <v>0</v>
      </c>
    </row>
    <row r="129" spans="1:14" ht="18.75" customHeight="1">
      <c r="A129" s="3118"/>
      <c r="B129" s="3110"/>
      <c r="C129" s="3102"/>
      <c r="D129" s="699">
        <f ca="1">IF(ROW()-ROW($A$6)&lt;'الف-ب-ج'!$L$9,INDIRECT("BudgetDB!GO"&amp;('الف-ب-ج'!$M$9+ROW()-ROW($A$6))),"")</f>
        <v>0</v>
      </c>
      <c r="E129" s="1143"/>
      <c r="F129" s="1683" cm="1">
        <f t="array" aca="1" ref="F129" ca="1">IF(ROW()-ROW($A$6)&lt;'الف-ب-ج'!$L$9,IF(روکش!$F$9="سه ماهه",INDIRECT("BudgetDB!GP"&amp;('الف-ب-ج'!$M$9+ROW()-ROW($A$6))),INDIRECT("BudgetDB!GQ"&amp;('الف-ب-ج'!$M$9+ROW()-ROW($A$6)))),"")</f>
        <v>0</v>
      </c>
      <c r="G129" s="256"/>
      <c r="H129" s="1658" t="str">
        <f t="shared" si="5"/>
        <v>-</v>
      </c>
      <c r="I129" s="1659" t="str">
        <f t="shared" ca="1" si="6"/>
        <v>-</v>
      </c>
      <c r="N129" s="1674">
        <f t="shared" ca="1" si="7"/>
        <v>0</v>
      </c>
    </row>
    <row r="130" spans="1:14" ht="18.75" customHeight="1">
      <c r="A130" s="3118"/>
      <c r="B130" s="3110"/>
      <c r="C130" s="3109"/>
      <c r="D130" s="699">
        <f ca="1">IF(ROW()-ROW($A$6)&lt;'الف-ب-ج'!$L$9,INDIRECT("BudgetDB!GO"&amp;('الف-ب-ج'!$M$9+ROW()-ROW($A$6))),"")</f>
        <v>0</v>
      </c>
      <c r="E130" s="1143"/>
      <c r="F130" s="1683" cm="1">
        <f t="array" aca="1" ref="F130" ca="1">IF(ROW()-ROW($A$6)&lt;'الف-ب-ج'!$L$9,IF(روکش!$F$9="سه ماهه",INDIRECT("BudgetDB!GP"&amp;('الف-ب-ج'!$M$9+ROW()-ROW($A$6))),INDIRECT("BudgetDB!GQ"&amp;('الف-ب-ج'!$M$9+ROW()-ROW($A$6)))),"")</f>
        <v>0</v>
      </c>
      <c r="G130" s="256"/>
      <c r="H130" s="1658" t="str">
        <f t="shared" si="5"/>
        <v>-</v>
      </c>
      <c r="I130" s="1659" t="str">
        <f t="shared" ca="1" si="6"/>
        <v>-</v>
      </c>
      <c r="N130" s="1674">
        <f t="shared" ca="1" si="7"/>
        <v>0</v>
      </c>
    </row>
    <row r="131" spans="1:14" ht="18.75" customHeight="1">
      <c r="A131" s="3118"/>
      <c r="B131" s="3110"/>
      <c r="C131" s="3101" t="s">
        <v>161</v>
      </c>
      <c r="D131" s="1146">
        <f ca="1">IF(ROW()-ROW($A$6)&lt;'الف-ب-ج'!$L$9,INDIRECT("BudgetDB!GO"&amp;('الف-ب-ج'!$M$9+ROW()-ROW($A$6))),"")</f>
        <v>0</v>
      </c>
      <c r="E131" s="1143"/>
      <c r="F131" s="1683" cm="1">
        <f t="array" aca="1" ref="F131" ca="1">IF(ROW()-ROW($A$6)&lt;'الف-ب-ج'!$L$9,IF(روکش!$F$9="سه ماهه",INDIRECT("BudgetDB!GP"&amp;('الف-ب-ج'!$M$9+ROW()-ROW($A$6))),INDIRECT("BudgetDB!GQ"&amp;('الف-ب-ج'!$M$9+ROW()-ROW($A$6)))),"")</f>
        <v>0</v>
      </c>
      <c r="G131" s="256"/>
      <c r="H131" s="1658" t="str">
        <f t="shared" si="5"/>
        <v>-</v>
      </c>
      <c r="I131" s="1659" t="str">
        <f t="shared" ca="1" si="6"/>
        <v>-</v>
      </c>
      <c r="N131" s="1674">
        <f t="shared" ca="1" si="7"/>
        <v>0</v>
      </c>
    </row>
    <row r="132" spans="1:14" ht="18.75" customHeight="1">
      <c r="A132" s="3118"/>
      <c r="B132" s="3110"/>
      <c r="C132" s="3102"/>
      <c r="D132" s="1146">
        <f ca="1">IF(ROW()-ROW($A$6)&lt;'الف-ب-ج'!$L$9,INDIRECT("BudgetDB!GO"&amp;('الف-ب-ج'!$M$9+ROW()-ROW($A$6))),"")</f>
        <v>0</v>
      </c>
      <c r="E132" s="1143"/>
      <c r="F132" s="1683" cm="1">
        <f t="array" aca="1" ref="F132" ca="1">IF(ROW()-ROW($A$6)&lt;'الف-ب-ج'!$L$9,IF(روکش!$F$9="سه ماهه",INDIRECT("BudgetDB!GP"&amp;('الف-ب-ج'!$M$9+ROW()-ROW($A$6))),INDIRECT("BudgetDB!GQ"&amp;('الف-ب-ج'!$M$9+ROW()-ROW($A$6)))),"")</f>
        <v>0</v>
      </c>
      <c r="G132" s="256"/>
      <c r="H132" s="1658" t="str">
        <f t="shared" si="5"/>
        <v>-</v>
      </c>
      <c r="I132" s="1659" t="str">
        <f t="shared" ca="1" si="6"/>
        <v>-</v>
      </c>
      <c r="N132" s="1674">
        <f t="shared" ca="1" si="7"/>
        <v>0</v>
      </c>
    </row>
    <row r="133" spans="1:14" ht="18.75" customHeight="1">
      <c r="A133" s="3118"/>
      <c r="B133" s="3110"/>
      <c r="C133" s="3102"/>
      <c r="D133" s="1146">
        <f ca="1">IF(ROW()-ROW($A$6)&lt;'الف-ب-ج'!$L$9,INDIRECT("BudgetDB!GO"&amp;('الف-ب-ج'!$M$9+ROW()-ROW($A$6))),"")</f>
        <v>0</v>
      </c>
      <c r="E133" s="1143"/>
      <c r="F133" s="1683" cm="1">
        <f t="array" aca="1" ref="F133" ca="1">IF(ROW()-ROW($A$6)&lt;'الف-ب-ج'!$L$9,IF(روکش!$F$9="سه ماهه",INDIRECT("BudgetDB!GP"&amp;('الف-ب-ج'!$M$9+ROW()-ROW($A$6))),INDIRECT("BudgetDB!GQ"&amp;('الف-ب-ج'!$M$9+ROW()-ROW($A$6)))),"")</f>
        <v>0</v>
      </c>
      <c r="G133" s="256"/>
      <c r="H133" s="1658" t="str">
        <f t="shared" si="5"/>
        <v>-</v>
      </c>
      <c r="I133" s="1659" t="str">
        <f t="shared" ca="1" si="6"/>
        <v>-</v>
      </c>
      <c r="N133" s="1674">
        <f t="shared" ca="1" si="7"/>
        <v>0</v>
      </c>
    </row>
    <row r="134" spans="1:14" ht="18.75" customHeight="1">
      <c r="A134" s="3118"/>
      <c r="B134" s="3110"/>
      <c r="C134" s="3102"/>
      <c r="D134" s="699">
        <f ca="1">IF(ROW()-ROW($A$6)&lt;'الف-ب-ج'!$L$9,INDIRECT("BudgetDB!GO"&amp;('الف-ب-ج'!$M$9+ROW()-ROW($A$6))),"")</f>
        <v>0</v>
      </c>
      <c r="E134" s="1143"/>
      <c r="F134" s="1683" cm="1">
        <f t="array" aca="1" ref="F134" ca="1">IF(ROW()-ROW($A$6)&lt;'الف-ب-ج'!$L$9,IF(روکش!$F$9="سه ماهه",INDIRECT("BudgetDB!GP"&amp;('الف-ب-ج'!$M$9+ROW()-ROW($A$6))),INDIRECT("BudgetDB!GQ"&amp;('الف-ب-ج'!$M$9+ROW()-ROW($A$6)))),"")</f>
        <v>0</v>
      </c>
      <c r="G134" s="256"/>
      <c r="H134" s="1658" t="str">
        <f t="shared" si="5"/>
        <v>-</v>
      </c>
      <c r="I134" s="1659" t="str">
        <f t="shared" ca="1" si="6"/>
        <v>-</v>
      </c>
      <c r="N134" s="1674">
        <f t="shared" ca="1" si="7"/>
        <v>0</v>
      </c>
    </row>
    <row r="135" spans="1:14" ht="18.75" customHeight="1">
      <c r="A135" s="3118"/>
      <c r="B135" s="3110"/>
      <c r="C135" s="3109"/>
      <c r="D135" s="699">
        <f ca="1">IF(ROW()-ROW($A$6)&lt;'الف-ب-ج'!$L$9,INDIRECT("BudgetDB!GO"&amp;('الف-ب-ج'!$M$9+ROW()-ROW($A$6))),"")</f>
        <v>0</v>
      </c>
      <c r="E135" s="1143"/>
      <c r="F135" s="1683" cm="1">
        <f t="array" aca="1" ref="F135" ca="1">IF(ROW()-ROW($A$6)&lt;'الف-ب-ج'!$L$9,IF(روکش!$F$9="سه ماهه",INDIRECT("BudgetDB!GP"&amp;('الف-ب-ج'!$M$9+ROW()-ROW($A$6))),INDIRECT("BudgetDB!GQ"&amp;('الف-ب-ج'!$M$9+ROW()-ROW($A$6)))),"")</f>
        <v>0</v>
      </c>
      <c r="G135" s="256"/>
      <c r="H135" s="1658" t="str">
        <f t="shared" ref="H135:H184" si="10">IFERROR((G135-E135)*100/E135,"-")</f>
        <v>-</v>
      </c>
      <c r="I135" s="1659" t="str">
        <f t="shared" ref="I135:I184" ca="1" si="11">IFERROR(G135*100/F135,"-")</f>
        <v>-</v>
      </c>
      <c r="N135" s="1674">
        <f t="shared" ref="N135:N180" ca="1" si="12">G135+F135+E135</f>
        <v>0</v>
      </c>
    </row>
    <row r="136" spans="1:14" ht="18.75" customHeight="1">
      <c r="A136" s="3118"/>
      <c r="B136" s="3110"/>
      <c r="C136" s="3101" t="s">
        <v>1689</v>
      </c>
      <c r="D136" s="1146">
        <f ca="1">IF(ROW()-ROW($A$6)&lt;'الف-ب-ج'!$L$9,INDIRECT("BudgetDB!GO"&amp;('الف-ب-ج'!$M$9+ROW()-ROW($A$6))),"")</f>
        <v>0</v>
      </c>
      <c r="E136" s="1143"/>
      <c r="F136" s="1683" cm="1">
        <f t="array" aca="1" ref="F136" ca="1">IF(ROW()-ROW($A$6)&lt;'الف-ب-ج'!$L$9,IF(روکش!$F$9="سه ماهه",INDIRECT("BudgetDB!GP"&amp;('الف-ب-ج'!$M$9+ROW()-ROW($A$6))),INDIRECT("BudgetDB!GQ"&amp;('الف-ب-ج'!$M$9+ROW()-ROW($A$6)))),"")</f>
        <v>0</v>
      </c>
      <c r="G136" s="256"/>
      <c r="H136" s="1658" t="str">
        <f t="shared" si="10"/>
        <v>-</v>
      </c>
      <c r="I136" s="1659" t="str">
        <f t="shared" ca="1" si="11"/>
        <v>-</v>
      </c>
      <c r="N136" s="1674">
        <f t="shared" ca="1" si="12"/>
        <v>0</v>
      </c>
    </row>
    <row r="137" spans="1:14" ht="18.75" customHeight="1">
      <c r="A137" s="3118"/>
      <c r="B137" s="3111"/>
      <c r="C137" s="3102"/>
      <c r="D137" s="1146">
        <f ca="1">IF(ROW()-ROW($A$6)&lt;'الف-ب-ج'!$L$9,INDIRECT("BudgetDB!GO"&amp;('الف-ب-ج'!$M$9+ROW()-ROW($A$6))),"")</f>
        <v>0</v>
      </c>
      <c r="E137" s="1143"/>
      <c r="F137" s="1683" cm="1">
        <f t="array" aca="1" ref="F137" ca="1">IF(ROW()-ROW($A$6)&lt;'الف-ب-ج'!$L$9,IF(روکش!$F$9="سه ماهه",INDIRECT("BudgetDB!GP"&amp;('الف-ب-ج'!$M$9+ROW()-ROW($A$6))),INDIRECT("BudgetDB!GQ"&amp;('الف-ب-ج'!$M$9+ROW()-ROW($A$6)))),"")</f>
        <v>0</v>
      </c>
      <c r="G137" s="256"/>
      <c r="H137" s="1658" t="str">
        <f t="shared" si="10"/>
        <v>-</v>
      </c>
      <c r="I137" s="1659" t="str">
        <f t="shared" ca="1" si="11"/>
        <v>-</v>
      </c>
      <c r="N137" s="1674">
        <f t="shared" ca="1" si="12"/>
        <v>0</v>
      </c>
    </row>
    <row r="138" spans="1:14" ht="18.75" customHeight="1">
      <c r="A138" s="3118"/>
      <c r="B138" s="3111"/>
      <c r="C138" s="3102"/>
      <c r="D138" s="699">
        <f ca="1">IF(ROW()-ROW($A$6)&lt;'الف-ب-ج'!$L$9,INDIRECT("BudgetDB!GO"&amp;('الف-ب-ج'!$M$9+ROW()-ROW($A$6))),"")</f>
        <v>0</v>
      </c>
      <c r="E138" s="1143"/>
      <c r="F138" s="1683" cm="1">
        <f t="array" aca="1" ref="F138" ca="1">IF(ROW()-ROW($A$6)&lt;'الف-ب-ج'!$L$9,IF(روکش!$F$9="سه ماهه",INDIRECT("BudgetDB!GP"&amp;('الف-ب-ج'!$M$9+ROW()-ROW($A$6))),INDIRECT("BudgetDB!GQ"&amp;('الف-ب-ج'!$M$9+ROW()-ROW($A$6)))),"")</f>
        <v>0</v>
      </c>
      <c r="G138" s="256"/>
      <c r="H138" s="1658" t="str">
        <f t="shared" si="10"/>
        <v>-</v>
      </c>
      <c r="I138" s="1659" t="str">
        <f t="shared" ca="1" si="11"/>
        <v>-</v>
      </c>
      <c r="N138" s="1674">
        <f t="shared" ca="1" si="12"/>
        <v>0</v>
      </c>
    </row>
    <row r="139" spans="1:14" ht="18.75" customHeight="1">
      <c r="A139" s="3118"/>
      <c r="B139" s="3111"/>
      <c r="C139" s="3109"/>
      <c r="D139" s="699">
        <f ca="1">IF(ROW()-ROW($A$6)&lt;'الف-ب-ج'!$L$9,INDIRECT("BudgetDB!GO"&amp;('الف-ب-ج'!$M$9+ROW()-ROW($A$6))),"")</f>
        <v>0</v>
      </c>
      <c r="E139" s="1143"/>
      <c r="F139" s="1683" cm="1">
        <f t="array" aca="1" ref="F139" ca="1">IF(ROW()-ROW($A$6)&lt;'الف-ب-ج'!$L$9,IF(روکش!$F$9="سه ماهه",INDIRECT("BudgetDB!GP"&amp;('الف-ب-ج'!$M$9+ROW()-ROW($A$6))),INDIRECT("BudgetDB!GQ"&amp;('الف-ب-ج'!$M$9+ROW()-ROW($A$6)))),"")</f>
        <v>0</v>
      </c>
      <c r="G139" s="256"/>
      <c r="H139" s="1658" t="str">
        <f t="shared" si="10"/>
        <v>-</v>
      </c>
      <c r="I139" s="1659" t="str">
        <f t="shared" ca="1" si="11"/>
        <v>-</v>
      </c>
      <c r="N139" s="1674">
        <f t="shared" ca="1" si="12"/>
        <v>0</v>
      </c>
    </row>
    <row r="140" spans="1:14" ht="18.75" customHeight="1">
      <c r="A140" s="3118"/>
      <c r="B140" s="3111"/>
      <c r="C140" s="1668" t="s">
        <v>162</v>
      </c>
      <c r="D140" s="1146">
        <f ca="1">IF(ROW()-ROW($A$6)&lt;'الف-ب-ج'!$L$9,INDIRECT("BudgetDB!GO"&amp;('الف-ب-ج'!$M$9+ROW()-ROW($A$6))),"")</f>
        <v>0</v>
      </c>
      <c r="E140" s="1142"/>
      <c r="F140" s="1685" cm="1">
        <f t="array" aca="1" ref="F140" ca="1">IF(ROW()-ROW($A$6)&lt;'الف-ب-ج'!$L$9,IF(روکش!$F$9="سه ماهه",INDIRECT("BudgetDB!GP"&amp;('الف-ب-ج'!$M$9+ROW()-ROW($A$6))),INDIRECT("BudgetDB!GQ"&amp;('الف-ب-ج'!$M$9+ROW()-ROW($A$6)))),"")</f>
        <v>0</v>
      </c>
      <c r="G140" s="258"/>
      <c r="H140" s="1666" t="str">
        <f t="shared" si="10"/>
        <v>-</v>
      </c>
      <c r="I140" s="1667" t="str">
        <f t="shared" ca="1" si="11"/>
        <v>-</v>
      </c>
      <c r="N140" s="1674">
        <f t="shared" ca="1" si="12"/>
        <v>0</v>
      </c>
    </row>
    <row r="141" spans="1:14" ht="18.75" customHeight="1">
      <c r="A141" s="3118"/>
      <c r="B141" s="3111"/>
      <c r="C141" s="3101" t="s">
        <v>1688</v>
      </c>
      <c r="D141" s="697">
        <f ca="1">IF(ROW()-ROW($A$6)&lt;'الف-ب-ج'!$L$9,INDIRECT("BudgetDB!GO"&amp;('الف-ب-ج'!$M$9+ROW()-ROW($A$6))),"")</f>
        <v>0</v>
      </c>
      <c r="E141" s="1141"/>
      <c r="F141" s="1684" cm="1">
        <f t="array" aca="1" ref="F141" ca="1">IF(ROW()-ROW($A$6)&lt;'الف-ب-ج'!$L$9,IF(روکش!$F$9="سه ماهه",INDIRECT("BudgetDB!GP"&amp;('الف-ب-ج'!$M$9+ROW()-ROW($A$6))),INDIRECT("BudgetDB!GQ"&amp;('الف-ب-ج'!$M$9+ROW()-ROW($A$6)))),"")</f>
        <v>0</v>
      </c>
      <c r="G141" s="257"/>
      <c r="H141" s="1660" t="str">
        <f t="shared" si="10"/>
        <v>-</v>
      </c>
      <c r="I141" s="1661" t="str">
        <f t="shared" ca="1" si="11"/>
        <v>-</v>
      </c>
      <c r="N141" s="1674">
        <f t="shared" ca="1" si="12"/>
        <v>0</v>
      </c>
    </row>
    <row r="142" spans="1:14" ht="18.75" customHeight="1">
      <c r="A142" s="3118"/>
      <c r="B142" s="3111"/>
      <c r="C142" s="3102"/>
      <c r="D142" s="697">
        <f ca="1">IF(ROW()-ROW($A$6)&lt;'الف-ب-ج'!$L$9,INDIRECT("BudgetDB!GO"&amp;('الف-ب-ج'!$M$9+ROW()-ROW($A$6))),"")</f>
        <v>0</v>
      </c>
      <c r="E142" s="1141"/>
      <c r="F142" s="1684" cm="1">
        <f t="array" aca="1" ref="F142" ca="1">IF(ROW()-ROW($A$6)&lt;'الف-ب-ج'!$L$9,IF(روکش!$F$9="سه ماهه",INDIRECT("BudgetDB!GP"&amp;('الف-ب-ج'!$M$9+ROW()-ROW($A$6))),INDIRECT("BudgetDB!GQ"&amp;('الف-ب-ج'!$M$9+ROW()-ROW($A$6)))),"")</f>
        <v>0</v>
      </c>
      <c r="G142" s="257"/>
      <c r="H142" s="1660" t="str">
        <f t="shared" si="10"/>
        <v>-</v>
      </c>
      <c r="I142" s="1661" t="str">
        <f t="shared" ca="1" si="11"/>
        <v>-</v>
      </c>
      <c r="N142" s="1674">
        <f t="shared" ca="1" si="12"/>
        <v>0</v>
      </c>
    </row>
    <row r="143" spans="1:14" ht="18.75" customHeight="1" thickBot="1">
      <c r="A143" s="3118"/>
      <c r="B143" s="3111"/>
      <c r="C143" s="3103"/>
      <c r="D143" s="700">
        <f ca="1">IF(ROW()-ROW($A$6)&lt;'الف-ب-ج'!$L$9,INDIRECT("BudgetDB!GO"&amp;('الف-ب-ج'!$M$9+ROW()-ROW($A$6))),"")</f>
        <v>0</v>
      </c>
      <c r="E143" s="1141"/>
      <c r="F143" s="1684" cm="1">
        <f t="array" aca="1" ref="F143" ca="1">IF(ROW()-ROW($A$6)&lt;'الف-ب-ج'!$L$9,IF(روکش!$F$9="سه ماهه",INDIRECT("BudgetDB!GP"&amp;('الف-ب-ج'!$M$9+ROW()-ROW($A$6))),INDIRECT("BudgetDB!GQ"&amp;('الف-ب-ج'!$M$9+ROW()-ROW($A$6)))),"")</f>
        <v>0</v>
      </c>
      <c r="G143" s="257"/>
      <c r="H143" s="1660" t="str">
        <f t="shared" si="10"/>
        <v>-</v>
      </c>
      <c r="I143" s="1661" t="str">
        <f t="shared" ca="1" si="11"/>
        <v>-</v>
      </c>
      <c r="N143" s="1674">
        <f t="shared" ca="1" si="12"/>
        <v>0</v>
      </c>
    </row>
    <row r="144" spans="1:14" ht="18.75" customHeight="1" thickBot="1">
      <c r="A144" s="3118"/>
      <c r="B144" s="3111"/>
      <c r="C144" s="1676" t="s">
        <v>163</v>
      </c>
      <c r="D144" s="1680"/>
      <c r="E144" s="1662">
        <f>SUM(E79:E143)</f>
        <v>0</v>
      </c>
      <c r="F144" s="966">
        <f ca="1">SUM(F79:F143)</f>
        <v>0</v>
      </c>
      <c r="G144" s="1663">
        <f>SUM(G79:G143)</f>
        <v>0</v>
      </c>
      <c r="H144" s="1664" t="str">
        <f t="shared" si="10"/>
        <v>-</v>
      </c>
      <c r="I144" s="1665" t="str">
        <f t="shared" ca="1" si="11"/>
        <v>-</v>
      </c>
      <c r="N144" s="1674" t="s">
        <v>206</v>
      </c>
    </row>
    <row r="145" spans="1:14" ht="18.75" customHeight="1">
      <c r="A145" s="3118"/>
      <c r="B145" s="3110" t="s">
        <v>164</v>
      </c>
      <c r="C145" s="3108" t="s">
        <v>165</v>
      </c>
      <c r="D145" s="1146">
        <f ca="1">IF(ROW()-ROW($A$6)&lt;'الف-ب-ج'!$L$9,INDIRECT("BudgetDB!GO"&amp;('الف-ب-ج'!$M$9+ROW()-ROW($A$6))),"")</f>
        <v>0</v>
      </c>
      <c r="E145" s="1142"/>
      <c r="F145" s="1685" cm="1">
        <f t="array" aca="1" ref="F145" ca="1">IF(ROW()-ROW($A$6)&lt;'الف-ب-ج'!$L$9,IF(روکش!$F$9="سه ماهه",INDIRECT("BudgetDB!GP"&amp;('الف-ب-ج'!$M$9+ROW()-ROW($A$6))),INDIRECT("BudgetDB!GQ"&amp;('الف-ب-ج'!$M$9+ROW()-ROW($A$6)))),"")</f>
        <v>0</v>
      </c>
      <c r="G145" s="258"/>
      <c r="H145" s="1666" t="str">
        <f t="shared" si="10"/>
        <v>-</v>
      </c>
      <c r="I145" s="1667" t="str">
        <f t="shared" ca="1" si="11"/>
        <v>-</v>
      </c>
      <c r="N145" s="1674">
        <f t="shared" ca="1" si="12"/>
        <v>0</v>
      </c>
    </row>
    <row r="146" spans="1:14" ht="18.75" customHeight="1">
      <c r="A146" s="3118"/>
      <c r="B146" s="3110"/>
      <c r="C146" s="3102"/>
      <c r="D146" s="1146">
        <f ca="1">IF(ROW()-ROW($A$6)&lt;'الف-ب-ج'!$L$9,INDIRECT("BudgetDB!GO"&amp;('الف-ب-ج'!$M$9+ROW()-ROW($A$6))),"")</f>
        <v>0</v>
      </c>
      <c r="E146" s="1142"/>
      <c r="F146" s="1685" cm="1">
        <f t="array" aca="1" ref="F146" ca="1">IF(ROW()-ROW($A$6)&lt;'الف-ب-ج'!$L$9,IF(روکش!$F$9="سه ماهه",INDIRECT("BudgetDB!GP"&amp;('الف-ب-ج'!$M$9+ROW()-ROW($A$6))),INDIRECT("BudgetDB!GQ"&amp;('الف-ب-ج'!$M$9+ROW()-ROW($A$6)))),"")</f>
        <v>0</v>
      </c>
      <c r="G146" s="258"/>
      <c r="H146" s="1666" t="str">
        <f t="shared" si="10"/>
        <v>-</v>
      </c>
      <c r="I146" s="1667" t="str">
        <f t="shared" ca="1" si="11"/>
        <v>-</v>
      </c>
      <c r="N146" s="1674">
        <f t="shared" ca="1" si="12"/>
        <v>0</v>
      </c>
    </row>
    <row r="147" spans="1:14" ht="18.75" customHeight="1">
      <c r="A147" s="3118"/>
      <c r="B147" s="3110"/>
      <c r="C147" s="3102"/>
      <c r="D147" s="1146">
        <f ca="1">IF(ROW()-ROW($A$6)&lt;'الف-ب-ج'!$L$9,INDIRECT("BudgetDB!GO"&amp;('الف-ب-ج'!$M$9+ROW()-ROW($A$6))),"")</f>
        <v>0</v>
      </c>
      <c r="E147" s="1142"/>
      <c r="F147" s="1685" cm="1">
        <f t="array" aca="1" ref="F147" ca="1">IF(ROW()-ROW($A$6)&lt;'الف-ب-ج'!$L$9,IF(روکش!$F$9="سه ماهه",INDIRECT("BudgetDB!GP"&amp;('الف-ب-ج'!$M$9+ROW()-ROW($A$6))),INDIRECT("BudgetDB!GQ"&amp;('الف-ب-ج'!$M$9+ROW()-ROW($A$6)))),"")</f>
        <v>0</v>
      </c>
      <c r="G147" s="258"/>
      <c r="H147" s="1666" t="str">
        <f t="shared" si="10"/>
        <v>-</v>
      </c>
      <c r="I147" s="1667" t="str">
        <f t="shared" ca="1" si="11"/>
        <v>-</v>
      </c>
      <c r="N147" s="1674">
        <f t="shared" ca="1" si="12"/>
        <v>0</v>
      </c>
    </row>
    <row r="148" spans="1:14" ht="18.75" customHeight="1">
      <c r="A148" s="3118"/>
      <c r="B148" s="3110"/>
      <c r="C148" s="3102"/>
      <c r="D148" s="1146">
        <f ca="1">IF(ROW()-ROW($A$6)&lt;'الف-ب-ج'!$L$9,INDIRECT("BudgetDB!GO"&amp;('الف-ب-ج'!$M$9+ROW()-ROW($A$6))),"")</f>
        <v>0</v>
      </c>
      <c r="E148" s="1142"/>
      <c r="F148" s="1685" cm="1">
        <f t="array" aca="1" ref="F148" ca="1">IF(ROW()-ROW($A$6)&lt;'الف-ب-ج'!$L$9,IF(روکش!$F$9="سه ماهه",INDIRECT("BudgetDB!GP"&amp;('الف-ب-ج'!$M$9+ROW()-ROW($A$6))),INDIRECT("BudgetDB!GQ"&amp;('الف-ب-ج'!$M$9+ROW()-ROW($A$6)))),"")</f>
        <v>0</v>
      </c>
      <c r="G148" s="258"/>
      <c r="H148" s="1666" t="str">
        <f t="shared" si="10"/>
        <v>-</v>
      </c>
      <c r="I148" s="1667" t="str">
        <f t="shared" ca="1" si="11"/>
        <v>-</v>
      </c>
      <c r="N148" s="1674">
        <f t="shared" ca="1" si="12"/>
        <v>0</v>
      </c>
    </row>
    <row r="149" spans="1:14" ht="18.75" customHeight="1">
      <c r="A149" s="3118"/>
      <c r="B149" s="3110"/>
      <c r="C149" s="3102"/>
      <c r="D149" s="698">
        <f ca="1">IF(ROW()-ROW($A$6)&lt;'الف-ب-ج'!$L$9,INDIRECT("BudgetDB!GO"&amp;('الف-ب-ج'!$M$9+ROW()-ROW($A$6))),"")</f>
        <v>0</v>
      </c>
      <c r="E149" s="1142"/>
      <c r="F149" s="1685" cm="1">
        <f t="array" aca="1" ref="F149" ca="1">IF(ROW()-ROW($A$6)&lt;'الف-ب-ج'!$L$9,IF(روکش!$F$9="سه ماهه",INDIRECT("BudgetDB!GP"&amp;('الف-ب-ج'!$M$9+ROW()-ROW($A$6))),INDIRECT("BudgetDB!GQ"&amp;('الف-ب-ج'!$M$9+ROW()-ROW($A$6)))),"")</f>
        <v>0</v>
      </c>
      <c r="G149" s="258"/>
      <c r="H149" s="1666" t="str">
        <f t="shared" si="10"/>
        <v>-</v>
      </c>
      <c r="I149" s="1667" t="str">
        <f t="shared" ca="1" si="11"/>
        <v>-</v>
      </c>
      <c r="N149" s="1674">
        <f t="shared" ca="1" si="12"/>
        <v>0</v>
      </c>
    </row>
    <row r="150" spans="1:14" ht="18.75" customHeight="1">
      <c r="A150" s="3118"/>
      <c r="B150" s="3110"/>
      <c r="C150" s="3109"/>
      <c r="D150" s="698">
        <f ca="1">IF(ROW()-ROW($A$6)&lt;'الف-ب-ج'!$L$9,INDIRECT("BudgetDB!GO"&amp;('الف-ب-ج'!$M$9+ROW()-ROW($A$6))),"")</f>
        <v>0</v>
      </c>
      <c r="E150" s="1142"/>
      <c r="F150" s="1685" cm="1">
        <f t="array" aca="1" ref="F150" ca="1">IF(ROW()-ROW($A$6)&lt;'الف-ب-ج'!$L$9,IF(روکش!$F$9="سه ماهه",INDIRECT("BudgetDB!GP"&amp;('الف-ب-ج'!$M$9+ROW()-ROW($A$6))),INDIRECT("BudgetDB!GQ"&amp;('الف-ب-ج'!$M$9+ROW()-ROW($A$6)))),"")</f>
        <v>0</v>
      </c>
      <c r="G150" s="258"/>
      <c r="H150" s="1666" t="str">
        <f t="shared" si="10"/>
        <v>-</v>
      </c>
      <c r="I150" s="1667" t="str">
        <f t="shared" ca="1" si="11"/>
        <v>-</v>
      </c>
      <c r="N150" s="1674">
        <f t="shared" ca="1" si="12"/>
        <v>0</v>
      </c>
    </row>
    <row r="151" spans="1:14" ht="18.75" customHeight="1">
      <c r="A151" s="3118"/>
      <c r="B151" s="3110"/>
      <c r="C151" s="3101" t="s">
        <v>166</v>
      </c>
      <c r="D151" s="1146">
        <f ca="1">IF(ROW()-ROW($A$6)&lt;'الف-ب-ج'!$L$9,INDIRECT("BudgetDB!GO"&amp;('الف-ب-ج'!$M$9+ROW()-ROW($A$6))),"")</f>
        <v>0</v>
      </c>
      <c r="E151" s="1143"/>
      <c r="F151" s="1683" cm="1">
        <f t="array" aca="1" ref="F151" ca="1">IF(ROW()-ROW($A$6)&lt;'الف-ب-ج'!$L$9,IF(روکش!$F$9="سه ماهه",INDIRECT("BudgetDB!GP"&amp;('الف-ب-ج'!$M$9+ROW()-ROW($A$6))),INDIRECT("BudgetDB!GQ"&amp;('الف-ب-ج'!$M$9+ROW()-ROW($A$6)))),"")</f>
        <v>0</v>
      </c>
      <c r="G151" s="256"/>
      <c r="H151" s="1658" t="str">
        <f t="shared" si="10"/>
        <v>-</v>
      </c>
      <c r="I151" s="1659" t="str">
        <f t="shared" ca="1" si="11"/>
        <v>-</v>
      </c>
      <c r="N151" s="1674">
        <f t="shared" ca="1" si="12"/>
        <v>0</v>
      </c>
    </row>
    <row r="152" spans="1:14" ht="18.75" customHeight="1">
      <c r="A152" s="3118"/>
      <c r="B152" s="3110"/>
      <c r="C152" s="3102"/>
      <c r="D152" s="1146">
        <f ca="1">IF(ROW()-ROW($A$6)&lt;'الف-ب-ج'!$L$9,INDIRECT("BudgetDB!GO"&amp;('الف-ب-ج'!$M$9+ROW()-ROW($A$6))),"")</f>
        <v>0</v>
      </c>
      <c r="E152" s="1143"/>
      <c r="F152" s="1683" cm="1">
        <f t="array" aca="1" ref="F152" ca="1">IF(ROW()-ROW($A$6)&lt;'الف-ب-ج'!$L$9,IF(روکش!$F$9="سه ماهه",INDIRECT("BudgetDB!GP"&amp;('الف-ب-ج'!$M$9+ROW()-ROW($A$6))),INDIRECT("BudgetDB!GQ"&amp;('الف-ب-ج'!$M$9+ROW()-ROW($A$6)))),"")</f>
        <v>0</v>
      </c>
      <c r="G152" s="256"/>
      <c r="H152" s="1658" t="str">
        <f t="shared" si="10"/>
        <v>-</v>
      </c>
      <c r="I152" s="1659" t="str">
        <f t="shared" ca="1" si="11"/>
        <v>-</v>
      </c>
      <c r="N152" s="1674">
        <f t="shared" ca="1" si="12"/>
        <v>0</v>
      </c>
    </row>
    <row r="153" spans="1:14" ht="18.75" customHeight="1">
      <c r="A153" s="3118"/>
      <c r="B153" s="3110"/>
      <c r="C153" s="3102"/>
      <c r="D153" s="1146">
        <f ca="1">IF(ROW()-ROW($A$6)&lt;'الف-ب-ج'!$L$9,INDIRECT("BudgetDB!GO"&amp;('الف-ب-ج'!$M$9+ROW()-ROW($A$6))),"")</f>
        <v>0</v>
      </c>
      <c r="E153" s="1143"/>
      <c r="F153" s="1683" cm="1">
        <f t="array" aca="1" ref="F153" ca="1">IF(ROW()-ROW($A$6)&lt;'الف-ب-ج'!$L$9,IF(روکش!$F$9="سه ماهه",INDIRECT("BudgetDB!GP"&amp;('الف-ب-ج'!$M$9+ROW()-ROW($A$6))),INDIRECT("BudgetDB!GQ"&amp;('الف-ب-ج'!$M$9+ROW()-ROW($A$6)))),"")</f>
        <v>0</v>
      </c>
      <c r="G153" s="256"/>
      <c r="H153" s="1658" t="str">
        <f t="shared" si="10"/>
        <v>-</v>
      </c>
      <c r="I153" s="1659" t="str">
        <f t="shared" ca="1" si="11"/>
        <v>-</v>
      </c>
      <c r="N153" s="1674">
        <f t="shared" ca="1" si="12"/>
        <v>0</v>
      </c>
    </row>
    <row r="154" spans="1:14" ht="18.75" customHeight="1">
      <c r="A154" s="3118"/>
      <c r="B154" s="3110"/>
      <c r="C154" s="3102"/>
      <c r="D154" s="1146">
        <f ca="1">IF(ROW()-ROW($A$6)&lt;'الف-ب-ج'!$L$9,INDIRECT("BudgetDB!GO"&amp;('الف-ب-ج'!$M$9+ROW()-ROW($A$6))),"")</f>
        <v>0</v>
      </c>
      <c r="E154" s="1143"/>
      <c r="F154" s="1683" cm="1">
        <f t="array" aca="1" ref="F154" ca="1">IF(ROW()-ROW($A$6)&lt;'الف-ب-ج'!$L$9,IF(روکش!$F$9="سه ماهه",INDIRECT("BudgetDB!GP"&amp;('الف-ب-ج'!$M$9+ROW()-ROW($A$6))),INDIRECT("BudgetDB!GQ"&amp;('الف-ب-ج'!$M$9+ROW()-ROW($A$6)))),"")</f>
        <v>0</v>
      </c>
      <c r="G154" s="256"/>
      <c r="H154" s="1658" t="str">
        <f t="shared" si="10"/>
        <v>-</v>
      </c>
      <c r="I154" s="1659" t="str">
        <f t="shared" ca="1" si="11"/>
        <v>-</v>
      </c>
      <c r="N154" s="1674">
        <f t="shared" ca="1" si="12"/>
        <v>0</v>
      </c>
    </row>
    <row r="155" spans="1:14" ht="18.75" customHeight="1">
      <c r="A155" s="3118"/>
      <c r="B155" s="3110"/>
      <c r="C155" s="3102"/>
      <c r="D155" s="1146">
        <f ca="1">IF(ROW()-ROW($A$6)&lt;'الف-ب-ج'!$L$9,INDIRECT("BudgetDB!GO"&amp;('الف-ب-ج'!$M$9+ROW()-ROW($A$6))),"")</f>
        <v>0</v>
      </c>
      <c r="E155" s="1143"/>
      <c r="F155" s="1683" cm="1">
        <f t="array" aca="1" ref="F155" ca="1">IF(ROW()-ROW($A$6)&lt;'الف-ب-ج'!$L$9,IF(روکش!$F$9="سه ماهه",INDIRECT("BudgetDB!GP"&amp;('الف-ب-ج'!$M$9+ROW()-ROW($A$6))),INDIRECT("BudgetDB!GQ"&amp;('الف-ب-ج'!$M$9+ROW()-ROW($A$6)))),"")</f>
        <v>0</v>
      </c>
      <c r="G155" s="256"/>
      <c r="H155" s="1658" t="str">
        <f t="shared" si="10"/>
        <v>-</v>
      </c>
      <c r="I155" s="1659" t="str">
        <f t="shared" ca="1" si="11"/>
        <v>-</v>
      </c>
      <c r="N155" s="1674">
        <f t="shared" ca="1" si="12"/>
        <v>0</v>
      </c>
    </row>
    <row r="156" spans="1:14" ht="18.75" customHeight="1">
      <c r="A156" s="3118"/>
      <c r="B156" s="3110"/>
      <c r="C156" s="3102"/>
      <c r="D156" s="1146">
        <f ca="1">IF(ROW()-ROW($A$6)&lt;'الف-ب-ج'!$L$9,INDIRECT("BudgetDB!GO"&amp;('الف-ب-ج'!$M$9+ROW()-ROW($A$6))),"")</f>
        <v>0</v>
      </c>
      <c r="E156" s="1143"/>
      <c r="F156" s="1683" cm="1">
        <f t="array" aca="1" ref="F156" ca="1">IF(ROW()-ROW($A$6)&lt;'الف-ب-ج'!$L$9,IF(روکش!$F$9="سه ماهه",INDIRECT("BudgetDB!GP"&amp;('الف-ب-ج'!$M$9+ROW()-ROW($A$6))),INDIRECT("BudgetDB!GQ"&amp;('الف-ب-ج'!$M$9+ROW()-ROW($A$6)))),"")</f>
        <v>0</v>
      </c>
      <c r="G156" s="256"/>
      <c r="H156" s="1658" t="str">
        <f t="shared" si="10"/>
        <v>-</v>
      </c>
      <c r="I156" s="1659" t="str">
        <f t="shared" ca="1" si="11"/>
        <v>-</v>
      </c>
      <c r="N156" s="1674">
        <f t="shared" ca="1" si="12"/>
        <v>0</v>
      </c>
    </row>
    <row r="157" spans="1:14" ht="18.75" customHeight="1">
      <c r="A157" s="3118"/>
      <c r="B157" s="3110"/>
      <c r="C157" s="3102"/>
      <c r="D157" s="698">
        <f ca="1">IF(ROW()-ROW($A$6)&lt;'الف-ب-ج'!$L$9,INDIRECT("BudgetDB!GO"&amp;('الف-ب-ج'!$M$9+ROW()-ROW($A$6))),"")</f>
        <v>0</v>
      </c>
      <c r="E157" s="1143"/>
      <c r="F157" s="1683" cm="1">
        <f t="array" aca="1" ref="F157" ca="1">IF(ROW()-ROW($A$6)&lt;'الف-ب-ج'!$L$9,IF(روکش!$F$9="سه ماهه",INDIRECT("BudgetDB!GP"&amp;('الف-ب-ج'!$M$9+ROW()-ROW($A$6))),INDIRECT("BudgetDB!GQ"&amp;('الف-ب-ج'!$M$9+ROW()-ROW($A$6)))),"")</f>
        <v>0</v>
      </c>
      <c r="G157" s="256"/>
      <c r="H157" s="1658" t="str">
        <f t="shared" si="10"/>
        <v>-</v>
      </c>
      <c r="I157" s="1659" t="str">
        <f t="shared" ca="1" si="11"/>
        <v>-</v>
      </c>
      <c r="N157" s="1674">
        <f t="shared" ca="1" si="12"/>
        <v>0</v>
      </c>
    </row>
    <row r="158" spans="1:14" ht="18.75" customHeight="1">
      <c r="A158" s="3118"/>
      <c r="B158" s="3110"/>
      <c r="C158" s="3109"/>
      <c r="D158" s="698">
        <f ca="1">IF(ROW()-ROW($A$6)&lt;'الف-ب-ج'!$L$9,INDIRECT("BudgetDB!GO"&amp;('الف-ب-ج'!$M$9+ROW()-ROW($A$6))),"")</f>
        <v>0</v>
      </c>
      <c r="E158" s="1143"/>
      <c r="F158" s="1683" cm="1">
        <f t="array" aca="1" ref="F158" ca="1">IF(ROW()-ROW($A$6)&lt;'الف-ب-ج'!$L$9,IF(روکش!$F$9="سه ماهه",INDIRECT("BudgetDB!GP"&amp;('الف-ب-ج'!$M$9+ROW()-ROW($A$6))),INDIRECT("BudgetDB!GQ"&amp;('الف-ب-ج'!$M$9+ROW()-ROW($A$6)))),"")</f>
        <v>0</v>
      </c>
      <c r="G158" s="256"/>
      <c r="H158" s="1658" t="str">
        <f t="shared" si="10"/>
        <v>-</v>
      </c>
      <c r="I158" s="1659" t="str">
        <f t="shared" ca="1" si="11"/>
        <v>-</v>
      </c>
      <c r="N158" s="1674">
        <f t="shared" ca="1" si="12"/>
        <v>0</v>
      </c>
    </row>
    <row r="159" spans="1:14" ht="18.75" customHeight="1">
      <c r="A159" s="3118"/>
      <c r="B159" s="3110"/>
      <c r="C159" s="3101" t="s">
        <v>167</v>
      </c>
      <c r="D159" s="1146">
        <f ca="1">IF(ROW()-ROW($A$6)&lt;'الف-ب-ج'!$L$9,INDIRECT("BudgetDB!GO"&amp;('الف-ب-ج'!$M$9+ROW()-ROW($A$6))),"")</f>
        <v>0</v>
      </c>
      <c r="E159" s="1143"/>
      <c r="F159" s="1683" cm="1">
        <f t="array" aca="1" ref="F159" ca="1">IF(ROW()-ROW($A$6)&lt;'الف-ب-ج'!$L$9,IF(روکش!$F$9="سه ماهه",INDIRECT("BudgetDB!GP"&amp;('الف-ب-ج'!$M$9+ROW()-ROW($A$6))),INDIRECT("BudgetDB!GQ"&amp;('الف-ب-ج'!$M$9+ROW()-ROW($A$6)))),"")</f>
        <v>0</v>
      </c>
      <c r="G159" s="256"/>
      <c r="H159" s="1658" t="str">
        <f t="shared" si="10"/>
        <v>-</v>
      </c>
      <c r="I159" s="1659" t="str">
        <f t="shared" ca="1" si="11"/>
        <v>-</v>
      </c>
      <c r="N159" s="1674">
        <f t="shared" ca="1" si="12"/>
        <v>0</v>
      </c>
    </row>
    <row r="160" spans="1:14" ht="18.75" customHeight="1">
      <c r="A160" s="3118"/>
      <c r="B160" s="3110"/>
      <c r="C160" s="3102"/>
      <c r="D160" s="1146">
        <f ca="1">IF(ROW()-ROW($A$6)&lt;'الف-ب-ج'!$L$9,INDIRECT("BudgetDB!GO"&amp;('الف-ب-ج'!$M$9+ROW()-ROW($A$6))),"")</f>
        <v>0</v>
      </c>
      <c r="E160" s="1141"/>
      <c r="F160" s="1684" cm="1">
        <f t="array" aca="1" ref="F160" ca="1">IF(ROW()-ROW($A$6)&lt;'الف-ب-ج'!$L$9,IF(روکش!$F$9="سه ماهه",INDIRECT("BudgetDB!GP"&amp;('الف-ب-ج'!$M$9+ROW()-ROW($A$6))),INDIRECT("BudgetDB!GQ"&amp;('الف-ب-ج'!$M$9+ROW()-ROW($A$6)))),"")</f>
        <v>0</v>
      </c>
      <c r="G160" s="257"/>
      <c r="H160" s="1660" t="str">
        <f t="shared" si="10"/>
        <v>-</v>
      </c>
      <c r="I160" s="1661" t="str">
        <f t="shared" ca="1" si="11"/>
        <v>-</v>
      </c>
      <c r="N160" s="1674">
        <f t="shared" ca="1" si="12"/>
        <v>0</v>
      </c>
    </row>
    <row r="161" spans="1:14" ht="18.75" customHeight="1">
      <c r="A161" s="3118"/>
      <c r="B161" s="3110"/>
      <c r="C161" s="3102"/>
      <c r="D161" s="1146">
        <f ca="1">IF(ROW()-ROW($A$6)&lt;'الف-ب-ج'!$L$9,INDIRECT("BudgetDB!GO"&amp;('الف-ب-ج'!$M$9+ROW()-ROW($A$6))),"")</f>
        <v>0</v>
      </c>
      <c r="E161" s="1141"/>
      <c r="F161" s="1684" cm="1">
        <f t="array" aca="1" ref="F161" ca="1">IF(ROW()-ROW($A$6)&lt;'الف-ب-ج'!$L$9,IF(روکش!$F$9="سه ماهه",INDIRECT("BudgetDB!GP"&amp;('الف-ب-ج'!$M$9+ROW()-ROW($A$6))),INDIRECT("BudgetDB!GQ"&amp;('الف-ب-ج'!$M$9+ROW()-ROW($A$6)))),"")</f>
        <v>0</v>
      </c>
      <c r="G161" s="257"/>
      <c r="H161" s="1660" t="str">
        <f t="shared" si="10"/>
        <v>-</v>
      </c>
      <c r="I161" s="1661" t="str">
        <f t="shared" ca="1" si="11"/>
        <v>-</v>
      </c>
      <c r="N161" s="1674">
        <f t="shared" ca="1" si="12"/>
        <v>0</v>
      </c>
    </row>
    <row r="162" spans="1:14" ht="18.75" customHeight="1">
      <c r="A162" s="3118"/>
      <c r="B162" s="3110"/>
      <c r="C162" s="3102"/>
      <c r="D162" s="1146">
        <f ca="1">IF(ROW()-ROW($A$6)&lt;'الف-ب-ج'!$L$9,INDIRECT("BudgetDB!GO"&amp;('الف-ب-ج'!$M$9+ROW()-ROW($A$6))),"")</f>
        <v>0</v>
      </c>
      <c r="E162" s="1141"/>
      <c r="F162" s="1684" cm="1">
        <f t="array" aca="1" ref="F162" ca="1">IF(ROW()-ROW($A$6)&lt;'الف-ب-ج'!$L$9,IF(روکش!$F$9="سه ماهه",INDIRECT("BudgetDB!GP"&amp;('الف-ب-ج'!$M$9+ROW()-ROW($A$6))),INDIRECT("BudgetDB!GQ"&amp;('الف-ب-ج'!$M$9+ROW()-ROW($A$6)))),"")</f>
        <v>0</v>
      </c>
      <c r="G162" s="257"/>
      <c r="H162" s="1660" t="str">
        <f t="shared" si="10"/>
        <v>-</v>
      </c>
      <c r="I162" s="1661" t="str">
        <f t="shared" ca="1" si="11"/>
        <v>-</v>
      </c>
      <c r="N162" s="1674">
        <f t="shared" ca="1" si="12"/>
        <v>0</v>
      </c>
    </row>
    <row r="163" spans="1:14" ht="18.75" customHeight="1">
      <c r="A163" s="3118"/>
      <c r="B163" s="3110"/>
      <c r="C163" s="3109"/>
      <c r="D163" s="698">
        <f ca="1">IF(ROW()-ROW($A$6)&lt;'الف-ب-ج'!$L$9,INDIRECT("BudgetDB!GO"&amp;('الف-ب-ج'!$M$9+ROW()-ROW($A$6))),"")</f>
        <v>0</v>
      </c>
      <c r="E163" s="1141"/>
      <c r="F163" s="1684" cm="1">
        <f t="array" aca="1" ref="F163" ca="1">IF(ROW()-ROW($A$6)&lt;'الف-ب-ج'!$L$9,IF(روکش!$F$9="سه ماهه",INDIRECT("BudgetDB!GP"&amp;('الف-ب-ج'!$M$9+ROW()-ROW($A$6))),INDIRECT("BudgetDB!GQ"&amp;('الف-ب-ج'!$M$9+ROW()-ROW($A$6)))),"")</f>
        <v>0</v>
      </c>
      <c r="G163" s="257"/>
      <c r="H163" s="1660" t="str">
        <f t="shared" si="10"/>
        <v>-</v>
      </c>
      <c r="I163" s="1661" t="str">
        <f t="shared" ca="1" si="11"/>
        <v>-</v>
      </c>
      <c r="N163" s="1674">
        <f t="shared" ca="1" si="12"/>
        <v>0</v>
      </c>
    </row>
    <row r="164" spans="1:14" ht="18.75" customHeight="1">
      <c r="A164" s="3118"/>
      <c r="B164" s="3110"/>
      <c r="C164" s="3101" t="s">
        <v>1691</v>
      </c>
      <c r="D164" s="1679">
        <f ca="1">'سایر غیرعملیاتی آزادراهی'!A24</f>
        <v>0</v>
      </c>
      <c r="E164" s="1141"/>
      <c r="F164" s="1684" cm="1">
        <f t="array" aca="1" ref="F164" ca="1">IF(ROW()-ROW($A$6)&lt;'الف-ب-ج'!$L$9,IF(روکش!$F$9="سه ماهه",INDIRECT("BudgetDB!GP"&amp;('الف-ب-ج'!$M$9+ROW()-ROW($A$6))),INDIRECT("BudgetDB!GQ"&amp;('الف-ب-ج'!$M$9+ROW()-ROW($A$6)))),"")</f>
        <v>0</v>
      </c>
      <c r="G164" s="257"/>
      <c r="H164" s="1660" t="str">
        <f t="shared" si="10"/>
        <v>-</v>
      </c>
      <c r="I164" s="1661" t="str">
        <f t="shared" ca="1" si="11"/>
        <v>-</v>
      </c>
      <c r="N164" s="1674">
        <f t="shared" ca="1" si="12"/>
        <v>0</v>
      </c>
    </row>
    <row r="165" spans="1:14" ht="18.75" customHeight="1">
      <c r="A165" s="3118"/>
      <c r="B165" s="3110"/>
      <c r="C165" s="3102"/>
      <c r="D165" s="1679">
        <f ca="1">'سایر غیرعملیاتی آزادراهی'!A25</f>
        <v>0</v>
      </c>
      <c r="E165" s="1141"/>
      <c r="F165" s="1684" cm="1">
        <f t="array" aca="1" ref="F165" ca="1">IF(ROW()-ROW($A$6)&lt;'الف-ب-ج'!$L$9,IF(روکش!$F$9="سه ماهه",INDIRECT("BudgetDB!GP"&amp;('الف-ب-ج'!$M$9+ROW()-ROW($A$6))),INDIRECT("BudgetDB!GQ"&amp;('الف-ب-ج'!$M$9+ROW()-ROW($A$6)))),"")</f>
        <v>0</v>
      </c>
      <c r="G165" s="257"/>
      <c r="H165" s="1660" t="str">
        <f t="shared" si="10"/>
        <v>-</v>
      </c>
      <c r="I165" s="1661" t="str">
        <f t="shared" ca="1" si="11"/>
        <v>-</v>
      </c>
      <c r="N165" s="1674">
        <f t="shared" ca="1" si="12"/>
        <v>0</v>
      </c>
    </row>
    <row r="166" spans="1:14" ht="18.75" customHeight="1">
      <c r="A166" s="3118"/>
      <c r="B166" s="3110"/>
      <c r="C166" s="3102"/>
      <c r="D166" s="1679">
        <f ca="1">'سایر غیرعملیاتی آزادراهی'!A26</f>
        <v>0</v>
      </c>
      <c r="E166" s="1141"/>
      <c r="F166" s="1684" cm="1">
        <f t="array" aca="1" ref="F166" ca="1">IF(ROW()-ROW($A$6)&lt;'الف-ب-ج'!$L$9,IF(روکش!$F$9="سه ماهه",INDIRECT("BudgetDB!GP"&amp;('الف-ب-ج'!$M$9+ROW()-ROW($A$6))),INDIRECT("BudgetDB!GQ"&amp;('الف-ب-ج'!$M$9+ROW()-ROW($A$6)))),"")</f>
        <v>0</v>
      </c>
      <c r="G166" s="257"/>
      <c r="H166" s="1660" t="str">
        <f t="shared" si="10"/>
        <v>-</v>
      </c>
      <c r="I166" s="1661" t="str">
        <f t="shared" ca="1" si="11"/>
        <v>-</v>
      </c>
      <c r="N166" s="1674">
        <f t="shared" ca="1" si="12"/>
        <v>0</v>
      </c>
    </row>
    <row r="167" spans="1:14" ht="18.75" customHeight="1">
      <c r="A167" s="3118"/>
      <c r="B167" s="3110"/>
      <c r="C167" s="3102"/>
      <c r="D167" s="1679">
        <f ca="1">'سایر غیرعملیاتی آزادراهی'!A27</f>
        <v>0</v>
      </c>
      <c r="E167" s="1141"/>
      <c r="F167" s="1684" cm="1">
        <f t="array" aca="1" ref="F167" ca="1">IF(ROW()-ROW($A$6)&lt;'الف-ب-ج'!$L$9,IF(روکش!$F$9="سه ماهه",INDIRECT("BudgetDB!GP"&amp;('الف-ب-ج'!$M$9+ROW()-ROW($A$6))),INDIRECT("BudgetDB!GQ"&amp;('الف-ب-ج'!$M$9+ROW()-ROW($A$6)))),"")</f>
        <v>0</v>
      </c>
      <c r="G167" s="257"/>
      <c r="H167" s="1660" t="str">
        <f t="shared" si="10"/>
        <v>-</v>
      </c>
      <c r="I167" s="1661" t="str">
        <f t="shared" ca="1" si="11"/>
        <v>-</v>
      </c>
      <c r="N167" s="1674">
        <f t="shared" ca="1" si="12"/>
        <v>0</v>
      </c>
    </row>
    <row r="168" spans="1:14" ht="18.75" customHeight="1">
      <c r="A168" s="3118"/>
      <c r="B168" s="3110"/>
      <c r="C168" s="3102"/>
      <c r="D168" s="1679">
        <f ca="1">'سایر غیرعملیاتی آزادراهی'!A28</f>
        <v>0</v>
      </c>
      <c r="E168" s="1141"/>
      <c r="F168" s="1684" cm="1">
        <f t="array" aca="1" ref="F168" ca="1">IF(ROW()-ROW($A$6)&lt;'الف-ب-ج'!$L$9,IF(روکش!$F$9="سه ماهه",INDIRECT("BudgetDB!GP"&amp;('الف-ب-ج'!$M$9+ROW()-ROW($A$6))),INDIRECT("BudgetDB!GQ"&amp;('الف-ب-ج'!$M$9+ROW()-ROW($A$6)))),"")</f>
        <v>0</v>
      </c>
      <c r="G168" s="257"/>
      <c r="H168" s="1660" t="str">
        <f t="shared" si="10"/>
        <v>-</v>
      </c>
      <c r="I168" s="1661" t="str">
        <f t="shared" ca="1" si="11"/>
        <v>-</v>
      </c>
      <c r="N168" s="1674">
        <f t="shared" ca="1" si="12"/>
        <v>0</v>
      </c>
    </row>
    <row r="169" spans="1:14" ht="18.75" customHeight="1">
      <c r="A169" s="3118"/>
      <c r="B169" s="3110"/>
      <c r="C169" s="3102"/>
      <c r="D169" s="1679">
        <f ca="1">'سایر غیرعملیاتی آزادراهی'!A29</f>
        <v>0</v>
      </c>
      <c r="E169" s="1141"/>
      <c r="F169" s="1684" cm="1">
        <f t="array" aca="1" ref="F169" ca="1">IF(ROW()-ROW($A$6)&lt;'الف-ب-ج'!$L$9,IF(روکش!$F$9="سه ماهه",INDIRECT("BudgetDB!GP"&amp;('الف-ب-ج'!$M$9+ROW()-ROW($A$6))),INDIRECT("BudgetDB!GQ"&amp;('الف-ب-ج'!$M$9+ROW()-ROW($A$6)))),"")</f>
        <v>0</v>
      </c>
      <c r="G169" s="257"/>
      <c r="H169" s="1660" t="str">
        <f t="shared" si="10"/>
        <v>-</v>
      </c>
      <c r="I169" s="1661" t="str">
        <f t="shared" ca="1" si="11"/>
        <v>-</v>
      </c>
      <c r="N169" s="1674">
        <f t="shared" ca="1" si="12"/>
        <v>0</v>
      </c>
    </row>
    <row r="170" spans="1:14" ht="18.75" customHeight="1">
      <c r="A170" s="3118"/>
      <c r="B170" s="3110"/>
      <c r="C170" s="3102"/>
      <c r="D170" s="1679">
        <f ca="1">'سایر غیرعملیاتی آزادراهی'!A30</f>
        <v>0</v>
      </c>
      <c r="E170" s="1141"/>
      <c r="F170" s="1684" cm="1">
        <f t="array" aca="1" ref="F170" ca="1">IF(ROW()-ROW($A$6)&lt;'الف-ب-ج'!$L$9,IF(روکش!$F$9="سه ماهه",INDIRECT("BudgetDB!GP"&amp;('الف-ب-ج'!$M$9+ROW()-ROW($A$6))),INDIRECT("BudgetDB!GQ"&amp;('الف-ب-ج'!$M$9+ROW()-ROW($A$6)))),"")</f>
        <v>0</v>
      </c>
      <c r="G170" s="257"/>
      <c r="H170" s="1660" t="str">
        <f t="shared" si="10"/>
        <v>-</v>
      </c>
      <c r="I170" s="1661" t="str">
        <f t="shared" ca="1" si="11"/>
        <v>-</v>
      </c>
      <c r="N170" s="1674">
        <f t="shared" ca="1" si="12"/>
        <v>0</v>
      </c>
    </row>
    <row r="171" spans="1:14" ht="18.75" customHeight="1">
      <c r="A171" s="3118"/>
      <c r="B171" s="3110"/>
      <c r="C171" s="3102"/>
      <c r="D171" s="1679">
        <f ca="1">'سایر غیرعملیاتی آزادراهی'!A31</f>
        <v>0</v>
      </c>
      <c r="E171" s="1141"/>
      <c r="F171" s="1684" cm="1">
        <f t="array" aca="1" ref="F171" ca="1">IF(ROW()-ROW($A$6)&lt;'الف-ب-ج'!$L$9,IF(روکش!$F$9="سه ماهه",INDIRECT("BudgetDB!GP"&amp;('الف-ب-ج'!$M$9+ROW()-ROW($A$6))),INDIRECT("BudgetDB!GQ"&amp;('الف-ب-ج'!$M$9+ROW()-ROW($A$6)))),"")</f>
        <v>0</v>
      </c>
      <c r="G171" s="257"/>
      <c r="H171" s="1660" t="str">
        <f t="shared" si="10"/>
        <v>-</v>
      </c>
      <c r="I171" s="1661" t="str">
        <f t="shared" ca="1" si="11"/>
        <v>-</v>
      </c>
      <c r="N171" s="1674">
        <f t="shared" ca="1" si="12"/>
        <v>0</v>
      </c>
    </row>
    <row r="172" spans="1:14" ht="18.75" customHeight="1">
      <c r="A172" s="3118"/>
      <c r="B172" s="3110"/>
      <c r="C172" s="3102"/>
      <c r="D172" s="1679">
        <f ca="1">'سایر غیرعملیاتی آزادراهی'!A32</f>
        <v>0</v>
      </c>
      <c r="E172" s="1141"/>
      <c r="F172" s="1684" cm="1">
        <f t="array" aca="1" ref="F172" ca="1">IF(ROW()-ROW($A$6)&lt;'الف-ب-ج'!$L$9,IF(روکش!$F$9="سه ماهه",INDIRECT("BudgetDB!GP"&amp;('الف-ب-ج'!$M$9+ROW()-ROW($A$6))),INDIRECT("BudgetDB!GQ"&amp;('الف-ب-ج'!$M$9+ROW()-ROW($A$6)))),"")</f>
        <v>0</v>
      </c>
      <c r="G172" s="257"/>
      <c r="H172" s="1660" t="str">
        <f t="shared" si="10"/>
        <v>-</v>
      </c>
      <c r="I172" s="1661" t="str">
        <f t="shared" ca="1" si="11"/>
        <v>-</v>
      </c>
      <c r="N172" s="1674">
        <f t="shared" ca="1" si="12"/>
        <v>0</v>
      </c>
    </row>
    <row r="173" spans="1:14" ht="18.75" customHeight="1">
      <c r="A173" s="3118"/>
      <c r="B173" s="3110"/>
      <c r="C173" s="3102"/>
      <c r="D173" s="1679">
        <f ca="1">'سایر غیرعملیاتی آزادراهی'!A33</f>
        <v>0</v>
      </c>
      <c r="E173" s="1141"/>
      <c r="F173" s="1684" cm="1">
        <f t="array" aca="1" ref="F173" ca="1">IF(ROW()-ROW($A$6)&lt;'الف-ب-ج'!$L$9,IF(روکش!$F$9="سه ماهه",INDIRECT("BudgetDB!GP"&amp;('الف-ب-ج'!$M$9+ROW()-ROW($A$6))),INDIRECT("BudgetDB!GQ"&amp;('الف-ب-ج'!$M$9+ROW()-ROW($A$6)))),"")</f>
        <v>0</v>
      </c>
      <c r="G173" s="257"/>
      <c r="H173" s="1660" t="str">
        <f>IFERROR((G173-E173)*100/E173,"-")</f>
        <v>-</v>
      </c>
      <c r="I173" s="1661" t="str">
        <f ca="1">IFERROR(G173*100/F173,"-")</f>
        <v>-</v>
      </c>
      <c r="N173" s="1674">
        <f t="shared" ca="1" si="12"/>
        <v>0</v>
      </c>
    </row>
    <row r="174" spans="1:14" ht="18.75" customHeight="1">
      <c r="A174" s="3118"/>
      <c r="B174" s="3110"/>
      <c r="C174" s="3102"/>
      <c r="D174" s="1679">
        <f ca="1">'سایر غیرعملیاتی آزادراهی'!A34</f>
        <v>0</v>
      </c>
      <c r="E174" s="1141"/>
      <c r="F174" s="1684" cm="1">
        <f t="array" aca="1" ref="F174" ca="1">IF(ROW()-ROW($A$6)&lt;'الف-ب-ج'!$L$9,IF(روکش!$F$9="سه ماهه",INDIRECT("BudgetDB!GP"&amp;('الف-ب-ج'!$M$9+ROW()-ROW($A$6))),INDIRECT("BudgetDB!GQ"&amp;('الف-ب-ج'!$M$9+ROW()-ROW($A$6)))),"")</f>
        <v>0</v>
      </c>
      <c r="G174" s="257"/>
      <c r="H174" s="1660" t="str">
        <f>IFERROR((G174-E174)*100/E174,"-")</f>
        <v>-</v>
      </c>
      <c r="I174" s="1661" t="str">
        <f ca="1">IFERROR(G174*100/F174,"-")</f>
        <v>-</v>
      </c>
      <c r="N174" s="1674">
        <f t="shared" ca="1" si="12"/>
        <v>0</v>
      </c>
    </row>
    <row r="175" spans="1:14" ht="18.75" customHeight="1">
      <c r="A175" s="3118"/>
      <c r="B175" s="3110"/>
      <c r="C175" s="3102"/>
      <c r="D175" s="1679">
        <f ca="1">'سایر غیرعملیاتی آزادراهی'!A35</f>
        <v>0</v>
      </c>
      <c r="E175" s="1141"/>
      <c r="F175" s="1684" cm="1">
        <f t="array" aca="1" ref="F175" ca="1">IF(ROW()-ROW($A$6)&lt;'الف-ب-ج'!$L$9,IF(روکش!$F$9="سه ماهه",INDIRECT("BudgetDB!GP"&amp;('الف-ب-ج'!$M$9+ROW()-ROW($A$6))),INDIRECT("BudgetDB!GQ"&amp;('الف-ب-ج'!$M$9+ROW()-ROW($A$6)))),"")</f>
        <v>0</v>
      </c>
      <c r="G175" s="257"/>
      <c r="H175" s="1660" t="str">
        <f>IFERROR((G175-E175)*100/E175,"-")</f>
        <v>-</v>
      </c>
      <c r="I175" s="1661" t="str">
        <f ca="1">IFERROR(G175*100/F175,"-")</f>
        <v>-</v>
      </c>
      <c r="N175" s="1674">
        <f t="shared" ca="1" si="12"/>
        <v>0</v>
      </c>
    </row>
    <row r="176" spans="1:14" ht="18.75" customHeight="1">
      <c r="A176" s="3118"/>
      <c r="B176" s="3110"/>
      <c r="C176" s="3102"/>
      <c r="D176" s="1679">
        <f ca="1">'سایر غیرعملیاتی آزادراهی'!A36</f>
        <v>0</v>
      </c>
      <c r="E176" s="1141"/>
      <c r="F176" s="1684" cm="1">
        <f t="array" aca="1" ref="F176" ca="1">IF(ROW()-ROW($A$6)&lt;'الف-ب-ج'!$L$9,IF(روکش!$F$9="سه ماهه",INDIRECT("BudgetDB!GP"&amp;('الف-ب-ج'!$M$9+ROW()-ROW($A$6))),INDIRECT("BudgetDB!GQ"&amp;('الف-ب-ج'!$M$9+ROW()-ROW($A$6)))),"")</f>
        <v>0</v>
      </c>
      <c r="G176" s="257"/>
      <c r="H176" s="1660" t="str">
        <f>IFERROR((G176-E176)*100/E176,"-")</f>
        <v>-</v>
      </c>
      <c r="I176" s="1661" t="str">
        <f ca="1">IFERROR(G176*100/F176,"-")</f>
        <v>-</v>
      </c>
      <c r="N176" s="1674">
        <f t="shared" ca="1" si="12"/>
        <v>0</v>
      </c>
    </row>
    <row r="177" spans="1:14" ht="18.75" customHeight="1">
      <c r="A177" s="3118"/>
      <c r="B177" s="3110"/>
      <c r="C177" s="3102"/>
      <c r="D177" s="1679">
        <f ca="1">'سایر غیرعملیاتی آزادراهی'!A37</f>
        <v>0</v>
      </c>
      <c r="E177" s="1141"/>
      <c r="F177" s="1684" cm="1">
        <f t="array" aca="1" ref="F177" ca="1">IF(ROW()-ROW($A$6)&lt;'الف-ب-ج'!$L$9,IF(روکش!$F$9="سه ماهه",INDIRECT("BudgetDB!GP"&amp;('الف-ب-ج'!$M$9+ROW()-ROW($A$6))),INDIRECT("BudgetDB!GQ"&amp;('الف-ب-ج'!$M$9+ROW()-ROW($A$6)))),"")</f>
        <v>0</v>
      </c>
      <c r="G177" s="257"/>
      <c r="H177" s="1660" t="str">
        <f>IFERROR((G177-E177)*100/E177,"-")</f>
        <v>-</v>
      </c>
      <c r="I177" s="1661" t="str">
        <f ca="1">IFERROR(G177*100/F177,"-")</f>
        <v>-</v>
      </c>
      <c r="N177" s="1674">
        <f t="shared" ca="1" si="12"/>
        <v>0</v>
      </c>
    </row>
    <row r="178" spans="1:14" ht="18.75" customHeight="1" thickBot="1">
      <c r="A178" s="3118"/>
      <c r="B178" s="3110"/>
      <c r="C178" s="3102"/>
      <c r="D178" s="1679">
        <f ca="1">'سایر غیرعملیاتی آزادراهی'!A38</f>
        <v>0</v>
      </c>
      <c r="E178" s="1141"/>
      <c r="F178" s="1684" cm="1">
        <f t="array" aca="1" ref="F178" ca="1">IF(ROW()-ROW($A$6)&lt;'الف-ب-ج'!$L$9,IF(روکش!$F$9="سه ماهه",INDIRECT("BudgetDB!GP"&amp;('الف-ب-ج'!$M$9+ROW()-ROW($A$6))),INDIRECT("BudgetDB!GQ"&amp;('الف-ب-ج'!$M$9+ROW()-ROW($A$6)))),"")</f>
        <v>0</v>
      </c>
      <c r="G178" s="257"/>
      <c r="H178" s="1660" t="str">
        <f t="shared" si="10"/>
        <v>-</v>
      </c>
      <c r="I178" s="1661" t="str">
        <f t="shared" ca="1" si="11"/>
        <v>-</v>
      </c>
      <c r="N178" s="1674">
        <f t="shared" ca="1" si="12"/>
        <v>0</v>
      </c>
    </row>
    <row r="179" spans="1:14" ht="18.75" customHeight="1" thickBot="1">
      <c r="A179" s="3118"/>
      <c r="B179" s="3111"/>
      <c r="C179" s="1676" t="s">
        <v>168</v>
      </c>
      <c r="D179" s="1680"/>
      <c r="E179" s="1662">
        <f>SUM(E145:E178)</f>
        <v>0</v>
      </c>
      <c r="F179" s="966">
        <f ca="1">SUM(F145:F178)</f>
        <v>0</v>
      </c>
      <c r="G179" s="1663">
        <f>SUM(G145:G178)</f>
        <v>0</v>
      </c>
      <c r="H179" s="1664" t="str">
        <f t="shared" si="10"/>
        <v>-</v>
      </c>
      <c r="I179" s="1665" t="str">
        <f t="shared" ca="1" si="11"/>
        <v>-</v>
      </c>
      <c r="N179" s="1674" t="s">
        <v>206</v>
      </c>
    </row>
    <row r="180" spans="1:14" ht="18.75" customHeight="1" thickBot="1">
      <c r="A180" s="3118"/>
      <c r="B180" s="3124" t="s">
        <v>1693</v>
      </c>
      <c r="C180" s="3102"/>
      <c r="D180" s="697">
        <f ca="1">IF(ROW()-ROW($A$6)&lt;'الف-ب-ج'!$L$9,INDIRECT("BudgetDB!GO"&amp;('الف-ب-ج'!$M$9+ROW()-ROW($A$6))),"")</f>
        <v>0</v>
      </c>
      <c r="E180" s="1141"/>
      <c r="F180" s="1684" cm="1">
        <f t="array" aca="1" ref="F180" ca="1">IF(ROW()-ROW($A$6)&lt;'الف-ب-ج'!$L$9,IF(روکش!$F$9="سه ماهه",INDIRECT("BudgetDB!GP"&amp;('الف-ب-ج'!$M$9+ROW()-ROW($A$6))),INDIRECT("BudgetDB!GQ"&amp;('الف-ب-ج'!$M$9+ROW()-ROW($A$6)))),"")</f>
        <v>0</v>
      </c>
      <c r="G180" s="257"/>
      <c r="H180" s="1660" t="str">
        <f t="shared" si="10"/>
        <v>-</v>
      </c>
      <c r="I180" s="1661" t="str">
        <f t="shared" ca="1" si="11"/>
        <v>-</v>
      </c>
      <c r="N180" s="1674">
        <f t="shared" ca="1" si="12"/>
        <v>0</v>
      </c>
    </row>
    <row r="181" spans="1:14" ht="18.75" customHeight="1" thickBot="1">
      <c r="A181" s="3119"/>
      <c r="B181" s="1677" t="s">
        <v>169</v>
      </c>
      <c r="C181" s="1676"/>
      <c r="D181" s="1675"/>
      <c r="E181" s="1662">
        <f>E179+E144+E180</f>
        <v>0</v>
      </c>
      <c r="F181" s="966">
        <f ca="1">F179+F144+F180</f>
        <v>0</v>
      </c>
      <c r="G181" s="1663">
        <f>G179+G144+G180</f>
        <v>0</v>
      </c>
      <c r="H181" s="1664" t="str">
        <f t="shared" si="10"/>
        <v>-</v>
      </c>
      <c r="I181" s="1665" t="str">
        <f t="shared" ca="1" si="11"/>
        <v>-</v>
      </c>
      <c r="N181" s="1674" t="s">
        <v>206</v>
      </c>
    </row>
    <row r="182" spans="1:14" ht="18.75" customHeight="1" thickBot="1">
      <c r="A182" s="1678" t="s">
        <v>170</v>
      </c>
      <c r="B182" s="1678"/>
      <c r="C182" s="1678"/>
      <c r="D182" s="1677"/>
      <c r="E182" s="1669">
        <f>E78-E181</f>
        <v>0</v>
      </c>
      <c r="F182" s="1683">
        <f ca="1">F78-F181</f>
        <v>0</v>
      </c>
      <c r="G182" s="1670">
        <f>G78-G181</f>
        <v>0</v>
      </c>
      <c r="H182" s="1658" t="str">
        <f t="shared" si="10"/>
        <v>-</v>
      </c>
      <c r="I182" s="1659" t="str">
        <f t="shared" ca="1" si="11"/>
        <v>-</v>
      </c>
      <c r="N182" s="1674" t="s">
        <v>206</v>
      </c>
    </row>
    <row r="183" spans="1:14" ht="18.75" customHeight="1" thickBot="1">
      <c r="A183" s="1678" t="s">
        <v>440</v>
      </c>
      <c r="B183" s="1678"/>
      <c r="C183" s="1678"/>
      <c r="D183" s="1677"/>
      <c r="E183" s="1140"/>
      <c r="F183" s="1683" cm="1">
        <f t="array" aca="1" ref="F183" ca="1">IF(ROW()-ROW($A$6)&lt;'الف-ب-ج'!$L$9,IF(روکش!$F$9="سه ماهه",INDIRECT("BudgetDB!GP"&amp;('الف-ب-ج'!$M$9+ROW()-ROW($A$6))),INDIRECT("BudgetDB!GQ"&amp;('الف-ب-ج'!$M$9+ROW()-ROW($A$6)))),"")</f>
        <v>0</v>
      </c>
      <c r="G183" s="260"/>
      <c r="H183" s="1658" t="str">
        <f t="shared" si="10"/>
        <v>-</v>
      </c>
      <c r="I183" s="1659" t="str">
        <f t="shared" ca="1" si="11"/>
        <v>-</v>
      </c>
      <c r="N183" s="1674" t="s">
        <v>206</v>
      </c>
    </row>
    <row r="184" spans="1:14" ht="18.75" customHeight="1" thickBot="1">
      <c r="A184" s="1678" t="s">
        <v>171</v>
      </c>
      <c r="B184" s="1678"/>
      <c r="C184" s="1678"/>
      <c r="D184" s="1686"/>
      <c r="E184" s="1662">
        <f>E182+E183</f>
        <v>0</v>
      </c>
      <c r="F184" s="966">
        <f ca="1">F182+F183</f>
        <v>0</v>
      </c>
      <c r="G184" s="1663">
        <f>G182+G183</f>
        <v>0</v>
      </c>
      <c r="H184" s="1664" t="str">
        <f t="shared" si="10"/>
        <v>-</v>
      </c>
      <c r="I184" s="1665" t="str">
        <f t="shared" ca="1" si="11"/>
        <v>-</v>
      </c>
      <c r="N184" s="1674" t="s">
        <v>206</v>
      </c>
    </row>
    <row r="185" spans="1:14" ht="10.5" customHeight="1">
      <c r="N185" s="1673" t="s">
        <v>206</v>
      </c>
    </row>
    <row r="186" spans="1:14" s="42" customFormat="1" ht="24.95" customHeight="1">
      <c r="B186" s="8"/>
      <c r="C186" s="8"/>
      <c r="D186" s="8"/>
      <c r="H186" s="8"/>
      <c r="N186" s="1079" t="s">
        <v>206</v>
      </c>
    </row>
    <row r="187" spans="1:14">
      <c r="N187" s="1673" t="s">
        <v>206</v>
      </c>
    </row>
    <row r="188" spans="1:14">
      <c r="N188" s="1673" t="s">
        <v>206</v>
      </c>
    </row>
    <row r="189" spans="1:14">
      <c r="A189" s="3112"/>
      <c r="B189" s="3112"/>
      <c r="C189" s="3112"/>
      <c r="D189" s="3112"/>
      <c r="E189" s="3112"/>
      <c r="F189" s="3112"/>
      <c r="G189" s="3112"/>
      <c r="H189" s="3112"/>
      <c r="I189" s="3112"/>
      <c r="N189" s="1673" t="s">
        <v>206</v>
      </c>
    </row>
    <row r="190" spans="1:14">
      <c r="N190" s="1673" t="s">
        <v>206</v>
      </c>
    </row>
    <row r="191" spans="1:14">
      <c r="N191" s="1673" t="s">
        <v>206</v>
      </c>
    </row>
    <row r="192" spans="1:14">
      <c r="N192" s="1673" t="s">
        <v>206</v>
      </c>
    </row>
    <row r="193" spans="14:14">
      <c r="N193" s="1673" t="s">
        <v>206</v>
      </c>
    </row>
    <row r="194" spans="14:14">
      <c r="N194" s="1673" t="s">
        <v>206</v>
      </c>
    </row>
    <row r="195" spans="14:14">
      <c r="N195" s="1673" t="s">
        <v>206</v>
      </c>
    </row>
    <row r="196" spans="14:14">
      <c r="N196" s="1673" t="s">
        <v>206</v>
      </c>
    </row>
    <row r="197" spans="14:14">
      <c r="N197" s="1673" t="s">
        <v>206</v>
      </c>
    </row>
    <row r="198" spans="14:14">
      <c r="N198" s="1673" t="s">
        <v>206</v>
      </c>
    </row>
    <row r="199" spans="14:14">
      <c r="N199" s="1673" t="s">
        <v>206</v>
      </c>
    </row>
    <row r="200" spans="14:14">
      <c r="N200" s="1673" t="s">
        <v>206</v>
      </c>
    </row>
    <row r="201" spans="14:14">
      <c r="N201" s="1673" t="s">
        <v>206</v>
      </c>
    </row>
    <row r="202" spans="14:14">
      <c r="N202" s="1673" t="s">
        <v>206</v>
      </c>
    </row>
    <row r="203" spans="14:14">
      <c r="N203" s="1673" t="s">
        <v>206</v>
      </c>
    </row>
    <row r="204" spans="14:14">
      <c r="N204" s="1673" t="s">
        <v>206</v>
      </c>
    </row>
    <row r="205" spans="14:14">
      <c r="N205" s="1673" t="s">
        <v>206</v>
      </c>
    </row>
    <row r="206" spans="14:14">
      <c r="N206" s="1673" t="s">
        <v>206</v>
      </c>
    </row>
    <row r="207" spans="14:14">
      <c r="N207" s="1673" t="s">
        <v>206</v>
      </c>
    </row>
    <row r="208" spans="14:14">
      <c r="N208" s="1673" t="s">
        <v>206</v>
      </c>
    </row>
    <row r="209" spans="14:14">
      <c r="N209" s="1673" t="s">
        <v>206</v>
      </c>
    </row>
    <row r="210" spans="14:14">
      <c r="N210" s="1673" t="s">
        <v>206</v>
      </c>
    </row>
    <row r="211" spans="14:14">
      <c r="N211" s="1673" t="s">
        <v>206</v>
      </c>
    </row>
    <row r="212" spans="14:14">
      <c r="N212" s="1673" t="s">
        <v>206</v>
      </c>
    </row>
    <row r="213" spans="14:14">
      <c r="N213" s="1673" t="s">
        <v>206</v>
      </c>
    </row>
    <row r="214" spans="14:14">
      <c r="N214" s="1673" t="s">
        <v>206</v>
      </c>
    </row>
    <row r="215" spans="14:14">
      <c r="N215" s="1673" t="s">
        <v>206</v>
      </c>
    </row>
    <row r="216" spans="14:14">
      <c r="N216" s="1673" t="s">
        <v>206</v>
      </c>
    </row>
    <row r="217" spans="14:14">
      <c r="N217" s="1673" t="s">
        <v>206</v>
      </c>
    </row>
    <row r="218" spans="14:14">
      <c r="N218" s="1673" t="s">
        <v>206</v>
      </c>
    </row>
  </sheetData>
  <mergeCells count="32">
    <mergeCell ref="A189:I189"/>
    <mergeCell ref="A6:A78"/>
    <mergeCell ref="A79:A181"/>
    <mergeCell ref="B79:B144"/>
    <mergeCell ref="C79:C86"/>
    <mergeCell ref="C87:C96"/>
    <mergeCell ref="C103:C117"/>
    <mergeCell ref="C118:C130"/>
    <mergeCell ref="C131:C135"/>
    <mergeCell ref="C136:C139"/>
    <mergeCell ref="C141:C143"/>
    <mergeCell ref="B145:B179"/>
    <mergeCell ref="C164:C178"/>
    <mergeCell ref="B180:C180"/>
    <mergeCell ref="B77:C77"/>
    <mergeCell ref="C145:C150"/>
    <mergeCell ref="C151:C158"/>
    <mergeCell ref="C159:C163"/>
    <mergeCell ref="B46:B76"/>
    <mergeCell ref="C46:C51"/>
    <mergeCell ref="C52:C55"/>
    <mergeCell ref="C56:C60"/>
    <mergeCell ref="C61:C75"/>
    <mergeCell ref="E4:E5"/>
    <mergeCell ref="A1:I1"/>
    <mergeCell ref="C27:C41"/>
    <mergeCell ref="C42:C44"/>
    <mergeCell ref="B6:B45"/>
    <mergeCell ref="C6:C7"/>
    <mergeCell ref="C8:C17"/>
    <mergeCell ref="C18:C22"/>
    <mergeCell ref="C23:C26"/>
  </mergeCells>
  <printOptions horizontalCentered="1"/>
  <pageMargins left="0.59055118110236227" right="0.59055118110236227" top="0.19685039370078741" bottom="0.78740157480314965" header="0.19685039370078741" footer="0.19685039370078741"/>
  <pageSetup paperSize="9" scale="5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20">
    <tabColor rgb="FF32CD32"/>
    <pageSetUpPr fitToPage="1"/>
  </sheetPr>
  <dimension ref="A1:O205"/>
  <sheetViews>
    <sheetView rightToLeft="1" topLeftCell="A124" zoomScale="70" zoomScaleNormal="70" workbookViewId="0">
      <selection activeCell="E133" sqref="E133:G141"/>
    </sheetView>
  </sheetViews>
  <sheetFormatPr defaultColWidth="9" defaultRowHeight="18.75"/>
  <cols>
    <col min="1" max="1" width="5.5703125" style="46" customWidth="1"/>
    <col min="2" max="2" width="8.5703125" style="46" customWidth="1"/>
    <col min="3" max="3" width="24.85546875" style="46" bestFit="1" customWidth="1"/>
    <col min="4" max="4" width="52.85546875" style="46" bestFit="1" customWidth="1"/>
    <col min="5" max="5" width="24" style="46" bestFit="1" customWidth="1"/>
    <col min="6" max="6" width="13" style="46" bestFit="1" customWidth="1"/>
    <col min="7" max="7" width="10.5703125" style="46" customWidth="1"/>
    <col min="8" max="8" width="16.28515625" style="46" customWidth="1"/>
    <col min="9" max="9" width="14.7109375" style="46" customWidth="1"/>
    <col min="10" max="10" width="9" style="46"/>
    <col min="11" max="11" width="9" style="968"/>
    <col min="12" max="13" width="9" style="259"/>
    <col min="14" max="14" width="9" style="1673" hidden="1" customWidth="1"/>
    <col min="15" max="15" width="9" style="259"/>
    <col min="16" max="16384" width="9" style="46"/>
  </cols>
  <sheetData>
    <row r="1" spans="1:15" s="52" customFormat="1" ht="24" customHeight="1">
      <c r="A1" s="2685" t="str">
        <f>روکش!D4</f>
        <v>انبارهای عمومی و خدمات گمرکی ایران</v>
      </c>
      <c r="B1" s="2685"/>
      <c r="C1" s="2685"/>
      <c r="D1" s="2685"/>
      <c r="E1" s="2685"/>
      <c r="F1" s="2685"/>
      <c r="G1" s="2685"/>
      <c r="H1" s="2685"/>
      <c r="I1" s="2685"/>
      <c r="K1" s="88"/>
      <c r="L1" s="249"/>
      <c r="M1" s="249"/>
      <c r="N1" s="1671"/>
      <c r="O1" s="249"/>
    </row>
    <row r="2" spans="1:15" s="5" customFormat="1" ht="28.5" customHeight="1">
      <c r="A2" s="1206" t="str">
        <f>"گزارش دريافت‌ها و پرداخت‌هاي نقدي در دوره " &amp; روکش!F9 &amp; " سال " &amp; روکش!D9</f>
        <v>گزارش دريافت‌ها و پرداخت‌هاي نقدي در دوره شش ماهه سال 1405</v>
      </c>
      <c r="B2" s="1206"/>
      <c r="C2" s="1206"/>
      <c r="D2" s="1206"/>
      <c r="E2" s="1206"/>
      <c r="F2" s="1203"/>
      <c r="G2" s="1203"/>
      <c r="H2" s="1203"/>
      <c r="I2" s="1203"/>
      <c r="K2" s="79"/>
      <c r="L2" s="212"/>
      <c r="M2" s="212"/>
      <c r="N2" s="1081"/>
      <c r="O2" s="212"/>
    </row>
    <row r="3" spans="1:15" s="101" customFormat="1" ht="20.100000000000001" customHeight="1" thickBot="1">
      <c r="A3" s="1692"/>
      <c r="B3" s="1693"/>
      <c r="C3" s="1694"/>
      <c r="D3" s="1694"/>
      <c r="E3" s="1694"/>
      <c r="F3" s="1694"/>
      <c r="G3" s="1695"/>
      <c r="H3" s="1694"/>
      <c r="I3" s="1238" t="s">
        <v>30</v>
      </c>
      <c r="K3" s="967"/>
      <c r="N3" s="1673" t="s">
        <v>206</v>
      </c>
    </row>
    <row r="4" spans="1:15" ht="24.75" thickBot="1">
      <c r="A4" s="1696" t="s">
        <v>21</v>
      </c>
      <c r="B4" s="1697"/>
      <c r="C4" s="1697"/>
      <c r="D4" s="1698"/>
      <c r="E4" s="3125" t="s">
        <v>1723</v>
      </c>
      <c r="F4" s="1699" t="s">
        <v>642</v>
      </c>
      <c r="G4" s="1700"/>
      <c r="H4" s="1700"/>
      <c r="I4" s="1701"/>
      <c r="N4" s="1673" t="s">
        <v>792</v>
      </c>
    </row>
    <row r="5" spans="1:15" ht="43.5" customHeight="1" thickBot="1">
      <c r="A5" s="1702"/>
      <c r="B5" s="1703" t="s">
        <v>143</v>
      </c>
      <c r="C5" s="1704" t="s">
        <v>144</v>
      </c>
      <c r="D5" s="1705" t="s">
        <v>145</v>
      </c>
      <c r="E5" s="3126"/>
      <c r="F5" s="703" t="s">
        <v>53</v>
      </c>
      <c r="G5" s="705" t="s">
        <v>216</v>
      </c>
      <c r="H5" s="1706" t="s">
        <v>793</v>
      </c>
      <c r="I5" s="1707" t="s">
        <v>230</v>
      </c>
      <c r="N5" s="1673" t="s">
        <v>206</v>
      </c>
    </row>
    <row r="6" spans="1:15" ht="18.75" customHeight="1">
      <c r="A6" s="3131" t="s">
        <v>142</v>
      </c>
      <c r="B6" s="3134" t="s">
        <v>146</v>
      </c>
      <c r="C6" s="3138" t="s">
        <v>1686</v>
      </c>
      <c r="D6" s="1690" t="str">
        <f ca="1">IF(ROW()-ROW($A$6)&lt;'الف-ب-ج'!$L$9,INDIRECT("BudgetDB!GR"&amp;('الف-ب-ج'!$M$9+ROW()-ROW($A$6))),"")</f>
        <v xml:space="preserve"> فروش محصولات توليدي (داخلی)</v>
      </c>
      <c r="E6" s="1144"/>
      <c r="F6" s="255"/>
      <c r="G6" s="255"/>
      <c r="H6" s="1708" t="str">
        <f>IFERROR((G6-E6)*100/E6,"-")</f>
        <v>-</v>
      </c>
      <c r="I6" s="1709" t="str">
        <f>IFERROR(G6*100/F6,"-")</f>
        <v>-</v>
      </c>
      <c r="N6" s="1674">
        <f>IFERROR(G6+F6+E6,0)</f>
        <v>0</v>
      </c>
    </row>
    <row r="7" spans="1:15" ht="18.75" customHeight="1">
      <c r="A7" s="3132"/>
      <c r="B7" s="3135"/>
      <c r="C7" s="3128"/>
      <c r="D7" s="1691" t="str">
        <f ca="1">IF(ROW()-ROW($A$6)&lt;'الف-ب-ج'!$L$9,INDIRECT("BudgetDB!GR"&amp;('الف-ب-ج'!$M$9+ROW()-ROW($A$6))),"")</f>
        <v xml:space="preserve"> فروش كالای تجاری (داخلی)</v>
      </c>
      <c r="E7" s="1149"/>
      <c r="F7" s="256"/>
      <c r="G7" s="256"/>
      <c r="H7" s="1710" t="str">
        <f t="shared" ref="H7:H66" si="0">IFERROR((G7-E7)*100/E7,"-")</f>
        <v>-</v>
      </c>
      <c r="I7" s="1711" t="str">
        <f t="shared" ref="I7:I66" si="1">IFERROR(G7*100/F7,"-")</f>
        <v>-</v>
      </c>
      <c r="N7" s="1674">
        <f t="shared" ref="N7:N70" si="2">IFERROR(G7+F7+E7,0)</f>
        <v>0</v>
      </c>
    </row>
    <row r="8" spans="1:15" ht="18.75" customHeight="1">
      <c r="A8" s="3132"/>
      <c r="B8" s="3135"/>
      <c r="C8" s="3128"/>
      <c r="D8" s="1691" t="str">
        <f ca="1">IF(ROW()-ROW($A$6)&lt;'الف-ب-ج'!$L$9,INDIRECT("BudgetDB!GR"&amp;('الف-ب-ج'!$M$9+ROW()-ROW($A$6))),"")</f>
        <v xml:space="preserve"> درآمد حاصل از ارائه خدمات (داخلی)</v>
      </c>
      <c r="E8" s="1149"/>
      <c r="F8" s="256"/>
      <c r="G8" s="256"/>
      <c r="H8" s="1710" t="str">
        <f t="shared" si="0"/>
        <v>-</v>
      </c>
      <c r="I8" s="1711" t="str">
        <f t="shared" si="1"/>
        <v>-</v>
      </c>
      <c r="N8" s="1674">
        <f t="shared" si="2"/>
        <v>0</v>
      </c>
    </row>
    <row r="9" spans="1:15" ht="18.75" customHeight="1">
      <c r="A9" s="3132"/>
      <c r="B9" s="3135"/>
      <c r="C9" s="3128"/>
      <c r="D9" s="1691" t="str">
        <f ca="1">IF(ROW()-ROW($A$6)&lt;'الف-ب-ج'!$L$9,INDIRECT("BudgetDB!GR"&amp;('الف-ب-ج'!$M$9+ROW()-ROW($A$6))),"")</f>
        <v>درآمد حاصل از سرمایه گذاری</v>
      </c>
      <c r="E9" s="1149"/>
      <c r="F9" s="256"/>
      <c r="G9" s="256"/>
      <c r="H9" s="1710" t="str">
        <f t="shared" si="0"/>
        <v>-</v>
      </c>
      <c r="I9" s="1711" t="str">
        <f t="shared" si="1"/>
        <v>-</v>
      </c>
      <c r="N9" s="1674">
        <f t="shared" si="2"/>
        <v>0</v>
      </c>
    </row>
    <row r="10" spans="1:15" ht="18.75" customHeight="1">
      <c r="A10" s="3132"/>
      <c r="B10" s="3135"/>
      <c r="C10" s="3130"/>
      <c r="D10" s="1691" t="str">
        <f ca="1">IF(ROW()-ROW($A$6)&lt;'الف-ب-ج'!$L$9,INDIRECT("BudgetDB!GR"&amp;('الف-ب-ج'!$M$9+ROW()-ROW($A$6))),"")</f>
        <v>درآمد حاصل از صادرات</v>
      </c>
      <c r="E10" s="1149"/>
      <c r="F10" s="256"/>
      <c r="G10" s="256"/>
      <c r="H10" s="1710" t="str">
        <f t="shared" si="0"/>
        <v>-</v>
      </c>
      <c r="I10" s="1711" t="str">
        <f t="shared" si="1"/>
        <v>-</v>
      </c>
      <c r="N10" s="1674">
        <f t="shared" si="2"/>
        <v>0</v>
      </c>
    </row>
    <row r="11" spans="1:15" ht="18.75" customHeight="1">
      <c r="A11" s="3132"/>
      <c r="B11" s="3135"/>
      <c r="C11" s="3127" t="s">
        <v>147</v>
      </c>
      <c r="D11" s="1691" t="str">
        <f ca="1">IF(ROW()-ROW($A$6)&lt;'الف-ب-ج'!$L$9,INDIRECT("BudgetDB!GR"&amp;('الف-ب-ج'!$M$9+ROW()-ROW($A$6))),"")</f>
        <v>نام بدهکار</v>
      </c>
      <c r="E11" s="1149"/>
      <c r="F11" s="256"/>
      <c r="G11" s="256"/>
      <c r="H11" s="1710" t="str">
        <f t="shared" si="0"/>
        <v>-</v>
      </c>
      <c r="I11" s="1711" t="str">
        <f t="shared" si="1"/>
        <v>-</v>
      </c>
      <c r="N11" s="1674">
        <f t="shared" si="2"/>
        <v>0</v>
      </c>
    </row>
    <row r="12" spans="1:15" ht="18.75" customHeight="1">
      <c r="A12" s="3132"/>
      <c r="B12" s="3135"/>
      <c r="C12" s="3128"/>
      <c r="D12" s="1691" t="str">
        <f ca="1">IF(ROW()-ROW($A$6)&lt;'الف-ب-ج'!$L$9,INDIRECT("BudgetDB!GR"&amp;('الف-ب-ج'!$M$9+ROW()-ROW($A$6))),"")</f>
        <v>نام بدهکار</v>
      </c>
      <c r="E12" s="1149"/>
      <c r="F12" s="256"/>
      <c r="G12" s="256"/>
      <c r="H12" s="1710" t="str">
        <f t="shared" si="0"/>
        <v>-</v>
      </c>
      <c r="I12" s="1711" t="str">
        <f t="shared" si="1"/>
        <v>-</v>
      </c>
      <c r="N12" s="1674">
        <f t="shared" si="2"/>
        <v>0</v>
      </c>
    </row>
    <row r="13" spans="1:15" ht="18.75" customHeight="1">
      <c r="A13" s="3132"/>
      <c r="B13" s="3135"/>
      <c r="C13" s="3128"/>
      <c r="D13" s="1691" t="str">
        <f ca="1">IF(ROW()-ROW($A$6)&lt;'الف-ب-ج'!$L$9,INDIRECT("BudgetDB!GR"&amp;('الف-ب-ج'!$M$9+ROW()-ROW($A$6))),"")</f>
        <v>نام بدهکار</v>
      </c>
      <c r="E13" s="1149"/>
      <c r="F13" s="256"/>
      <c r="G13" s="256"/>
      <c r="H13" s="1710" t="str">
        <f t="shared" si="0"/>
        <v>-</v>
      </c>
      <c r="I13" s="1711" t="str">
        <f t="shared" si="1"/>
        <v>-</v>
      </c>
      <c r="N13" s="1674">
        <f t="shared" si="2"/>
        <v>0</v>
      </c>
    </row>
    <row r="14" spans="1:15" ht="18.75" customHeight="1">
      <c r="A14" s="3132"/>
      <c r="B14" s="3135"/>
      <c r="C14" s="3128"/>
      <c r="D14" s="1691" t="str">
        <f ca="1">IF(ROW()-ROW($A$6)&lt;'الف-ب-ج'!$L$9,INDIRECT("BudgetDB!GR"&amp;('الف-ب-ج'!$M$9+ROW()-ROW($A$6))),"")</f>
        <v>نام بدهکار</v>
      </c>
      <c r="E14" s="1149"/>
      <c r="F14" s="256"/>
      <c r="G14" s="256"/>
      <c r="H14" s="1710" t="str">
        <f t="shared" si="0"/>
        <v>-</v>
      </c>
      <c r="I14" s="1711" t="str">
        <f t="shared" si="1"/>
        <v>-</v>
      </c>
      <c r="N14" s="1674">
        <f t="shared" si="2"/>
        <v>0</v>
      </c>
    </row>
    <row r="15" spans="1:15" ht="18.75" customHeight="1">
      <c r="A15" s="3132"/>
      <c r="B15" s="3135"/>
      <c r="C15" s="3128"/>
      <c r="D15" s="1691" t="str">
        <f ca="1">IF(ROW()-ROW($A$6)&lt;'الف-ب-ج'!$L$9,INDIRECT("BudgetDB!GR"&amp;('الف-ب-ج'!$M$9+ROW()-ROW($A$6))),"")</f>
        <v>نام بدهکار</v>
      </c>
      <c r="E15" s="1149"/>
      <c r="F15" s="256"/>
      <c r="G15" s="256"/>
      <c r="H15" s="1710" t="str">
        <f t="shared" si="0"/>
        <v>-</v>
      </c>
      <c r="I15" s="1711" t="str">
        <f t="shared" si="1"/>
        <v>-</v>
      </c>
      <c r="N15" s="1674">
        <f t="shared" si="2"/>
        <v>0</v>
      </c>
    </row>
    <row r="16" spans="1:15" ht="18.75" customHeight="1">
      <c r="A16" s="3132"/>
      <c r="B16" s="3135"/>
      <c r="C16" s="3128"/>
      <c r="D16" s="1691" t="str">
        <f ca="1">IF(ROW()-ROW($A$6)&lt;'الف-ب-ج'!$L$9,INDIRECT("BudgetDB!GR"&amp;('الف-ب-ج'!$M$9+ROW()-ROW($A$6))),"")</f>
        <v>نام بدهکار</v>
      </c>
      <c r="E16" s="1149"/>
      <c r="F16" s="256"/>
      <c r="G16" s="256"/>
      <c r="H16" s="1710" t="str">
        <f t="shared" si="0"/>
        <v>-</v>
      </c>
      <c r="I16" s="1711" t="str">
        <f t="shared" si="1"/>
        <v>-</v>
      </c>
      <c r="N16" s="1674">
        <f t="shared" si="2"/>
        <v>0</v>
      </c>
    </row>
    <row r="17" spans="1:14" ht="18.75" customHeight="1">
      <c r="A17" s="3132"/>
      <c r="B17" s="3135"/>
      <c r="C17" s="3128"/>
      <c r="D17" s="1691" t="str">
        <f ca="1">IF(ROW()-ROW($A$6)&lt;'الف-ب-ج'!$L$9,INDIRECT("BudgetDB!GR"&amp;('الف-ب-ج'!$M$9+ROW()-ROW($A$6))),"")</f>
        <v>نام بدهکار</v>
      </c>
      <c r="E17" s="1149"/>
      <c r="F17" s="256"/>
      <c r="G17" s="256"/>
      <c r="H17" s="1710" t="str">
        <f t="shared" si="0"/>
        <v>-</v>
      </c>
      <c r="I17" s="1711" t="str">
        <f t="shared" si="1"/>
        <v>-</v>
      </c>
      <c r="N17" s="1674">
        <f t="shared" si="2"/>
        <v>0</v>
      </c>
    </row>
    <row r="18" spans="1:14" ht="18.75" customHeight="1">
      <c r="A18" s="3132"/>
      <c r="B18" s="3135"/>
      <c r="C18" s="3128"/>
      <c r="D18" s="1147" t="str">
        <f ca="1">IF(ROW()-ROW($A$6)&lt;'الف-ب-ج'!$L$9,INDIRECT("BudgetDB!GR"&amp;('الف-ب-ج'!$M$9+ROW()-ROW($A$6))),"")</f>
        <v>نام بدهکار</v>
      </c>
      <c r="E18" s="1149"/>
      <c r="F18" s="256"/>
      <c r="G18" s="256"/>
      <c r="H18" s="1710" t="str">
        <f t="shared" si="0"/>
        <v>-</v>
      </c>
      <c r="I18" s="1711" t="str">
        <f t="shared" si="1"/>
        <v>-</v>
      </c>
      <c r="N18" s="1674">
        <f t="shared" si="2"/>
        <v>0</v>
      </c>
    </row>
    <row r="19" spans="1:14" ht="18.75" customHeight="1">
      <c r="A19" s="3132"/>
      <c r="B19" s="3135"/>
      <c r="C19" s="3128"/>
      <c r="D19" s="1147" t="str">
        <f ca="1">IF(ROW()-ROW($A$6)&lt;'الف-ب-ج'!$L$9,INDIRECT("BudgetDB!GR"&amp;('الف-ب-ج'!$M$9+ROW()-ROW($A$6))),"")</f>
        <v>نام بدهکار</v>
      </c>
      <c r="E19" s="1149"/>
      <c r="F19" s="256"/>
      <c r="G19" s="256"/>
      <c r="H19" s="1710" t="str">
        <f t="shared" si="0"/>
        <v>-</v>
      </c>
      <c r="I19" s="1711" t="str">
        <f t="shared" si="1"/>
        <v>-</v>
      </c>
      <c r="N19" s="1674">
        <f t="shared" si="2"/>
        <v>0</v>
      </c>
    </row>
    <row r="20" spans="1:14" ht="18.75" customHeight="1">
      <c r="A20" s="3132"/>
      <c r="B20" s="3135"/>
      <c r="C20" s="3130"/>
      <c r="D20" s="1147" t="str">
        <f ca="1">IF(ROW()-ROW($A$6)&lt;'الف-ب-ج'!$L$9,INDIRECT("BudgetDB!GR"&amp;('الف-ب-ج'!$M$9+ROW()-ROW($A$6))),"")</f>
        <v>سایر بدهکاران</v>
      </c>
      <c r="E20" s="1149"/>
      <c r="F20" s="256"/>
      <c r="G20" s="256"/>
      <c r="H20" s="1710" t="str">
        <f t="shared" si="0"/>
        <v>-</v>
      </c>
      <c r="I20" s="1711" t="str">
        <f t="shared" si="1"/>
        <v>-</v>
      </c>
      <c r="N20" s="1674">
        <f t="shared" si="2"/>
        <v>0</v>
      </c>
    </row>
    <row r="21" spans="1:14" ht="18.75" customHeight="1">
      <c r="A21" s="3132"/>
      <c r="B21" s="3135"/>
      <c r="C21" s="3127" t="s">
        <v>1413</v>
      </c>
      <c r="D21" s="1691" t="str">
        <f ca="1">IF(ROW()-ROW($A$6)&lt;'الف-ب-ج'!$L$9,INDIRECT("BudgetDB!GR"&amp;('الف-ب-ج'!$M$9+ROW()-ROW($A$6))),"")</f>
        <v>نام مشتری</v>
      </c>
      <c r="E21" s="1149"/>
      <c r="F21" s="256"/>
      <c r="G21" s="256"/>
      <c r="H21" s="1710" t="str">
        <f t="shared" si="0"/>
        <v>-</v>
      </c>
      <c r="I21" s="1711" t="str">
        <f t="shared" si="1"/>
        <v>-</v>
      </c>
      <c r="N21" s="1674">
        <f t="shared" si="2"/>
        <v>0</v>
      </c>
    </row>
    <row r="22" spans="1:14" ht="18.75" customHeight="1">
      <c r="A22" s="3132"/>
      <c r="B22" s="3135"/>
      <c r="C22" s="3128"/>
      <c r="D22" s="1691" t="str">
        <f ca="1">IF(ROW()-ROW($A$6)&lt;'الف-ب-ج'!$L$9,INDIRECT("BudgetDB!GR"&amp;('الف-ب-ج'!$M$9+ROW()-ROW($A$6))),"")</f>
        <v>نام مشتری</v>
      </c>
      <c r="E22" s="1149"/>
      <c r="F22" s="256"/>
      <c r="G22" s="256"/>
      <c r="H22" s="1710" t="str">
        <f t="shared" si="0"/>
        <v>-</v>
      </c>
      <c r="I22" s="1711" t="str">
        <f t="shared" si="1"/>
        <v>-</v>
      </c>
      <c r="N22" s="1674">
        <f t="shared" si="2"/>
        <v>0</v>
      </c>
    </row>
    <row r="23" spans="1:14" ht="18.75" customHeight="1">
      <c r="A23" s="3132"/>
      <c r="B23" s="3135"/>
      <c r="C23" s="3128"/>
      <c r="D23" s="1691" t="str">
        <f ca="1">IF(ROW()-ROW($A$6)&lt;'الف-ب-ج'!$L$9,INDIRECT("BudgetDB!GR"&amp;('الف-ب-ج'!$M$9+ROW()-ROW($A$6))),"")</f>
        <v>نام مشتری</v>
      </c>
      <c r="E23" s="1149"/>
      <c r="F23" s="256"/>
      <c r="G23" s="256"/>
      <c r="H23" s="1710" t="str">
        <f t="shared" si="0"/>
        <v>-</v>
      </c>
      <c r="I23" s="1711" t="str">
        <f t="shared" si="1"/>
        <v>-</v>
      </c>
      <c r="N23" s="1674">
        <f t="shared" si="2"/>
        <v>0</v>
      </c>
    </row>
    <row r="24" spans="1:14" ht="18.75" customHeight="1">
      <c r="A24" s="3132"/>
      <c r="B24" s="3135"/>
      <c r="C24" s="3128"/>
      <c r="D24" s="1147" t="str">
        <f ca="1">IF(ROW()-ROW($A$6)&lt;'الف-ب-ج'!$L$9,INDIRECT("BudgetDB!GR"&amp;('الف-ب-ج'!$M$9+ROW()-ROW($A$6))),"")</f>
        <v>نام مشتری</v>
      </c>
      <c r="E24" s="1149"/>
      <c r="F24" s="256"/>
      <c r="G24" s="256"/>
      <c r="H24" s="1710" t="str">
        <f t="shared" si="0"/>
        <v>-</v>
      </c>
      <c r="I24" s="1711" t="str">
        <f t="shared" si="1"/>
        <v>-</v>
      </c>
      <c r="N24" s="1674">
        <f t="shared" si="2"/>
        <v>0</v>
      </c>
    </row>
    <row r="25" spans="1:14" ht="18.75" customHeight="1">
      <c r="A25" s="3132"/>
      <c r="B25" s="3135"/>
      <c r="C25" s="3130"/>
      <c r="D25" s="1147" t="str">
        <f ca="1">IF(ROW()-ROW($A$6)&lt;'الف-ب-ج'!$L$9,INDIRECT("BudgetDB!GR"&amp;('الف-ب-ج'!$M$9+ROW()-ROW($A$6))),"")</f>
        <v>سایر مشتریان</v>
      </c>
      <c r="E25" s="1149"/>
      <c r="F25" s="256"/>
      <c r="G25" s="256"/>
      <c r="H25" s="1710" t="str">
        <f t="shared" si="0"/>
        <v>-</v>
      </c>
      <c r="I25" s="1711" t="str">
        <f t="shared" si="1"/>
        <v>-</v>
      </c>
      <c r="N25" s="1674">
        <f t="shared" si="2"/>
        <v>0</v>
      </c>
    </row>
    <row r="26" spans="1:14" ht="18.75" customHeight="1">
      <c r="A26" s="3132"/>
      <c r="B26" s="3135"/>
      <c r="C26" s="3127" t="s">
        <v>1685</v>
      </c>
      <c r="D26" s="1691" t="str">
        <f ca="1">IF(ROW()-ROW($A$6)&lt;'الف-ب-ج'!$L$9,INDIRECT("BudgetDB!GR"&amp;('الف-ب-ج'!$M$9+ROW()-ROW($A$6))),"")</f>
        <v>سپرده بانکی</v>
      </c>
      <c r="E26" s="1149"/>
      <c r="F26" s="256"/>
      <c r="G26" s="256"/>
      <c r="H26" s="1710" t="str">
        <f t="shared" si="0"/>
        <v>-</v>
      </c>
      <c r="I26" s="1711" t="str">
        <f t="shared" si="1"/>
        <v>-</v>
      </c>
      <c r="N26" s="1674">
        <f t="shared" si="2"/>
        <v>0</v>
      </c>
    </row>
    <row r="27" spans="1:14" ht="18.75" customHeight="1">
      <c r="A27" s="3132"/>
      <c r="B27" s="3135"/>
      <c r="C27" s="3128"/>
      <c r="D27" s="1691" t="str">
        <f ca="1">IF(ROW()-ROW($A$6)&lt;'الف-ب-ج'!$L$9,INDIRECT("BudgetDB!GR"&amp;('الف-ب-ج'!$M$9+ROW()-ROW($A$6))),"")</f>
        <v>نوع سرمایه گذاری</v>
      </c>
      <c r="E27" s="1149"/>
      <c r="F27" s="256"/>
      <c r="G27" s="256"/>
      <c r="H27" s="1710" t="str">
        <f t="shared" si="0"/>
        <v>-</v>
      </c>
      <c r="I27" s="1711" t="str">
        <f t="shared" si="1"/>
        <v>-</v>
      </c>
      <c r="N27" s="1674">
        <f t="shared" si="2"/>
        <v>0</v>
      </c>
    </row>
    <row r="28" spans="1:14" ht="18.75" customHeight="1">
      <c r="A28" s="3132"/>
      <c r="B28" s="3135"/>
      <c r="C28" s="3128"/>
      <c r="D28" s="1691" t="str">
        <f ca="1">IF(ROW()-ROW($A$6)&lt;'الف-ب-ج'!$L$9,INDIRECT("BudgetDB!GR"&amp;('الف-ب-ج'!$M$9+ROW()-ROW($A$6))),"")</f>
        <v>نوع سرمایه گذاری</v>
      </c>
      <c r="E28" s="1149"/>
      <c r="F28" s="256"/>
      <c r="G28" s="256"/>
      <c r="H28" s="1710" t="str">
        <f t="shared" si="0"/>
        <v>-</v>
      </c>
      <c r="I28" s="1711" t="str">
        <f t="shared" si="1"/>
        <v>-</v>
      </c>
      <c r="N28" s="1674">
        <f t="shared" si="2"/>
        <v>0</v>
      </c>
    </row>
    <row r="29" spans="1:14" ht="18.75" customHeight="1">
      <c r="A29" s="3132"/>
      <c r="B29" s="3135"/>
      <c r="C29" s="3130"/>
      <c r="D29" s="1147" t="str">
        <f ca="1">IF(ROW()-ROW($A$6)&lt;'الف-ب-ج'!$L$9,INDIRECT("BudgetDB!GR"&amp;('الف-ب-ج'!$M$9+ROW()-ROW($A$6))),"")</f>
        <v>نوع سرمایه گذاری</v>
      </c>
      <c r="E29" s="1149"/>
      <c r="F29" s="256"/>
      <c r="G29" s="256"/>
      <c r="H29" s="1710" t="str">
        <f t="shared" si="0"/>
        <v>-</v>
      </c>
      <c r="I29" s="1711" t="str">
        <f t="shared" si="1"/>
        <v>-</v>
      </c>
      <c r="N29" s="1674">
        <f t="shared" si="2"/>
        <v>0</v>
      </c>
    </row>
    <row r="30" spans="1:14" ht="18.75" customHeight="1">
      <c r="A30" s="3132"/>
      <c r="B30" s="3135"/>
      <c r="C30" s="3127" t="s">
        <v>148</v>
      </c>
      <c r="D30" s="1691" t="str">
        <f ca="1">'سایر عملیاتی'!A7</f>
        <v>درآمد حاصل از ارائه خدمات به شرکت بیمه‌گر</v>
      </c>
      <c r="E30" s="1149"/>
      <c r="F30" s="256"/>
      <c r="G30" s="256"/>
      <c r="H30" s="1710" t="str">
        <f t="shared" si="0"/>
        <v>-</v>
      </c>
      <c r="I30" s="1711" t="str">
        <f t="shared" si="1"/>
        <v>-</v>
      </c>
      <c r="N30" s="1674">
        <f t="shared" si="2"/>
        <v>0</v>
      </c>
    </row>
    <row r="31" spans="1:14" ht="18.75" customHeight="1">
      <c r="A31" s="3132"/>
      <c r="B31" s="3135"/>
      <c r="C31" s="3128"/>
      <c r="D31" s="1691" t="str">
        <f ca="1">'سایر عملیاتی'!A8</f>
        <v>درآمد اجاره انبار و فضای شرکت‌های غرب، تهران و بازرگان</v>
      </c>
      <c r="E31" s="1150"/>
      <c r="F31" s="257"/>
      <c r="G31" s="257"/>
      <c r="H31" s="1712" t="str">
        <f t="shared" si="0"/>
        <v>-</v>
      </c>
      <c r="I31" s="1711" t="str">
        <f t="shared" si="1"/>
        <v>-</v>
      </c>
      <c r="N31" s="1674">
        <f t="shared" si="2"/>
        <v>0</v>
      </c>
    </row>
    <row r="32" spans="1:14" ht="18.75" customHeight="1">
      <c r="A32" s="3132"/>
      <c r="B32" s="3135"/>
      <c r="C32" s="3128"/>
      <c r="D32" s="1691" t="str">
        <f ca="1">'سایر عملیاتی'!A9</f>
        <v>درآمد پارکینگ</v>
      </c>
      <c r="E32" s="1150"/>
      <c r="F32" s="257"/>
      <c r="G32" s="257"/>
      <c r="H32" s="1712" t="str">
        <f t="shared" si="0"/>
        <v>-</v>
      </c>
      <c r="I32" s="1711" t="str">
        <f t="shared" si="1"/>
        <v>-</v>
      </c>
      <c r="N32" s="1674">
        <f t="shared" si="2"/>
        <v>0</v>
      </c>
    </row>
    <row r="33" spans="1:14" ht="18.75" customHeight="1">
      <c r="A33" s="3132"/>
      <c r="B33" s="3135"/>
      <c r="C33" s="3128"/>
      <c r="D33" s="1691" t="str">
        <f ca="1">'سایر عملیاتی'!A10</f>
        <v>درآمد فروش املاک سهلان</v>
      </c>
      <c r="E33" s="1150"/>
      <c r="F33" s="257"/>
      <c r="G33" s="257"/>
      <c r="H33" s="1712" t="str">
        <f t="shared" si="0"/>
        <v>-</v>
      </c>
      <c r="I33" s="1711" t="str">
        <f t="shared" si="1"/>
        <v>-</v>
      </c>
      <c r="N33" s="1674">
        <f t="shared" si="2"/>
        <v>0</v>
      </c>
    </row>
    <row r="34" spans="1:14" ht="18.75" customHeight="1">
      <c r="A34" s="3132"/>
      <c r="B34" s="3135"/>
      <c r="C34" s="3128"/>
      <c r="D34" s="1691" t="str">
        <f ca="1">'سایر عملیاتی'!A11</f>
        <v>درآمد حاصل از واگذاری قرارداد البرز</v>
      </c>
      <c r="E34" s="1150"/>
      <c r="F34" s="257"/>
      <c r="G34" s="257"/>
      <c r="H34" s="1712" t="str">
        <f t="shared" si="0"/>
        <v>-</v>
      </c>
      <c r="I34" s="1711" t="str">
        <f t="shared" si="1"/>
        <v>-</v>
      </c>
      <c r="N34" s="1674">
        <f t="shared" si="2"/>
        <v>0</v>
      </c>
    </row>
    <row r="35" spans="1:14" ht="18.75" customHeight="1">
      <c r="A35" s="3132"/>
      <c r="B35" s="3135"/>
      <c r="C35" s="3128"/>
      <c r="D35" s="1691" t="str">
        <f ca="1">'سایر عملیاتی'!A12</f>
        <v>باسکول- فتوکپی- خدمات رایانه - فوق العاده - بازبینی و...</v>
      </c>
      <c r="E35" s="1150"/>
      <c r="F35" s="257"/>
      <c r="G35" s="257"/>
      <c r="H35" s="1712" t="str">
        <f t="shared" si="0"/>
        <v>-</v>
      </c>
      <c r="I35" s="1711" t="str">
        <f t="shared" si="1"/>
        <v>-</v>
      </c>
      <c r="N35" s="1674">
        <f t="shared" si="2"/>
        <v>0</v>
      </c>
    </row>
    <row r="36" spans="1:14" ht="18.75" customHeight="1">
      <c r="A36" s="3132"/>
      <c r="B36" s="3135"/>
      <c r="C36" s="3128"/>
      <c r="D36" s="1691" t="str">
        <f ca="1">'سایر عملیاتی'!A13</f>
        <v>درآمد حاصل از واگذاري انبارهاي بندر امام خميني (ره)</v>
      </c>
      <c r="E36" s="1150"/>
      <c r="F36" s="257"/>
      <c r="G36" s="257"/>
      <c r="H36" s="1712" t="str">
        <f t="shared" si="0"/>
        <v>-</v>
      </c>
      <c r="I36" s="1711" t="str">
        <f t="shared" si="1"/>
        <v>-</v>
      </c>
      <c r="N36" s="1674">
        <f t="shared" si="2"/>
        <v>0</v>
      </c>
    </row>
    <row r="37" spans="1:14" ht="18.75" customHeight="1">
      <c r="A37" s="3132"/>
      <c r="B37" s="3135"/>
      <c r="C37" s="3128"/>
      <c r="D37" s="1691" t="str">
        <f ca="1">'سایر عملیاتی'!A14</f>
        <v>درآمد ثبت كنترل آماري و نمونه‌برداري</v>
      </c>
      <c r="E37" s="1150"/>
      <c r="F37" s="257"/>
      <c r="G37" s="257"/>
      <c r="H37" s="1712" t="str">
        <f>IFERROR((G37-E37)*100/E37,"-")</f>
        <v>-</v>
      </c>
      <c r="I37" s="1711" t="str">
        <f>IFERROR(G37*100/F37,"-")</f>
        <v>-</v>
      </c>
      <c r="N37" s="1674">
        <f t="shared" si="2"/>
        <v>0</v>
      </c>
    </row>
    <row r="38" spans="1:14" ht="18.75" customHeight="1">
      <c r="A38" s="3132"/>
      <c r="B38" s="3135"/>
      <c r="C38" s="3128"/>
      <c r="D38" s="1691" t="str">
        <f ca="1">'سایر عملیاتی'!A15</f>
        <v>درآمد نوبت دهي</v>
      </c>
      <c r="E38" s="1150"/>
      <c r="F38" s="257"/>
      <c r="G38" s="257"/>
      <c r="H38" s="1712" t="str">
        <f>IFERROR((G38-E38)*100/E38,"-")</f>
        <v>-</v>
      </c>
      <c r="I38" s="1711" t="str">
        <f>IFERROR(G38*100/F38,"-")</f>
        <v>-</v>
      </c>
      <c r="N38" s="1674">
        <f t="shared" si="2"/>
        <v>0</v>
      </c>
    </row>
    <row r="39" spans="1:14" ht="18.75" customHeight="1">
      <c r="A39" s="3132"/>
      <c r="B39" s="3135"/>
      <c r="C39" s="3128"/>
      <c r="D39" s="1691" t="str">
        <f ca="1">'سایر عملیاتی'!A16</f>
        <v>حق نظارت و محوطه</v>
      </c>
      <c r="E39" s="1150"/>
      <c r="F39" s="257"/>
      <c r="G39" s="257"/>
      <c r="H39" s="1712" t="str">
        <f>IFERROR((G39-E39)*100/E39,"-")</f>
        <v>-</v>
      </c>
      <c r="I39" s="1711" t="str">
        <f>IFERROR(G39*100/F39,"-")</f>
        <v>-</v>
      </c>
      <c r="N39" s="1674">
        <f t="shared" si="2"/>
        <v>0</v>
      </c>
    </row>
    <row r="40" spans="1:14" ht="18.75" customHeight="1">
      <c r="A40" s="3132"/>
      <c r="B40" s="3135"/>
      <c r="C40" s="3128"/>
      <c r="D40" s="1691" t="str">
        <f ca="1">'سایر عملیاتی'!A17</f>
        <v>سایر (چادر کشی و فک پلمپ و...)</v>
      </c>
      <c r="E40" s="1150"/>
      <c r="F40" s="257"/>
      <c r="G40" s="257"/>
      <c r="H40" s="1712" t="str">
        <f>IFERROR((G40-E40)*100/E40,"-")</f>
        <v>-</v>
      </c>
      <c r="I40" s="1711" t="str">
        <f>IFERROR(G40*100/F40,"-")</f>
        <v>-</v>
      </c>
      <c r="N40" s="1674">
        <f t="shared" si="2"/>
        <v>0</v>
      </c>
    </row>
    <row r="41" spans="1:14" ht="18.75" customHeight="1">
      <c r="A41" s="3132"/>
      <c r="B41" s="3135"/>
      <c r="C41" s="3128"/>
      <c r="D41" s="1691" t="str">
        <f ca="1">'سایر عملیاتی'!A18</f>
        <v>سهم گروه از سود شرکت‌های وابسته</v>
      </c>
      <c r="E41" s="1150"/>
      <c r="F41" s="257"/>
      <c r="G41" s="257"/>
      <c r="H41" s="1712" t="str">
        <f>IFERROR((G41-E41)*100/E41,"-")</f>
        <v>-</v>
      </c>
      <c r="I41" s="1711" t="str">
        <f>IFERROR(G41*100/F41,"-")</f>
        <v>-</v>
      </c>
      <c r="N41" s="1674">
        <f t="shared" si="2"/>
        <v>0</v>
      </c>
    </row>
    <row r="42" spans="1:14" ht="18.75" customHeight="1">
      <c r="A42" s="3132"/>
      <c r="B42" s="3135"/>
      <c r="C42" s="3128"/>
      <c r="D42" s="1691" t="str">
        <f>'سایر عملیاتی'!A19</f>
        <v>بیمه</v>
      </c>
      <c r="E42" s="1150"/>
      <c r="F42" s="257"/>
      <c r="G42" s="257"/>
      <c r="H42" s="1712" t="str">
        <f t="shared" si="0"/>
        <v>-</v>
      </c>
      <c r="I42" s="1711" t="str">
        <f t="shared" si="1"/>
        <v>-</v>
      </c>
      <c r="N42" s="1674">
        <f t="shared" si="2"/>
        <v>0</v>
      </c>
    </row>
    <row r="43" spans="1:14" ht="18.75" customHeight="1">
      <c r="A43" s="3132"/>
      <c r="B43" s="3135"/>
      <c r="C43" s="3128"/>
      <c r="D43" s="1691">
        <f ca="1">'سایر عملیاتی'!A20</f>
        <v>0</v>
      </c>
      <c r="E43" s="1150"/>
      <c r="F43" s="257"/>
      <c r="G43" s="257"/>
      <c r="H43" s="1712" t="str">
        <f t="shared" si="0"/>
        <v>-</v>
      </c>
      <c r="I43" s="1711" t="str">
        <f t="shared" si="1"/>
        <v>-</v>
      </c>
      <c r="N43" s="1674">
        <f t="shared" si="2"/>
        <v>0</v>
      </c>
    </row>
    <row r="44" spans="1:14" ht="18.75" customHeight="1">
      <c r="A44" s="3132"/>
      <c r="B44" s="3135"/>
      <c r="C44" s="3128"/>
      <c r="D44" s="1691">
        <f ca="1">'سایر عملیاتی'!A21</f>
        <v>0</v>
      </c>
      <c r="E44" s="1150"/>
      <c r="F44" s="257"/>
      <c r="G44" s="257"/>
      <c r="H44" s="1712" t="str">
        <f t="shared" si="0"/>
        <v>-</v>
      </c>
      <c r="I44" s="1713" t="str">
        <f t="shared" si="1"/>
        <v>-</v>
      </c>
      <c r="N44" s="1674">
        <f t="shared" si="2"/>
        <v>0</v>
      </c>
    </row>
    <row r="45" spans="1:14" ht="18.75" customHeight="1">
      <c r="A45" s="3132"/>
      <c r="B45" s="3136"/>
      <c r="C45" s="3127" t="s">
        <v>1684</v>
      </c>
      <c r="D45" s="1691" t="str">
        <f ca="1">IF(ROW()-ROW($A$6)&lt;'الف-ب-ج'!$L$9,INDIRECT("BudgetDB!GR"&amp;('الف-ب-ج'!$M$9+ROW()-ROW($A$6))),"")</f>
        <v>سرفصل</v>
      </c>
      <c r="E45" s="1150"/>
      <c r="F45" s="257"/>
      <c r="G45" s="257"/>
      <c r="H45" s="1712" t="str">
        <f t="shared" si="0"/>
        <v>-</v>
      </c>
      <c r="I45" s="1713" t="str">
        <f t="shared" si="1"/>
        <v>-</v>
      </c>
      <c r="N45" s="1674">
        <f t="shared" si="2"/>
        <v>0</v>
      </c>
    </row>
    <row r="46" spans="1:14" ht="18.75" customHeight="1">
      <c r="A46" s="3132"/>
      <c r="B46" s="3136"/>
      <c r="C46" s="3128"/>
      <c r="D46" s="1691" t="str">
        <f ca="1">IF(ROW()-ROW($A$6)&lt;'الف-ب-ج'!$L$9,INDIRECT("BudgetDB!GR"&amp;('الف-ب-ج'!$M$9+ROW()-ROW($A$6))),"")</f>
        <v>سرفصل</v>
      </c>
      <c r="E46" s="1150"/>
      <c r="F46" s="257"/>
      <c r="G46" s="257"/>
      <c r="H46" s="1712" t="str">
        <f t="shared" si="0"/>
        <v>-</v>
      </c>
      <c r="I46" s="1713" t="str">
        <f t="shared" si="1"/>
        <v>-</v>
      </c>
      <c r="N46" s="1674">
        <f t="shared" si="2"/>
        <v>0</v>
      </c>
    </row>
    <row r="47" spans="1:14" ht="18.75" customHeight="1" thickBot="1">
      <c r="A47" s="3132"/>
      <c r="B47" s="3136"/>
      <c r="C47" s="3129"/>
      <c r="D47" s="1148" t="str">
        <f ca="1">IF(ROW()-ROW($A$6)&lt;'الف-ب-ج'!$L$9,INDIRECT("BudgetDB!GR"&amp;('الف-ب-ج'!$M$9+ROW()-ROW($A$6))),"")</f>
        <v>سرفصل</v>
      </c>
      <c r="E47" s="1150"/>
      <c r="F47" s="257"/>
      <c r="G47" s="257"/>
      <c r="H47" s="1712" t="str">
        <f t="shared" si="0"/>
        <v>-</v>
      </c>
      <c r="I47" s="1713" t="str">
        <f t="shared" si="1"/>
        <v>-</v>
      </c>
      <c r="N47" s="1674">
        <f t="shared" si="2"/>
        <v>0</v>
      </c>
    </row>
    <row r="48" spans="1:14" ht="18.75" customHeight="1" thickBot="1">
      <c r="A48" s="3132"/>
      <c r="B48" s="3137"/>
      <c r="C48" s="1724" t="s">
        <v>149</v>
      </c>
      <c r="D48" s="1725"/>
      <c r="E48" s="1721">
        <f>SUM(E6:E47)</f>
        <v>0</v>
      </c>
      <c r="F48" s="966">
        <f>SUM(F6:F47)</f>
        <v>0</v>
      </c>
      <c r="G48" s="1722">
        <f>SUM(G6:G47)</f>
        <v>0</v>
      </c>
      <c r="H48" s="1714" t="str">
        <f t="shared" si="0"/>
        <v>-</v>
      </c>
      <c r="I48" s="1715" t="str">
        <f t="shared" si="1"/>
        <v>-</v>
      </c>
      <c r="N48" s="1674" t="s">
        <v>206</v>
      </c>
    </row>
    <row r="49" spans="1:14" ht="18.75" customHeight="1">
      <c r="A49" s="3132"/>
      <c r="B49" s="3139" t="s">
        <v>150</v>
      </c>
      <c r="C49" s="3138" t="s">
        <v>151</v>
      </c>
      <c r="D49" s="1691" t="str">
        <f ca="1">IF(ROW()-ROW($A$6)&lt;'الف-ب-ج'!$L$9,INDIRECT("BudgetDB!GR"&amp;('الف-ب-ج'!$M$9+ROW()-ROW($A$6))),"")</f>
        <v>عنوان دارایی</v>
      </c>
      <c r="E49" s="1151"/>
      <c r="F49" s="258"/>
      <c r="G49" s="258"/>
      <c r="H49" s="1716" t="str">
        <f t="shared" si="0"/>
        <v>-</v>
      </c>
      <c r="I49" s="1717" t="str">
        <f t="shared" si="1"/>
        <v>-</v>
      </c>
      <c r="N49" s="1674">
        <f t="shared" si="2"/>
        <v>0</v>
      </c>
    </row>
    <row r="50" spans="1:14" ht="18.75" customHeight="1">
      <c r="A50" s="3132"/>
      <c r="B50" s="3139"/>
      <c r="C50" s="3128"/>
      <c r="D50" s="1691" t="str">
        <f ca="1">IF(ROW()-ROW($A$6)&lt;'الف-ب-ج'!$L$9,INDIRECT("BudgetDB!GR"&amp;('الف-ب-ج'!$M$9+ROW()-ROW($A$6))),"")</f>
        <v>عنوان دارایی</v>
      </c>
      <c r="E50" s="1151"/>
      <c r="F50" s="258"/>
      <c r="G50" s="258"/>
      <c r="H50" s="1716" t="str">
        <f t="shared" si="0"/>
        <v>-</v>
      </c>
      <c r="I50" s="1717" t="str">
        <f t="shared" si="1"/>
        <v>-</v>
      </c>
      <c r="N50" s="1674">
        <f t="shared" si="2"/>
        <v>0</v>
      </c>
    </row>
    <row r="51" spans="1:14" ht="18.75" customHeight="1">
      <c r="A51" s="3132"/>
      <c r="B51" s="3139"/>
      <c r="C51" s="3128"/>
      <c r="D51" s="1691" t="str">
        <f ca="1">IF(ROW()-ROW($A$6)&lt;'الف-ب-ج'!$L$9,INDIRECT("BudgetDB!GR"&amp;('الف-ب-ج'!$M$9+ROW()-ROW($A$6))),"")</f>
        <v>عنوان دارایی</v>
      </c>
      <c r="E51" s="1151"/>
      <c r="F51" s="258"/>
      <c r="G51" s="258"/>
      <c r="H51" s="1716" t="str">
        <f t="shared" si="0"/>
        <v>-</v>
      </c>
      <c r="I51" s="1717" t="str">
        <f t="shared" si="1"/>
        <v>-</v>
      </c>
      <c r="N51" s="1674">
        <f t="shared" si="2"/>
        <v>0</v>
      </c>
    </row>
    <row r="52" spans="1:14" ht="18.75" customHeight="1">
      <c r="A52" s="3132"/>
      <c r="B52" s="3139"/>
      <c r="C52" s="3128"/>
      <c r="D52" s="1691" t="str">
        <f ca="1">IF(ROW()-ROW($A$6)&lt;'الف-ب-ج'!$L$9,INDIRECT("BudgetDB!GR"&amp;('الف-ب-ج'!$M$9+ROW()-ROW($A$6))),"")</f>
        <v>عنوان دارایی</v>
      </c>
      <c r="E52" s="1151"/>
      <c r="F52" s="258"/>
      <c r="G52" s="258"/>
      <c r="H52" s="1716" t="str">
        <f t="shared" si="0"/>
        <v>-</v>
      </c>
      <c r="I52" s="1717" t="str">
        <f t="shared" si="1"/>
        <v>-</v>
      </c>
      <c r="N52" s="1674">
        <f t="shared" si="2"/>
        <v>0</v>
      </c>
    </row>
    <row r="53" spans="1:14" ht="18.75" customHeight="1">
      <c r="A53" s="3132"/>
      <c r="B53" s="3139"/>
      <c r="C53" s="3128"/>
      <c r="D53" s="698" t="str">
        <f ca="1">IF(ROW()-ROW($A$6)&lt;'الف-ب-ج'!$L$9,INDIRECT("BudgetDB!GR"&amp;('الف-ب-ج'!$M$9+ROW()-ROW($A$6))),"")</f>
        <v>عنوان دارایی</v>
      </c>
      <c r="E53" s="1151"/>
      <c r="F53" s="258"/>
      <c r="G53" s="258"/>
      <c r="H53" s="1716" t="str">
        <f t="shared" si="0"/>
        <v>-</v>
      </c>
      <c r="I53" s="1717" t="str">
        <f t="shared" si="1"/>
        <v>-</v>
      </c>
      <c r="N53" s="1674">
        <f t="shared" si="2"/>
        <v>0</v>
      </c>
    </row>
    <row r="54" spans="1:14" ht="18.75" customHeight="1">
      <c r="A54" s="3132"/>
      <c r="B54" s="3139"/>
      <c r="C54" s="3130"/>
      <c r="D54" s="698" t="str">
        <f ca="1">IF(ROW()-ROW($A$6)&lt;'الف-ب-ج'!$L$9,INDIRECT("BudgetDB!GR"&amp;('الف-ب-ج'!$M$9+ROW()-ROW($A$6))),"")</f>
        <v>عنوان دارایی</v>
      </c>
      <c r="E54" s="1151"/>
      <c r="F54" s="258"/>
      <c r="G54" s="258"/>
      <c r="H54" s="1716" t="str">
        <f t="shared" si="0"/>
        <v>-</v>
      </c>
      <c r="I54" s="1717" t="str">
        <f t="shared" si="1"/>
        <v>-</v>
      </c>
      <c r="N54" s="1674">
        <f t="shared" si="2"/>
        <v>0</v>
      </c>
    </row>
    <row r="55" spans="1:14" ht="18.75" customHeight="1">
      <c r="A55" s="3132"/>
      <c r="B55" s="3139"/>
      <c r="C55" s="3127" t="s">
        <v>152</v>
      </c>
      <c r="D55" s="1691" t="str">
        <f ca="1">IF(ROW()-ROW($A$6)&lt;'الف-ب-ج'!$L$9,INDIRECT("BudgetDB!GR"&amp;('الف-ب-ج'!$M$9+ROW()-ROW($A$6))),"")</f>
        <v>تسهیلات - بانک ملی تسهیلات خرید تجهیزات</v>
      </c>
      <c r="E55" s="1149"/>
      <c r="F55" s="256"/>
      <c r="G55" s="256"/>
      <c r="H55" s="1710" t="str">
        <f t="shared" si="0"/>
        <v>-</v>
      </c>
      <c r="I55" s="1711" t="str">
        <f t="shared" si="1"/>
        <v>-</v>
      </c>
      <c r="N55" s="1674">
        <f t="shared" si="2"/>
        <v>0</v>
      </c>
    </row>
    <row r="56" spans="1:14" ht="18.75" customHeight="1">
      <c r="A56" s="3132"/>
      <c r="B56" s="3139"/>
      <c r="C56" s="3128"/>
      <c r="D56" s="1691" t="str">
        <f ca="1">IF(ROW()-ROW($A$6)&lt;'الف-ب-ج'!$L$9,INDIRECT("BudgetDB!GR"&amp;('الف-ب-ج'!$M$9+ROW()-ROW($A$6))),"")</f>
        <v>تسهیلات</v>
      </c>
      <c r="E56" s="1149"/>
      <c r="F56" s="256"/>
      <c r="G56" s="256"/>
      <c r="H56" s="1710" t="str">
        <f t="shared" si="0"/>
        <v>-</v>
      </c>
      <c r="I56" s="1711" t="str">
        <f t="shared" si="1"/>
        <v>-</v>
      </c>
      <c r="N56" s="1674">
        <f t="shared" si="2"/>
        <v>0</v>
      </c>
    </row>
    <row r="57" spans="1:14" ht="18.75" customHeight="1">
      <c r="A57" s="3132"/>
      <c r="B57" s="3139"/>
      <c r="C57" s="3128"/>
      <c r="D57" s="1691" t="str">
        <f ca="1">IF(ROW()-ROW($A$6)&lt;'الف-ب-ج'!$L$9,INDIRECT("BudgetDB!GR"&amp;('الف-ب-ج'!$M$9+ROW()-ROW($A$6))),"")</f>
        <v>تسهیلات</v>
      </c>
      <c r="E57" s="1149"/>
      <c r="F57" s="256"/>
      <c r="G57" s="256"/>
      <c r="H57" s="1710" t="str">
        <f t="shared" si="0"/>
        <v>-</v>
      </c>
      <c r="I57" s="1711" t="str">
        <f t="shared" si="1"/>
        <v>-</v>
      </c>
      <c r="N57" s="1674">
        <f t="shared" si="2"/>
        <v>0</v>
      </c>
    </row>
    <row r="58" spans="1:14" ht="18.75" customHeight="1">
      <c r="A58" s="3132"/>
      <c r="B58" s="3139"/>
      <c r="C58" s="3128"/>
      <c r="D58" s="699" t="str">
        <f ca="1">IF(ROW()-ROW($A$6)&lt;'الف-ب-ج'!$L$9,INDIRECT("BudgetDB!GR"&amp;('الف-ب-ج'!$M$9+ROW()-ROW($A$6))),"")</f>
        <v>تسهیلات</v>
      </c>
      <c r="E58" s="1149"/>
      <c r="F58" s="256"/>
      <c r="G58" s="256"/>
      <c r="H58" s="1710" t="str">
        <f t="shared" si="0"/>
        <v>-</v>
      </c>
      <c r="I58" s="1711" t="str">
        <f t="shared" si="1"/>
        <v>-</v>
      </c>
      <c r="N58" s="1674">
        <f t="shared" si="2"/>
        <v>0</v>
      </c>
    </row>
    <row r="59" spans="1:14" ht="18.75" customHeight="1">
      <c r="A59" s="3132"/>
      <c r="B59" s="3139"/>
      <c r="C59" s="3127" t="s">
        <v>311</v>
      </c>
      <c r="D59" s="1691" t="str">
        <f ca="1">IF(ROW()-ROW($A$6)&lt;'الف-ب-ج'!$L$9,INDIRECT("BudgetDB!GR"&amp;('الف-ب-ج'!$M$9+ROW()-ROW($A$6))),"")</f>
        <v>سهامدار</v>
      </c>
      <c r="E59" s="1149"/>
      <c r="F59" s="256"/>
      <c r="G59" s="256"/>
      <c r="H59" s="1710" t="str">
        <f t="shared" si="0"/>
        <v>-</v>
      </c>
      <c r="I59" s="1711" t="str">
        <f t="shared" si="1"/>
        <v>-</v>
      </c>
      <c r="N59" s="1674">
        <f t="shared" si="2"/>
        <v>0</v>
      </c>
    </row>
    <row r="60" spans="1:14" ht="18.75" customHeight="1">
      <c r="A60" s="3132"/>
      <c r="B60" s="3139"/>
      <c r="C60" s="3128"/>
      <c r="D60" s="1691" t="str">
        <f ca="1">IF(ROW()-ROW($A$6)&lt;'الف-ب-ج'!$L$9,INDIRECT("BudgetDB!GR"&amp;('الف-ب-ج'!$M$9+ROW()-ROW($A$6))),"")</f>
        <v>سهامدار</v>
      </c>
      <c r="E60" s="1150"/>
      <c r="F60" s="257"/>
      <c r="G60" s="257"/>
      <c r="H60" s="1712" t="str">
        <f t="shared" si="0"/>
        <v>-</v>
      </c>
      <c r="I60" s="1713" t="str">
        <f t="shared" si="1"/>
        <v>-</v>
      </c>
      <c r="N60" s="1674">
        <f t="shared" si="2"/>
        <v>0</v>
      </c>
    </row>
    <row r="61" spans="1:14" ht="18.75" customHeight="1">
      <c r="A61" s="3132"/>
      <c r="B61" s="3139"/>
      <c r="C61" s="3128"/>
      <c r="D61" s="1691" t="str">
        <f ca="1">IF(ROW()-ROW($A$6)&lt;'الف-ب-ج'!$L$9,INDIRECT("BudgetDB!GR"&amp;('الف-ب-ج'!$M$9+ROW()-ROW($A$6))),"")</f>
        <v>سهامدار</v>
      </c>
      <c r="E61" s="1150"/>
      <c r="F61" s="257"/>
      <c r="G61" s="257"/>
      <c r="H61" s="1712" t="str">
        <f t="shared" si="0"/>
        <v>-</v>
      </c>
      <c r="I61" s="1713" t="str">
        <f t="shared" si="1"/>
        <v>-</v>
      </c>
      <c r="N61" s="1674">
        <f t="shared" si="2"/>
        <v>0</v>
      </c>
    </row>
    <row r="62" spans="1:14" ht="18.75" customHeight="1">
      <c r="A62" s="3132"/>
      <c r="B62" s="3139"/>
      <c r="C62" s="3128"/>
      <c r="D62" s="1691" t="str">
        <f ca="1">IF(ROW()-ROW($A$6)&lt;'الف-ب-ج'!$L$9,INDIRECT("BudgetDB!GR"&amp;('الف-ب-ج'!$M$9+ROW()-ROW($A$6))),"")</f>
        <v>سهامدار</v>
      </c>
      <c r="E62" s="1150"/>
      <c r="F62" s="257"/>
      <c r="G62" s="257"/>
      <c r="H62" s="1712" t="str">
        <f t="shared" si="0"/>
        <v>-</v>
      </c>
      <c r="I62" s="1713" t="str">
        <f t="shared" si="1"/>
        <v>-</v>
      </c>
      <c r="N62" s="1674">
        <f t="shared" si="2"/>
        <v>0</v>
      </c>
    </row>
    <row r="63" spans="1:14" ht="18.75" customHeight="1">
      <c r="A63" s="3132"/>
      <c r="B63" s="3139"/>
      <c r="C63" s="3130"/>
      <c r="D63" s="699" t="str">
        <f ca="1">IF(ROW()-ROW($A$6)&lt;'الف-ب-ج'!$L$9,INDIRECT("BudgetDB!GR"&amp;('الف-ب-ج'!$M$9+ROW()-ROW($A$6))),"")</f>
        <v>سهامدار</v>
      </c>
      <c r="E63" s="1150"/>
      <c r="F63" s="257"/>
      <c r="G63" s="257"/>
      <c r="H63" s="1712" t="str">
        <f t="shared" si="0"/>
        <v>-</v>
      </c>
      <c r="I63" s="1713" t="str">
        <f t="shared" si="1"/>
        <v>-</v>
      </c>
      <c r="N63" s="1674">
        <f t="shared" si="2"/>
        <v>0</v>
      </c>
    </row>
    <row r="64" spans="1:14" ht="18.75" customHeight="1">
      <c r="A64" s="3132"/>
      <c r="B64" s="3139"/>
      <c r="C64" s="3127" t="s">
        <v>599</v>
      </c>
      <c r="D64" s="1679" t="str">
        <f ca="1">'سایر غیرعملیاتی'!A7</f>
        <v>سود حاصل از اوراق گواهی سپرده‌های بانکی</v>
      </c>
      <c r="E64" s="1150"/>
      <c r="F64" s="257"/>
      <c r="G64" s="257"/>
      <c r="H64" s="1712" t="str">
        <f t="shared" si="0"/>
        <v>-</v>
      </c>
      <c r="I64" s="1713" t="str">
        <f t="shared" si="1"/>
        <v>-</v>
      </c>
      <c r="N64" s="1674">
        <f t="shared" si="2"/>
        <v>0</v>
      </c>
    </row>
    <row r="65" spans="1:14" ht="18.75" customHeight="1">
      <c r="A65" s="3132"/>
      <c r="B65" s="3139"/>
      <c r="C65" s="3128"/>
      <c r="D65" s="1679" t="str">
        <f ca="1">'سایر غیرعملیاتی'!A8</f>
        <v>اجاره دریافتی - دفاتر اداری و مخازن و کیوسک</v>
      </c>
      <c r="E65" s="1150"/>
      <c r="F65" s="257"/>
      <c r="G65" s="257"/>
      <c r="H65" s="1712" t="str">
        <f t="shared" si="0"/>
        <v>-</v>
      </c>
      <c r="I65" s="1713" t="str">
        <f t="shared" si="1"/>
        <v>-</v>
      </c>
      <c r="N65" s="1674">
        <f t="shared" si="2"/>
        <v>0</v>
      </c>
    </row>
    <row r="66" spans="1:14" ht="18.75" customHeight="1">
      <c r="A66" s="3132"/>
      <c r="B66" s="3139"/>
      <c r="C66" s="3128"/>
      <c r="D66" s="1679" t="str">
        <f ca="1">'سایر غیرعملیاتی'!A9</f>
        <v>سایر</v>
      </c>
      <c r="E66" s="1150"/>
      <c r="F66" s="257"/>
      <c r="G66" s="257"/>
      <c r="H66" s="1712" t="str">
        <f t="shared" si="0"/>
        <v>-</v>
      </c>
      <c r="I66" s="1713" t="str">
        <f t="shared" si="1"/>
        <v>-</v>
      </c>
      <c r="N66" s="1674">
        <f t="shared" si="2"/>
        <v>0</v>
      </c>
    </row>
    <row r="67" spans="1:14" ht="18.75" customHeight="1">
      <c r="A67" s="3132"/>
      <c r="B67" s="3139"/>
      <c r="C67" s="3128"/>
      <c r="D67" s="1679">
        <f ca="1">'سایر غیرعملیاتی'!A10</f>
        <v>0</v>
      </c>
      <c r="E67" s="1150"/>
      <c r="F67" s="257"/>
      <c r="G67" s="257"/>
      <c r="H67" s="1712" t="str">
        <f t="shared" ref="H67:H77" si="3">IFERROR((G67-E67)*100/E67,"-")</f>
        <v>-</v>
      </c>
      <c r="I67" s="1713" t="str">
        <f t="shared" ref="I67:I77" si="4">IFERROR(G67*100/F67,"-")</f>
        <v>-</v>
      </c>
      <c r="N67" s="1674">
        <f t="shared" si="2"/>
        <v>0</v>
      </c>
    </row>
    <row r="68" spans="1:14" ht="18.75" customHeight="1">
      <c r="A68" s="3132"/>
      <c r="B68" s="3139"/>
      <c r="C68" s="3128"/>
      <c r="D68" s="1679">
        <f ca="1">'سایر غیرعملیاتی'!A11</f>
        <v>0</v>
      </c>
      <c r="E68" s="1150"/>
      <c r="F68" s="257"/>
      <c r="G68" s="257"/>
      <c r="H68" s="1712" t="str">
        <f t="shared" si="3"/>
        <v>-</v>
      </c>
      <c r="I68" s="1713" t="str">
        <f t="shared" si="4"/>
        <v>-</v>
      </c>
      <c r="N68" s="1674">
        <f t="shared" si="2"/>
        <v>0</v>
      </c>
    </row>
    <row r="69" spans="1:14" ht="18.75" customHeight="1">
      <c r="A69" s="3132"/>
      <c r="B69" s="3139"/>
      <c r="C69" s="3128"/>
      <c r="D69" s="1679">
        <f ca="1">'سایر غیرعملیاتی'!A12</f>
        <v>0</v>
      </c>
      <c r="E69" s="1150"/>
      <c r="F69" s="257"/>
      <c r="G69" s="257"/>
      <c r="H69" s="1712" t="str">
        <f t="shared" si="3"/>
        <v>-</v>
      </c>
      <c r="I69" s="1713" t="str">
        <f t="shared" si="4"/>
        <v>-</v>
      </c>
      <c r="N69" s="1674">
        <f t="shared" si="2"/>
        <v>0</v>
      </c>
    </row>
    <row r="70" spans="1:14" ht="18.75" customHeight="1">
      <c r="A70" s="3132"/>
      <c r="B70" s="3139"/>
      <c r="C70" s="3128"/>
      <c r="D70" s="1679">
        <f ca="1">'سایر غیرعملیاتی'!A13</f>
        <v>0</v>
      </c>
      <c r="E70" s="1150"/>
      <c r="F70" s="257"/>
      <c r="G70" s="257"/>
      <c r="H70" s="1712" t="str">
        <f t="shared" si="3"/>
        <v>-</v>
      </c>
      <c r="I70" s="1713" t="str">
        <f t="shared" si="4"/>
        <v>-</v>
      </c>
      <c r="N70" s="1674">
        <f t="shared" si="2"/>
        <v>0</v>
      </c>
    </row>
    <row r="71" spans="1:14" ht="18.75" customHeight="1">
      <c r="A71" s="3132"/>
      <c r="B71" s="3139"/>
      <c r="C71" s="3128"/>
      <c r="D71" s="1679">
        <f ca="1">'سایر غیرعملیاتی'!A14</f>
        <v>0</v>
      </c>
      <c r="E71" s="1150"/>
      <c r="F71" s="257"/>
      <c r="G71" s="257"/>
      <c r="H71" s="1712" t="str">
        <f t="shared" si="3"/>
        <v>-</v>
      </c>
      <c r="I71" s="1713" t="str">
        <f t="shared" si="4"/>
        <v>-</v>
      </c>
      <c r="N71" s="1674">
        <f t="shared" ref="N71:N134" si="5">IFERROR(G71+F71+E71,0)</f>
        <v>0</v>
      </c>
    </row>
    <row r="72" spans="1:14" ht="18.75" customHeight="1">
      <c r="A72" s="3132"/>
      <c r="B72" s="3139"/>
      <c r="C72" s="3128"/>
      <c r="D72" s="1679">
        <f ca="1">'سایر غیرعملیاتی'!A15</f>
        <v>0</v>
      </c>
      <c r="E72" s="1150"/>
      <c r="F72" s="257"/>
      <c r="G72" s="257"/>
      <c r="H72" s="1712" t="str">
        <f t="shared" si="3"/>
        <v>-</v>
      </c>
      <c r="I72" s="1713" t="str">
        <f t="shared" si="4"/>
        <v>-</v>
      </c>
      <c r="N72" s="1674">
        <f t="shared" si="5"/>
        <v>0</v>
      </c>
    </row>
    <row r="73" spans="1:14" ht="18.75" customHeight="1">
      <c r="A73" s="3132"/>
      <c r="B73" s="3139"/>
      <c r="C73" s="3128"/>
      <c r="D73" s="1679">
        <f ca="1">'سایر غیرعملیاتی'!A16</f>
        <v>0</v>
      </c>
      <c r="E73" s="1150"/>
      <c r="F73" s="257"/>
      <c r="G73" s="257"/>
      <c r="H73" s="1712" t="str">
        <f t="shared" si="3"/>
        <v>-</v>
      </c>
      <c r="I73" s="1713" t="str">
        <f t="shared" si="4"/>
        <v>-</v>
      </c>
      <c r="N73" s="1674">
        <f t="shared" si="5"/>
        <v>0</v>
      </c>
    </row>
    <row r="74" spans="1:14" ht="18.75" customHeight="1">
      <c r="A74" s="3132"/>
      <c r="B74" s="3139"/>
      <c r="C74" s="3128"/>
      <c r="D74" s="1679">
        <f ca="1">'سایر غیرعملیاتی'!A17</f>
        <v>0</v>
      </c>
      <c r="E74" s="1150"/>
      <c r="F74" s="257"/>
      <c r="G74" s="257"/>
      <c r="H74" s="1712" t="str">
        <f t="shared" si="3"/>
        <v>-</v>
      </c>
      <c r="I74" s="1713" t="str">
        <f t="shared" si="4"/>
        <v>-</v>
      </c>
      <c r="N74" s="1674">
        <f t="shared" si="5"/>
        <v>0</v>
      </c>
    </row>
    <row r="75" spans="1:14" ht="18.75" customHeight="1">
      <c r="A75" s="3132"/>
      <c r="B75" s="3139"/>
      <c r="C75" s="3128"/>
      <c r="D75" s="1679">
        <f ca="1">'سایر غیرعملیاتی'!A18</f>
        <v>0</v>
      </c>
      <c r="E75" s="1150"/>
      <c r="F75" s="257"/>
      <c r="G75" s="257"/>
      <c r="H75" s="1712" t="str">
        <f t="shared" si="3"/>
        <v>-</v>
      </c>
      <c r="I75" s="1713" t="str">
        <f t="shared" si="4"/>
        <v>-</v>
      </c>
      <c r="N75" s="1674">
        <f t="shared" si="5"/>
        <v>0</v>
      </c>
    </row>
    <row r="76" spans="1:14" ht="18.75" customHeight="1">
      <c r="A76" s="3132"/>
      <c r="B76" s="3139"/>
      <c r="C76" s="3128"/>
      <c r="D76" s="1679">
        <f ca="1">'سایر غیرعملیاتی'!A19</f>
        <v>0</v>
      </c>
      <c r="E76" s="1150"/>
      <c r="F76" s="257"/>
      <c r="G76" s="257"/>
      <c r="H76" s="1712" t="str">
        <f t="shared" si="3"/>
        <v>-</v>
      </c>
      <c r="I76" s="1713" t="str">
        <f t="shared" si="4"/>
        <v>-</v>
      </c>
      <c r="N76" s="1674">
        <f t="shared" si="5"/>
        <v>0</v>
      </c>
    </row>
    <row r="77" spans="1:14" ht="18.75" customHeight="1">
      <c r="A77" s="3132"/>
      <c r="B77" s="3139"/>
      <c r="C77" s="3128"/>
      <c r="D77" s="1679">
        <f ca="1">'سایر غیرعملیاتی'!A20</f>
        <v>0</v>
      </c>
      <c r="E77" s="1150"/>
      <c r="F77" s="257"/>
      <c r="G77" s="257"/>
      <c r="H77" s="1712" t="str">
        <f t="shared" si="3"/>
        <v>-</v>
      </c>
      <c r="I77" s="1713" t="str">
        <f t="shared" si="4"/>
        <v>-</v>
      </c>
      <c r="N77" s="1674">
        <f t="shared" si="5"/>
        <v>0</v>
      </c>
    </row>
    <row r="78" spans="1:14" ht="18.75" customHeight="1" thickBot="1">
      <c r="A78" s="3132"/>
      <c r="B78" s="3139"/>
      <c r="C78" s="3128"/>
      <c r="D78" s="1679">
        <f ca="1">'سایر غیرعملیاتی'!A21</f>
        <v>0</v>
      </c>
      <c r="E78" s="1150"/>
      <c r="F78" s="257"/>
      <c r="G78" s="257"/>
      <c r="H78" s="1712" t="str">
        <f t="shared" ref="H78:H134" si="6">IFERROR((G78-E78)*100/E78,"-")</f>
        <v>-</v>
      </c>
      <c r="I78" s="1713" t="str">
        <f t="shared" ref="I78:I134" si="7">IFERROR(G78*100/F78,"-")</f>
        <v>-</v>
      </c>
      <c r="N78" s="1674">
        <f t="shared" si="5"/>
        <v>0</v>
      </c>
    </row>
    <row r="79" spans="1:14" ht="18.75" customHeight="1" thickBot="1">
      <c r="A79" s="3132"/>
      <c r="B79" s="3140"/>
      <c r="C79" s="1724" t="s">
        <v>154</v>
      </c>
      <c r="D79" s="1725"/>
      <c r="E79" s="1721">
        <f>SUM(E49:E78)</f>
        <v>0</v>
      </c>
      <c r="F79" s="966">
        <f>IFERROR(SUM(F49:F78),0)</f>
        <v>0</v>
      </c>
      <c r="G79" s="1722">
        <f>SUM(G49:G78)</f>
        <v>0</v>
      </c>
      <c r="H79" s="1714" t="str">
        <f t="shared" si="6"/>
        <v>-</v>
      </c>
      <c r="I79" s="1715" t="str">
        <f t="shared" si="7"/>
        <v>-</v>
      </c>
      <c r="N79" s="1674" t="s">
        <v>206</v>
      </c>
    </row>
    <row r="80" spans="1:14" ht="18.75" customHeight="1" thickBot="1">
      <c r="A80" s="3132"/>
      <c r="B80" s="3141" t="s">
        <v>155</v>
      </c>
      <c r="C80" s="3128"/>
      <c r="D80" s="697" t="str">
        <f ca="1">IF(ROW()-ROW($A$6)&lt;'الف-ب-ج'!$L$9,INDIRECT("BudgetDB!GR"&amp;('الف-ب-ج'!$M$9+ROW()-ROW($A$6))),"")</f>
        <v>سرفصل</v>
      </c>
      <c r="E80" s="1150"/>
      <c r="F80" s="257"/>
      <c r="G80" s="257"/>
      <c r="H80" s="1712" t="str">
        <f t="shared" si="6"/>
        <v>-</v>
      </c>
      <c r="I80" s="1713" t="str">
        <f t="shared" si="7"/>
        <v>-</v>
      </c>
      <c r="N80" s="1674">
        <f t="shared" si="5"/>
        <v>0</v>
      </c>
    </row>
    <row r="81" spans="1:14" ht="18.75" customHeight="1" thickBot="1">
      <c r="A81" s="3133"/>
      <c r="B81" s="1723" t="s">
        <v>156</v>
      </c>
      <c r="C81" s="1724"/>
      <c r="D81" s="1725"/>
      <c r="E81" s="1721">
        <f>E48+E79+E80</f>
        <v>0</v>
      </c>
      <c r="F81" s="966">
        <f>IFERROR(F48+F79+F80,0)</f>
        <v>0</v>
      </c>
      <c r="G81" s="1722">
        <f>G48+G79+G80</f>
        <v>0</v>
      </c>
      <c r="H81" s="1714" t="str">
        <f t="shared" si="6"/>
        <v>-</v>
      </c>
      <c r="I81" s="1715" t="str">
        <f t="shared" si="7"/>
        <v>-</v>
      </c>
      <c r="N81" s="1674" t="s">
        <v>206</v>
      </c>
    </row>
    <row r="82" spans="1:14" ht="18.75" customHeight="1">
      <c r="A82" s="3142" t="s">
        <v>157</v>
      </c>
      <c r="B82" s="3148" t="s">
        <v>146</v>
      </c>
      <c r="C82" s="3138" t="s">
        <v>158</v>
      </c>
      <c r="D82" s="1691" t="str">
        <f ca="1">IF(ROW()-ROW($A$6)&lt;'الف-ب-ج'!$L$9,INDIRECT("BudgetDB!GR"&amp;('الف-ب-ج'!$M$9+ROW()-ROW($A$6))),"")</f>
        <v>کالای تجاری</v>
      </c>
      <c r="E82" s="1151"/>
      <c r="F82" s="258"/>
      <c r="G82" s="258"/>
      <c r="H82" s="1716" t="str">
        <f t="shared" si="6"/>
        <v>-</v>
      </c>
      <c r="I82" s="1717" t="str">
        <f t="shared" si="7"/>
        <v>-</v>
      </c>
      <c r="N82" s="1674">
        <f t="shared" si="5"/>
        <v>0</v>
      </c>
    </row>
    <row r="83" spans="1:14" ht="18.75" customHeight="1">
      <c r="A83" s="3143"/>
      <c r="B83" s="3148"/>
      <c r="C83" s="3128"/>
      <c r="D83" s="1691" t="str">
        <f ca="1">IF(ROW()-ROW($A$6)&lt;'الف-ب-ج'!$L$9,INDIRECT("BudgetDB!GR"&amp;('الف-ب-ج'!$M$9+ROW()-ROW($A$6))),"")</f>
        <v>کالای تجاری</v>
      </c>
      <c r="E83" s="1151"/>
      <c r="F83" s="258"/>
      <c r="G83" s="258"/>
      <c r="H83" s="1716" t="str">
        <f t="shared" si="6"/>
        <v>-</v>
      </c>
      <c r="I83" s="1717" t="str">
        <f t="shared" si="7"/>
        <v>-</v>
      </c>
      <c r="N83" s="1674">
        <f t="shared" si="5"/>
        <v>0</v>
      </c>
    </row>
    <row r="84" spans="1:14" ht="18.75" customHeight="1">
      <c r="A84" s="3143"/>
      <c r="B84" s="3148"/>
      <c r="C84" s="3128"/>
      <c r="D84" s="1691" t="str">
        <f ca="1">IF(ROW()-ROW($A$6)&lt;'الف-ب-ج'!$L$9,INDIRECT("BudgetDB!GR"&amp;('الف-ب-ج'!$M$9+ROW()-ROW($A$6))),"")</f>
        <v>کالای تجاری</v>
      </c>
      <c r="E84" s="1151"/>
      <c r="F84" s="258"/>
      <c r="G84" s="258"/>
      <c r="H84" s="1716" t="str">
        <f t="shared" si="6"/>
        <v>-</v>
      </c>
      <c r="I84" s="1717" t="str">
        <f t="shared" si="7"/>
        <v>-</v>
      </c>
      <c r="N84" s="1674">
        <f t="shared" si="5"/>
        <v>0</v>
      </c>
    </row>
    <row r="85" spans="1:14" ht="18.75" customHeight="1">
      <c r="A85" s="3143"/>
      <c r="B85" s="3148"/>
      <c r="C85" s="3128"/>
      <c r="D85" s="1691" t="str">
        <f ca="1">IF(ROW()-ROW($A$6)&lt;'الف-ب-ج'!$L$9,INDIRECT("BudgetDB!GR"&amp;('الف-ب-ج'!$M$9+ROW()-ROW($A$6))),"")</f>
        <v>کالای تجاری</v>
      </c>
      <c r="E85" s="1151"/>
      <c r="F85" s="258"/>
      <c r="G85" s="258"/>
      <c r="H85" s="1716" t="str">
        <f t="shared" si="6"/>
        <v>-</v>
      </c>
      <c r="I85" s="1717" t="str">
        <f t="shared" si="7"/>
        <v>-</v>
      </c>
      <c r="N85" s="1674">
        <f t="shared" si="5"/>
        <v>0</v>
      </c>
    </row>
    <row r="86" spans="1:14" ht="18.75" customHeight="1">
      <c r="A86" s="3143"/>
      <c r="B86" s="3148"/>
      <c r="C86" s="3128"/>
      <c r="D86" s="1691" t="str">
        <f ca="1">IF(ROW()-ROW($A$6)&lt;'الف-ب-ج'!$L$9,INDIRECT("BudgetDB!GR"&amp;('الف-ب-ج'!$M$9+ROW()-ROW($A$6))),"")</f>
        <v>کالای تجاری</v>
      </c>
      <c r="E86" s="1151"/>
      <c r="F86" s="258"/>
      <c r="G86" s="258"/>
      <c r="H86" s="1716" t="str">
        <f t="shared" si="6"/>
        <v>-</v>
      </c>
      <c r="I86" s="1717" t="str">
        <f t="shared" si="7"/>
        <v>-</v>
      </c>
      <c r="N86" s="1674">
        <f t="shared" si="5"/>
        <v>0</v>
      </c>
    </row>
    <row r="87" spans="1:14" ht="18.75" customHeight="1">
      <c r="A87" s="3143"/>
      <c r="B87" s="3148"/>
      <c r="C87" s="3128"/>
      <c r="D87" s="697" t="str">
        <f ca="1">IF(ROW()-ROW($A$6)&lt;'الف-ب-ج'!$L$9,INDIRECT("BudgetDB!GR"&amp;('الف-ب-ج'!$M$9+ROW()-ROW($A$6))),"")</f>
        <v>کالای تجاری</v>
      </c>
      <c r="E87" s="1151"/>
      <c r="F87" s="258"/>
      <c r="G87" s="258"/>
      <c r="H87" s="1716" t="str">
        <f t="shared" si="6"/>
        <v>-</v>
      </c>
      <c r="I87" s="1717" t="str">
        <f t="shared" si="7"/>
        <v>-</v>
      </c>
      <c r="N87" s="1674">
        <f t="shared" si="5"/>
        <v>0</v>
      </c>
    </row>
    <row r="88" spans="1:14" ht="18.75" customHeight="1">
      <c r="A88" s="3143"/>
      <c r="B88" s="3148"/>
      <c r="C88" s="3128"/>
      <c r="D88" s="697" t="str">
        <f ca="1">IF(ROW()-ROW($A$6)&lt;'الف-ب-ج'!$L$9,INDIRECT("BudgetDB!GR"&amp;('الف-ب-ج'!$M$9+ROW()-ROW($A$6))),"")</f>
        <v>کالای تجاری</v>
      </c>
      <c r="E88" s="1151"/>
      <c r="F88" s="258"/>
      <c r="G88" s="258"/>
      <c r="H88" s="1716" t="str">
        <f t="shared" si="6"/>
        <v>-</v>
      </c>
      <c r="I88" s="1717" t="str">
        <f t="shared" si="7"/>
        <v>-</v>
      </c>
      <c r="N88" s="1674">
        <f t="shared" si="5"/>
        <v>0</v>
      </c>
    </row>
    <row r="89" spans="1:14" ht="18.75" customHeight="1">
      <c r="A89" s="3143"/>
      <c r="B89" s="3148"/>
      <c r="C89" s="3130"/>
      <c r="D89" s="697" t="str">
        <f ca="1">IF(ROW()-ROW($A$6)&lt;'الف-ب-ج'!$L$9,INDIRECT("BudgetDB!GR"&amp;('الف-ب-ج'!$M$9+ROW()-ROW($A$6))),"")</f>
        <v>سایر کالاهای تجاری</v>
      </c>
      <c r="E89" s="1151"/>
      <c r="F89" s="258"/>
      <c r="G89" s="258"/>
      <c r="H89" s="1716" t="str">
        <f t="shared" si="6"/>
        <v>-</v>
      </c>
      <c r="I89" s="1717" t="str">
        <f t="shared" si="7"/>
        <v>-</v>
      </c>
      <c r="N89" s="1674">
        <f t="shared" si="5"/>
        <v>0</v>
      </c>
    </row>
    <row r="90" spans="1:14" ht="18.75" customHeight="1">
      <c r="A90" s="3144"/>
      <c r="B90" s="3139"/>
      <c r="C90" s="3149" t="s">
        <v>1694</v>
      </c>
      <c r="D90" s="1691" t="str">
        <f ca="1">IF(ROW()-ROW($A$6)&lt;'الف-ب-ج'!$L$9,INDIRECT("BudgetDB!GR"&amp;('الف-ب-ج'!$M$9+ROW()-ROW($A$6))),"")</f>
        <v>ماده اولیه و لوازم</v>
      </c>
      <c r="E90" s="1151"/>
      <c r="F90" s="258"/>
      <c r="G90" s="258"/>
      <c r="H90" s="1716" t="str">
        <f t="shared" si="6"/>
        <v>-</v>
      </c>
      <c r="I90" s="1717" t="str">
        <f t="shared" si="7"/>
        <v>-</v>
      </c>
      <c r="N90" s="1674">
        <f t="shared" si="5"/>
        <v>0</v>
      </c>
    </row>
    <row r="91" spans="1:14" ht="18.75" customHeight="1">
      <c r="A91" s="3144"/>
      <c r="B91" s="3139"/>
      <c r="C91" s="3150"/>
      <c r="D91" s="1691" t="str">
        <f ca="1">IF(ROW()-ROW($A$6)&lt;'الف-ب-ج'!$L$9,INDIRECT("BudgetDB!GR"&amp;('الف-ب-ج'!$M$9+ROW()-ROW($A$6))),"")</f>
        <v>ماده اولیه و لوازم</v>
      </c>
      <c r="E91" s="1151"/>
      <c r="F91" s="258"/>
      <c r="G91" s="258"/>
      <c r="H91" s="1716" t="str">
        <f t="shared" si="6"/>
        <v>-</v>
      </c>
      <c r="I91" s="1717" t="str">
        <f t="shared" si="7"/>
        <v>-</v>
      </c>
      <c r="N91" s="1674">
        <f t="shared" si="5"/>
        <v>0</v>
      </c>
    </row>
    <row r="92" spans="1:14" ht="18.75" customHeight="1">
      <c r="A92" s="3144"/>
      <c r="B92" s="3139"/>
      <c r="C92" s="3150"/>
      <c r="D92" s="1691" t="str">
        <f ca="1">IF(ROW()-ROW($A$6)&lt;'الف-ب-ج'!$L$9,INDIRECT("BudgetDB!GR"&amp;('الف-ب-ج'!$M$9+ROW()-ROW($A$6))),"")</f>
        <v>ماده اولیه و لوازم</v>
      </c>
      <c r="E92" s="1151"/>
      <c r="F92" s="258"/>
      <c r="G92" s="258"/>
      <c r="H92" s="1716" t="str">
        <f t="shared" si="6"/>
        <v>-</v>
      </c>
      <c r="I92" s="1717" t="str">
        <f t="shared" si="7"/>
        <v>-</v>
      </c>
      <c r="N92" s="1674">
        <f t="shared" si="5"/>
        <v>0</v>
      </c>
    </row>
    <row r="93" spans="1:14" ht="18.75" customHeight="1">
      <c r="A93" s="3144"/>
      <c r="B93" s="3139"/>
      <c r="C93" s="3150"/>
      <c r="D93" s="1691" t="str">
        <f ca="1">IF(ROW()-ROW($A$6)&lt;'الف-ب-ج'!$L$9,INDIRECT("BudgetDB!GR"&amp;('الف-ب-ج'!$M$9+ROW()-ROW($A$6))),"")</f>
        <v>ماده اولیه و لوازم</v>
      </c>
      <c r="E93" s="1151"/>
      <c r="F93" s="258"/>
      <c r="G93" s="258"/>
      <c r="H93" s="1716" t="str">
        <f t="shared" si="6"/>
        <v>-</v>
      </c>
      <c r="I93" s="1717" t="str">
        <f t="shared" si="7"/>
        <v>-</v>
      </c>
      <c r="N93" s="1674">
        <f t="shared" si="5"/>
        <v>0</v>
      </c>
    </row>
    <row r="94" spans="1:14" ht="18.75" customHeight="1">
      <c r="A94" s="3144"/>
      <c r="B94" s="3139"/>
      <c r="C94" s="3150"/>
      <c r="D94" s="1691" t="str">
        <f ca="1">IF(ROW()-ROW($A$6)&lt;'الف-ب-ج'!$L$9,INDIRECT("BudgetDB!GR"&amp;('الف-ب-ج'!$M$9+ROW()-ROW($A$6))),"")</f>
        <v>ماده اولیه و لوازم</v>
      </c>
      <c r="E94" s="1151"/>
      <c r="F94" s="258"/>
      <c r="G94" s="258"/>
      <c r="H94" s="1716" t="str">
        <f t="shared" si="6"/>
        <v>-</v>
      </c>
      <c r="I94" s="1717" t="str">
        <f t="shared" si="7"/>
        <v>-</v>
      </c>
      <c r="N94" s="1674">
        <f t="shared" si="5"/>
        <v>0</v>
      </c>
    </row>
    <row r="95" spans="1:14" ht="18.75" customHeight="1">
      <c r="A95" s="3144"/>
      <c r="B95" s="3139"/>
      <c r="C95" s="3150"/>
      <c r="D95" s="1691" t="str">
        <f ca="1">IF(ROW()-ROW($A$6)&lt;'الف-ب-ج'!$L$9,INDIRECT("BudgetDB!GR"&amp;('الف-ب-ج'!$M$9+ROW()-ROW($A$6))),"")</f>
        <v>ماده اولیه و لوازم</v>
      </c>
      <c r="E95" s="1151"/>
      <c r="F95" s="258"/>
      <c r="G95" s="258"/>
      <c r="H95" s="1716" t="str">
        <f t="shared" si="6"/>
        <v>-</v>
      </c>
      <c r="I95" s="1717" t="str">
        <f t="shared" si="7"/>
        <v>-</v>
      </c>
      <c r="N95" s="1674">
        <f t="shared" si="5"/>
        <v>0</v>
      </c>
    </row>
    <row r="96" spans="1:14" ht="18.75" customHeight="1">
      <c r="A96" s="3144"/>
      <c r="B96" s="3139"/>
      <c r="C96" s="3150"/>
      <c r="D96" s="1691" t="str">
        <f ca="1">IF(ROW()-ROW($A$6)&lt;'الف-ب-ج'!$L$9,INDIRECT("BudgetDB!GR"&amp;('الف-ب-ج'!$M$9+ROW()-ROW($A$6))),"")</f>
        <v>ماده اولیه و لوازم</v>
      </c>
      <c r="E96" s="1151"/>
      <c r="F96" s="258"/>
      <c r="G96" s="258"/>
      <c r="H96" s="1716" t="str">
        <f t="shared" si="6"/>
        <v>-</v>
      </c>
      <c r="I96" s="1717" t="str">
        <f t="shared" si="7"/>
        <v>-</v>
      </c>
      <c r="N96" s="1674">
        <f t="shared" si="5"/>
        <v>0</v>
      </c>
    </row>
    <row r="97" spans="1:14" ht="18.75" customHeight="1">
      <c r="A97" s="3144"/>
      <c r="B97" s="3139"/>
      <c r="C97" s="3150"/>
      <c r="D97" s="697" t="str">
        <f ca="1">IF(ROW()-ROW($A$6)&lt;'الف-ب-ج'!$L$9,INDIRECT("BudgetDB!GR"&amp;('الف-ب-ج'!$M$9+ROW()-ROW($A$6))),"")</f>
        <v>ماده اولیه و لوازم</v>
      </c>
      <c r="E97" s="1151"/>
      <c r="F97" s="258"/>
      <c r="G97" s="258"/>
      <c r="H97" s="1716" t="str">
        <f t="shared" si="6"/>
        <v>-</v>
      </c>
      <c r="I97" s="1717" t="str">
        <f t="shared" si="7"/>
        <v>-</v>
      </c>
      <c r="N97" s="1674">
        <f t="shared" si="5"/>
        <v>0</v>
      </c>
    </row>
    <row r="98" spans="1:14" ht="18.75" customHeight="1">
      <c r="A98" s="3144"/>
      <c r="B98" s="3139"/>
      <c r="C98" s="3150"/>
      <c r="D98" s="697" t="str">
        <f ca="1">IF(ROW()-ROW($A$6)&lt;'الف-ب-ج'!$L$9,INDIRECT("BudgetDB!GR"&amp;('الف-ب-ج'!$M$9+ROW()-ROW($A$6))),"")</f>
        <v>ماده اولیه و لوازم</v>
      </c>
      <c r="E98" s="1151"/>
      <c r="F98" s="258"/>
      <c r="G98" s="258"/>
      <c r="H98" s="1716" t="str">
        <f t="shared" si="6"/>
        <v>-</v>
      </c>
      <c r="I98" s="1717" t="str">
        <f t="shared" si="7"/>
        <v>-</v>
      </c>
      <c r="N98" s="1674">
        <f t="shared" si="5"/>
        <v>0</v>
      </c>
    </row>
    <row r="99" spans="1:14" ht="18.75" customHeight="1">
      <c r="A99" s="3144"/>
      <c r="B99" s="3139"/>
      <c r="C99" s="3151"/>
      <c r="D99" s="697" t="str">
        <f ca="1">IF(ROW()-ROW($A$6)&lt;'الف-ب-ج'!$L$9,INDIRECT("BudgetDB!GR"&amp;('الف-ب-ج'!$M$9+ROW()-ROW($A$6))),"")</f>
        <v>سایر مواد و لوازم</v>
      </c>
      <c r="E99" s="1151"/>
      <c r="F99" s="258"/>
      <c r="G99" s="258"/>
      <c r="H99" s="1716" t="str">
        <f t="shared" si="6"/>
        <v>-</v>
      </c>
      <c r="I99" s="1717" t="str">
        <f t="shared" si="7"/>
        <v>-</v>
      </c>
      <c r="N99" s="1674">
        <f t="shared" si="5"/>
        <v>0</v>
      </c>
    </row>
    <row r="100" spans="1:14" ht="18.75" customHeight="1">
      <c r="A100" s="3144"/>
      <c r="B100" s="3139"/>
      <c r="C100" s="1729" t="s">
        <v>1676</v>
      </c>
      <c r="D100" s="1691" t="str">
        <f ca="1">IF(ROW()-ROW($A$6)&lt;'الف-ب-ج'!$L$9,INDIRECT("BudgetDB!GR"&amp;('الف-ب-ج'!$M$9+ROW()-ROW($A$6))),"")</f>
        <v>سربار تولید و خدمات</v>
      </c>
      <c r="E100" s="1151"/>
      <c r="F100" s="258"/>
      <c r="G100" s="258"/>
      <c r="H100" s="1716" t="str">
        <f t="shared" si="6"/>
        <v>-</v>
      </c>
      <c r="I100" s="1717" t="str">
        <f t="shared" si="7"/>
        <v>-</v>
      </c>
      <c r="N100" s="1674">
        <f t="shared" si="5"/>
        <v>0</v>
      </c>
    </row>
    <row r="101" spans="1:14" ht="18.75" customHeight="1">
      <c r="A101" s="3144"/>
      <c r="B101" s="3139"/>
      <c r="C101" s="1729" t="s">
        <v>313</v>
      </c>
      <c r="D101" s="1691" t="str">
        <f ca="1">IF(ROW()-ROW($A$6)&lt;'الف-ب-ج'!$L$9,INDIRECT("BudgetDB!GR"&amp;('الف-ب-ج'!$M$9+ROW()-ROW($A$6))),"")</f>
        <v>سایر هزینه اداری و عمومی</v>
      </c>
      <c r="E101" s="1151"/>
      <c r="F101" s="258"/>
      <c r="G101" s="258"/>
      <c r="H101" s="1716" t="str">
        <f t="shared" si="6"/>
        <v>-</v>
      </c>
      <c r="I101" s="1717" t="str">
        <f t="shared" si="7"/>
        <v>-</v>
      </c>
      <c r="N101" s="1674">
        <f t="shared" si="5"/>
        <v>0</v>
      </c>
    </row>
    <row r="102" spans="1:14" ht="18.75" customHeight="1">
      <c r="A102" s="3144"/>
      <c r="B102" s="3139"/>
      <c r="C102" s="1729" t="s">
        <v>159</v>
      </c>
      <c r="D102" s="1691" t="str">
        <f ca="1">IF(ROW()-ROW($A$6)&lt;'الف-ب-ج'!$L$9,INDIRECT("BudgetDB!GR"&amp;('الف-ب-ج'!$M$9+ROW()-ROW($A$6))),"")</f>
        <v>حقوق و دستمزد</v>
      </c>
      <c r="E102" s="1151"/>
      <c r="F102" s="258"/>
      <c r="G102" s="258"/>
      <c r="H102" s="1716" t="str">
        <f t="shared" si="6"/>
        <v>-</v>
      </c>
      <c r="I102" s="1717" t="str">
        <f t="shared" si="7"/>
        <v>-</v>
      </c>
      <c r="N102" s="1674">
        <f t="shared" si="5"/>
        <v>0</v>
      </c>
    </row>
    <row r="103" spans="1:14" ht="18.75" customHeight="1">
      <c r="A103" s="3144"/>
      <c r="B103" s="3139"/>
      <c r="C103" s="3127" t="s">
        <v>1692</v>
      </c>
      <c r="D103" s="1679" t="str">
        <f ca="1">'سایر عملیاتی'!A24</f>
        <v>بهای تمام شده ساخت املاک سهلان</v>
      </c>
      <c r="E103" s="1151"/>
      <c r="F103" s="256"/>
      <c r="G103" s="256"/>
      <c r="H103" s="1710" t="str">
        <f t="shared" si="6"/>
        <v>-</v>
      </c>
      <c r="I103" s="1711" t="str">
        <f t="shared" si="7"/>
        <v>-</v>
      </c>
      <c r="N103" s="1674">
        <f t="shared" si="5"/>
        <v>0</v>
      </c>
    </row>
    <row r="104" spans="1:14" ht="18.75" customHeight="1">
      <c r="A104" s="3144"/>
      <c r="B104" s="3139"/>
      <c r="C104" s="3128"/>
      <c r="D104" s="1679" t="str">
        <f ca="1">'سایر عملیاتی'!A25</f>
        <v>حقوق و دستمزد کارکنان پارکینگ</v>
      </c>
      <c r="E104" s="1151"/>
      <c r="F104" s="257"/>
      <c r="G104" s="257"/>
      <c r="H104" s="1712" t="str">
        <f t="shared" si="6"/>
        <v>-</v>
      </c>
      <c r="I104" s="1713" t="str">
        <f t="shared" si="7"/>
        <v>-</v>
      </c>
      <c r="N104" s="1674">
        <f t="shared" si="5"/>
        <v>0</v>
      </c>
    </row>
    <row r="105" spans="1:14" ht="18.75" customHeight="1">
      <c r="A105" s="3144"/>
      <c r="B105" s="3139"/>
      <c r="C105" s="3128"/>
      <c r="D105" s="1679">
        <f ca="1">'سایر عملیاتی'!A26</f>
        <v>0</v>
      </c>
      <c r="E105" s="1151"/>
      <c r="F105" s="257"/>
      <c r="G105" s="257"/>
      <c r="H105" s="1712" t="str">
        <f t="shared" si="6"/>
        <v>-</v>
      </c>
      <c r="I105" s="1713" t="str">
        <f t="shared" si="7"/>
        <v>-</v>
      </c>
      <c r="N105" s="1674">
        <f t="shared" si="5"/>
        <v>0</v>
      </c>
    </row>
    <row r="106" spans="1:14" ht="18.75" customHeight="1">
      <c r="A106" s="3144"/>
      <c r="B106" s="3139"/>
      <c r="C106" s="3128"/>
      <c r="D106" s="1679">
        <f ca="1">'سایر عملیاتی'!A27</f>
        <v>0</v>
      </c>
      <c r="E106" s="1151"/>
      <c r="F106" s="257"/>
      <c r="G106" s="257"/>
      <c r="H106" s="1712" t="str">
        <f t="shared" si="6"/>
        <v>-</v>
      </c>
      <c r="I106" s="1713" t="str">
        <f t="shared" si="7"/>
        <v>-</v>
      </c>
      <c r="N106" s="1674">
        <f t="shared" si="5"/>
        <v>0</v>
      </c>
    </row>
    <row r="107" spans="1:14" ht="18.75" customHeight="1">
      <c r="A107" s="3144"/>
      <c r="B107" s="3139"/>
      <c r="C107" s="3128"/>
      <c r="D107" s="1679">
        <f ca="1">'سایر عملیاتی'!A28</f>
        <v>0</v>
      </c>
      <c r="E107" s="1151"/>
      <c r="F107" s="257"/>
      <c r="G107" s="257"/>
      <c r="H107" s="1712" t="str">
        <f t="shared" si="6"/>
        <v>-</v>
      </c>
      <c r="I107" s="1713" t="str">
        <f t="shared" si="7"/>
        <v>-</v>
      </c>
      <c r="N107" s="1674">
        <f t="shared" si="5"/>
        <v>0</v>
      </c>
    </row>
    <row r="108" spans="1:14" ht="18.75" customHeight="1">
      <c r="A108" s="3144"/>
      <c r="B108" s="3139"/>
      <c r="C108" s="3128"/>
      <c r="D108" s="1679">
        <f ca="1">'سایر عملیاتی'!A29</f>
        <v>0</v>
      </c>
      <c r="E108" s="1151"/>
      <c r="F108" s="257"/>
      <c r="G108" s="257"/>
      <c r="H108" s="1712" t="str">
        <f t="shared" si="6"/>
        <v>-</v>
      </c>
      <c r="I108" s="1713" t="str">
        <f t="shared" si="7"/>
        <v>-</v>
      </c>
      <c r="N108" s="1674">
        <f t="shared" si="5"/>
        <v>0</v>
      </c>
    </row>
    <row r="109" spans="1:14" ht="18.75" customHeight="1">
      <c r="A109" s="3144"/>
      <c r="B109" s="3139"/>
      <c r="C109" s="3128"/>
      <c r="D109" s="1679">
        <f ca="1">'سایر عملیاتی'!A30</f>
        <v>0</v>
      </c>
      <c r="E109" s="1151"/>
      <c r="F109" s="257"/>
      <c r="G109" s="257"/>
      <c r="H109" s="1712" t="str">
        <f t="shared" si="6"/>
        <v>-</v>
      </c>
      <c r="I109" s="1713" t="str">
        <f t="shared" si="7"/>
        <v>-</v>
      </c>
      <c r="N109" s="1674">
        <f t="shared" si="5"/>
        <v>0</v>
      </c>
    </row>
    <row r="110" spans="1:14" ht="18.75" customHeight="1">
      <c r="A110" s="3144"/>
      <c r="B110" s="3139"/>
      <c r="C110" s="3128"/>
      <c r="D110" s="1679">
        <f ca="1">'سایر عملیاتی'!A31</f>
        <v>0</v>
      </c>
      <c r="E110" s="1151"/>
      <c r="F110" s="257"/>
      <c r="G110" s="257"/>
      <c r="H110" s="1712" t="str">
        <f t="shared" si="6"/>
        <v>-</v>
      </c>
      <c r="I110" s="1713" t="str">
        <f t="shared" si="7"/>
        <v>-</v>
      </c>
      <c r="N110" s="1674">
        <f t="shared" si="5"/>
        <v>0</v>
      </c>
    </row>
    <row r="111" spans="1:14" ht="18.75" customHeight="1">
      <c r="A111" s="3144"/>
      <c r="B111" s="3139"/>
      <c r="C111" s="3128"/>
      <c r="D111" s="1679">
        <f ca="1">'سایر عملیاتی'!A32</f>
        <v>0</v>
      </c>
      <c r="E111" s="1151"/>
      <c r="F111" s="257"/>
      <c r="G111" s="257"/>
      <c r="H111" s="1712" t="str">
        <f t="shared" si="6"/>
        <v>-</v>
      </c>
      <c r="I111" s="1713" t="str">
        <f t="shared" si="7"/>
        <v>-</v>
      </c>
      <c r="N111" s="1674">
        <f t="shared" si="5"/>
        <v>0</v>
      </c>
    </row>
    <row r="112" spans="1:14" ht="18.75" customHeight="1">
      <c r="A112" s="3144"/>
      <c r="B112" s="3139"/>
      <c r="C112" s="3128"/>
      <c r="D112" s="1679">
        <f ca="1">'سایر عملیاتی'!A33</f>
        <v>0</v>
      </c>
      <c r="E112" s="1151"/>
      <c r="F112" s="257"/>
      <c r="G112" s="257"/>
      <c r="H112" s="1712" t="str">
        <f t="shared" ref="H112:H117" si="8">IFERROR((G112-E112)*100/E112,"-")</f>
        <v>-</v>
      </c>
      <c r="I112" s="1713" t="str">
        <f t="shared" ref="I112:I117" si="9">IFERROR(G112*100/F112,"-")</f>
        <v>-</v>
      </c>
      <c r="N112" s="1674">
        <f t="shared" si="5"/>
        <v>0</v>
      </c>
    </row>
    <row r="113" spans="1:14" ht="18.75" customHeight="1">
      <c r="A113" s="3144"/>
      <c r="B113" s="3139"/>
      <c r="C113" s="3128"/>
      <c r="D113" s="1679">
        <f ca="1">'سایر عملیاتی'!A34</f>
        <v>0</v>
      </c>
      <c r="E113" s="1151"/>
      <c r="F113" s="257"/>
      <c r="G113" s="257"/>
      <c r="H113" s="1712" t="str">
        <f t="shared" si="8"/>
        <v>-</v>
      </c>
      <c r="I113" s="1713" t="str">
        <f t="shared" si="9"/>
        <v>-</v>
      </c>
      <c r="N113" s="1674">
        <f t="shared" si="5"/>
        <v>0</v>
      </c>
    </row>
    <row r="114" spans="1:14" ht="18.75" customHeight="1">
      <c r="A114" s="3144"/>
      <c r="B114" s="3139"/>
      <c r="C114" s="3128"/>
      <c r="D114" s="1679">
        <f ca="1">'سایر عملیاتی'!A35</f>
        <v>0</v>
      </c>
      <c r="E114" s="1151"/>
      <c r="F114" s="257"/>
      <c r="G114" s="257"/>
      <c r="H114" s="1712" t="str">
        <f t="shared" si="8"/>
        <v>-</v>
      </c>
      <c r="I114" s="1713" t="str">
        <f t="shared" si="9"/>
        <v>-</v>
      </c>
      <c r="N114" s="1674">
        <f t="shared" si="5"/>
        <v>0</v>
      </c>
    </row>
    <row r="115" spans="1:14" ht="18.75" customHeight="1">
      <c r="A115" s="3144"/>
      <c r="B115" s="3139"/>
      <c r="C115" s="3128"/>
      <c r="D115" s="1679">
        <f ca="1">'سایر عملیاتی'!A36</f>
        <v>0</v>
      </c>
      <c r="E115" s="1151"/>
      <c r="F115" s="257"/>
      <c r="G115" s="257"/>
      <c r="H115" s="1712" t="str">
        <f t="shared" si="8"/>
        <v>-</v>
      </c>
      <c r="I115" s="1713" t="str">
        <f t="shared" si="9"/>
        <v>-</v>
      </c>
      <c r="N115" s="1674">
        <f t="shared" si="5"/>
        <v>0</v>
      </c>
    </row>
    <row r="116" spans="1:14" ht="18.75" customHeight="1">
      <c r="A116" s="3144"/>
      <c r="B116" s="3139"/>
      <c r="C116" s="3128"/>
      <c r="D116" s="1679">
        <f ca="1">'سایر عملیاتی'!A37</f>
        <v>0</v>
      </c>
      <c r="E116" s="1151"/>
      <c r="F116" s="257"/>
      <c r="G116" s="257"/>
      <c r="H116" s="1712" t="str">
        <f t="shared" si="8"/>
        <v>-</v>
      </c>
      <c r="I116" s="1713" t="str">
        <f t="shared" si="9"/>
        <v>-</v>
      </c>
      <c r="N116" s="1674">
        <f t="shared" si="5"/>
        <v>0</v>
      </c>
    </row>
    <row r="117" spans="1:14" ht="18.75" customHeight="1">
      <c r="A117" s="3144"/>
      <c r="B117" s="3139"/>
      <c r="C117" s="3128"/>
      <c r="D117" s="1679">
        <f ca="1">'سایر عملیاتی'!A38</f>
        <v>0</v>
      </c>
      <c r="E117" s="1151"/>
      <c r="F117" s="257"/>
      <c r="G117" s="257"/>
      <c r="H117" s="1712" t="str">
        <f t="shared" si="8"/>
        <v>-</v>
      </c>
      <c r="I117" s="1713" t="str">
        <f t="shared" si="9"/>
        <v>-</v>
      </c>
      <c r="N117" s="1674">
        <f t="shared" si="5"/>
        <v>0</v>
      </c>
    </row>
    <row r="118" spans="1:14" ht="18.75" customHeight="1">
      <c r="A118" s="3144"/>
      <c r="B118" s="3139"/>
      <c r="C118" s="3127" t="s">
        <v>160</v>
      </c>
      <c r="D118" s="1691" t="str">
        <f ca="1">IF(ROW()-ROW($A$6)&lt;'الف-ب-ج'!$L$9,INDIRECT("BudgetDB!GR"&amp;('الف-ب-ج'!$M$9+ROW()-ROW($A$6))),"")</f>
        <v>بیمه کارآفرین</v>
      </c>
      <c r="E118" s="1149"/>
      <c r="F118" s="256"/>
      <c r="G118" s="256"/>
      <c r="H118" s="1710" t="str">
        <f t="shared" si="6"/>
        <v>-</v>
      </c>
      <c r="I118" s="1711" t="str">
        <f t="shared" si="7"/>
        <v>-</v>
      </c>
      <c r="N118" s="1674">
        <f t="shared" si="5"/>
        <v>0</v>
      </c>
    </row>
    <row r="119" spans="1:14" ht="18.75" customHeight="1">
      <c r="A119" s="3144"/>
      <c r="B119" s="3139"/>
      <c r="C119" s="3128"/>
      <c r="D119" s="1691" t="str">
        <f ca="1">IF(ROW()-ROW($A$6)&lt;'الف-ب-ج'!$L$9,INDIRECT("BudgetDB!GR"&amp;('الف-ب-ج'!$M$9+ROW()-ROW($A$6))),"")</f>
        <v>بیمه ملت</v>
      </c>
      <c r="E119" s="1149"/>
      <c r="F119" s="256"/>
      <c r="G119" s="256"/>
      <c r="H119" s="1710" t="str">
        <f t="shared" si="6"/>
        <v>-</v>
      </c>
      <c r="I119" s="1711" t="str">
        <f t="shared" si="7"/>
        <v>-</v>
      </c>
      <c r="N119" s="1674">
        <f t="shared" si="5"/>
        <v>0</v>
      </c>
    </row>
    <row r="120" spans="1:14" ht="18.75" customHeight="1">
      <c r="A120" s="3144"/>
      <c r="B120" s="3139"/>
      <c r="C120" s="3128"/>
      <c r="D120" s="1691" t="str">
        <f ca="1">IF(ROW()-ROW($A$6)&lt;'الف-ب-ج'!$L$9,INDIRECT("BudgetDB!GR"&amp;('الف-ب-ج'!$M$9+ROW()-ROW($A$6))),"")</f>
        <v>بیمه رازی</v>
      </c>
      <c r="E120" s="1149"/>
      <c r="F120" s="256"/>
      <c r="G120" s="256"/>
      <c r="H120" s="1710" t="str">
        <f t="shared" si="6"/>
        <v>-</v>
      </c>
      <c r="I120" s="1711" t="str">
        <f t="shared" si="7"/>
        <v>-</v>
      </c>
      <c r="N120" s="1674">
        <f t="shared" si="5"/>
        <v>0</v>
      </c>
    </row>
    <row r="121" spans="1:14" ht="18.75" customHeight="1">
      <c r="A121" s="3144"/>
      <c r="B121" s="3139"/>
      <c r="C121" s="3128"/>
      <c r="D121" s="1691" t="str">
        <f ca="1">IF(ROW()-ROW($A$6)&lt;'الف-ب-ج'!$L$9,INDIRECT("BudgetDB!GR"&amp;('الف-ب-ج'!$M$9+ROW()-ROW($A$6))),"")</f>
        <v>نام بستانکار</v>
      </c>
      <c r="E121" s="1149"/>
      <c r="F121" s="256"/>
      <c r="G121" s="256"/>
      <c r="H121" s="1710" t="str">
        <f t="shared" si="6"/>
        <v>-</v>
      </c>
      <c r="I121" s="1711" t="str">
        <f t="shared" si="7"/>
        <v>-</v>
      </c>
      <c r="N121" s="1674">
        <f t="shared" si="5"/>
        <v>0</v>
      </c>
    </row>
    <row r="122" spans="1:14" ht="18.75" customHeight="1">
      <c r="A122" s="3144"/>
      <c r="B122" s="3139"/>
      <c r="C122" s="3128"/>
      <c r="D122" s="1691" t="str">
        <f ca="1">IF(ROW()-ROW($A$6)&lt;'الف-ب-ج'!$L$9,INDIRECT("BudgetDB!GR"&amp;('الف-ب-ج'!$M$9+ROW()-ROW($A$6))),"")</f>
        <v>نام بستانکار</v>
      </c>
      <c r="E122" s="1149"/>
      <c r="F122" s="256"/>
      <c r="G122" s="256"/>
      <c r="H122" s="1710" t="str">
        <f t="shared" si="6"/>
        <v>-</v>
      </c>
      <c r="I122" s="1711" t="str">
        <f t="shared" si="7"/>
        <v>-</v>
      </c>
      <c r="N122" s="1674">
        <f t="shared" si="5"/>
        <v>0</v>
      </c>
    </row>
    <row r="123" spans="1:14" ht="18.75" customHeight="1">
      <c r="A123" s="3144"/>
      <c r="B123" s="3139"/>
      <c r="C123" s="3128"/>
      <c r="D123" s="1691" t="str">
        <f ca="1">IF(ROW()-ROW($A$6)&lt;'الف-ب-ج'!$L$9,INDIRECT("BudgetDB!GR"&amp;('الف-ب-ج'!$M$9+ROW()-ROW($A$6))),"")</f>
        <v>نام بستانکار</v>
      </c>
      <c r="E123" s="1149"/>
      <c r="F123" s="256"/>
      <c r="G123" s="256"/>
      <c r="H123" s="1710" t="str">
        <f t="shared" si="6"/>
        <v>-</v>
      </c>
      <c r="I123" s="1711" t="str">
        <f t="shared" si="7"/>
        <v>-</v>
      </c>
      <c r="N123" s="1674">
        <f t="shared" si="5"/>
        <v>0</v>
      </c>
    </row>
    <row r="124" spans="1:14" ht="18.75" customHeight="1">
      <c r="A124" s="3144"/>
      <c r="B124" s="3139"/>
      <c r="C124" s="3128"/>
      <c r="D124" s="1691" t="str">
        <f ca="1">IF(ROW()-ROW($A$6)&lt;'الف-ب-ج'!$L$9,INDIRECT("BudgetDB!GR"&amp;('الف-ب-ج'!$M$9+ROW()-ROW($A$6))),"")</f>
        <v>نام بستانکار</v>
      </c>
      <c r="E124" s="1149"/>
      <c r="F124" s="256"/>
      <c r="G124" s="256"/>
      <c r="H124" s="1710" t="str">
        <f t="shared" si="6"/>
        <v>-</v>
      </c>
      <c r="I124" s="1711" t="str">
        <f t="shared" si="7"/>
        <v>-</v>
      </c>
      <c r="N124" s="1674">
        <f t="shared" si="5"/>
        <v>0</v>
      </c>
    </row>
    <row r="125" spans="1:14" ht="18.75" customHeight="1">
      <c r="A125" s="3144"/>
      <c r="B125" s="3139"/>
      <c r="C125" s="3128"/>
      <c r="D125" s="1691" t="str">
        <f ca="1">IF(ROW()-ROW($A$6)&lt;'الف-ب-ج'!$L$9,INDIRECT("BudgetDB!GR"&amp;('الف-ب-ج'!$M$9+ROW()-ROW($A$6))),"")</f>
        <v>نام بستانکار</v>
      </c>
      <c r="E125" s="1149"/>
      <c r="F125" s="256"/>
      <c r="G125" s="256"/>
      <c r="H125" s="1710" t="str">
        <f t="shared" si="6"/>
        <v>-</v>
      </c>
      <c r="I125" s="1711" t="str">
        <f t="shared" si="7"/>
        <v>-</v>
      </c>
      <c r="N125" s="1674">
        <f t="shared" si="5"/>
        <v>0</v>
      </c>
    </row>
    <row r="126" spans="1:14" ht="18.75" customHeight="1">
      <c r="A126" s="3144"/>
      <c r="B126" s="3139"/>
      <c r="C126" s="3128"/>
      <c r="D126" s="1691" t="str">
        <f ca="1">IF(ROW()-ROW($A$6)&lt;'الف-ب-ج'!$L$9,INDIRECT("BudgetDB!GR"&amp;('الف-ب-ج'!$M$9+ROW()-ROW($A$6))),"")</f>
        <v>نام بستانکار</v>
      </c>
      <c r="E126" s="1149"/>
      <c r="F126" s="256"/>
      <c r="G126" s="256"/>
      <c r="H126" s="1710" t="str">
        <f t="shared" si="6"/>
        <v>-</v>
      </c>
      <c r="I126" s="1711" t="str">
        <f t="shared" si="7"/>
        <v>-</v>
      </c>
      <c r="N126" s="1674">
        <f t="shared" si="5"/>
        <v>0</v>
      </c>
    </row>
    <row r="127" spans="1:14" ht="18.75" customHeight="1">
      <c r="A127" s="3144"/>
      <c r="B127" s="3139"/>
      <c r="C127" s="3128"/>
      <c r="D127" s="1691" t="str">
        <f ca="1">IF(ROW()-ROW($A$6)&lt;'الف-ب-ج'!$L$9,INDIRECT("BudgetDB!GR"&amp;('الف-ب-ج'!$M$9+ROW()-ROW($A$6))),"")</f>
        <v>نام بستانکار</v>
      </c>
      <c r="E127" s="1149"/>
      <c r="F127" s="256"/>
      <c r="G127" s="256"/>
      <c r="H127" s="1710" t="str">
        <f t="shared" si="6"/>
        <v>-</v>
      </c>
      <c r="I127" s="1711" t="str">
        <f t="shared" si="7"/>
        <v>-</v>
      </c>
      <c r="N127" s="1674">
        <f t="shared" si="5"/>
        <v>0</v>
      </c>
    </row>
    <row r="128" spans="1:14" ht="18.75" customHeight="1">
      <c r="A128" s="3144"/>
      <c r="B128" s="3139"/>
      <c r="C128" s="3128"/>
      <c r="D128" s="699" t="str">
        <f ca="1">IF(ROW()-ROW($A$6)&lt;'الف-ب-ج'!$L$9,INDIRECT("BudgetDB!GR"&amp;('الف-ب-ج'!$M$9+ROW()-ROW($A$6))),"")</f>
        <v>نام بستانکار</v>
      </c>
      <c r="E128" s="1149"/>
      <c r="F128" s="256"/>
      <c r="G128" s="256"/>
      <c r="H128" s="1710" t="str">
        <f t="shared" si="6"/>
        <v>-</v>
      </c>
      <c r="I128" s="1711" t="str">
        <f t="shared" si="7"/>
        <v>-</v>
      </c>
      <c r="N128" s="1674">
        <f t="shared" si="5"/>
        <v>0</v>
      </c>
    </row>
    <row r="129" spans="1:14" ht="18.75" customHeight="1">
      <c r="A129" s="3144"/>
      <c r="B129" s="3139"/>
      <c r="C129" s="3128"/>
      <c r="D129" s="699" t="str">
        <f ca="1">IF(ROW()-ROW($A$6)&lt;'الف-ب-ج'!$L$9,INDIRECT("BudgetDB!GR"&amp;('الف-ب-ج'!$M$9+ROW()-ROW($A$6))),"")</f>
        <v>نام بستانکار</v>
      </c>
      <c r="E129" s="1149"/>
      <c r="F129" s="256"/>
      <c r="G129" s="256"/>
      <c r="H129" s="1710" t="str">
        <f t="shared" si="6"/>
        <v>-</v>
      </c>
      <c r="I129" s="1711" t="str">
        <f t="shared" si="7"/>
        <v>-</v>
      </c>
      <c r="N129" s="1674">
        <f t="shared" si="5"/>
        <v>0</v>
      </c>
    </row>
    <row r="130" spans="1:14" ht="18.75" customHeight="1">
      <c r="A130" s="3144"/>
      <c r="B130" s="3139"/>
      <c r="C130" s="3130"/>
      <c r="D130" s="699" t="str">
        <f ca="1">IF(ROW()-ROW($A$6)&lt;'الف-ب-ج'!$L$9,INDIRECT("BudgetDB!GR"&amp;('الف-ب-ج'!$M$9+ROW()-ROW($A$6))),"")</f>
        <v>سایر بستانکاران</v>
      </c>
      <c r="E130" s="1149"/>
      <c r="F130" s="256"/>
      <c r="G130" s="256"/>
      <c r="H130" s="1710" t="str">
        <f t="shared" si="6"/>
        <v>-</v>
      </c>
      <c r="I130" s="1711" t="str">
        <f t="shared" si="7"/>
        <v>-</v>
      </c>
      <c r="N130" s="1674">
        <f t="shared" si="5"/>
        <v>0</v>
      </c>
    </row>
    <row r="131" spans="1:14" ht="18.75" customHeight="1">
      <c r="A131" s="3144"/>
      <c r="B131" s="3139"/>
      <c r="C131" s="3127" t="s">
        <v>161</v>
      </c>
      <c r="D131" s="1691" t="str">
        <f ca="1">IF(ROW()-ROW($A$6)&lt;'الف-ب-ج'!$L$9,INDIRECT("BudgetDB!GR"&amp;('الف-ب-ج'!$M$9+ROW()-ROW($A$6))),"")</f>
        <v>پیش پرداخت مشتریان</v>
      </c>
      <c r="E131" s="1149"/>
      <c r="F131" s="256"/>
      <c r="G131" s="256"/>
      <c r="H131" s="1710" t="str">
        <f t="shared" si="6"/>
        <v>-</v>
      </c>
      <c r="I131" s="1711" t="str">
        <f t="shared" si="7"/>
        <v>-</v>
      </c>
      <c r="N131" s="1674">
        <f t="shared" si="5"/>
        <v>0</v>
      </c>
    </row>
    <row r="132" spans="1:14" ht="18.75" customHeight="1">
      <c r="A132" s="3144"/>
      <c r="B132" s="3139"/>
      <c r="C132" s="3128"/>
      <c r="D132" s="1691" t="str">
        <f ca="1">IF(ROW()-ROW($A$6)&lt;'الف-ب-ج'!$L$9,INDIRECT("BudgetDB!GR"&amp;('الف-ب-ج'!$M$9+ROW()-ROW($A$6))),"")</f>
        <v>نام مشتری</v>
      </c>
      <c r="E132" s="1149"/>
      <c r="F132" s="256"/>
      <c r="G132" s="256"/>
      <c r="H132" s="1710" t="str">
        <f t="shared" si="6"/>
        <v>-</v>
      </c>
      <c r="I132" s="1711" t="str">
        <f t="shared" si="7"/>
        <v>-</v>
      </c>
      <c r="N132" s="1674">
        <f t="shared" si="5"/>
        <v>0</v>
      </c>
    </row>
    <row r="133" spans="1:14" ht="18.75" customHeight="1">
      <c r="A133" s="3144"/>
      <c r="B133" s="3139"/>
      <c r="C133" s="3128"/>
      <c r="D133" s="1691" t="str">
        <f ca="1">IF(ROW()-ROW($A$6)&lt;'الف-ب-ج'!$L$9,INDIRECT("BudgetDB!GR"&amp;('الف-ب-ج'!$M$9+ROW()-ROW($A$6))),"")</f>
        <v>نام مشتری</v>
      </c>
      <c r="E133" s="1149"/>
      <c r="F133" s="256"/>
      <c r="G133" s="256"/>
      <c r="H133" s="1710" t="str">
        <f t="shared" si="6"/>
        <v>-</v>
      </c>
      <c r="I133" s="1711" t="str">
        <f t="shared" si="7"/>
        <v>-</v>
      </c>
      <c r="N133" s="1674">
        <f t="shared" si="5"/>
        <v>0</v>
      </c>
    </row>
    <row r="134" spans="1:14" ht="18.75" customHeight="1">
      <c r="A134" s="3144"/>
      <c r="B134" s="3139"/>
      <c r="C134" s="3128"/>
      <c r="D134" s="699" t="str">
        <f ca="1">IF(ROW()-ROW($A$6)&lt;'الف-ب-ج'!$L$9,INDIRECT("BudgetDB!GR"&amp;('الف-ب-ج'!$M$9+ROW()-ROW($A$6))),"")</f>
        <v>نام مشتری</v>
      </c>
      <c r="E134" s="1149"/>
      <c r="F134" s="256"/>
      <c r="G134" s="256"/>
      <c r="H134" s="1710" t="str">
        <f t="shared" si="6"/>
        <v>-</v>
      </c>
      <c r="I134" s="1711" t="str">
        <f t="shared" si="7"/>
        <v>-</v>
      </c>
      <c r="N134" s="1674">
        <f t="shared" si="5"/>
        <v>0</v>
      </c>
    </row>
    <row r="135" spans="1:14" ht="18.75" customHeight="1">
      <c r="A135" s="3144"/>
      <c r="B135" s="3139"/>
      <c r="C135" s="3130"/>
      <c r="D135" s="699" t="str">
        <f ca="1">IF(ROW()-ROW($A$6)&lt;'الف-ب-ج'!$L$9,INDIRECT("BudgetDB!GR"&amp;('الف-ب-ج'!$M$9+ROW()-ROW($A$6))),"")</f>
        <v>سایر مشتریان</v>
      </c>
      <c r="E135" s="1149"/>
      <c r="F135" s="256"/>
      <c r="G135" s="256"/>
      <c r="H135" s="1710" t="str">
        <f t="shared" ref="H135:H185" si="10">IFERROR((G135-E135)*100/E135,"-")</f>
        <v>-</v>
      </c>
      <c r="I135" s="1711" t="str">
        <f t="shared" ref="I135:I185" si="11">IFERROR(G135*100/F135,"-")</f>
        <v>-</v>
      </c>
      <c r="N135" s="1674">
        <f t="shared" ref="N135:N180" si="12">IFERROR(G135+F135+E135,0)</f>
        <v>0</v>
      </c>
    </row>
    <row r="136" spans="1:14" ht="18.75" customHeight="1">
      <c r="A136" s="3144"/>
      <c r="B136" s="3139"/>
      <c r="C136" s="3127" t="s">
        <v>1689</v>
      </c>
      <c r="D136" s="1691" t="str">
        <f ca="1">IF(ROW()-ROW($A$6)&lt;'الف-ب-ج'!$L$9,INDIRECT("BudgetDB!GR"&amp;('الف-ب-ج'!$M$9+ROW()-ROW($A$6))),"")</f>
        <v>سپرده بانکی</v>
      </c>
      <c r="E136" s="1149"/>
      <c r="F136" s="256"/>
      <c r="G136" s="256"/>
      <c r="H136" s="1710" t="str">
        <f t="shared" si="10"/>
        <v>-</v>
      </c>
      <c r="I136" s="1711" t="str">
        <f t="shared" si="11"/>
        <v>-</v>
      </c>
      <c r="N136" s="1674">
        <f t="shared" si="12"/>
        <v>0</v>
      </c>
    </row>
    <row r="137" spans="1:14" ht="18.75" customHeight="1">
      <c r="A137" s="3144"/>
      <c r="B137" s="3140"/>
      <c r="C137" s="3128"/>
      <c r="D137" s="1691" t="str">
        <f ca="1">IF(ROW()-ROW($A$6)&lt;'الف-ب-ج'!$L$9,INDIRECT("BudgetDB!GR"&amp;('الف-ب-ج'!$M$9+ROW()-ROW($A$6))),"")</f>
        <v>نوع سرمایه گذاری</v>
      </c>
      <c r="E137" s="1149"/>
      <c r="F137" s="256"/>
      <c r="G137" s="256"/>
      <c r="H137" s="1710" t="str">
        <f t="shared" si="10"/>
        <v>-</v>
      </c>
      <c r="I137" s="1711" t="str">
        <f t="shared" si="11"/>
        <v>-</v>
      </c>
      <c r="N137" s="1674">
        <f t="shared" si="12"/>
        <v>0</v>
      </c>
    </row>
    <row r="138" spans="1:14" ht="18.75" customHeight="1">
      <c r="A138" s="3144"/>
      <c r="B138" s="3140"/>
      <c r="C138" s="3128"/>
      <c r="D138" s="1691" t="str">
        <f ca="1">IF(ROW()-ROW($A$6)&lt;'الف-ب-ج'!$L$9,INDIRECT("BudgetDB!GR"&amp;('الف-ب-ج'!$M$9+ROW()-ROW($A$6))),"")</f>
        <v>نوع سرمایه گذاری</v>
      </c>
      <c r="E138" s="1149"/>
      <c r="F138" s="256"/>
      <c r="G138" s="256"/>
      <c r="H138" s="1710" t="str">
        <f t="shared" si="10"/>
        <v>-</v>
      </c>
      <c r="I138" s="1711" t="str">
        <f t="shared" si="11"/>
        <v>-</v>
      </c>
      <c r="N138" s="1674">
        <f t="shared" si="12"/>
        <v>0</v>
      </c>
    </row>
    <row r="139" spans="1:14" ht="18.75" customHeight="1">
      <c r="A139" s="3144"/>
      <c r="B139" s="3140"/>
      <c r="C139" s="3130"/>
      <c r="D139" s="699" t="str">
        <f ca="1">IF(ROW()-ROW($A$6)&lt;'الف-ب-ج'!$L$9,INDIRECT("BudgetDB!GR"&amp;('الف-ب-ج'!$M$9+ROW()-ROW($A$6))),"")</f>
        <v>نوع سرمایه گذاری</v>
      </c>
      <c r="E139" s="1149"/>
      <c r="F139" s="256"/>
      <c r="G139" s="256"/>
      <c r="H139" s="1710" t="str">
        <f t="shared" si="10"/>
        <v>-</v>
      </c>
      <c r="I139" s="1711" t="str">
        <f t="shared" si="11"/>
        <v>-</v>
      </c>
      <c r="N139" s="1674">
        <f t="shared" si="12"/>
        <v>0</v>
      </c>
    </row>
    <row r="140" spans="1:14" ht="18.75" customHeight="1">
      <c r="A140" s="3144"/>
      <c r="B140" s="3140"/>
      <c r="C140" s="1729" t="s">
        <v>162</v>
      </c>
      <c r="D140" s="1691" t="str">
        <f ca="1">IF(ROW()-ROW($A$6)&lt;'الف-ب-ج'!$L$9,INDIRECT("BudgetDB!GR"&amp;('الف-ب-ج'!$M$9+ROW()-ROW($A$6))),"")</f>
        <v>مالیات</v>
      </c>
      <c r="E140" s="1149"/>
      <c r="F140" s="258"/>
      <c r="G140" s="258"/>
      <c r="H140" s="1716" t="str">
        <f t="shared" si="10"/>
        <v>-</v>
      </c>
      <c r="I140" s="1717" t="str">
        <f t="shared" si="11"/>
        <v>-</v>
      </c>
      <c r="N140" s="1674">
        <f t="shared" si="12"/>
        <v>0</v>
      </c>
    </row>
    <row r="141" spans="1:14" ht="18.75" customHeight="1">
      <c r="A141" s="3144"/>
      <c r="B141" s="3140"/>
      <c r="C141" s="3127" t="s">
        <v>1688</v>
      </c>
      <c r="D141" s="1691" t="str">
        <f ca="1">IF(ROW()-ROW($A$6)&lt;'الف-ب-ج'!$L$9,INDIRECT("BudgetDB!GR"&amp;('الف-ب-ج'!$M$9+ROW()-ROW($A$6))),"")</f>
        <v>سرفصل</v>
      </c>
      <c r="E141" s="1150"/>
      <c r="F141" s="257"/>
      <c r="G141" s="257"/>
      <c r="H141" s="1712" t="str">
        <f t="shared" si="10"/>
        <v>-</v>
      </c>
      <c r="I141" s="1713" t="str">
        <f t="shared" si="11"/>
        <v>-</v>
      </c>
      <c r="N141" s="1674">
        <f t="shared" si="12"/>
        <v>0</v>
      </c>
    </row>
    <row r="142" spans="1:14" ht="18.75" customHeight="1">
      <c r="A142" s="3144"/>
      <c r="B142" s="3140"/>
      <c r="C142" s="3128"/>
      <c r="D142" s="1691" t="str">
        <f ca="1">IF(ROW()-ROW($A$6)&lt;'الف-ب-ج'!$L$9,INDIRECT("BudgetDB!GR"&amp;('الف-ب-ج'!$M$9+ROW()-ROW($A$6))),"")</f>
        <v>سرفصل</v>
      </c>
      <c r="E142" s="1150"/>
      <c r="F142" s="257"/>
      <c r="G142" s="257"/>
      <c r="H142" s="1712" t="str">
        <f t="shared" si="10"/>
        <v>-</v>
      </c>
      <c r="I142" s="1713" t="str">
        <f t="shared" si="11"/>
        <v>-</v>
      </c>
      <c r="N142" s="1674">
        <f t="shared" si="12"/>
        <v>0</v>
      </c>
    </row>
    <row r="143" spans="1:14" ht="18.75" customHeight="1" thickBot="1">
      <c r="A143" s="3144"/>
      <c r="B143" s="3140"/>
      <c r="C143" s="3129"/>
      <c r="D143" s="700" t="str">
        <f ca="1">IF(ROW()-ROW($A$6)&lt;'الف-ب-ج'!$L$9,INDIRECT("BudgetDB!GR"&amp;('الف-ب-ج'!$M$9+ROW()-ROW($A$6))),"")</f>
        <v>سرفصل</v>
      </c>
      <c r="E143" s="1150"/>
      <c r="F143" s="257"/>
      <c r="G143" s="257"/>
      <c r="H143" s="1712" t="str">
        <f t="shared" si="10"/>
        <v>-</v>
      </c>
      <c r="I143" s="1713" t="str">
        <f t="shared" si="11"/>
        <v>-</v>
      </c>
      <c r="N143" s="1674">
        <f t="shared" si="12"/>
        <v>0</v>
      </c>
    </row>
    <row r="144" spans="1:14" ht="18.75" customHeight="1" thickBot="1">
      <c r="A144" s="3144"/>
      <c r="B144" s="3140"/>
      <c r="C144" s="1724" t="s">
        <v>163</v>
      </c>
      <c r="D144" s="1725"/>
      <c r="E144" s="1721">
        <f>SUM(E82:E143)</f>
        <v>0</v>
      </c>
      <c r="F144" s="966">
        <f>IFERROR(SUM(F82:F143),0)</f>
        <v>0</v>
      </c>
      <c r="G144" s="1722">
        <f>SUM(G82:G143)</f>
        <v>0</v>
      </c>
      <c r="H144" s="1714" t="str">
        <f t="shared" si="10"/>
        <v>-</v>
      </c>
      <c r="I144" s="1715" t="str">
        <f t="shared" si="11"/>
        <v>-</v>
      </c>
      <c r="N144" s="1674" t="s">
        <v>206</v>
      </c>
    </row>
    <row r="145" spans="1:14" ht="18.75" customHeight="1">
      <c r="A145" s="3144"/>
      <c r="B145" s="3139" t="s">
        <v>164</v>
      </c>
      <c r="C145" s="3138" t="s">
        <v>165</v>
      </c>
      <c r="D145" s="1691" t="str">
        <f ca="1">IF(ROW()-ROW($A$6)&lt;'الف-ب-ج'!$L$9,INDIRECT("BudgetDB!GR"&amp;('الف-ب-ج'!$M$9+ROW()-ROW($A$6))),"")</f>
        <v>دارایی ثابت مشهود</v>
      </c>
      <c r="E145" s="1151"/>
      <c r="F145" s="258"/>
      <c r="G145" s="258"/>
      <c r="H145" s="1716" t="str">
        <f t="shared" si="10"/>
        <v>-</v>
      </c>
      <c r="I145" s="1717" t="str">
        <f t="shared" si="11"/>
        <v>-</v>
      </c>
      <c r="N145" s="1674">
        <f t="shared" si="12"/>
        <v>0</v>
      </c>
    </row>
    <row r="146" spans="1:14" ht="18.75" customHeight="1">
      <c r="A146" s="3144"/>
      <c r="B146" s="3139"/>
      <c r="C146" s="3128"/>
      <c r="D146" s="1691" t="str">
        <f ca="1">IF(ROW()-ROW($A$6)&lt;'الف-ب-ج'!$L$9,INDIRECT("BudgetDB!GR"&amp;('الف-ب-ج'!$M$9+ROW()-ROW($A$6))),"")</f>
        <v>دارایی نامشهود</v>
      </c>
      <c r="E146" s="1151"/>
      <c r="F146" s="258"/>
      <c r="G146" s="258"/>
      <c r="H146" s="1716" t="str">
        <f t="shared" si="10"/>
        <v>-</v>
      </c>
      <c r="I146" s="1717" t="str">
        <f t="shared" si="11"/>
        <v>-</v>
      </c>
      <c r="N146" s="1674">
        <f t="shared" si="12"/>
        <v>0</v>
      </c>
    </row>
    <row r="147" spans="1:14" ht="18.75" customHeight="1">
      <c r="A147" s="3144"/>
      <c r="B147" s="3139"/>
      <c r="C147" s="3128"/>
      <c r="D147" s="1691" t="str">
        <f ca="1">IF(ROW()-ROW($A$6)&lt;'الف-ب-ج'!$L$9,INDIRECT("BudgetDB!GR"&amp;('الف-ب-ج'!$M$9+ROW()-ROW($A$6))),"")</f>
        <v>عنوان دارایی</v>
      </c>
      <c r="E147" s="1151"/>
      <c r="F147" s="258"/>
      <c r="G147" s="258"/>
      <c r="H147" s="1716" t="str">
        <f t="shared" si="10"/>
        <v>-</v>
      </c>
      <c r="I147" s="1717" t="str">
        <f t="shared" si="11"/>
        <v>-</v>
      </c>
      <c r="N147" s="1674">
        <f t="shared" si="12"/>
        <v>0</v>
      </c>
    </row>
    <row r="148" spans="1:14" ht="18.75" customHeight="1">
      <c r="A148" s="3144"/>
      <c r="B148" s="3139"/>
      <c r="C148" s="3128"/>
      <c r="D148" s="1691" t="str">
        <f ca="1">IF(ROW()-ROW($A$6)&lt;'الف-ب-ج'!$L$9,INDIRECT("BudgetDB!GR"&amp;('الف-ب-ج'!$M$9+ROW()-ROW($A$6))),"")</f>
        <v>عنوان دارایی</v>
      </c>
      <c r="E148" s="1151"/>
      <c r="F148" s="258"/>
      <c r="G148" s="258"/>
      <c r="H148" s="1716" t="str">
        <f t="shared" si="10"/>
        <v>-</v>
      </c>
      <c r="I148" s="1717" t="str">
        <f t="shared" si="11"/>
        <v>-</v>
      </c>
      <c r="N148" s="1674">
        <f t="shared" si="12"/>
        <v>0</v>
      </c>
    </row>
    <row r="149" spans="1:14" ht="18.75" customHeight="1">
      <c r="A149" s="3144"/>
      <c r="B149" s="3139"/>
      <c r="C149" s="3128"/>
      <c r="D149" s="1691" t="str">
        <f ca="1">IF(ROW()-ROW($A$6)&lt;'الف-ب-ج'!$L$9,INDIRECT("BudgetDB!GR"&amp;('الف-ب-ج'!$M$9+ROW()-ROW($A$6))),"")</f>
        <v>عنوان دارایی</v>
      </c>
      <c r="E149" s="1151"/>
      <c r="F149" s="258"/>
      <c r="G149" s="258"/>
      <c r="H149" s="1716" t="str">
        <f t="shared" si="10"/>
        <v>-</v>
      </c>
      <c r="I149" s="1717" t="str">
        <f t="shared" si="11"/>
        <v>-</v>
      </c>
      <c r="N149" s="1674">
        <f t="shared" si="12"/>
        <v>0</v>
      </c>
    </row>
    <row r="150" spans="1:14" ht="18.75" customHeight="1">
      <c r="A150" s="3144"/>
      <c r="B150" s="3139"/>
      <c r="C150" s="3130"/>
      <c r="D150" s="698" t="str">
        <f ca="1">IF(ROW()-ROW($A$6)&lt;'الف-ب-ج'!$L$9,INDIRECT("BudgetDB!GR"&amp;('الف-ب-ج'!$M$9+ROW()-ROW($A$6))),"")</f>
        <v>عنوان دارایی</v>
      </c>
      <c r="E150" s="1151"/>
      <c r="F150" s="258"/>
      <c r="G150" s="258"/>
      <c r="H150" s="1716" t="str">
        <f t="shared" si="10"/>
        <v>-</v>
      </c>
      <c r="I150" s="1717" t="str">
        <f t="shared" si="11"/>
        <v>-</v>
      </c>
      <c r="N150" s="1674">
        <f t="shared" si="12"/>
        <v>0</v>
      </c>
    </row>
    <row r="151" spans="1:14" ht="18.75" customHeight="1">
      <c r="A151" s="3144"/>
      <c r="B151" s="3139"/>
      <c r="C151" s="3127" t="s">
        <v>166</v>
      </c>
      <c r="D151" s="1691" t="str">
        <f ca="1">IF(ROW()-ROW($A$6)&lt;'الف-ب-ج'!$L$9,INDIRECT("BudgetDB!GR"&amp;('الف-ب-ج'!$M$9+ROW()-ROW($A$6))),"")</f>
        <v>اصل و بهره - تسهیلات خرید تجهیزات</v>
      </c>
      <c r="E151" s="1149"/>
      <c r="F151" s="256"/>
      <c r="G151" s="256"/>
      <c r="H151" s="1710" t="str">
        <f t="shared" si="10"/>
        <v>-</v>
      </c>
      <c r="I151" s="1711" t="str">
        <f t="shared" si="11"/>
        <v>-</v>
      </c>
      <c r="N151" s="1674">
        <f t="shared" si="12"/>
        <v>0</v>
      </c>
    </row>
    <row r="152" spans="1:14" ht="18.75" customHeight="1">
      <c r="A152" s="3144"/>
      <c r="B152" s="3139"/>
      <c r="C152" s="3128"/>
      <c r="D152" s="1691" t="str">
        <f ca="1">IF(ROW()-ROW($A$6)&lt;'الف-ب-ج'!$L$9,INDIRECT("BudgetDB!GR"&amp;('الف-ب-ج'!$M$9+ROW()-ROW($A$6))),"")</f>
        <v>تسهیلات</v>
      </c>
      <c r="E152" s="1149"/>
      <c r="F152" s="256"/>
      <c r="G152" s="256"/>
      <c r="H152" s="1710" t="str">
        <f t="shared" si="10"/>
        <v>-</v>
      </c>
      <c r="I152" s="1711" t="str">
        <f t="shared" si="11"/>
        <v>-</v>
      </c>
      <c r="N152" s="1674">
        <f t="shared" si="12"/>
        <v>0</v>
      </c>
    </row>
    <row r="153" spans="1:14" ht="18.75" customHeight="1">
      <c r="A153" s="3144"/>
      <c r="B153" s="3139"/>
      <c r="C153" s="3128"/>
      <c r="D153" s="1691" t="str">
        <f ca="1">IF(ROW()-ROW($A$6)&lt;'الف-ب-ج'!$L$9,INDIRECT("BudgetDB!GR"&amp;('الف-ب-ج'!$M$9+ROW()-ROW($A$6))),"")</f>
        <v>تسهیلات</v>
      </c>
      <c r="E153" s="1149"/>
      <c r="F153" s="256"/>
      <c r="G153" s="256"/>
      <c r="H153" s="1710" t="str">
        <f t="shared" si="10"/>
        <v>-</v>
      </c>
      <c r="I153" s="1711" t="str">
        <f t="shared" si="11"/>
        <v>-</v>
      </c>
      <c r="N153" s="1674">
        <f t="shared" si="12"/>
        <v>0</v>
      </c>
    </row>
    <row r="154" spans="1:14" ht="18.75" customHeight="1">
      <c r="A154" s="3144"/>
      <c r="B154" s="3139"/>
      <c r="C154" s="3128"/>
      <c r="D154" s="1691" t="str">
        <f ca="1">IF(ROW()-ROW($A$6)&lt;'الف-ب-ج'!$L$9,INDIRECT("BudgetDB!GR"&amp;('الف-ب-ج'!$M$9+ROW()-ROW($A$6))),"")</f>
        <v>تسهیلات</v>
      </c>
      <c r="E154" s="1149"/>
      <c r="F154" s="256"/>
      <c r="G154" s="256"/>
      <c r="H154" s="1710" t="str">
        <f t="shared" si="10"/>
        <v>-</v>
      </c>
      <c r="I154" s="1711" t="str">
        <f t="shared" si="11"/>
        <v>-</v>
      </c>
      <c r="N154" s="1674">
        <f t="shared" si="12"/>
        <v>0</v>
      </c>
    </row>
    <row r="155" spans="1:14" ht="18.75" customHeight="1">
      <c r="A155" s="3144"/>
      <c r="B155" s="3139"/>
      <c r="C155" s="3128"/>
      <c r="D155" s="1691" t="str">
        <f ca="1">IF(ROW()-ROW($A$6)&lt;'الف-ب-ج'!$L$9,INDIRECT("BudgetDB!GR"&amp;('الف-ب-ج'!$M$9+ROW()-ROW($A$6))),"")</f>
        <v>تسهیلات</v>
      </c>
      <c r="E155" s="1149"/>
      <c r="F155" s="256"/>
      <c r="G155" s="256"/>
      <c r="H155" s="1710" t="str">
        <f t="shared" si="10"/>
        <v>-</v>
      </c>
      <c r="I155" s="1711" t="str">
        <f t="shared" si="11"/>
        <v>-</v>
      </c>
      <c r="N155" s="1674">
        <f t="shared" si="12"/>
        <v>0</v>
      </c>
    </row>
    <row r="156" spans="1:14" ht="18.75" customHeight="1">
      <c r="A156" s="3144"/>
      <c r="B156" s="3139"/>
      <c r="C156" s="3128"/>
      <c r="D156" s="1691" t="str">
        <f ca="1">IF(ROW()-ROW($A$6)&lt;'الف-ب-ج'!$L$9,INDIRECT("BudgetDB!GR"&amp;('الف-ب-ج'!$M$9+ROW()-ROW($A$6))),"")</f>
        <v>تسهیلات</v>
      </c>
      <c r="E156" s="1149"/>
      <c r="F156" s="256"/>
      <c r="G156" s="256"/>
      <c r="H156" s="1710" t="str">
        <f t="shared" si="10"/>
        <v>-</v>
      </c>
      <c r="I156" s="1711" t="str">
        <f t="shared" si="11"/>
        <v>-</v>
      </c>
      <c r="N156" s="1674">
        <f t="shared" si="12"/>
        <v>0</v>
      </c>
    </row>
    <row r="157" spans="1:14" ht="18.75" customHeight="1">
      <c r="A157" s="3144"/>
      <c r="B157" s="3139"/>
      <c r="C157" s="3128"/>
      <c r="D157" s="699" t="str">
        <f ca="1">IF(ROW()-ROW($A$6)&lt;'الف-ب-ج'!$L$9,INDIRECT("BudgetDB!GR"&amp;('الف-ب-ج'!$M$9+ROW()-ROW($A$6))),"")</f>
        <v>تسهیلات</v>
      </c>
      <c r="E157" s="1149"/>
      <c r="F157" s="256"/>
      <c r="G157" s="256"/>
      <c r="H157" s="1710" t="str">
        <f t="shared" si="10"/>
        <v>-</v>
      </c>
      <c r="I157" s="1711" t="str">
        <f t="shared" si="11"/>
        <v>-</v>
      </c>
      <c r="N157" s="1674">
        <f t="shared" si="12"/>
        <v>0</v>
      </c>
    </row>
    <row r="158" spans="1:14" ht="18.75" customHeight="1">
      <c r="A158" s="3144"/>
      <c r="B158" s="3139"/>
      <c r="C158" s="3130"/>
      <c r="D158" s="699" t="str">
        <f ca="1">IF(ROW()-ROW($A$6)&lt;'الف-ب-ج'!$L$9,INDIRECT("BudgetDB!GR"&amp;('الف-ب-ج'!$M$9+ROW()-ROW($A$6))),"")</f>
        <v>تسهیلات</v>
      </c>
      <c r="E158" s="1149"/>
      <c r="F158" s="256"/>
      <c r="G158" s="256"/>
      <c r="H158" s="1710" t="str">
        <f t="shared" si="10"/>
        <v>-</v>
      </c>
      <c r="I158" s="1711" t="str">
        <f t="shared" si="11"/>
        <v>-</v>
      </c>
      <c r="N158" s="1674">
        <f t="shared" si="12"/>
        <v>0</v>
      </c>
    </row>
    <row r="159" spans="1:14" ht="18.75" customHeight="1">
      <c r="A159" s="3144"/>
      <c r="B159" s="3139"/>
      <c r="C159" s="3127" t="s">
        <v>167</v>
      </c>
      <c r="D159" s="1691" t="str">
        <f ca="1">IF(ROW()-ROW($A$6)&lt;'الف-ب-ج'!$L$9,INDIRECT("BudgetDB!GR"&amp;('الف-ب-ج'!$M$9+ROW()-ROW($A$6))),"")</f>
        <v>آتیه صبا</v>
      </c>
      <c r="E159" s="1149"/>
      <c r="F159" s="256"/>
      <c r="G159" s="256"/>
      <c r="H159" s="1710" t="str">
        <f t="shared" si="10"/>
        <v>-</v>
      </c>
      <c r="I159" s="1711" t="str">
        <f t="shared" si="11"/>
        <v>-</v>
      </c>
      <c r="N159" s="1674">
        <f t="shared" si="12"/>
        <v>0</v>
      </c>
    </row>
    <row r="160" spans="1:14" ht="18.75" customHeight="1">
      <c r="A160" s="3144"/>
      <c r="B160" s="3139"/>
      <c r="C160" s="3128"/>
      <c r="D160" s="1691" t="str">
        <f ca="1">IF(ROW()-ROW($A$6)&lt;'الف-ب-ج'!$L$9,INDIRECT("BudgetDB!GR"&amp;('الف-ب-ج'!$M$9+ROW()-ROW($A$6))),"")</f>
        <v>سهامدار</v>
      </c>
      <c r="E160" s="1150"/>
      <c r="F160" s="257"/>
      <c r="G160" s="257"/>
      <c r="H160" s="1712" t="str">
        <f t="shared" si="10"/>
        <v>-</v>
      </c>
      <c r="I160" s="1713" t="str">
        <f t="shared" si="11"/>
        <v>-</v>
      </c>
      <c r="N160" s="1674">
        <f t="shared" si="12"/>
        <v>0</v>
      </c>
    </row>
    <row r="161" spans="1:14" ht="18.75" customHeight="1">
      <c r="A161" s="3144"/>
      <c r="B161" s="3139"/>
      <c r="C161" s="3128"/>
      <c r="D161" s="1691" t="str">
        <f ca="1">IF(ROW()-ROW($A$6)&lt;'الف-ب-ج'!$L$9,INDIRECT("BudgetDB!GR"&amp;('الف-ب-ج'!$M$9+ROW()-ROW($A$6))),"")</f>
        <v>سهامدار</v>
      </c>
      <c r="E161" s="1150"/>
      <c r="F161" s="257"/>
      <c r="G161" s="257"/>
      <c r="H161" s="1712" t="str">
        <f t="shared" si="10"/>
        <v>-</v>
      </c>
      <c r="I161" s="1713" t="str">
        <f t="shared" si="11"/>
        <v>-</v>
      </c>
      <c r="N161" s="1674">
        <f t="shared" si="12"/>
        <v>0</v>
      </c>
    </row>
    <row r="162" spans="1:14" ht="18.75" customHeight="1">
      <c r="A162" s="3144"/>
      <c r="B162" s="3139"/>
      <c r="C162" s="3128"/>
      <c r="D162" s="1691" t="str">
        <f ca="1">IF(ROW()-ROW($A$6)&lt;'الف-ب-ج'!$L$9,INDIRECT("BudgetDB!GR"&amp;('الف-ب-ج'!$M$9+ROW()-ROW($A$6))),"")</f>
        <v>سهامدار</v>
      </c>
      <c r="E162" s="1150"/>
      <c r="F162" s="257"/>
      <c r="G162" s="257"/>
      <c r="H162" s="1712" t="str">
        <f t="shared" si="10"/>
        <v>-</v>
      </c>
      <c r="I162" s="1713" t="str">
        <f t="shared" si="11"/>
        <v>-</v>
      </c>
      <c r="N162" s="1674">
        <f t="shared" si="12"/>
        <v>0</v>
      </c>
    </row>
    <row r="163" spans="1:14" ht="18.75" customHeight="1">
      <c r="A163" s="3144"/>
      <c r="B163" s="3139"/>
      <c r="C163" s="3130"/>
      <c r="D163" s="699" t="str">
        <f ca="1">IF(ROW()-ROW($A$6)&lt;'الف-ب-ج'!$L$9,INDIRECT("BudgetDB!GR"&amp;('الف-ب-ج'!$M$9+ROW()-ROW($A$6))),"")</f>
        <v>سهامدار</v>
      </c>
      <c r="E163" s="1150"/>
      <c r="F163" s="257"/>
      <c r="G163" s="257"/>
      <c r="H163" s="1712" t="str">
        <f t="shared" si="10"/>
        <v>-</v>
      </c>
      <c r="I163" s="1713" t="str">
        <f t="shared" si="11"/>
        <v>-</v>
      </c>
      <c r="N163" s="1674">
        <f t="shared" si="12"/>
        <v>0</v>
      </c>
    </row>
    <row r="164" spans="1:14" ht="18.75" customHeight="1">
      <c r="A164" s="3144"/>
      <c r="B164" s="3139"/>
      <c r="C164" s="3127" t="s">
        <v>1691</v>
      </c>
      <c r="D164" s="1679">
        <f ca="1">'سایر غیرعملیاتی'!A24</f>
        <v>0</v>
      </c>
      <c r="E164" s="1150"/>
      <c r="F164" s="257"/>
      <c r="G164" s="257"/>
      <c r="H164" s="1712" t="str">
        <f t="shared" si="10"/>
        <v>-</v>
      </c>
      <c r="I164" s="1713" t="str">
        <f t="shared" si="11"/>
        <v>-</v>
      </c>
      <c r="N164" s="1674">
        <f t="shared" si="12"/>
        <v>0</v>
      </c>
    </row>
    <row r="165" spans="1:14" ht="18.75" customHeight="1">
      <c r="A165" s="3144"/>
      <c r="B165" s="3139"/>
      <c r="C165" s="3128"/>
      <c r="D165" s="1679">
        <f ca="1">'سایر غیرعملیاتی'!A25</f>
        <v>0</v>
      </c>
      <c r="E165" s="1150"/>
      <c r="F165" s="257"/>
      <c r="G165" s="257"/>
      <c r="H165" s="1712" t="str">
        <f t="shared" si="10"/>
        <v>-</v>
      </c>
      <c r="I165" s="1713" t="str">
        <f t="shared" si="11"/>
        <v>-</v>
      </c>
      <c r="N165" s="1674">
        <f t="shared" si="12"/>
        <v>0</v>
      </c>
    </row>
    <row r="166" spans="1:14" ht="18.75" customHeight="1">
      <c r="A166" s="3144"/>
      <c r="B166" s="3139"/>
      <c r="C166" s="3128"/>
      <c r="D166" s="1679">
        <f ca="1">'سایر غیرعملیاتی'!A26</f>
        <v>0</v>
      </c>
      <c r="E166" s="1150"/>
      <c r="F166" s="257"/>
      <c r="G166" s="257"/>
      <c r="H166" s="1712" t="str">
        <f t="shared" si="10"/>
        <v>-</v>
      </c>
      <c r="I166" s="1713" t="str">
        <f t="shared" si="11"/>
        <v>-</v>
      </c>
      <c r="N166" s="1674">
        <f t="shared" si="12"/>
        <v>0</v>
      </c>
    </row>
    <row r="167" spans="1:14" ht="18.75" customHeight="1">
      <c r="A167" s="3144"/>
      <c r="B167" s="3139"/>
      <c r="C167" s="3128"/>
      <c r="D167" s="1679">
        <f ca="1">'سایر غیرعملیاتی'!A27</f>
        <v>0</v>
      </c>
      <c r="E167" s="1150"/>
      <c r="F167" s="257"/>
      <c r="G167" s="257"/>
      <c r="H167" s="1712" t="str">
        <f t="shared" si="10"/>
        <v>-</v>
      </c>
      <c r="I167" s="1713" t="str">
        <f t="shared" si="11"/>
        <v>-</v>
      </c>
      <c r="N167" s="1674">
        <f t="shared" si="12"/>
        <v>0</v>
      </c>
    </row>
    <row r="168" spans="1:14" ht="18.75" customHeight="1">
      <c r="A168" s="3144"/>
      <c r="B168" s="3139"/>
      <c r="C168" s="3128"/>
      <c r="D168" s="1679">
        <f ca="1">'سایر غیرعملیاتی'!A28</f>
        <v>0</v>
      </c>
      <c r="E168" s="1150"/>
      <c r="F168" s="257"/>
      <c r="G168" s="257"/>
      <c r="H168" s="1712" t="str">
        <f t="shared" si="10"/>
        <v>-</v>
      </c>
      <c r="I168" s="1713" t="str">
        <f t="shared" si="11"/>
        <v>-</v>
      </c>
      <c r="N168" s="1674">
        <f t="shared" si="12"/>
        <v>0</v>
      </c>
    </row>
    <row r="169" spans="1:14" ht="18.75" customHeight="1">
      <c r="A169" s="3144"/>
      <c r="B169" s="3139"/>
      <c r="C169" s="3128"/>
      <c r="D169" s="1679">
        <f ca="1">'سایر غیرعملیاتی'!A29</f>
        <v>0</v>
      </c>
      <c r="E169" s="1150"/>
      <c r="F169" s="257"/>
      <c r="G169" s="257"/>
      <c r="H169" s="1712" t="str">
        <f t="shared" si="10"/>
        <v>-</v>
      </c>
      <c r="I169" s="1713" t="str">
        <f t="shared" si="11"/>
        <v>-</v>
      </c>
      <c r="N169" s="1674">
        <f t="shared" si="12"/>
        <v>0</v>
      </c>
    </row>
    <row r="170" spans="1:14" ht="18.75" customHeight="1">
      <c r="A170" s="3144"/>
      <c r="B170" s="3139"/>
      <c r="C170" s="3128"/>
      <c r="D170" s="1679">
        <f ca="1">'سایر غیرعملیاتی'!A30</f>
        <v>0</v>
      </c>
      <c r="E170" s="1150"/>
      <c r="F170" s="257"/>
      <c r="G170" s="257"/>
      <c r="H170" s="1712" t="str">
        <f t="shared" si="10"/>
        <v>-</v>
      </c>
      <c r="I170" s="1713" t="str">
        <f t="shared" si="11"/>
        <v>-</v>
      </c>
      <c r="N170" s="1674">
        <f t="shared" si="12"/>
        <v>0</v>
      </c>
    </row>
    <row r="171" spans="1:14" ht="18.75" customHeight="1">
      <c r="A171" s="3144"/>
      <c r="B171" s="3139"/>
      <c r="C171" s="3128"/>
      <c r="D171" s="1679">
        <f ca="1">'سایر غیرعملیاتی'!A31</f>
        <v>0</v>
      </c>
      <c r="E171" s="1150"/>
      <c r="F171" s="257"/>
      <c r="G171" s="257"/>
      <c r="H171" s="1712" t="str">
        <f t="shared" ref="H171:H178" si="13">IFERROR((G171-E171)*100/E171,"-")</f>
        <v>-</v>
      </c>
      <c r="I171" s="1713" t="str">
        <f t="shared" ref="I171:I178" si="14">IFERROR(G171*100/F171,"-")</f>
        <v>-</v>
      </c>
      <c r="N171" s="1674">
        <f t="shared" si="12"/>
        <v>0</v>
      </c>
    </row>
    <row r="172" spans="1:14" ht="18.75" customHeight="1">
      <c r="A172" s="3144"/>
      <c r="B172" s="3139"/>
      <c r="C172" s="3128"/>
      <c r="D172" s="1679">
        <f ca="1">'سایر غیرعملیاتی'!A32</f>
        <v>0</v>
      </c>
      <c r="E172" s="1150"/>
      <c r="F172" s="257"/>
      <c r="G172" s="257"/>
      <c r="H172" s="1712" t="str">
        <f t="shared" si="13"/>
        <v>-</v>
      </c>
      <c r="I172" s="1713" t="str">
        <f t="shared" si="14"/>
        <v>-</v>
      </c>
      <c r="N172" s="1674">
        <f t="shared" si="12"/>
        <v>0</v>
      </c>
    </row>
    <row r="173" spans="1:14" ht="18.75" customHeight="1">
      <c r="A173" s="3144"/>
      <c r="B173" s="3139"/>
      <c r="C173" s="3128"/>
      <c r="D173" s="1679">
        <f ca="1">'سایر غیرعملیاتی'!A33</f>
        <v>0</v>
      </c>
      <c r="E173" s="1150"/>
      <c r="F173" s="257"/>
      <c r="G173" s="257"/>
      <c r="H173" s="1712" t="str">
        <f t="shared" si="13"/>
        <v>-</v>
      </c>
      <c r="I173" s="1713" t="str">
        <f t="shared" si="14"/>
        <v>-</v>
      </c>
      <c r="N173" s="1674">
        <f t="shared" si="12"/>
        <v>0</v>
      </c>
    </row>
    <row r="174" spans="1:14" ht="18.75" customHeight="1">
      <c r="A174" s="3144"/>
      <c r="B174" s="3139"/>
      <c r="C174" s="3128"/>
      <c r="D174" s="1679">
        <f ca="1">'سایر غیرعملیاتی'!A34</f>
        <v>0</v>
      </c>
      <c r="E174" s="1150"/>
      <c r="F174" s="257"/>
      <c r="G174" s="257"/>
      <c r="H174" s="1712" t="str">
        <f t="shared" si="13"/>
        <v>-</v>
      </c>
      <c r="I174" s="1713" t="str">
        <f t="shared" si="14"/>
        <v>-</v>
      </c>
      <c r="N174" s="1674">
        <f t="shared" si="12"/>
        <v>0</v>
      </c>
    </row>
    <row r="175" spans="1:14" ht="18.75" customHeight="1">
      <c r="A175" s="3144"/>
      <c r="B175" s="3139"/>
      <c r="C175" s="3128"/>
      <c r="D175" s="1679">
        <f ca="1">'سایر غیرعملیاتی'!A35</f>
        <v>0</v>
      </c>
      <c r="E175" s="1150"/>
      <c r="F175" s="257"/>
      <c r="G175" s="257"/>
      <c r="H175" s="1712" t="str">
        <f t="shared" si="13"/>
        <v>-</v>
      </c>
      <c r="I175" s="1713" t="str">
        <f t="shared" si="14"/>
        <v>-</v>
      </c>
      <c r="N175" s="1674">
        <f t="shared" si="12"/>
        <v>0</v>
      </c>
    </row>
    <row r="176" spans="1:14" ht="18.75" customHeight="1">
      <c r="A176" s="3144"/>
      <c r="B176" s="3139"/>
      <c r="C176" s="3128"/>
      <c r="D176" s="1679">
        <f ca="1">'سایر غیرعملیاتی'!A36</f>
        <v>0</v>
      </c>
      <c r="E176" s="1150"/>
      <c r="F176" s="257"/>
      <c r="G176" s="257"/>
      <c r="H176" s="1712" t="str">
        <f t="shared" si="13"/>
        <v>-</v>
      </c>
      <c r="I176" s="1713" t="str">
        <f t="shared" si="14"/>
        <v>-</v>
      </c>
      <c r="N176" s="1674">
        <f t="shared" si="12"/>
        <v>0</v>
      </c>
    </row>
    <row r="177" spans="1:14" ht="18.75" customHeight="1">
      <c r="A177" s="3144"/>
      <c r="B177" s="3139"/>
      <c r="C177" s="3128"/>
      <c r="D177" s="1679">
        <f ca="1">'سایر غیرعملیاتی'!A37</f>
        <v>0</v>
      </c>
      <c r="E177" s="1150"/>
      <c r="F177" s="257"/>
      <c r="G177" s="257"/>
      <c r="H177" s="1712" t="str">
        <f t="shared" si="13"/>
        <v>-</v>
      </c>
      <c r="I177" s="1713" t="str">
        <f t="shared" si="14"/>
        <v>-</v>
      </c>
      <c r="N177" s="1674">
        <f t="shared" si="12"/>
        <v>0</v>
      </c>
    </row>
    <row r="178" spans="1:14" ht="18.75" customHeight="1" thickBot="1">
      <c r="A178" s="3144"/>
      <c r="B178" s="3139"/>
      <c r="C178" s="3128"/>
      <c r="D178" s="1679">
        <f ca="1">'سایر غیرعملیاتی'!A38</f>
        <v>0</v>
      </c>
      <c r="E178" s="1150"/>
      <c r="F178" s="257"/>
      <c r="G178" s="257"/>
      <c r="H178" s="1712" t="str">
        <f t="shared" si="13"/>
        <v>-</v>
      </c>
      <c r="I178" s="1713" t="str">
        <f t="shared" si="14"/>
        <v>-</v>
      </c>
      <c r="N178" s="1674">
        <f t="shared" si="12"/>
        <v>0</v>
      </c>
    </row>
    <row r="179" spans="1:14" ht="18.75" customHeight="1" thickBot="1">
      <c r="A179" s="3144"/>
      <c r="B179" s="3140"/>
      <c r="C179" s="1724" t="s">
        <v>168</v>
      </c>
      <c r="D179" s="1725"/>
      <c r="E179" s="1721">
        <f>SUM(E145:E178)</f>
        <v>0</v>
      </c>
      <c r="F179" s="966">
        <f>IFERROR(SUM(F145:F178),0)</f>
        <v>0</v>
      </c>
      <c r="G179" s="1722">
        <f>SUM(G145:G178)</f>
        <v>0</v>
      </c>
      <c r="H179" s="1714" t="str">
        <f t="shared" si="10"/>
        <v>-</v>
      </c>
      <c r="I179" s="1715" t="str">
        <f t="shared" si="11"/>
        <v>-</v>
      </c>
      <c r="N179" s="1674" t="s">
        <v>206</v>
      </c>
    </row>
    <row r="180" spans="1:14" ht="18.75" customHeight="1" thickBot="1">
      <c r="A180" s="3144"/>
      <c r="B180" s="3146" t="s">
        <v>1693</v>
      </c>
      <c r="C180" s="3147"/>
      <c r="D180" s="697" t="str">
        <f ca="1">IF(ROW()-ROW($A$6)&lt;'الف-ب-ج'!$L$9,INDIRECT("BudgetDB!GR"&amp;('الف-ب-ج'!$M$9+ROW()-ROW($A$6))),"")</f>
        <v>سرفصل</v>
      </c>
      <c r="E180" s="1150"/>
      <c r="F180" s="257"/>
      <c r="G180" s="257"/>
      <c r="H180" s="1712" t="str">
        <f t="shared" si="10"/>
        <v>-</v>
      </c>
      <c r="I180" s="1713" t="str">
        <f t="shared" si="11"/>
        <v>-</v>
      </c>
      <c r="N180" s="1674">
        <f t="shared" si="12"/>
        <v>0</v>
      </c>
    </row>
    <row r="181" spans="1:14" ht="18.75" customHeight="1" thickBot="1">
      <c r="A181" s="3145"/>
      <c r="B181" s="1723" t="s">
        <v>169</v>
      </c>
      <c r="C181" s="1724"/>
      <c r="D181" s="1725"/>
      <c r="E181" s="1721">
        <f>E179+E144+E180</f>
        <v>0</v>
      </c>
      <c r="F181" s="966">
        <f>IFERROR(F179+F144+F180,0)</f>
        <v>0</v>
      </c>
      <c r="G181" s="1722">
        <f>G179+G144+G180</f>
        <v>0</v>
      </c>
      <c r="H181" s="1714" t="str">
        <f t="shared" si="10"/>
        <v>-</v>
      </c>
      <c r="I181" s="1715" t="str">
        <f t="shared" si="11"/>
        <v>-</v>
      </c>
      <c r="N181" s="1674" t="s">
        <v>206</v>
      </c>
    </row>
    <row r="182" spans="1:14" ht="18.75" customHeight="1" thickBot="1">
      <c r="A182" s="1731" t="s">
        <v>170</v>
      </c>
      <c r="B182" s="1720"/>
      <c r="C182" s="1720"/>
      <c r="D182" s="1730"/>
      <c r="E182" s="1726">
        <f>E81-E181</f>
        <v>0</v>
      </c>
      <c r="F182" s="969">
        <f>F81-F181</f>
        <v>0</v>
      </c>
      <c r="G182" s="1727">
        <f>G81-G181</f>
        <v>0</v>
      </c>
      <c r="H182" s="1708" t="str">
        <f t="shared" si="10"/>
        <v>-</v>
      </c>
      <c r="I182" s="1709" t="str">
        <f t="shared" si="11"/>
        <v>-</v>
      </c>
      <c r="N182" s="1674" t="s">
        <v>206</v>
      </c>
    </row>
    <row r="183" spans="1:14" ht="18.75" customHeight="1" thickBot="1">
      <c r="A183" s="1732" t="s">
        <v>440</v>
      </c>
      <c r="B183" s="1720"/>
      <c r="C183" s="1720"/>
      <c r="D183" s="1730"/>
      <c r="E183" s="1152"/>
      <c r="F183" s="261"/>
      <c r="G183" s="261"/>
      <c r="H183" s="1718" t="str">
        <f t="shared" si="10"/>
        <v>-</v>
      </c>
      <c r="I183" s="1719" t="str">
        <f t="shared" si="11"/>
        <v>-</v>
      </c>
      <c r="N183" s="1674" t="s">
        <v>206</v>
      </c>
    </row>
    <row r="184" spans="1:14" ht="18.75" customHeight="1" thickBot="1">
      <c r="A184" s="1733" t="s">
        <v>298</v>
      </c>
      <c r="B184" s="1728"/>
      <c r="C184" s="1728"/>
      <c r="D184" s="1688"/>
      <c r="E184" s="1153"/>
      <c r="F184" s="693"/>
      <c r="G184" s="693"/>
      <c r="H184" s="1718" t="str">
        <f>IFERROR((G184-E184)*100/E184,"-")</f>
        <v>-</v>
      </c>
      <c r="I184" s="1719" t="str">
        <f>IFERROR(G184*100/F184,"-")</f>
        <v>-</v>
      </c>
      <c r="N184" s="1674" t="s">
        <v>206</v>
      </c>
    </row>
    <row r="185" spans="1:14" ht="18.75" customHeight="1" thickBot="1">
      <c r="A185" s="1732" t="s">
        <v>171</v>
      </c>
      <c r="B185" s="1720"/>
      <c r="C185" s="1720"/>
      <c r="D185" s="1730"/>
      <c r="E185" s="1721">
        <f>E182+E183+E184</f>
        <v>0</v>
      </c>
      <c r="F185" s="966">
        <f>IFERROR(F182+F183+F184,0)</f>
        <v>0</v>
      </c>
      <c r="G185" s="1722">
        <f>G182+G183+G184</f>
        <v>0</v>
      </c>
      <c r="H185" s="1714" t="str">
        <f t="shared" si="10"/>
        <v>-</v>
      </c>
      <c r="I185" s="1715" t="str">
        <f t="shared" si="11"/>
        <v>-</v>
      </c>
      <c r="N185" s="1674" t="s">
        <v>206</v>
      </c>
    </row>
    <row r="186" spans="1:14">
      <c r="N186" s="1674" t="s">
        <v>206</v>
      </c>
    </row>
    <row r="187" spans="1:14" s="42" customFormat="1" ht="24.95" customHeight="1">
      <c r="B187" s="8"/>
      <c r="C187" s="8"/>
      <c r="E187" s="8"/>
      <c r="I187" s="8"/>
      <c r="K187" s="74"/>
      <c r="N187" s="1079" t="s">
        <v>206</v>
      </c>
    </row>
    <row r="188" spans="1:14">
      <c r="N188" s="1673" t="s">
        <v>206</v>
      </c>
    </row>
    <row r="189" spans="1:14">
      <c r="N189" s="1673" t="s">
        <v>206</v>
      </c>
    </row>
    <row r="190" spans="1:14">
      <c r="A190" s="3112"/>
      <c r="B190" s="3112"/>
      <c r="C190" s="3112"/>
      <c r="D190" s="3112"/>
      <c r="E190" s="3112"/>
      <c r="F190" s="3112"/>
      <c r="G190" s="3112"/>
      <c r="H190" s="3112"/>
      <c r="I190" s="3112"/>
      <c r="N190" s="1673" t="s">
        <v>206</v>
      </c>
    </row>
    <row r="191" spans="1:14">
      <c r="N191" s="1673" t="s">
        <v>206</v>
      </c>
    </row>
    <row r="192" spans="1:14">
      <c r="N192" s="1673" t="s">
        <v>206</v>
      </c>
    </row>
    <row r="193" spans="14:14">
      <c r="N193" s="1673" t="s">
        <v>206</v>
      </c>
    </row>
    <row r="194" spans="14:14">
      <c r="N194" s="1673" t="s">
        <v>206</v>
      </c>
    </row>
    <row r="195" spans="14:14">
      <c r="N195" s="1673" t="s">
        <v>206</v>
      </c>
    </row>
    <row r="196" spans="14:14">
      <c r="N196" s="1673" t="s">
        <v>206</v>
      </c>
    </row>
    <row r="197" spans="14:14">
      <c r="N197" s="1673" t="s">
        <v>206</v>
      </c>
    </row>
    <row r="198" spans="14:14">
      <c r="N198" s="1673" t="s">
        <v>206</v>
      </c>
    </row>
    <row r="199" spans="14:14">
      <c r="N199" s="1673" t="s">
        <v>206</v>
      </c>
    </row>
    <row r="200" spans="14:14">
      <c r="N200" s="1673" t="s">
        <v>206</v>
      </c>
    </row>
    <row r="201" spans="14:14">
      <c r="N201" s="1673" t="s">
        <v>206</v>
      </c>
    </row>
    <row r="202" spans="14:14">
      <c r="N202" s="1673" t="s">
        <v>206</v>
      </c>
    </row>
    <row r="203" spans="14:14">
      <c r="N203" s="1673" t="s">
        <v>206</v>
      </c>
    </row>
    <row r="204" spans="14:14">
      <c r="N204" s="1673" t="s">
        <v>206</v>
      </c>
    </row>
    <row r="205" spans="14:14">
      <c r="N205" s="1673" t="s">
        <v>206</v>
      </c>
    </row>
  </sheetData>
  <sheetProtection algorithmName="SHA-512" hashValue="osyMIBdZ5FcNNz+f6bS+KQBsDTLkBx3Y60Y6oBlt6ho5Q4p09Do8P5Y6P2xvr8vev3hOK7KGbhUnYM6oJx9axQ==" saltValue="wxLSBOGUgsrm0tt4n02zwA==" spinCount="100000" sheet="1" objects="1" scenarios="1"/>
  <mergeCells count="32">
    <mergeCell ref="A190:I190"/>
    <mergeCell ref="A82:A181"/>
    <mergeCell ref="B145:B179"/>
    <mergeCell ref="B180:C180"/>
    <mergeCell ref="B82:B144"/>
    <mergeCell ref="C131:C135"/>
    <mergeCell ref="C82:C89"/>
    <mergeCell ref="C90:C99"/>
    <mergeCell ref="C118:C130"/>
    <mergeCell ref="C136:C139"/>
    <mergeCell ref="C103:C117"/>
    <mergeCell ref="C141:C143"/>
    <mergeCell ref="C151:C158"/>
    <mergeCell ref="C164:C178"/>
    <mergeCell ref="C159:C163"/>
    <mergeCell ref="C145:C150"/>
    <mergeCell ref="A1:I1"/>
    <mergeCell ref="E4:E5"/>
    <mergeCell ref="C55:C58"/>
    <mergeCell ref="C45:C47"/>
    <mergeCell ref="C26:C29"/>
    <mergeCell ref="C21:C25"/>
    <mergeCell ref="A6:A81"/>
    <mergeCell ref="B6:B48"/>
    <mergeCell ref="C6:C10"/>
    <mergeCell ref="C11:C20"/>
    <mergeCell ref="B49:B79"/>
    <mergeCell ref="C30:C44"/>
    <mergeCell ref="B80:C80"/>
    <mergeCell ref="C59:C63"/>
    <mergeCell ref="C64:C78"/>
    <mergeCell ref="C49:C54"/>
  </mergeCells>
  <printOptions horizontalCentered="1"/>
  <pageMargins left="0.59055118110236227" right="0.59055118110236227" top="0.19685039370078741" bottom="0.78740157480314965" header="0.19685039370078741" footer="0.19685039370078741"/>
  <pageSetup paperSize="9" scale="5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7">
    <tabColor rgb="FF00B0F0"/>
    <pageSetUpPr fitToPage="1"/>
  </sheetPr>
  <dimension ref="A1:M68"/>
  <sheetViews>
    <sheetView rightToLeft="1" view="pageBreakPreview" zoomScale="60" zoomScaleNormal="100" workbookViewId="0">
      <selection activeCell="D19" sqref="D19"/>
    </sheetView>
  </sheetViews>
  <sheetFormatPr defaultColWidth="9" defaultRowHeight="12.75"/>
  <cols>
    <col min="1" max="1" width="7.5703125" style="970" customWidth="1"/>
    <col min="2" max="2" width="32.5703125" style="970" customWidth="1"/>
    <col min="3" max="8" width="12.5703125" style="970" customWidth="1"/>
    <col min="9" max="10" width="9" style="970"/>
    <col min="11" max="12" width="9" style="1734" hidden="1" customWidth="1"/>
    <col min="13" max="13" width="0" style="1734" hidden="1" customWidth="1"/>
    <col min="14" max="16384" width="9" style="970"/>
  </cols>
  <sheetData>
    <row r="1" spans="1:13" s="5" customFormat="1" ht="24" customHeight="1">
      <c r="A1" s="2685" t="str">
        <f>روکش!D4</f>
        <v>انبارهای عمومی و خدمات گمرکی ایران</v>
      </c>
      <c r="B1" s="2685"/>
      <c r="C1" s="2685"/>
      <c r="D1" s="2685"/>
      <c r="E1" s="2685"/>
      <c r="F1" s="2685"/>
      <c r="G1" s="2685"/>
      <c r="H1" s="2685"/>
      <c r="K1" s="41"/>
      <c r="L1" s="41"/>
      <c r="M1" s="41"/>
    </row>
    <row r="2" spans="1:13" s="52" customFormat="1" ht="28.5" customHeight="1">
      <c r="A2" s="1206" t="str">
        <f>"گزارش مقایسه‌ای نرخ‌های فروش و بهای تمام شده محصول تولیدی در دوره " &amp; روکش!F9 &amp; " سال " &amp; روکش!D9</f>
        <v>گزارش مقایسه‌ای نرخ‌های فروش و بهای تمام شده محصول تولیدی در دوره شش ماهه سال 1405</v>
      </c>
      <c r="B2" s="1206"/>
      <c r="C2" s="1206"/>
      <c r="D2" s="1206"/>
      <c r="E2" s="1203"/>
      <c r="F2" s="1203"/>
      <c r="G2" s="1203"/>
      <c r="H2" s="1203"/>
      <c r="I2" s="1248"/>
      <c r="K2" s="1077"/>
      <c r="L2" s="1077"/>
      <c r="M2" s="1077"/>
    </row>
    <row r="3" spans="1:13" ht="20.100000000000001" customHeight="1" thickBot="1">
      <c r="A3" s="1735"/>
      <c r="B3" s="1735"/>
      <c r="C3" s="1735"/>
      <c r="D3" s="570"/>
      <c r="E3" s="570"/>
      <c r="F3" s="568"/>
      <c r="G3" s="1736"/>
      <c r="H3" s="1737" t="s">
        <v>191</v>
      </c>
    </row>
    <row r="4" spans="1:13" ht="25.5" customHeight="1" thickBot="1">
      <c r="A4" s="3152" t="s">
        <v>72</v>
      </c>
      <c r="B4" s="3155" t="s">
        <v>190</v>
      </c>
      <c r="C4" s="1738" t="s">
        <v>683</v>
      </c>
      <c r="D4" s="1739"/>
      <c r="E4" s="1740"/>
      <c r="F4" s="1738" t="s">
        <v>642</v>
      </c>
      <c r="G4" s="1739"/>
      <c r="H4" s="1740"/>
    </row>
    <row r="5" spans="1:13" ht="21">
      <c r="A5" s="3153"/>
      <c r="B5" s="3156"/>
      <c r="C5" s="1741" t="s">
        <v>1487</v>
      </c>
      <c r="D5" s="1742"/>
      <c r="E5" s="1743"/>
      <c r="F5" s="1741" t="s">
        <v>1487</v>
      </c>
      <c r="G5" s="1742"/>
      <c r="H5" s="1743"/>
    </row>
    <row r="6" spans="1:13" ht="48.75" customHeight="1" thickBot="1">
      <c r="A6" s="3154"/>
      <c r="B6" s="3157"/>
      <c r="C6" s="571" t="s">
        <v>1490</v>
      </c>
      <c r="D6" s="572" t="s">
        <v>74</v>
      </c>
      <c r="E6" s="573" t="s">
        <v>1488</v>
      </c>
      <c r="F6" s="571" t="s">
        <v>1490</v>
      </c>
      <c r="G6" s="572" t="s">
        <v>74</v>
      </c>
      <c r="H6" s="573" t="s">
        <v>1488</v>
      </c>
      <c r="K6" s="1734" t="s">
        <v>795</v>
      </c>
      <c r="L6" s="1734" t="s">
        <v>796</v>
      </c>
    </row>
    <row r="7" spans="1:13" ht="30" customHeight="1">
      <c r="A7" s="574">
        <v>1</v>
      </c>
      <c r="B7" s="1744">
        <f ca="1">'مقادیر تولید'!B6</f>
        <v>0</v>
      </c>
      <c r="C7" s="1745">
        <f>'فروش داخلی تولیدی'!E7</f>
        <v>0</v>
      </c>
      <c r="D7" s="1154"/>
      <c r="E7" s="1753">
        <f>IFERROR(C7-D7,"-")</f>
        <v>0</v>
      </c>
      <c r="F7" s="1745">
        <f>'فروش داخلی تولیدی'!K7</f>
        <v>0</v>
      </c>
      <c r="G7" s="262"/>
      <c r="H7" s="577">
        <f>IFERROR(F7-G7,"-")</f>
        <v>0</v>
      </c>
      <c r="K7" s="1734">
        <f ca="1">IFERROR(VLOOKUP(B7,'درآمد صادرات'!$B$7:$Q$18,8,FALSE),0)+'فروش داخلی تولیدی'!D7</f>
        <v>0</v>
      </c>
      <c r="L7" s="1734">
        <f ca="1">IFERROR(VLOOKUP(B7,'درآمد صادرات'!$B$7:$Q$18,14,FALSE),0)+'فروش داخلی تولیدی'!J7</f>
        <v>0</v>
      </c>
    </row>
    <row r="8" spans="1:13" ht="30" customHeight="1">
      <c r="A8" s="575">
        <v>2</v>
      </c>
      <c r="B8" s="1746">
        <f ca="1">'مقادیر تولید'!B7</f>
        <v>0</v>
      </c>
      <c r="C8" s="1747">
        <f>'فروش داخلی تولیدی'!E8</f>
        <v>0</v>
      </c>
      <c r="D8" s="263"/>
      <c r="E8" s="577">
        <f t="shared" ref="E8:E26" si="0">IFERROR(C8-D8,"-")</f>
        <v>0</v>
      </c>
      <c r="F8" s="1747">
        <f>'فروش داخلی تولیدی'!K8</f>
        <v>0</v>
      </c>
      <c r="G8" s="263"/>
      <c r="H8" s="577">
        <f t="shared" ref="H8:H26" si="1">IFERROR(F8-G8,"-")</f>
        <v>0</v>
      </c>
      <c r="K8" s="1734">
        <f ca="1">IFERROR(VLOOKUP(B8,'درآمد صادرات'!$B$7:$Q$18,8,FALSE),0)+'فروش داخلی تولیدی'!D8</f>
        <v>0</v>
      </c>
      <c r="L8" s="1734">
        <f ca="1">IFERROR(VLOOKUP(B8,'درآمد صادرات'!$B$7:$Q$18,14,FALSE),0)+'فروش داخلی تولیدی'!J8</f>
        <v>0</v>
      </c>
    </row>
    <row r="9" spans="1:13" ht="30" customHeight="1">
      <c r="A9" s="575">
        <v>3</v>
      </c>
      <c r="B9" s="1746">
        <f ca="1">'مقادیر تولید'!B8</f>
        <v>0</v>
      </c>
      <c r="C9" s="1747">
        <f>'فروش داخلی تولیدی'!E9</f>
        <v>0</v>
      </c>
      <c r="D9" s="263"/>
      <c r="E9" s="577">
        <f t="shared" si="0"/>
        <v>0</v>
      </c>
      <c r="F9" s="1747">
        <f>'فروش داخلی تولیدی'!K9</f>
        <v>0</v>
      </c>
      <c r="G9" s="263"/>
      <c r="H9" s="577">
        <f t="shared" si="1"/>
        <v>0</v>
      </c>
      <c r="K9" s="1734">
        <f ca="1">IFERROR(VLOOKUP(B9,'درآمد صادرات'!$B$7:$Q$18,8,FALSE),0)+'فروش داخلی تولیدی'!D9</f>
        <v>0</v>
      </c>
      <c r="L9" s="1734">
        <f ca="1">IFERROR(VLOOKUP(B9,'درآمد صادرات'!$B$7:$Q$18,14,FALSE),0)+'فروش داخلی تولیدی'!J9</f>
        <v>0</v>
      </c>
    </row>
    <row r="10" spans="1:13" ht="30" customHeight="1">
      <c r="A10" s="575">
        <v>4</v>
      </c>
      <c r="B10" s="1746">
        <f ca="1">'مقادیر تولید'!B9</f>
        <v>0</v>
      </c>
      <c r="C10" s="1747">
        <f>'فروش داخلی تولیدی'!E10</f>
        <v>0</v>
      </c>
      <c r="D10" s="263"/>
      <c r="E10" s="577">
        <f t="shared" si="0"/>
        <v>0</v>
      </c>
      <c r="F10" s="1747">
        <f>'فروش داخلی تولیدی'!K10</f>
        <v>0</v>
      </c>
      <c r="G10" s="263"/>
      <c r="H10" s="577">
        <f t="shared" si="1"/>
        <v>0</v>
      </c>
      <c r="K10" s="1734">
        <f ca="1">IFERROR(VLOOKUP(B10,'درآمد صادرات'!$B$7:$Q$18,8,FALSE),0)+'فروش داخلی تولیدی'!D10</f>
        <v>0</v>
      </c>
      <c r="L10" s="1734">
        <f ca="1">IFERROR(VLOOKUP(B10,'درآمد صادرات'!$B$7:$Q$18,14,FALSE),0)+'فروش داخلی تولیدی'!J10</f>
        <v>0</v>
      </c>
    </row>
    <row r="11" spans="1:13" ht="30" customHeight="1">
      <c r="A11" s="575">
        <v>5</v>
      </c>
      <c r="B11" s="1746">
        <f ca="1">'مقادیر تولید'!B10</f>
        <v>0</v>
      </c>
      <c r="C11" s="1747">
        <f>'فروش داخلی تولیدی'!E11</f>
        <v>0</v>
      </c>
      <c r="D11" s="263"/>
      <c r="E11" s="577">
        <f t="shared" si="0"/>
        <v>0</v>
      </c>
      <c r="F11" s="1747">
        <f>'فروش داخلی تولیدی'!K11</f>
        <v>0</v>
      </c>
      <c r="G11" s="263"/>
      <c r="H11" s="577">
        <f t="shared" si="1"/>
        <v>0</v>
      </c>
      <c r="K11" s="1734">
        <f ca="1">IFERROR(VLOOKUP(B11,'درآمد صادرات'!$B$7:$Q$18,8,FALSE),0)+'فروش داخلی تولیدی'!D11</f>
        <v>0</v>
      </c>
      <c r="L11" s="1734">
        <f ca="1">IFERROR(VLOOKUP(B11,'درآمد صادرات'!$B$7:$Q$18,14,FALSE),0)+'فروش داخلی تولیدی'!J11</f>
        <v>0</v>
      </c>
    </row>
    <row r="12" spans="1:13" ht="30" customHeight="1">
      <c r="A12" s="575">
        <v>6</v>
      </c>
      <c r="B12" s="1746">
        <f ca="1">'مقادیر تولید'!B11</f>
        <v>0</v>
      </c>
      <c r="C12" s="1747">
        <f>'فروش داخلی تولیدی'!E12</f>
        <v>0</v>
      </c>
      <c r="D12" s="263"/>
      <c r="E12" s="577">
        <f t="shared" si="0"/>
        <v>0</v>
      </c>
      <c r="F12" s="1747">
        <f>'فروش داخلی تولیدی'!K12</f>
        <v>0</v>
      </c>
      <c r="G12" s="263"/>
      <c r="H12" s="577">
        <f t="shared" si="1"/>
        <v>0</v>
      </c>
      <c r="K12" s="1734">
        <f ca="1">IFERROR(VLOOKUP(B12,'درآمد صادرات'!$B$7:$Q$18,8,FALSE),0)+'فروش داخلی تولیدی'!D12</f>
        <v>0</v>
      </c>
      <c r="L12" s="1734">
        <f ca="1">IFERROR(VLOOKUP(B12,'درآمد صادرات'!$B$7:$Q$18,14,FALSE),0)+'فروش داخلی تولیدی'!J12</f>
        <v>0</v>
      </c>
    </row>
    <row r="13" spans="1:13" ht="30" customHeight="1">
      <c r="A13" s="575">
        <v>7</v>
      </c>
      <c r="B13" s="1746">
        <f ca="1">'مقادیر تولید'!B12</f>
        <v>0</v>
      </c>
      <c r="C13" s="1747">
        <f>'فروش داخلی تولیدی'!E13</f>
        <v>0</v>
      </c>
      <c r="D13" s="263"/>
      <c r="E13" s="577">
        <f t="shared" si="0"/>
        <v>0</v>
      </c>
      <c r="F13" s="1747">
        <f>'فروش داخلی تولیدی'!K13</f>
        <v>0</v>
      </c>
      <c r="G13" s="263"/>
      <c r="H13" s="577">
        <f t="shared" si="1"/>
        <v>0</v>
      </c>
      <c r="K13" s="1734">
        <f ca="1">IFERROR(VLOOKUP(B13,'درآمد صادرات'!$B$7:$Q$18,8,FALSE),0)+'فروش داخلی تولیدی'!D13</f>
        <v>0</v>
      </c>
      <c r="L13" s="1734">
        <f ca="1">IFERROR(VLOOKUP(B13,'درآمد صادرات'!$B$7:$Q$18,14,FALSE),0)+'فروش داخلی تولیدی'!J13</f>
        <v>0</v>
      </c>
    </row>
    <row r="14" spans="1:13" ht="30" customHeight="1">
      <c r="A14" s="575">
        <v>8</v>
      </c>
      <c r="B14" s="1746">
        <f ca="1">'مقادیر تولید'!B13</f>
        <v>0</v>
      </c>
      <c r="C14" s="1747">
        <f>'فروش داخلی تولیدی'!E14</f>
        <v>0</v>
      </c>
      <c r="D14" s="263"/>
      <c r="E14" s="577">
        <f t="shared" si="0"/>
        <v>0</v>
      </c>
      <c r="F14" s="1747">
        <f>'فروش داخلی تولیدی'!K14</f>
        <v>0</v>
      </c>
      <c r="G14" s="263"/>
      <c r="H14" s="577">
        <f t="shared" si="1"/>
        <v>0</v>
      </c>
      <c r="K14" s="1734">
        <f ca="1">IFERROR(VLOOKUP(B14,'درآمد صادرات'!$B$7:$Q$18,8,FALSE),0)+'فروش داخلی تولیدی'!D14</f>
        <v>0</v>
      </c>
      <c r="L14" s="1734">
        <f ca="1">IFERROR(VLOOKUP(B14,'درآمد صادرات'!$B$7:$Q$18,14,FALSE),0)+'فروش داخلی تولیدی'!J14</f>
        <v>0</v>
      </c>
    </row>
    <row r="15" spans="1:13" ht="30" customHeight="1">
      <c r="A15" s="575">
        <v>9</v>
      </c>
      <c r="B15" s="1746">
        <f ca="1">'مقادیر تولید'!B14</f>
        <v>0</v>
      </c>
      <c r="C15" s="1747">
        <f>'فروش داخلی تولیدی'!E15</f>
        <v>0</v>
      </c>
      <c r="D15" s="263"/>
      <c r="E15" s="577">
        <f t="shared" si="0"/>
        <v>0</v>
      </c>
      <c r="F15" s="1747">
        <f>'فروش داخلی تولیدی'!K15</f>
        <v>0</v>
      </c>
      <c r="G15" s="263"/>
      <c r="H15" s="577">
        <f t="shared" si="1"/>
        <v>0</v>
      </c>
      <c r="K15" s="1734">
        <f ca="1">IFERROR(VLOOKUP(B15,'درآمد صادرات'!$B$7:$Q$18,8,FALSE),0)+'فروش داخلی تولیدی'!D15</f>
        <v>0</v>
      </c>
      <c r="L15" s="1734">
        <f ca="1">IFERROR(VLOOKUP(B15,'درآمد صادرات'!$B$7:$Q$18,14,FALSE),0)+'فروش داخلی تولیدی'!J15</f>
        <v>0</v>
      </c>
    </row>
    <row r="16" spans="1:13" ht="30" customHeight="1">
      <c r="A16" s="575">
        <v>10</v>
      </c>
      <c r="B16" s="1746">
        <f ca="1">'مقادیر تولید'!B15</f>
        <v>0</v>
      </c>
      <c r="C16" s="1747">
        <f>'فروش داخلی تولیدی'!E16</f>
        <v>0</v>
      </c>
      <c r="D16" s="263"/>
      <c r="E16" s="577">
        <f t="shared" si="0"/>
        <v>0</v>
      </c>
      <c r="F16" s="1747">
        <f>'فروش داخلی تولیدی'!K16</f>
        <v>0</v>
      </c>
      <c r="G16" s="263"/>
      <c r="H16" s="577">
        <f t="shared" si="1"/>
        <v>0</v>
      </c>
      <c r="K16" s="1734">
        <f ca="1">IFERROR(VLOOKUP(B16,'درآمد صادرات'!$B$7:$Q$18,8,FALSE),0)+'فروش داخلی تولیدی'!D16</f>
        <v>0</v>
      </c>
      <c r="L16" s="1734">
        <f ca="1">IFERROR(VLOOKUP(B16,'درآمد صادرات'!$B$7:$Q$18,14,FALSE),0)+'فروش داخلی تولیدی'!J16</f>
        <v>0</v>
      </c>
    </row>
    <row r="17" spans="1:12" ht="30" customHeight="1">
      <c r="A17" s="575">
        <v>11</v>
      </c>
      <c r="B17" s="1746">
        <f ca="1">'مقادیر تولید'!B16</f>
        <v>0</v>
      </c>
      <c r="C17" s="1747">
        <f>'فروش داخلی تولیدی'!E17</f>
        <v>0</v>
      </c>
      <c r="D17" s="263"/>
      <c r="E17" s="577">
        <f t="shared" si="0"/>
        <v>0</v>
      </c>
      <c r="F17" s="1747">
        <f>'فروش داخلی تولیدی'!K17</f>
        <v>0</v>
      </c>
      <c r="G17" s="263"/>
      <c r="H17" s="577">
        <f t="shared" si="1"/>
        <v>0</v>
      </c>
      <c r="K17" s="1734">
        <f ca="1">IFERROR(VLOOKUP(B17,'درآمد صادرات'!$B$7:$Q$18,8,FALSE),0)+'فروش داخلی تولیدی'!D17</f>
        <v>0</v>
      </c>
      <c r="L17" s="1734">
        <f ca="1">IFERROR(VLOOKUP(B17,'درآمد صادرات'!$B$7:$Q$18,14,FALSE),0)+'فروش داخلی تولیدی'!J17</f>
        <v>0</v>
      </c>
    </row>
    <row r="18" spans="1:12" ht="30" customHeight="1">
      <c r="A18" s="575">
        <v>12</v>
      </c>
      <c r="B18" s="1746">
        <f ca="1">'مقادیر تولید'!B17</f>
        <v>0</v>
      </c>
      <c r="C18" s="1747">
        <f>'فروش داخلی تولیدی'!E18</f>
        <v>0</v>
      </c>
      <c r="D18" s="263"/>
      <c r="E18" s="577">
        <f t="shared" si="0"/>
        <v>0</v>
      </c>
      <c r="F18" s="1747">
        <f>'فروش داخلی تولیدی'!K18</f>
        <v>0</v>
      </c>
      <c r="G18" s="263"/>
      <c r="H18" s="577">
        <f t="shared" si="1"/>
        <v>0</v>
      </c>
      <c r="K18" s="1734">
        <f ca="1">IFERROR(VLOOKUP(B18,'درآمد صادرات'!$B$7:$Q$18,8,FALSE),0)+'فروش داخلی تولیدی'!D18</f>
        <v>0</v>
      </c>
      <c r="L18" s="1734">
        <f ca="1">IFERROR(VLOOKUP(B18,'درآمد صادرات'!$B$7:$Q$18,14,FALSE),0)+'فروش داخلی تولیدی'!J18</f>
        <v>0</v>
      </c>
    </row>
    <row r="19" spans="1:12" ht="30" customHeight="1">
      <c r="A19" s="575">
        <v>13</v>
      </c>
      <c r="B19" s="1746">
        <f ca="1">'مقادیر تولید'!B18</f>
        <v>0</v>
      </c>
      <c r="C19" s="1747">
        <f>'فروش داخلی تولیدی'!E19</f>
        <v>0</v>
      </c>
      <c r="D19" s="263"/>
      <c r="E19" s="577">
        <f t="shared" si="0"/>
        <v>0</v>
      </c>
      <c r="F19" s="1747">
        <f>'فروش داخلی تولیدی'!K19</f>
        <v>0</v>
      </c>
      <c r="G19" s="263"/>
      <c r="H19" s="577">
        <f t="shared" si="1"/>
        <v>0</v>
      </c>
      <c r="K19" s="1734">
        <f ca="1">IFERROR(VLOOKUP(B19,'درآمد صادرات'!$B$7:$Q$18,8,FALSE),0)+'فروش داخلی تولیدی'!D19</f>
        <v>0</v>
      </c>
      <c r="L19" s="1734">
        <f ca="1">IFERROR(VLOOKUP(B19,'درآمد صادرات'!$B$7:$Q$18,14,FALSE),0)+'فروش داخلی تولیدی'!J19</f>
        <v>0</v>
      </c>
    </row>
    <row r="20" spans="1:12" ht="30" customHeight="1">
      <c r="A20" s="575">
        <v>14</v>
      </c>
      <c r="B20" s="1746">
        <f ca="1">'مقادیر تولید'!B19</f>
        <v>0</v>
      </c>
      <c r="C20" s="1747">
        <f>'فروش داخلی تولیدی'!E20</f>
        <v>0</v>
      </c>
      <c r="D20" s="263"/>
      <c r="E20" s="577">
        <f t="shared" si="0"/>
        <v>0</v>
      </c>
      <c r="F20" s="1747">
        <f>'فروش داخلی تولیدی'!K20</f>
        <v>0</v>
      </c>
      <c r="G20" s="263"/>
      <c r="H20" s="577">
        <f t="shared" si="1"/>
        <v>0</v>
      </c>
      <c r="K20" s="1734">
        <f ca="1">IFERROR(VLOOKUP(B20,'درآمد صادرات'!$B$7:$Q$18,8,FALSE),0)+'فروش داخلی تولیدی'!D20</f>
        <v>0</v>
      </c>
      <c r="L20" s="1734">
        <f ca="1">IFERROR(VLOOKUP(B20,'درآمد صادرات'!$B$7:$Q$18,14,FALSE),0)+'فروش داخلی تولیدی'!J20</f>
        <v>0</v>
      </c>
    </row>
    <row r="21" spans="1:12" ht="30" customHeight="1">
      <c r="A21" s="1748">
        <v>15</v>
      </c>
      <c r="B21" s="1749">
        <f ca="1">'مقادیر تولید'!B20</f>
        <v>0</v>
      </c>
      <c r="C21" s="1750">
        <f>'فروش داخلی تولیدی'!E21</f>
        <v>0</v>
      </c>
      <c r="D21" s="264"/>
      <c r="E21" s="577">
        <f t="shared" si="0"/>
        <v>0</v>
      </c>
      <c r="F21" s="1750">
        <f>'فروش داخلی تولیدی'!K21</f>
        <v>0</v>
      </c>
      <c r="G21" s="264"/>
      <c r="H21" s="577">
        <f t="shared" si="1"/>
        <v>0</v>
      </c>
      <c r="K21" s="1734">
        <f ca="1">IFERROR(VLOOKUP(B21,'درآمد صادرات'!$B$7:$Q$18,8,FALSE),0)+'فروش داخلی تولیدی'!D21</f>
        <v>0</v>
      </c>
      <c r="L21" s="1734">
        <f ca="1">IFERROR(VLOOKUP(B21,'درآمد صادرات'!$B$7:$Q$18,14,FALSE),0)+'فروش داخلی تولیدی'!J21</f>
        <v>0</v>
      </c>
    </row>
    <row r="22" spans="1:12" ht="30" customHeight="1">
      <c r="A22" s="1748">
        <v>16</v>
      </c>
      <c r="B22" s="1749">
        <f ca="1">'مقادیر تولید'!B21</f>
        <v>0</v>
      </c>
      <c r="C22" s="1750">
        <f>'فروش داخلی تولیدی'!E22</f>
        <v>0</v>
      </c>
      <c r="D22" s="264"/>
      <c r="E22" s="577">
        <f t="shared" si="0"/>
        <v>0</v>
      </c>
      <c r="F22" s="1750">
        <f>'فروش داخلی تولیدی'!K22</f>
        <v>0</v>
      </c>
      <c r="G22" s="264"/>
      <c r="H22" s="577">
        <f t="shared" si="1"/>
        <v>0</v>
      </c>
      <c r="K22" s="1734">
        <f ca="1">IFERROR(VLOOKUP(B22,'درآمد صادرات'!$B$7:$Q$18,8,FALSE),0)+'فروش داخلی تولیدی'!D22</f>
        <v>0</v>
      </c>
      <c r="L22" s="1734">
        <f ca="1">IFERROR(VLOOKUP(B22,'درآمد صادرات'!$B$7:$Q$18,14,FALSE),0)+'فروش داخلی تولیدی'!J22</f>
        <v>0</v>
      </c>
    </row>
    <row r="23" spans="1:12" ht="30" customHeight="1">
      <c r="A23" s="1748">
        <v>17</v>
      </c>
      <c r="B23" s="1749">
        <f ca="1">'مقادیر تولید'!B22</f>
        <v>0</v>
      </c>
      <c r="C23" s="1750">
        <f>'فروش داخلی تولیدی'!E23</f>
        <v>0</v>
      </c>
      <c r="D23" s="264"/>
      <c r="E23" s="577">
        <f t="shared" si="0"/>
        <v>0</v>
      </c>
      <c r="F23" s="1750">
        <f>'فروش داخلی تولیدی'!K23</f>
        <v>0</v>
      </c>
      <c r="G23" s="264"/>
      <c r="H23" s="577">
        <f t="shared" si="1"/>
        <v>0</v>
      </c>
      <c r="K23" s="1734">
        <f ca="1">IFERROR(VLOOKUP(B23,'درآمد صادرات'!$B$7:$Q$18,8,FALSE),0)+'فروش داخلی تولیدی'!D23</f>
        <v>0</v>
      </c>
      <c r="L23" s="1734">
        <f ca="1">IFERROR(VLOOKUP(B23,'درآمد صادرات'!$B$7:$Q$18,14,FALSE),0)+'فروش داخلی تولیدی'!J23</f>
        <v>0</v>
      </c>
    </row>
    <row r="24" spans="1:12" ht="30" customHeight="1">
      <c r="A24" s="1748">
        <v>18</v>
      </c>
      <c r="B24" s="1749">
        <f ca="1">'مقادیر تولید'!B23</f>
        <v>0</v>
      </c>
      <c r="C24" s="1750">
        <f>'فروش داخلی تولیدی'!E24</f>
        <v>0</v>
      </c>
      <c r="D24" s="264"/>
      <c r="E24" s="577">
        <f t="shared" si="0"/>
        <v>0</v>
      </c>
      <c r="F24" s="1750">
        <f>'فروش داخلی تولیدی'!K24</f>
        <v>0</v>
      </c>
      <c r="G24" s="264"/>
      <c r="H24" s="577">
        <f t="shared" si="1"/>
        <v>0</v>
      </c>
      <c r="K24" s="1734">
        <f ca="1">IFERROR(VLOOKUP(B24,'درآمد صادرات'!$B$7:$Q$18,8,FALSE),0)+'فروش داخلی تولیدی'!D24</f>
        <v>0</v>
      </c>
      <c r="L24" s="1734">
        <f ca="1">IFERROR(VLOOKUP(B24,'درآمد صادرات'!$B$7:$Q$18,14,FALSE),0)+'فروش داخلی تولیدی'!J24</f>
        <v>0</v>
      </c>
    </row>
    <row r="25" spans="1:12" ht="30" customHeight="1">
      <c r="A25" s="1748">
        <v>19</v>
      </c>
      <c r="B25" s="1749">
        <f ca="1">'مقادیر تولید'!B24</f>
        <v>0</v>
      </c>
      <c r="C25" s="1750">
        <f>'فروش داخلی تولیدی'!E25</f>
        <v>0</v>
      </c>
      <c r="D25" s="264"/>
      <c r="E25" s="577">
        <f t="shared" si="0"/>
        <v>0</v>
      </c>
      <c r="F25" s="1750">
        <f>'فروش داخلی تولیدی'!K25</f>
        <v>0</v>
      </c>
      <c r="G25" s="264"/>
      <c r="H25" s="577">
        <f t="shared" si="1"/>
        <v>0</v>
      </c>
      <c r="K25" s="1734">
        <f ca="1">IFERROR(VLOOKUP(B25,'درآمد صادرات'!$B$7:$Q$18,8,FALSE),0)+'فروش داخلی تولیدی'!D25</f>
        <v>0</v>
      </c>
      <c r="L25" s="1734">
        <f ca="1">IFERROR(VLOOKUP(B25,'درآمد صادرات'!$B$7:$Q$18,14,FALSE),0)+'فروش داخلی تولیدی'!J25</f>
        <v>0</v>
      </c>
    </row>
    <row r="26" spans="1:12" ht="30" customHeight="1" thickBot="1">
      <c r="A26" s="576">
        <v>20</v>
      </c>
      <c r="B26" s="1751">
        <f ca="1">'مقادیر تولید'!B25</f>
        <v>0</v>
      </c>
      <c r="C26" s="1752">
        <f>'فروش داخلی تولیدی'!E26</f>
        <v>0</v>
      </c>
      <c r="D26" s="265"/>
      <c r="E26" s="578">
        <f t="shared" si="0"/>
        <v>0</v>
      </c>
      <c r="F26" s="1752">
        <f>'فروش داخلی تولیدی'!K26</f>
        <v>0</v>
      </c>
      <c r="G26" s="265"/>
      <c r="H26" s="578">
        <f t="shared" si="1"/>
        <v>0</v>
      </c>
      <c r="K26" s="1734">
        <f ca="1">IFERROR(VLOOKUP(B26,'درآمد صادرات'!$B$7:$Q$18,8,FALSE),0)+'فروش داخلی تولیدی'!D26</f>
        <v>0</v>
      </c>
      <c r="L26" s="1734">
        <f ca="1">IFERROR(VLOOKUP(B26,'درآمد صادرات'!$B$7:$Q$18,14,FALSE),0)+'فروش داخلی تولیدی'!J26</f>
        <v>0</v>
      </c>
    </row>
    <row r="27" spans="1:12" ht="10.5" customHeight="1">
      <c r="A27" s="972"/>
      <c r="B27" s="971"/>
      <c r="C27" s="971"/>
      <c r="D27" s="971"/>
      <c r="E27" s="971"/>
      <c r="F27" s="971"/>
      <c r="G27" s="971"/>
      <c r="H27" s="971"/>
    </row>
    <row r="28" spans="1:12" ht="25.5" customHeight="1">
      <c r="A28" s="971"/>
      <c r="B28" s="8"/>
      <c r="C28" s="8"/>
      <c r="D28" s="8"/>
      <c r="E28" s="9"/>
      <c r="F28" s="964"/>
      <c r="G28" s="8"/>
      <c r="H28" s="964"/>
    </row>
    <row r="29" spans="1:12" ht="17.25">
      <c r="A29" s="971"/>
      <c r="B29" s="971"/>
      <c r="C29" s="971"/>
      <c r="D29" s="971"/>
      <c r="E29" s="971"/>
      <c r="F29" s="971"/>
      <c r="G29" s="971"/>
      <c r="H29" s="971"/>
    </row>
    <row r="30" spans="1:12" ht="17.25">
      <c r="A30" s="971"/>
      <c r="B30" s="971"/>
      <c r="C30" s="971"/>
      <c r="D30" s="971"/>
      <c r="E30" s="971"/>
      <c r="F30" s="971"/>
      <c r="G30" s="971"/>
      <c r="H30" s="971"/>
    </row>
    <row r="31" spans="1:12" ht="17.25">
      <c r="A31" s="971"/>
      <c r="B31" s="971"/>
      <c r="C31" s="971"/>
      <c r="D31" s="971"/>
      <c r="E31" s="971"/>
      <c r="F31" s="971"/>
      <c r="G31" s="971"/>
      <c r="H31" s="971"/>
    </row>
    <row r="32" spans="1:12" ht="17.25">
      <c r="A32" s="971"/>
      <c r="B32" s="971"/>
      <c r="C32" s="971"/>
      <c r="D32" s="971"/>
      <c r="E32" s="971"/>
      <c r="F32" s="971"/>
      <c r="G32" s="971"/>
      <c r="H32" s="971"/>
    </row>
    <row r="33" spans="1:8" ht="18" thickBot="1">
      <c r="A33" s="971"/>
      <c r="B33" s="971"/>
      <c r="C33" s="971"/>
      <c r="D33" s="971"/>
      <c r="E33" s="971"/>
      <c r="F33" s="971"/>
      <c r="G33" s="971"/>
      <c r="H33" s="971"/>
    </row>
    <row r="34" spans="1:8" ht="18" thickBot="1">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row r="61" spans="1:8" ht="17.25">
      <c r="A61" s="971"/>
      <c r="B61" s="971"/>
      <c r="C61" s="971"/>
      <c r="D61" s="971"/>
      <c r="E61" s="971"/>
      <c r="F61" s="971"/>
      <c r="G61" s="971"/>
      <c r="H61" s="971"/>
    </row>
    <row r="62" spans="1:8" ht="17.25">
      <c r="A62" s="971"/>
      <c r="B62" s="971"/>
      <c r="C62" s="971"/>
      <c r="D62" s="971"/>
      <c r="E62" s="971"/>
      <c r="F62" s="971"/>
      <c r="G62" s="971"/>
      <c r="H62" s="971"/>
    </row>
    <row r="63" spans="1:8" ht="17.25">
      <c r="A63" s="971"/>
      <c r="B63" s="971"/>
      <c r="C63" s="971"/>
      <c r="D63" s="971"/>
      <c r="E63" s="971"/>
      <c r="F63" s="971"/>
      <c r="G63" s="971"/>
      <c r="H63" s="971"/>
    </row>
    <row r="64" spans="1:8" ht="17.25">
      <c r="A64" s="971"/>
      <c r="B64" s="971"/>
      <c r="C64" s="971"/>
      <c r="D64" s="971"/>
      <c r="E64" s="971"/>
      <c r="F64" s="971"/>
      <c r="G64" s="971"/>
      <c r="H64" s="971"/>
    </row>
    <row r="65" spans="1:8" ht="17.25">
      <c r="A65" s="971"/>
      <c r="B65" s="971"/>
      <c r="C65" s="971"/>
      <c r="D65" s="971"/>
      <c r="E65" s="971"/>
      <c r="F65" s="971"/>
      <c r="G65" s="971"/>
      <c r="H65" s="971"/>
    </row>
    <row r="66" spans="1:8" ht="17.25">
      <c r="A66" s="971"/>
      <c r="B66" s="971"/>
      <c r="C66" s="971"/>
      <c r="D66" s="971"/>
      <c r="E66" s="971"/>
      <c r="F66" s="971"/>
      <c r="G66" s="971"/>
      <c r="H66" s="971"/>
    </row>
    <row r="67" spans="1:8" ht="17.25">
      <c r="A67" s="971"/>
      <c r="B67" s="971"/>
      <c r="C67" s="971"/>
      <c r="D67" s="971"/>
      <c r="E67" s="971"/>
      <c r="F67" s="971"/>
      <c r="G67" s="971"/>
      <c r="H67" s="971"/>
    </row>
    <row r="68" spans="1:8" ht="17.25">
      <c r="A68" s="971"/>
      <c r="B68" s="971"/>
      <c r="C68" s="971"/>
      <c r="D68" s="971"/>
      <c r="E68" s="971"/>
      <c r="F68" s="971"/>
      <c r="G68" s="971"/>
      <c r="H68" s="971"/>
    </row>
  </sheetData>
  <mergeCells count="3">
    <mergeCell ref="A4:A6"/>
    <mergeCell ref="B4:B6"/>
    <mergeCell ref="A1:H1"/>
  </mergeCells>
  <printOptions horizontalCentered="1"/>
  <pageMargins left="0.59055118110236227" right="0.59055118110236227" top="0.19685039370078741" bottom="0.78740157480314965" header="0.19685039370078741" footer="0.19685039370078741"/>
  <pageSetup paperSize="9" scale="7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655DE0B8-E3DA-41A2-AB8F-EF8683AD3021}">
            <x14:iconSet iconSet="3Symbols" custom="1">
              <x14:cfvo type="percent">
                <xm:f>0</xm:f>
              </x14:cfvo>
              <x14:cfvo type="num">
                <xm:f>0</xm:f>
              </x14:cfvo>
              <x14:cfvo type="num">
                <xm:f>0</xm:f>
              </x14:cfvo>
              <x14:cfIcon iconSet="3Symbols" iconId="1"/>
              <x14:cfIcon iconSet="NoIcons" iconId="0"/>
              <x14:cfIcon iconSet="NoIcons" iconId="0"/>
            </x14:iconSet>
          </x14:cfRule>
          <xm:sqref>E7:E26 H7:H26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8">
    <tabColor rgb="FF00B050"/>
    <pageSetUpPr fitToPage="1"/>
  </sheetPr>
  <dimension ref="A1:Q71"/>
  <sheetViews>
    <sheetView rightToLeft="1" view="pageBreakPreview" zoomScale="60" zoomScaleNormal="100" workbookViewId="0">
      <selection activeCell="C12" sqref="C12"/>
    </sheetView>
  </sheetViews>
  <sheetFormatPr defaultRowHeight="12.75"/>
  <cols>
    <col min="1" max="1" width="7.5703125" style="970" customWidth="1"/>
    <col min="2" max="2" width="32.5703125" style="970" customWidth="1"/>
    <col min="3" max="8" width="12.5703125" style="970" customWidth="1"/>
    <col min="9" max="10" width="9" style="970"/>
    <col min="11" max="12" width="9.140625" style="970" hidden="1" customWidth="1"/>
    <col min="13" max="13" width="9" style="981"/>
    <col min="14" max="14" width="9" style="981" customWidth="1"/>
    <col min="15" max="15" width="9" style="981"/>
    <col min="16" max="246" width="9" style="970"/>
    <col min="247" max="247" width="25.140625" style="970" customWidth="1"/>
    <col min="248" max="259" width="11.140625" style="970" customWidth="1"/>
    <col min="260" max="502" width="9" style="970"/>
    <col min="503" max="503" width="25.140625" style="970" customWidth="1"/>
    <col min="504" max="515" width="11.140625" style="970" customWidth="1"/>
    <col min="516" max="758" width="9" style="970"/>
    <col min="759" max="759" width="25.140625" style="970" customWidth="1"/>
    <col min="760" max="771" width="11.140625" style="970" customWidth="1"/>
    <col min="772" max="1014" width="9" style="970"/>
    <col min="1015" max="1015" width="25.140625" style="970" customWidth="1"/>
    <col min="1016" max="1027" width="11.140625" style="970" customWidth="1"/>
    <col min="1028" max="1270" width="9" style="970"/>
    <col min="1271" max="1271" width="25.140625" style="970" customWidth="1"/>
    <col min="1272" max="1283" width="11.140625" style="970" customWidth="1"/>
    <col min="1284" max="1526" width="9" style="970"/>
    <col min="1527" max="1527" width="25.140625" style="970" customWidth="1"/>
    <col min="1528" max="1539" width="11.140625" style="970" customWidth="1"/>
    <col min="1540" max="1782" width="9" style="970"/>
    <col min="1783" max="1783" width="25.140625" style="970" customWidth="1"/>
    <col min="1784" max="1795" width="11.140625" style="970" customWidth="1"/>
    <col min="1796" max="2038" width="9" style="970"/>
    <col min="2039" max="2039" width="25.140625" style="970" customWidth="1"/>
    <col min="2040" max="2051" width="11.140625" style="970" customWidth="1"/>
    <col min="2052" max="2294" width="9" style="970"/>
    <col min="2295" max="2295" width="25.140625" style="970" customWidth="1"/>
    <col min="2296" max="2307" width="11.140625" style="970" customWidth="1"/>
    <col min="2308" max="2550" width="9" style="970"/>
    <col min="2551" max="2551" width="25.140625" style="970" customWidth="1"/>
    <col min="2552" max="2563" width="11.140625" style="970" customWidth="1"/>
    <col min="2564" max="2806" width="9" style="970"/>
    <col min="2807" max="2807" width="25.140625" style="970" customWidth="1"/>
    <col min="2808" max="2819" width="11.140625" style="970" customWidth="1"/>
    <col min="2820" max="3062" width="9" style="970"/>
    <col min="3063" max="3063" width="25.140625" style="970" customWidth="1"/>
    <col min="3064" max="3075" width="11.140625" style="970" customWidth="1"/>
    <col min="3076" max="3318" width="9" style="970"/>
    <col min="3319" max="3319" width="25.140625" style="970" customWidth="1"/>
    <col min="3320" max="3331" width="11.140625" style="970" customWidth="1"/>
    <col min="3332" max="3574" width="9" style="970"/>
    <col min="3575" max="3575" width="25.140625" style="970" customWidth="1"/>
    <col min="3576" max="3587" width="11.140625" style="970" customWidth="1"/>
    <col min="3588" max="3830" width="9" style="970"/>
    <col min="3831" max="3831" width="25.140625" style="970" customWidth="1"/>
    <col min="3832" max="3843" width="11.140625" style="970" customWidth="1"/>
    <col min="3844" max="4086" width="9" style="970"/>
    <col min="4087" max="4087" width="25.140625" style="970" customWidth="1"/>
    <col min="4088" max="4099" width="11.140625" style="970" customWidth="1"/>
    <col min="4100" max="4342" width="9" style="970"/>
    <col min="4343" max="4343" width="25.140625" style="970" customWidth="1"/>
    <col min="4344" max="4355" width="11.140625" style="970" customWidth="1"/>
    <col min="4356" max="4598" width="9" style="970"/>
    <col min="4599" max="4599" width="25.140625" style="970" customWidth="1"/>
    <col min="4600" max="4611" width="11.140625" style="970" customWidth="1"/>
    <col min="4612" max="4854" width="9" style="970"/>
    <col min="4855" max="4855" width="25.140625" style="970" customWidth="1"/>
    <col min="4856" max="4867" width="11.140625" style="970" customWidth="1"/>
    <col min="4868" max="5110" width="9" style="970"/>
    <col min="5111" max="5111" width="25.140625" style="970" customWidth="1"/>
    <col min="5112" max="5123" width="11.140625" style="970" customWidth="1"/>
    <col min="5124" max="5366" width="9" style="970"/>
    <col min="5367" max="5367" width="25.140625" style="970" customWidth="1"/>
    <col min="5368" max="5379" width="11.140625" style="970" customWidth="1"/>
    <col min="5380" max="5622" width="9" style="970"/>
    <col min="5623" max="5623" width="25.140625" style="970" customWidth="1"/>
    <col min="5624" max="5635" width="11.140625" style="970" customWidth="1"/>
    <col min="5636" max="5878" width="9" style="970"/>
    <col min="5879" max="5879" width="25.140625" style="970" customWidth="1"/>
    <col min="5880" max="5891" width="11.140625" style="970" customWidth="1"/>
    <col min="5892" max="6134" width="9" style="970"/>
    <col min="6135" max="6135" width="25.140625" style="970" customWidth="1"/>
    <col min="6136" max="6147" width="11.140625" style="970" customWidth="1"/>
    <col min="6148" max="6390" width="9" style="970"/>
    <col min="6391" max="6391" width="25.140625" style="970" customWidth="1"/>
    <col min="6392" max="6403" width="11.140625" style="970" customWidth="1"/>
    <col min="6404" max="6646" width="9" style="970"/>
    <col min="6647" max="6647" width="25.140625" style="970" customWidth="1"/>
    <col min="6648" max="6659" width="11.140625" style="970" customWidth="1"/>
    <col min="6660" max="6902" width="9" style="970"/>
    <col min="6903" max="6903" width="25.140625" style="970" customWidth="1"/>
    <col min="6904" max="6915" width="11.140625" style="970" customWidth="1"/>
    <col min="6916" max="7158" width="9" style="970"/>
    <col min="7159" max="7159" width="25.140625" style="970" customWidth="1"/>
    <col min="7160" max="7171" width="11.140625" style="970" customWidth="1"/>
    <col min="7172" max="7414" width="9" style="970"/>
    <col min="7415" max="7415" width="25.140625" style="970" customWidth="1"/>
    <col min="7416" max="7427" width="11.140625" style="970" customWidth="1"/>
    <col min="7428" max="7670" width="9" style="970"/>
    <col min="7671" max="7671" width="25.140625" style="970" customWidth="1"/>
    <col min="7672" max="7683" width="11.140625" style="970" customWidth="1"/>
    <col min="7684" max="7926" width="9" style="970"/>
    <col min="7927" max="7927" width="25.140625" style="970" customWidth="1"/>
    <col min="7928" max="7939" width="11.140625" style="970" customWidth="1"/>
    <col min="7940" max="8182" width="9" style="970"/>
    <col min="8183" max="8183" width="25.140625" style="970" customWidth="1"/>
    <col min="8184" max="8195" width="11.140625" style="970" customWidth="1"/>
    <col min="8196" max="8438" width="9" style="970"/>
    <col min="8439" max="8439" width="25.140625" style="970" customWidth="1"/>
    <col min="8440" max="8451" width="11.140625" style="970" customWidth="1"/>
    <col min="8452" max="8694" width="9" style="970"/>
    <col min="8695" max="8695" width="25.140625" style="970" customWidth="1"/>
    <col min="8696" max="8707" width="11.140625" style="970" customWidth="1"/>
    <col min="8708" max="8950" width="9" style="970"/>
    <col min="8951" max="8951" width="25.140625" style="970" customWidth="1"/>
    <col min="8952" max="8963" width="11.140625" style="970" customWidth="1"/>
    <col min="8964" max="9206" width="9" style="970"/>
    <col min="9207" max="9207" width="25.140625" style="970" customWidth="1"/>
    <col min="9208" max="9219" width="11.140625" style="970" customWidth="1"/>
    <col min="9220" max="9462" width="9" style="970"/>
    <col min="9463" max="9463" width="25.140625" style="970" customWidth="1"/>
    <col min="9464" max="9475" width="11.140625" style="970" customWidth="1"/>
    <col min="9476" max="9718" width="9" style="970"/>
    <col min="9719" max="9719" width="25.140625" style="970" customWidth="1"/>
    <col min="9720" max="9731" width="11.140625" style="970" customWidth="1"/>
    <col min="9732" max="9974" width="9" style="970"/>
    <col min="9975" max="9975" width="25.140625" style="970" customWidth="1"/>
    <col min="9976" max="9987" width="11.140625" style="970" customWidth="1"/>
    <col min="9988" max="10230" width="9" style="970"/>
    <col min="10231" max="10231" width="25.140625" style="970" customWidth="1"/>
    <col min="10232" max="10243" width="11.140625" style="970" customWidth="1"/>
    <col min="10244" max="10486" width="9" style="970"/>
    <col min="10487" max="10487" width="25.140625" style="970" customWidth="1"/>
    <col min="10488" max="10499" width="11.140625" style="970" customWidth="1"/>
    <col min="10500" max="10742" width="9" style="970"/>
    <col min="10743" max="10743" width="25.140625" style="970" customWidth="1"/>
    <col min="10744" max="10755" width="11.140625" style="970" customWidth="1"/>
    <col min="10756" max="10998" width="9" style="970"/>
    <col min="10999" max="10999" width="25.140625" style="970" customWidth="1"/>
    <col min="11000" max="11011" width="11.140625" style="970" customWidth="1"/>
    <col min="11012" max="11254" width="9" style="970"/>
    <col min="11255" max="11255" width="25.140625" style="970" customWidth="1"/>
    <col min="11256" max="11267" width="11.140625" style="970" customWidth="1"/>
    <col min="11268" max="11510" width="9" style="970"/>
    <col min="11511" max="11511" width="25.140625" style="970" customWidth="1"/>
    <col min="11512" max="11523" width="11.140625" style="970" customWidth="1"/>
    <col min="11524" max="11766" width="9" style="970"/>
    <col min="11767" max="11767" width="25.140625" style="970" customWidth="1"/>
    <col min="11768" max="11779" width="11.140625" style="970" customWidth="1"/>
    <col min="11780" max="12022" width="9" style="970"/>
    <col min="12023" max="12023" width="25.140625" style="970" customWidth="1"/>
    <col min="12024" max="12035" width="11.140625" style="970" customWidth="1"/>
    <col min="12036" max="12278" width="9" style="970"/>
    <col min="12279" max="12279" width="25.140625" style="970" customWidth="1"/>
    <col min="12280" max="12291" width="11.140625" style="970" customWidth="1"/>
    <col min="12292" max="12534" width="9" style="970"/>
    <col min="12535" max="12535" width="25.140625" style="970" customWidth="1"/>
    <col min="12536" max="12547" width="11.140625" style="970" customWidth="1"/>
    <col min="12548" max="12790" width="9" style="970"/>
    <col min="12791" max="12791" width="25.140625" style="970" customWidth="1"/>
    <col min="12792" max="12803" width="11.140625" style="970" customWidth="1"/>
    <col min="12804" max="13046" width="9" style="970"/>
    <col min="13047" max="13047" width="25.140625" style="970" customWidth="1"/>
    <col min="13048" max="13059" width="11.140625" style="970" customWidth="1"/>
    <col min="13060" max="13302" width="9" style="970"/>
    <col min="13303" max="13303" width="25.140625" style="970" customWidth="1"/>
    <col min="13304" max="13315" width="11.140625" style="970" customWidth="1"/>
    <col min="13316" max="13558" width="9" style="970"/>
    <col min="13559" max="13559" width="25.140625" style="970" customWidth="1"/>
    <col min="13560" max="13571" width="11.140625" style="970" customWidth="1"/>
    <col min="13572" max="13814" width="9" style="970"/>
    <col min="13815" max="13815" width="25.140625" style="970" customWidth="1"/>
    <col min="13816" max="13827" width="11.140625" style="970" customWidth="1"/>
    <col min="13828" max="14070" width="9" style="970"/>
    <col min="14071" max="14071" width="25.140625" style="970" customWidth="1"/>
    <col min="14072" max="14083" width="11.140625" style="970" customWidth="1"/>
    <col min="14084" max="14326" width="9" style="970"/>
    <col min="14327" max="14327" width="25.140625" style="970" customWidth="1"/>
    <col min="14328" max="14339" width="11.140625" style="970" customWidth="1"/>
    <col min="14340" max="14582" width="9" style="970"/>
    <col min="14583" max="14583" width="25.140625" style="970" customWidth="1"/>
    <col min="14584" max="14595" width="11.140625" style="970" customWidth="1"/>
    <col min="14596" max="14838" width="9" style="970"/>
    <col min="14839" max="14839" width="25.140625" style="970" customWidth="1"/>
    <col min="14840" max="14851" width="11.140625" style="970" customWidth="1"/>
    <col min="14852" max="15094" width="9" style="970"/>
    <col min="15095" max="15095" width="25.140625" style="970" customWidth="1"/>
    <col min="15096" max="15107" width="11.140625" style="970" customWidth="1"/>
    <col min="15108" max="15350" width="9" style="970"/>
    <col min="15351" max="15351" width="25.140625" style="970" customWidth="1"/>
    <col min="15352" max="15363" width="11.140625" style="970" customWidth="1"/>
    <col min="15364" max="15606" width="9" style="970"/>
    <col min="15607" max="15607" width="25.140625" style="970" customWidth="1"/>
    <col min="15608" max="15619" width="11.140625" style="970" customWidth="1"/>
    <col min="15620" max="15862" width="9" style="970"/>
    <col min="15863" max="15863" width="25.140625" style="970" customWidth="1"/>
    <col min="15864" max="15875" width="11.140625" style="970" customWidth="1"/>
    <col min="15876" max="16118" width="9" style="970"/>
    <col min="16119" max="16119" width="25.140625" style="970" customWidth="1"/>
    <col min="16120" max="16131" width="11.140625" style="970" customWidth="1"/>
    <col min="16132" max="16384" width="9" style="970"/>
  </cols>
  <sheetData>
    <row r="1" spans="1:17" s="5" customFormat="1" ht="24" customHeight="1">
      <c r="A1" s="2685" t="str">
        <f>روکش!D4</f>
        <v>انبارهای عمومی و خدمات گمرکی ایران</v>
      </c>
      <c r="B1" s="2685"/>
      <c r="C1" s="2685"/>
      <c r="D1" s="2685"/>
      <c r="E1" s="2685"/>
      <c r="F1" s="2685"/>
      <c r="G1" s="2685"/>
      <c r="H1" s="2685"/>
      <c r="M1" s="79"/>
      <c r="N1" s="79"/>
      <c r="O1" s="79"/>
    </row>
    <row r="2" spans="1:17" s="5" customFormat="1" ht="28.5" customHeight="1">
      <c r="A2" s="1206" t="str">
        <f>"گزارش مقایسه‌ای نرخ‌های فروش و بهای تمام شده کالای تجاری در دوره " &amp; روکش!F9 &amp; " سال " &amp; روکش!D9</f>
        <v>گزارش مقایسه‌ای نرخ‌های فروش و بهای تمام شده کالای تجاری در دوره شش ماهه سال 1405</v>
      </c>
      <c r="B2" s="1206"/>
      <c r="C2" s="1206"/>
      <c r="D2" s="1206"/>
      <c r="E2" s="1203"/>
      <c r="F2" s="1203"/>
      <c r="G2" s="1203"/>
      <c r="H2" s="1203"/>
      <c r="I2" s="251"/>
      <c r="J2" s="935"/>
      <c r="M2" s="79"/>
      <c r="N2" s="79"/>
      <c r="O2" s="79"/>
    </row>
    <row r="3" spans="1:17" ht="20.100000000000001" customHeight="1" thickBot="1">
      <c r="A3" s="1735"/>
      <c r="B3" s="1735"/>
      <c r="C3" s="1735"/>
      <c r="D3" s="570"/>
      <c r="E3" s="570"/>
      <c r="F3" s="568"/>
      <c r="G3" s="1736"/>
      <c r="H3" s="1737" t="s">
        <v>191</v>
      </c>
    </row>
    <row r="4" spans="1:17" ht="25.5" customHeight="1" thickBot="1">
      <c r="A4" s="3152" t="s">
        <v>72</v>
      </c>
      <c r="B4" s="3155" t="s">
        <v>190</v>
      </c>
      <c r="C4" s="1738" t="s">
        <v>683</v>
      </c>
      <c r="D4" s="1739"/>
      <c r="E4" s="1740"/>
      <c r="F4" s="1738" t="s">
        <v>642</v>
      </c>
      <c r="G4" s="1739"/>
      <c r="H4" s="1740"/>
    </row>
    <row r="5" spans="1:17" ht="21" customHeight="1">
      <c r="A5" s="3153"/>
      <c r="B5" s="3156"/>
      <c r="C5" s="1741" t="s">
        <v>1489</v>
      </c>
      <c r="D5" s="1742"/>
      <c r="E5" s="1743"/>
      <c r="F5" s="1741" t="s">
        <v>1489</v>
      </c>
      <c r="G5" s="1742"/>
      <c r="H5" s="1743"/>
    </row>
    <row r="6" spans="1:17" ht="52.5" customHeight="1" thickBot="1">
      <c r="A6" s="3154"/>
      <c r="B6" s="3157"/>
      <c r="C6" s="571" t="s">
        <v>1490</v>
      </c>
      <c r="D6" s="572" t="s">
        <v>74</v>
      </c>
      <c r="E6" s="573" t="s">
        <v>1488</v>
      </c>
      <c r="F6" s="571" t="s">
        <v>1490</v>
      </c>
      <c r="G6" s="572" t="s">
        <v>74</v>
      </c>
      <c r="H6" s="573" t="s">
        <v>1488</v>
      </c>
      <c r="K6" s="1734" t="s">
        <v>795</v>
      </c>
      <c r="L6" s="1734" t="s">
        <v>796</v>
      </c>
      <c r="M6" s="1754"/>
    </row>
    <row r="7" spans="1:17" ht="30" customHeight="1">
      <c r="A7" s="574">
        <v>1</v>
      </c>
      <c r="B7" s="1744">
        <f ca="1">'فروش داخلی تجاری'!B7</f>
        <v>0</v>
      </c>
      <c r="C7" s="1745">
        <f ca="1">IFERROR((('فروش داخلی تجاری'!F7)+IFERROR(VLOOKUP(B7,'درآمد صادرات'!$B$7:$Q$18,10,FALSE),0))*1000000/(IFERROR(VLOOKUP(B7,'درآمد صادرات'!$B$7:$Q$18,8,FALSE),0)+'فروش داخلی تجاری'!D7),0)</f>
        <v>0</v>
      </c>
      <c r="D7" s="1154"/>
      <c r="E7" s="577">
        <f ca="1">IFERROR(C7-D7,"-")</f>
        <v>0</v>
      </c>
      <c r="F7" s="1745">
        <f ca="1">IFERROR((('فروش داخلی تجاری'!L7)+IFERROR(VLOOKUP(B7,'درآمد صادرات'!$B$7:$Q$18,16,FALSE),0))*1000000/(IFERROR(VLOOKUP(B7,'درآمد صادرات'!$B$7:$Q$18,14,FALSE),0)+'فروش داخلی تجاری'!J7),0)</f>
        <v>0</v>
      </c>
      <c r="G7" s="1755">
        <f>'خرید کالای تجاری'!E35</f>
        <v>0</v>
      </c>
      <c r="H7" s="577">
        <f ca="1">IFERROR(F7-G7,"-")</f>
        <v>0</v>
      </c>
      <c r="K7" s="1734">
        <f ca="1">IFERROR(VLOOKUP(B7,'درآمد صادرات'!$B$7:$Q$18,8,FALSE),0)+'فروش داخلی تجاری'!D7</f>
        <v>0</v>
      </c>
      <c r="L7" s="1734">
        <f ca="1">IFERROR(VLOOKUP(B7,'درآمد صادرات'!$B$7:$Q$18,14,FALSE),0)+'فروش داخلی تجاری'!J7</f>
        <v>0</v>
      </c>
      <c r="M7" s="1754"/>
    </row>
    <row r="8" spans="1:17" ht="30" customHeight="1">
      <c r="A8" s="575">
        <v>2</v>
      </c>
      <c r="B8" s="1746">
        <f ca="1">'فروش داخلی تجاری'!B8</f>
        <v>0</v>
      </c>
      <c r="C8" s="1747">
        <f ca="1">IFERROR((('فروش داخلی تجاری'!F8)+IFERROR(VLOOKUP(B8,'درآمد صادرات'!$B$7:$Q$18,10,FALSE),0))*1000000/(IFERROR(VLOOKUP(B8,'درآمد صادرات'!$B$7:$Q$18,8,FALSE),0)+'فروش داخلی تجاری'!D8),0)</f>
        <v>0</v>
      </c>
      <c r="D8" s="263"/>
      <c r="E8" s="577">
        <f t="shared" ref="E8:E20" ca="1" si="0">IFERROR(C8-D8,"-")</f>
        <v>0</v>
      </c>
      <c r="F8" s="1747">
        <f ca="1">IFERROR((('فروش داخلی تجاری'!L8)+IFERROR(VLOOKUP(B8,'درآمد صادرات'!$B$7:$Q$18,16,FALSE),0))*1000000/(IFERROR(VLOOKUP(B8,'درآمد صادرات'!$B$7:$Q$18,14,FALSE),0)+'فروش داخلی تجاری'!J8),0)</f>
        <v>0</v>
      </c>
      <c r="G8" s="1756">
        <f>'خرید کالای تجاری'!E36</f>
        <v>0</v>
      </c>
      <c r="H8" s="577">
        <f t="shared" ref="H8:H20" ca="1" si="1">IFERROR(F8-G8,"-")</f>
        <v>0</v>
      </c>
      <c r="K8" s="1734">
        <f ca="1">IFERROR(VLOOKUP(B8,'درآمد صادرات'!$B$7:$Q$18,8,FALSE),0)+'فروش داخلی تجاری'!D8</f>
        <v>0</v>
      </c>
      <c r="L8" s="1734">
        <f ca="1">IFERROR(VLOOKUP(B8,'درآمد صادرات'!$B$7:$Q$18,14,FALSE),0)+'فروش داخلی تجاری'!J8</f>
        <v>0</v>
      </c>
      <c r="M8" s="1754"/>
    </row>
    <row r="9" spans="1:17" ht="30" customHeight="1">
      <c r="A9" s="575">
        <v>3</v>
      </c>
      <c r="B9" s="1746">
        <f ca="1">'فروش داخلی تجاری'!B9</f>
        <v>0</v>
      </c>
      <c r="C9" s="1747">
        <f ca="1">IFERROR((('فروش داخلی تجاری'!F9)+IFERROR(VLOOKUP(B9,'درآمد صادرات'!$B$7:$Q$18,10,FALSE),0))*1000000/(IFERROR(VLOOKUP(B9,'درآمد صادرات'!$B$7:$Q$18,8,FALSE),0)+'فروش داخلی تجاری'!D9),0)</f>
        <v>0</v>
      </c>
      <c r="D9" s="263"/>
      <c r="E9" s="577">
        <f t="shared" ca="1" si="0"/>
        <v>0</v>
      </c>
      <c r="F9" s="1747">
        <f ca="1">IFERROR((('فروش داخلی تجاری'!L9)+IFERROR(VLOOKUP(B9,'درآمد صادرات'!$B$7:$Q$18,16,FALSE),0))*1000000/(IFERROR(VLOOKUP(B9,'درآمد صادرات'!$B$7:$Q$18,14,FALSE),0)+'فروش داخلی تجاری'!J9),0)</f>
        <v>0</v>
      </c>
      <c r="G9" s="1756">
        <f>'خرید کالای تجاری'!E37</f>
        <v>0</v>
      </c>
      <c r="H9" s="577">
        <f t="shared" ca="1" si="1"/>
        <v>0</v>
      </c>
      <c r="K9" s="1734">
        <f ca="1">IFERROR(VLOOKUP(B9,'درآمد صادرات'!$B$7:$Q$18,8,FALSE),0)+'فروش داخلی تجاری'!D9</f>
        <v>0</v>
      </c>
      <c r="L9" s="1734">
        <f ca="1">IFERROR(VLOOKUP(B9,'درآمد صادرات'!$B$7:$Q$18,14,FALSE),0)+'فروش داخلی تجاری'!J9</f>
        <v>0</v>
      </c>
      <c r="M9" s="1754"/>
    </row>
    <row r="10" spans="1:17" ht="30" customHeight="1">
      <c r="A10" s="575">
        <v>4</v>
      </c>
      <c r="B10" s="1746">
        <f ca="1">'فروش داخلی تجاری'!B10</f>
        <v>0</v>
      </c>
      <c r="C10" s="1747">
        <f ca="1">IFERROR((('فروش داخلی تجاری'!F10)+IFERROR(VLOOKUP(B10,'درآمد صادرات'!$B$7:$Q$18,10,FALSE),0))*1000000/(IFERROR(VLOOKUP(B10,'درآمد صادرات'!$B$7:$Q$18,8,FALSE),0)+'فروش داخلی تجاری'!D10),0)</f>
        <v>0</v>
      </c>
      <c r="D10" s="263"/>
      <c r="E10" s="577">
        <f t="shared" ca="1" si="0"/>
        <v>0</v>
      </c>
      <c r="F10" s="1747">
        <f ca="1">IFERROR((('فروش داخلی تجاری'!L10)+IFERROR(VLOOKUP(B10,'درآمد صادرات'!$B$7:$Q$18,16,FALSE),0))*1000000/(IFERROR(VLOOKUP(B10,'درآمد صادرات'!$B$7:$Q$18,14,FALSE),0)+'فروش داخلی تجاری'!J10),0)</f>
        <v>0</v>
      </c>
      <c r="G10" s="1756">
        <f>'خرید کالای تجاری'!E38</f>
        <v>0</v>
      </c>
      <c r="H10" s="577">
        <f t="shared" ca="1" si="1"/>
        <v>0</v>
      </c>
      <c r="K10" s="1734">
        <f ca="1">IFERROR(VLOOKUP(B10,'درآمد صادرات'!$B$7:$Q$18,8,FALSE),0)+'فروش داخلی تجاری'!D10</f>
        <v>0</v>
      </c>
      <c r="L10" s="1734">
        <f ca="1">IFERROR(VLOOKUP(B10,'درآمد صادرات'!$B$7:$Q$18,14,FALSE),0)+'فروش داخلی تجاری'!J10</f>
        <v>0</v>
      </c>
      <c r="M10" s="1754"/>
    </row>
    <row r="11" spans="1:17" ht="30" customHeight="1">
      <c r="A11" s="575">
        <v>5</v>
      </c>
      <c r="B11" s="1746">
        <f ca="1">'فروش داخلی تجاری'!B11</f>
        <v>0</v>
      </c>
      <c r="C11" s="1747">
        <f ca="1">IFERROR((('فروش داخلی تجاری'!F11)+IFERROR(VLOOKUP(B11,'درآمد صادرات'!$B$7:$Q$18,10,FALSE),0))*1000000/(IFERROR(VLOOKUP(B11,'درآمد صادرات'!$B$7:$Q$18,8,FALSE),0)+'فروش داخلی تجاری'!D11),0)</f>
        <v>0</v>
      </c>
      <c r="D11" s="263"/>
      <c r="E11" s="577">
        <f t="shared" ca="1" si="0"/>
        <v>0</v>
      </c>
      <c r="F11" s="1747">
        <f ca="1">IFERROR((('فروش داخلی تجاری'!L11)+IFERROR(VLOOKUP(B11,'درآمد صادرات'!$B$7:$Q$18,16,FALSE),0))*1000000/(IFERROR(VLOOKUP(B11,'درآمد صادرات'!$B$7:$Q$18,14,FALSE),0)+'فروش داخلی تجاری'!J11),0)</f>
        <v>0</v>
      </c>
      <c r="G11" s="1756">
        <f>'خرید کالای تجاری'!E39</f>
        <v>0</v>
      </c>
      <c r="H11" s="577">
        <f t="shared" ca="1" si="1"/>
        <v>0</v>
      </c>
      <c r="K11" s="1734">
        <f ca="1">IFERROR(VLOOKUP(B11,'درآمد صادرات'!$B$7:$Q$18,8,FALSE),0)+'فروش داخلی تجاری'!D11</f>
        <v>0</v>
      </c>
      <c r="L11" s="1734">
        <f ca="1">IFERROR(VLOOKUP(B11,'درآمد صادرات'!$B$7:$Q$18,14,FALSE),0)+'فروش داخلی تجاری'!J11</f>
        <v>0</v>
      </c>
      <c r="M11" s="1754"/>
    </row>
    <row r="12" spans="1:17" ht="30" customHeight="1">
      <c r="A12" s="575">
        <v>6</v>
      </c>
      <c r="B12" s="1746">
        <f ca="1">'فروش داخلی تجاری'!B12</f>
        <v>0</v>
      </c>
      <c r="C12" s="1747">
        <f ca="1">IFERROR((('فروش داخلی تجاری'!F12)+IFERROR(VLOOKUP(B12,'درآمد صادرات'!$B$7:$Q$18,10,FALSE),0))*1000000/(IFERROR(VLOOKUP(B12,'درآمد صادرات'!$B$7:$Q$18,8,FALSE),0)+'فروش داخلی تجاری'!D12),0)</f>
        <v>0</v>
      </c>
      <c r="D12" s="263"/>
      <c r="E12" s="577">
        <f t="shared" ca="1" si="0"/>
        <v>0</v>
      </c>
      <c r="F12" s="1747">
        <f ca="1">IFERROR((('فروش داخلی تجاری'!L12)+IFERROR(VLOOKUP(B12,'درآمد صادرات'!$B$7:$Q$18,16,FALSE),0))*1000000/(IFERROR(VLOOKUP(B12,'درآمد صادرات'!$B$7:$Q$18,14,FALSE),0)+'فروش داخلی تجاری'!J12),0)</f>
        <v>0</v>
      </c>
      <c r="G12" s="1756">
        <f>'خرید کالای تجاری'!E40</f>
        <v>0</v>
      </c>
      <c r="H12" s="577">
        <f t="shared" ca="1" si="1"/>
        <v>0</v>
      </c>
      <c r="K12" s="1734">
        <f ca="1">IFERROR(VLOOKUP(B12,'درآمد صادرات'!$B$7:$Q$18,8,FALSE),0)+'فروش داخلی تجاری'!D12</f>
        <v>0</v>
      </c>
      <c r="L12" s="1734">
        <f ca="1">IFERROR(VLOOKUP(B12,'درآمد صادرات'!$B$7:$Q$18,14,FALSE),0)+'فروش داخلی تجاری'!J12</f>
        <v>0</v>
      </c>
      <c r="M12" s="1754"/>
    </row>
    <row r="13" spans="1:17" ht="30" customHeight="1">
      <c r="A13" s="575">
        <v>7</v>
      </c>
      <c r="B13" s="1746">
        <f ca="1">'فروش داخلی تجاری'!B13</f>
        <v>0</v>
      </c>
      <c r="C13" s="1747">
        <f ca="1">IFERROR((('فروش داخلی تجاری'!F13)+IFERROR(VLOOKUP(B13,'درآمد صادرات'!$B$7:$Q$18,10,FALSE),0))*1000000/(IFERROR(VLOOKUP(B13,'درآمد صادرات'!$B$7:$Q$18,8,FALSE),0)+'فروش داخلی تجاری'!D13),0)</f>
        <v>0</v>
      </c>
      <c r="D13" s="263"/>
      <c r="E13" s="577">
        <f t="shared" ca="1" si="0"/>
        <v>0</v>
      </c>
      <c r="F13" s="1747">
        <f ca="1">IFERROR((('فروش داخلی تجاری'!L13)+IFERROR(VLOOKUP(B13,'درآمد صادرات'!$B$7:$Q$18,16,FALSE),0))*1000000/(IFERROR(VLOOKUP(B13,'درآمد صادرات'!$B$7:$Q$18,14,FALSE),0)+'فروش داخلی تجاری'!J13),0)</f>
        <v>0</v>
      </c>
      <c r="G13" s="1756">
        <f>'خرید کالای تجاری'!E41</f>
        <v>0</v>
      </c>
      <c r="H13" s="577">
        <f t="shared" ca="1" si="1"/>
        <v>0</v>
      </c>
      <c r="K13" s="1734">
        <f ca="1">IFERROR(VLOOKUP(B13,'درآمد صادرات'!$B$7:$Q$18,8,FALSE),0)+'فروش داخلی تجاری'!D13</f>
        <v>0</v>
      </c>
      <c r="L13" s="1734">
        <f ca="1">IFERROR(VLOOKUP(B13,'درآمد صادرات'!$B$7:$Q$18,14,FALSE),0)+'فروش داخلی تجاری'!J13</f>
        <v>0</v>
      </c>
      <c r="M13" s="1754"/>
    </row>
    <row r="14" spans="1:17" ht="30" customHeight="1">
      <c r="A14" s="575">
        <v>8</v>
      </c>
      <c r="B14" s="1746">
        <f ca="1">'فروش داخلی تجاری'!B14</f>
        <v>0</v>
      </c>
      <c r="C14" s="1747">
        <f ca="1">IFERROR((('فروش داخلی تجاری'!F14)+IFERROR(VLOOKUP(B14,'درآمد صادرات'!$B$7:$Q$18,10,FALSE),0))*1000000/(IFERROR(VLOOKUP(B14,'درآمد صادرات'!$B$7:$Q$18,8,FALSE),0)+'فروش داخلی تجاری'!D14),0)</f>
        <v>0</v>
      </c>
      <c r="D14" s="263"/>
      <c r="E14" s="577">
        <f t="shared" ca="1" si="0"/>
        <v>0</v>
      </c>
      <c r="F14" s="1747">
        <f ca="1">IFERROR((('فروش داخلی تجاری'!L14)+IFERROR(VLOOKUP(B14,'درآمد صادرات'!$B$7:$Q$18,16,FALSE),0))*1000000/(IFERROR(VLOOKUP(B14,'درآمد صادرات'!$B$7:$Q$18,14,FALSE),0)+'فروش داخلی تجاری'!J14),0)</f>
        <v>0</v>
      </c>
      <c r="G14" s="1756">
        <f>'خرید کالای تجاری'!E42</f>
        <v>0</v>
      </c>
      <c r="H14" s="577">
        <f t="shared" ca="1" si="1"/>
        <v>0</v>
      </c>
      <c r="K14" s="1734">
        <f ca="1">IFERROR(VLOOKUP(B14,'درآمد صادرات'!$B$7:$Q$18,8,FALSE),0)+'فروش داخلی تجاری'!D14</f>
        <v>0</v>
      </c>
      <c r="L14" s="1734">
        <f ca="1">IFERROR(VLOOKUP(B14,'درآمد صادرات'!$B$7:$Q$18,14,FALSE),0)+'فروش داخلی تجاری'!J14</f>
        <v>0</v>
      </c>
      <c r="M14" s="1754"/>
    </row>
    <row r="15" spans="1:17" ht="30" customHeight="1">
      <c r="A15" s="575">
        <v>9</v>
      </c>
      <c r="B15" s="1746">
        <f ca="1">'فروش داخلی تجاری'!B15</f>
        <v>0</v>
      </c>
      <c r="C15" s="1747">
        <f ca="1">IFERROR((('فروش داخلی تجاری'!F15)+IFERROR(VLOOKUP(B15,'درآمد صادرات'!$B$7:$Q$18,10,FALSE),0))*1000000/(IFERROR(VLOOKUP(B15,'درآمد صادرات'!$B$7:$Q$18,8,FALSE),0)+'فروش داخلی تجاری'!D15),0)</f>
        <v>0</v>
      </c>
      <c r="D15" s="263"/>
      <c r="E15" s="577">
        <f t="shared" ca="1" si="0"/>
        <v>0</v>
      </c>
      <c r="F15" s="1747">
        <f ca="1">IFERROR((('فروش داخلی تجاری'!L15)+IFERROR(VLOOKUP(B15,'درآمد صادرات'!$B$7:$Q$18,16,FALSE),0))*1000000/(IFERROR(VLOOKUP(B15,'درآمد صادرات'!$B$7:$Q$18,14,FALSE),0)+'فروش داخلی تجاری'!J15),0)</f>
        <v>0</v>
      </c>
      <c r="G15" s="1756">
        <f>'خرید کالای تجاری'!E43</f>
        <v>0</v>
      </c>
      <c r="H15" s="577">
        <f t="shared" ca="1" si="1"/>
        <v>0</v>
      </c>
      <c r="K15" s="1734">
        <f ca="1">IFERROR(VLOOKUP(B15,'درآمد صادرات'!$B$7:$Q$18,8,FALSE),0)+'فروش داخلی تجاری'!D15</f>
        <v>0</v>
      </c>
      <c r="L15" s="1734">
        <f ca="1">IFERROR(VLOOKUP(B15,'درآمد صادرات'!$B$7:$Q$18,14,FALSE),0)+'فروش داخلی تجاری'!J15</f>
        <v>0</v>
      </c>
      <c r="M15" s="1754"/>
    </row>
    <row r="16" spans="1:17" ht="30" customHeight="1">
      <c r="A16" s="575">
        <v>10</v>
      </c>
      <c r="B16" s="1746">
        <f ca="1">'فروش داخلی تجاری'!B16</f>
        <v>0</v>
      </c>
      <c r="C16" s="1747">
        <f ca="1">IFERROR((('فروش داخلی تجاری'!F16)+IFERROR(VLOOKUP(B16,'درآمد صادرات'!$B$7:$Q$18,10,FALSE),0))*1000000/(IFERROR(VLOOKUP(B16,'درآمد صادرات'!$B$7:$Q$18,8,FALSE),0)+'فروش داخلی تجاری'!D16),0)</f>
        <v>0</v>
      </c>
      <c r="D16" s="263"/>
      <c r="E16" s="577">
        <f t="shared" ca="1" si="0"/>
        <v>0</v>
      </c>
      <c r="F16" s="1747">
        <f ca="1">IFERROR((('فروش داخلی تجاری'!L16)+IFERROR(VLOOKUP(B16,'درآمد صادرات'!$B$7:$Q$18,16,FALSE),0))*1000000/(IFERROR(VLOOKUP(B16,'درآمد صادرات'!$B$7:$Q$18,14,FALSE),0)+'فروش داخلی تجاری'!J16),0)</f>
        <v>0</v>
      </c>
      <c r="G16" s="1756">
        <f>'خرید کالای تجاری'!E44</f>
        <v>0</v>
      </c>
      <c r="H16" s="577">
        <f t="shared" ca="1" si="1"/>
        <v>0</v>
      </c>
      <c r="K16" s="1734">
        <f ca="1">IFERROR(VLOOKUP(B16,'درآمد صادرات'!$B$7:$Q$18,8,FALSE),0)+'فروش داخلی تجاری'!D16</f>
        <v>0</v>
      </c>
      <c r="L16" s="1734">
        <f ca="1">IFERROR(VLOOKUP(B16,'درآمد صادرات'!$B$7:$Q$18,14,FALSE),0)+'فروش داخلی تجاری'!J16</f>
        <v>0</v>
      </c>
      <c r="M16" s="1754"/>
      <c r="P16" s="982"/>
      <c r="Q16" s="982"/>
    </row>
    <row r="17" spans="1:17" ht="30" customHeight="1">
      <c r="A17" s="575">
        <v>11</v>
      </c>
      <c r="B17" s="1746">
        <f ca="1">'فروش داخلی تجاری'!B17</f>
        <v>0</v>
      </c>
      <c r="C17" s="1747">
        <f ca="1">IFERROR((('فروش داخلی تجاری'!F17)+IFERROR(VLOOKUP(B17,'درآمد صادرات'!$B$7:$Q$18,10,FALSE),0))*1000000/(IFERROR(VLOOKUP(B17,'درآمد صادرات'!$B$7:$Q$18,8,FALSE),0)+'فروش داخلی تجاری'!D17),0)</f>
        <v>0</v>
      </c>
      <c r="D17" s="263"/>
      <c r="E17" s="577">
        <f t="shared" ca="1" si="0"/>
        <v>0</v>
      </c>
      <c r="F17" s="1747">
        <f ca="1">IFERROR((('فروش داخلی تجاری'!L17)+IFERROR(VLOOKUP(B17,'درآمد صادرات'!$B$7:$Q$18,16,FALSE),0))*1000000/(IFERROR(VLOOKUP(B17,'درآمد صادرات'!$B$7:$Q$18,14,FALSE),0)+'فروش داخلی تجاری'!J17),0)</f>
        <v>0</v>
      </c>
      <c r="G17" s="1756">
        <f>'خرید کالای تجاری'!E45</f>
        <v>0</v>
      </c>
      <c r="H17" s="577">
        <f t="shared" ca="1" si="1"/>
        <v>0</v>
      </c>
      <c r="K17" s="1734">
        <f ca="1">IFERROR(VLOOKUP(B17,'درآمد صادرات'!$B$7:$Q$18,8,FALSE),0)+'فروش داخلی تجاری'!D17</f>
        <v>0</v>
      </c>
      <c r="L17" s="1734">
        <f ca="1">IFERROR(VLOOKUP(B17,'درآمد صادرات'!$B$7:$Q$18,14,FALSE),0)+'فروش داخلی تجاری'!J17</f>
        <v>0</v>
      </c>
      <c r="M17" s="1754"/>
      <c r="P17" s="982"/>
      <c r="Q17" s="982"/>
    </row>
    <row r="18" spans="1:17" ht="30" customHeight="1">
      <c r="A18" s="575">
        <v>12</v>
      </c>
      <c r="B18" s="1746">
        <f ca="1">'فروش داخلی تجاری'!B18</f>
        <v>0</v>
      </c>
      <c r="C18" s="1747">
        <f ca="1">IFERROR((('فروش داخلی تجاری'!F18)+IFERROR(VLOOKUP(B18,'درآمد صادرات'!$B$7:$Q$18,10,FALSE),0))*1000000/(IFERROR(VLOOKUP(B18,'درآمد صادرات'!$B$7:$Q$18,8,FALSE),0)+'فروش داخلی تجاری'!D18),0)</f>
        <v>0</v>
      </c>
      <c r="D18" s="263"/>
      <c r="E18" s="577">
        <f t="shared" ca="1" si="0"/>
        <v>0</v>
      </c>
      <c r="F18" s="1747">
        <f ca="1">IFERROR((('فروش داخلی تجاری'!L18)+IFERROR(VLOOKUP(B18,'درآمد صادرات'!$B$7:$Q$18,16,FALSE),0))*1000000/(IFERROR(VLOOKUP(B18,'درآمد صادرات'!$B$7:$Q$18,14,FALSE),0)+'فروش داخلی تجاری'!J18),0)</f>
        <v>0</v>
      </c>
      <c r="G18" s="1756">
        <f>'خرید کالای تجاری'!E46</f>
        <v>0</v>
      </c>
      <c r="H18" s="577">
        <f t="shared" ca="1" si="1"/>
        <v>0</v>
      </c>
      <c r="K18" s="1734">
        <f ca="1">IFERROR(VLOOKUP(B18,'درآمد صادرات'!$B$7:$Q$18,8,FALSE),0)+'فروش داخلی تجاری'!D18</f>
        <v>0</v>
      </c>
      <c r="L18" s="1734">
        <f ca="1">IFERROR(VLOOKUP(B18,'درآمد صادرات'!$B$7:$Q$18,14,FALSE),0)+'فروش داخلی تجاری'!J18</f>
        <v>0</v>
      </c>
      <c r="M18" s="1754"/>
      <c r="P18" s="982"/>
      <c r="Q18" s="982"/>
    </row>
    <row r="19" spans="1:17" ht="30" customHeight="1">
      <c r="A19" s="575">
        <v>13</v>
      </c>
      <c r="B19" s="1746">
        <f ca="1">'فروش داخلی تجاری'!B19</f>
        <v>0</v>
      </c>
      <c r="C19" s="1747">
        <f ca="1">IFERROR((('فروش داخلی تجاری'!F19)+IFERROR(VLOOKUP(B19,'درآمد صادرات'!$B$7:$Q$18,10,FALSE),0))*1000000/(IFERROR(VLOOKUP(B19,'درآمد صادرات'!$B$7:$Q$18,8,FALSE),0)+'فروش داخلی تجاری'!D19),0)</f>
        <v>0</v>
      </c>
      <c r="D19" s="263"/>
      <c r="E19" s="577">
        <f t="shared" ca="1" si="0"/>
        <v>0</v>
      </c>
      <c r="F19" s="1747">
        <f ca="1">IFERROR((('فروش داخلی تجاری'!L19)+IFERROR(VLOOKUP(B19,'درآمد صادرات'!$B$7:$Q$18,16,FALSE),0))*1000000/(IFERROR(VLOOKUP(B19,'درآمد صادرات'!$B$7:$Q$18,14,FALSE),0)+'فروش داخلی تجاری'!J19),0)</f>
        <v>0</v>
      </c>
      <c r="G19" s="1756">
        <f>'خرید کالای تجاری'!E47</f>
        <v>0</v>
      </c>
      <c r="H19" s="577">
        <f t="shared" ca="1" si="1"/>
        <v>0</v>
      </c>
      <c r="K19" s="1734">
        <f ca="1">IFERROR(VLOOKUP(B19,'درآمد صادرات'!$B$7:$Q$18,8,FALSE),0)+'فروش داخلی تجاری'!D19</f>
        <v>0</v>
      </c>
      <c r="L19" s="1734">
        <f ca="1">IFERROR(VLOOKUP(B19,'درآمد صادرات'!$B$7:$Q$18,14,FALSE),0)+'فروش داخلی تجاری'!J19</f>
        <v>0</v>
      </c>
      <c r="M19" s="1754"/>
      <c r="P19" s="982"/>
      <c r="Q19" s="982"/>
    </row>
    <row r="20" spans="1:17" ht="30" customHeight="1">
      <c r="A20" s="575">
        <v>14</v>
      </c>
      <c r="B20" s="1746">
        <f ca="1">'فروش داخلی تجاری'!B20</f>
        <v>0</v>
      </c>
      <c r="C20" s="1747">
        <f ca="1">IFERROR((('فروش داخلی تجاری'!F20)+IFERROR(VLOOKUP(B20,'درآمد صادرات'!$B$7:$Q$18,10,FALSE),0))*1000000/(IFERROR(VLOOKUP(B20,'درآمد صادرات'!$B$7:$Q$18,8,FALSE),0)+'فروش داخلی تجاری'!D20),0)</f>
        <v>0</v>
      </c>
      <c r="D20" s="263"/>
      <c r="E20" s="577">
        <f t="shared" ca="1" si="0"/>
        <v>0</v>
      </c>
      <c r="F20" s="1747">
        <f ca="1">IFERROR((('فروش داخلی تجاری'!L20)+IFERROR(VLOOKUP(B20,'درآمد صادرات'!$B$7:$Q$18,16,FALSE),0))*1000000/(IFERROR(VLOOKUP(B20,'درآمد صادرات'!$B$7:$Q$18,14,FALSE),0)+'فروش داخلی تجاری'!J20),0)</f>
        <v>0</v>
      </c>
      <c r="G20" s="1756">
        <f>'خرید کالای تجاری'!E48</f>
        <v>0</v>
      </c>
      <c r="H20" s="577">
        <f t="shared" ca="1" si="1"/>
        <v>0</v>
      </c>
      <c r="K20" s="1734">
        <f ca="1">IFERROR(VLOOKUP(B20,'درآمد صادرات'!$B$7:$Q$18,8,FALSE),0)+'فروش داخلی تجاری'!D20</f>
        <v>0</v>
      </c>
      <c r="L20" s="1734">
        <f ca="1">IFERROR(VLOOKUP(B20,'درآمد صادرات'!$B$7:$Q$18,14,FALSE),0)+'فروش داخلی تجاری'!J20</f>
        <v>0</v>
      </c>
      <c r="M20" s="1754"/>
      <c r="P20" s="982"/>
      <c r="Q20" s="982"/>
    </row>
    <row r="21" spans="1:17" ht="30" customHeight="1">
      <c r="A21" s="1748">
        <v>15</v>
      </c>
      <c r="B21" s="1746">
        <f ca="1">'فروش داخلی تجاری'!B21</f>
        <v>0</v>
      </c>
      <c r="C21" s="1747">
        <f ca="1">IFERROR((('فروش داخلی تجاری'!F21)+IFERROR(VLOOKUP(B21,'درآمد صادرات'!$B$7:$Q$18,10,FALSE),0))*1000000/(IFERROR(VLOOKUP(B21,'درآمد صادرات'!$B$7:$Q$18,8,FALSE),0)+'فروش داخلی تجاری'!D21),0)</f>
        <v>0</v>
      </c>
      <c r="D21" s="263"/>
      <c r="E21" s="577">
        <f t="shared" ref="E21:E23" ca="1" si="2">IFERROR(C21-D21,"-")</f>
        <v>0</v>
      </c>
      <c r="F21" s="1747">
        <f ca="1">IFERROR((('فروش داخلی تجاری'!L21)+IFERROR(VLOOKUP(B21,'درآمد صادرات'!$B$7:$Q$18,16,FALSE),0))*1000000/(IFERROR(VLOOKUP(B21,'درآمد صادرات'!$B$7:$Q$18,14,FALSE),0)+'فروش داخلی تجاری'!J21),0)</f>
        <v>0</v>
      </c>
      <c r="G21" s="1756">
        <f>'خرید کالای تجاری'!E49</f>
        <v>0</v>
      </c>
      <c r="H21" s="577">
        <f t="shared" ref="H21:H23" ca="1" si="3">IFERROR(F21-G21,"-")</f>
        <v>0</v>
      </c>
      <c r="K21" s="1734">
        <f ca="1">IFERROR(VLOOKUP(B21,'درآمد صادرات'!$B$7:$Q$18,8,FALSE),0)+'فروش داخلی تجاری'!D21</f>
        <v>0</v>
      </c>
      <c r="L21" s="1734">
        <f ca="1">IFERROR(VLOOKUP(B21,'درآمد صادرات'!$B$7:$Q$18,14,FALSE),0)+'فروش داخلی تجاری'!J21</f>
        <v>0</v>
      </c>
      <c r="M21" s="1754"/>
      <c r="P21" s="982"/>
      <c r="Q21" s="982"/>
    </row>
    <row r="22" spans="1:17" ht="30" customHeight="1">
      <c r="A22" s="1748">
        <v>16</v>
      </c>
      <c r="B22" s="1746">
        <f ca="1">'فروش داخلی تجاری'!B22</f>
        <v>0</v>
      </c>
      <c r="C22" s="1747">
        <f ca="1">IFERROR((('فروش داخلی تجاری'!F22)+IFERROR(VLOOKUP(B22,'درآمد صادرات'!$B$7:$Q$18,10,FALSE),0))*1000000/(IFERROR(VLOOKUP(B22,'درآمد صادرات'!$B$7:$Q$18,8,FALSE),0)+'فروش داخلی تجاری'!D22),0)</f>
        <v>0</v>
      </c>
      <c r="D22" s="263"/>
      <c r="E22" s="577">
        <f t="shared" ca="1" si="2"/>
        <v>0</v>
      </c>
      <c r="F22" s="1747">
        <f ca="1">IFERROR((('فروش داخلی تجاری'!L22)+IFERROR(VLOOKUP(B22,'درآمد صادرات'!$B$7:$Q$18,16,FALSE),0))*1000000/(IFERROR(VLOOKUP(B22,'درآمد صادرات'!$B$7:$Q$18,14,FALSE),0)+'فروش داخلی تجاری'!J22),0)</f>
        <v>0</v>
      </c>
      <c r="G22" s="1756">
        <f>'خرید کالای تجاری'!E50</f>
        <v>0</v>
      </c>
      <c r="H22" s="577">
        <f t="shared" ca="1" si="3"/>
        <v>0</v>
      </c>
      <c r="K22" s="1734">
        <f ca="1">IFERROR(VLOOKUP(B22,'درآمد صادرات'!$B$7:$Q$18,8,FALSE),0)+'فروش داخلی تجاری'!D22</f>
        <v>0</v>
      </c>
      <c r="L22" s="1734">
        <f ca="1">IFERROR(VLOOKUP(B22,'درآمد صادرات'!$B$7:$Q$18,14,FALSE),0)+'فروش داخلی تجاری'!J22</f>
        <v>0</v>
      </c>
      <c r="M22" s="1754"/>
      <c r="P22" s="982"/>
      <c r="Q22" s="982"/>
    </row>
    <row r="23" spans="1:17" ht="30" customHeight="1">
      <c r="A23" s="1748">
        <v>17</v>
      </c>
      <c r="B23" s="1746">
        <f ca="1">'فروش داخلی تجاری'!B23</f>
        <v>0</v>
      </c>
      <c r="C23" s="1747">
        <f ca="1">IFERROR((('فروش داخلی تجاری'!F23)+IFERROR(VLOOKUP(B23,'درآمد صادرات'!$B$7:$Q$18,10,FALSE),0))*1000000/(IFERROR(VLOOKUP(B23,'درآمد صادرات'!$B$7:$Q$18,8,FALSE),0)+'فروش داخلی تجاری'!D23),0)</f>
        <v>0</v>
      </c>
      <c r="D23" s="263"/>
      <c r="E23" s="577">
        <f t="shared" ca="1" si="2"/>
        <v>0</v>
      </c>
      <c r="F23" s="1747">
        <f ca="1">IFERROR((('فروش داخلی تجاری'!L23)+IFERROR(VLOOKUP(B23,'درآمد صادرات'!$B$7:$Q$18,16,FALSE),0))*1000000/(IFERROR(VLOOKUP(B23,'درآمد صادرات'!$B$7:$Q$18,14,FALSE),0)+'فروش داخلی تجاری'!J23),0)</f>
        <v>0</v>
      </c>
      <c r="G23" s="1756">
        <f>'خرید کالای تجاری'!E51</f>
        <v>0</v>
      </c>
      <c r="H23" s="577">
        <f t="shared" ca="1" si="3"/>
        <v>0</v>
      </c>
      <c r="K23" s="1734">
        <f ca="1">IFERROR(VLOOKUP(B23,'درآمد صادرات'!$B$7:$Q$18,8,FALSE),0)+'فروش داخلی تجاری'!D23</f>
        <v>0</v>
      </c>
      <c r="L23" s="1734">
        <f ca="1">IFERROR(VLOOKUP(B23,'درآمد صادرات'!$B$7:$Q$18,14,FALSE),0)+'فروش داخلی تجاری'!J23</f>
        <v>0</v>
      </c>
      <c r="M23" s="1754"/>
      <c r="P23" s="982"/>
      <c r="Q23" s="982"/>
    </row>
    <row r="24" spans="1:17" ht="30" customHeight="1">
      <c r="A24" s="1748">
        <v>18</v>
      </c>
      <c r="B24" s="1746">
        <f ca="1">'فروش داخلی تجاری'!B24</f>
        <v>0</v>
      </c>
      <c r="C24" s="1747">
        <f ca="1">IFERROR((('فروش داخلی تجاری'!F24)+IFERROR(VLOOKUP(B24,'درآمد صادرات'!$B$7:$Q$18,10,FALSE),0))*1000000/(IFERROR(VLOOKUP(B24,'درآمد صادرات'!$B$7:$Q$18,8,FALSE),0)+'فروش داخلی تجاری'!D24),0)</f>
        <v>0</v>
      </c>
      <c r="D24" s="263"/>
      <c r="E24" s="577">
        <f t="shared" ref="E24:E29" ca="1" si="4">IFERROR(C24-D24,"-")</f>
        <v>0</v>
      </c>
      <c r="F24" s="1747">
        <f ca="1">IFERROR((('فروش داخلی تجاری'!L24)+IFERROR(VLOOKUP(B24,'درآمد صادرات'!$B$7:$Q$18,16,FALSE),0))*1000000/(IFERROR(VLOOKUP(B24,'درآمد صادرات'!$B$7:$Q$18,14,FALSE),0)+'فروش داخلی تجاری'!J24),0)</f>
        <v>0</v>
      </c>
      <c r="G24" s="1756">
        <f>'خرید کالای تجاری'!E52</f>
        <v>0</v>
      </c>
      <c r="H24" s="577">
        <f t="shared" ref="H24:H29" ca="1" si="5">IFERROR(F24-G24,"-")</f>
        <v>0</v>
      </c>
      <c r="K24" s="1734">
        <f ca="1">IFERROR(VLOOKUP(B24,'درآمد صادرات'!$B$7:$Q$18,8,FALSE),0)+'فروش داخلی تجاری'!D24</f>
        <v>0</v>
      </c>
      <c r="L24" s="1734">
        <f ca="1">IFERROR(VLOOKUP(B24,'درآمد صادرات'!$B$7:$Q$18,14,FALSE),0)+'فروش داخلی تجاری'!J24</f>
        <v>0</v>
      </c>
      <c r="M24" s="1754"/>
      <c r="P24" s="982"/>
      <c r="Q24" s="982"/>
    </row>
    <row r="25" spans="1:17" ht="30" customHeight="1">
      <c r="A25" s="1748">
        <v>19</v>
      </c>
      <c r="B25" s="1746">
        <f ca="1">'فروش داخلی تجاری'!B25</f>
        <v>0</v>
      </c>
      <c r="C25" s="1747">
        <f ca="1">IFERROR((('فروش داخلی تجاری'!F25)+IFERROR(VLOOKUP(B25,'درآمد صادرات'!$B$7:$Q$18,10,FALSE),0))*1000000/(IFERROR(VLOOKUP(B25,'درآمد صادرات'!$B$7:$Q$18,8,FALSE),0)+'فروش داخلی تجاری'!D25),0)</f>
        <v>0</v>
      </c>
      <c r="D25" s="263"/>
      <c r="E25" s="577">
        <f t="shared" ca="1" si="4"/>
        <v>0</v>
      </c>
      <c r="F25" s="1747">
        <f ca="1">IFERROR((('فروش داخلی تجاری'!L25)+IFERROR(VLOOKUP(B25,'درآمد صادرات'!$B$7:$Q$18,16,FALSE),0))*1000000/(IFERROR(VLOOKUP(B25,'درآمد صادرات'!$B$7:$Q$18,14,FALSE),0)+'فروش داخلی تجاری'!J25),0)</f>
        <v>0</v>
      </c>
      <c r="G25" s="1756">
        <f>'خرید کالای تجاری'!E53</f>
        <v>0</v>
      </c>
      <c r="H25" s="577">
        <f t="shared" ca="1" si="5"/>
        <v>0</v>
      </c>
      <c r="K25" s="1734"/>
      <c r="L25" s="1734"/>
      <c r="M25" s="1754"/>
      <c r="P25" s="982"/>
      <c r="Q25" s="982"/>
    </row>
    <row r="26" spans="1:17" ht="30" customHeight="1">
      <c r="A26" s="1748">
        <v>20</v>
      </c>
      <c r="B26" s="1746">
        <f ca="1">'فروش داخلی تجاری'!B26</f>
        <v>0</v>
      </c>
      <c r="C26" s="1747">
        <f ca="1">IFERROR((('فروش داخلی تجاری'!F26)+IFERROR(VLOOKUP(B26,'درآمد صادرات'!$B$7:$Q$18,10,FALSE),0))*1000000/(IFERROR(VLOOKUP(B26,'درآمد صادرات'!$B$7:$Q$18,8,FALSE),0)+'فروش داخلی تجاری'!D26),0)</f>
        <v>0</v>
      </c>
      <c r="D26" s="263"/>
      <c r="E26" s="577">
        <f t="shared" ca="1" si="4"/>
        <v>0</v>
      </c>
      <c r="F26" s="1747">
        <f ca="1">IFERROR((('فروش داخلی تجاری'!L26)+IFERROR(VLOOKUP(B26,'درآمد صادرات'!$B$7:$Q$18,16,FALSE),0))*1000000/(IFERROR(VLOOKUP(B26,'درآمد صادرات'!$B$7:$Q$18,14,FALSE),0)+'فروش داخلی تجاری'!J26),0)</f>
        <v>0</v>
      </c>
      <c r="G26" s="1756">
        <f>'خرید کالای تجاری'!E54</f>
        <v>0</v>
      </c>
      <c r="H26" s="577">
        <f t="shared" ca="1" si="5"/>
        <v>0</v>
      </c>
      <c r="K26" s="1734"/>
      <c r="L26" s="1734"/>
      <c r="M26" s="1754"/>
      <c r="P26" s="982"/>
      <c r="Q26" s="982"/>
    </row>
    <row r="27" spans="1:17" ht="30" customHeight="1">
      <c r="A27" s="1748">
        <v>21</v>
      </c>
      <c r="B27" s="1746">
        <f ca="1">'فروش داخلی تجاری'!B27</f>
        <v>0</v>
      </c>
      <c r="C27" s="1747">
        <f ca="1">IFERROR((('فروش داخلی تجاری'!F27)+IFERROR(VLOOKUP(B27,'درآمد صادرات'!$B$7:$Q$18,10,FALSE),0))*1000000/(IFERROR(VLOOKUP(B27,'درآمد صادرات'!$B$7:$Q$18,8,FALSE),0)+'فروش داخلی تجاری'!D27),0)</f>
        <v>0</v>
      </c>
      <c r="D27" s="263"/>
      <c r="E27" s="577">
        <f t="shared" ca="1" si="4"/>
        <v>0</v>
      </c>
      <c r="F27" s="1747">
        <f ca="1">IFERROR((('فروش داخلی تجاری'!L27)+IFERROR(VLOOKUP(B27,'درآمد صادرات'!$B$7:$Q$18,16,FALSE),0))*1000000/(IFERROR(VLOOKUP(B27,'درآمد صادرات'!$B$7:$Q$18,14,FALSE),0)+'فروش داخلی تجاری'!J27),0)</f>
        <v>0</v>
      </c>
      <c r="G27" s="1756">
        <f>'خرید کالای تجاری'!E55</f>
        <v>0</v>
      </c>
      <c r="H27" s="577">
        <f t="shared" ca="1" si="5"/>
        <v>0</v>
      </c>
      <c r="K27" s="1734"/>
      <c r="L27" s="1734"/>
      <c r="M27" s="1754"/>
      <c r="P27" s="982"/>
      <c r="Q27" s="982"/>
    </row>
    <row r="28" spans="1:17" ht="30" customHeight="1">
      <c r="A28" s="1748">
        <v>22</v>
      </c>
      <c r="B28" s="1746">
        <f ca="1">'فروش داخلی تجاری'!B28</f>
        <v>0</v>
      </c>
      <c r="C28" s="1747">
        <f ca="1">IFERROR((('فروش داخلی تجاری'!F28)+IFERROR(VLOOKUP(B28,'درآمد صادرات'!$B$7:$Q$18,10,FALSE),0))*1000000/(IFERROR(VLOOKUP(B28,'درآمد صادرات'!$B$7:$Q$18,8,FALSE),0)+'فروش داخلی تجاری'!D28),0)</f>
        <v>0</v>
      </c>
      <c r="D28" s="263"/>
      <c r="E28" s="577">
        <f t="shared" ca="1" si="4"/>
        <v>0</v>
      </c>
      <c r="F28" s="1747">
        <f ca="1">IFERROR((('فروش داخلی تجاری'!L28)+IFERROR(VLOOKUP(B28,'درآمد صادرات'!$B$7:$Q$18,16,FALSE),0))*1000000/(IFERROR(VLOOKUP(B28,'درآمد صادرات'!$B$7:$Q$18,14,FALSE),0)+'فروش داخلی تجاری'!J28),0)</f>
        <v>0</v>
      </c>
      <c r="G28" s="1756">
        <f>'خرید کالای تجاری'!E56</f>
        <v>0</v>
      </c>
      <c r="H28" s="577">
        <f t="shared" ca="1" si="5"/>
        <v>0</v>
      </c>
      <c r="K28" s="1734">
        <f ca="1">IFERROR(VLOOKUP(B28,'درآمد صادرات'!$B$7:$Q$18,8,FALSE),0)+'فروش داخلی تجاری'!D28</f>
        <v>0</v>
      </c>
      <c r="L28" s="1734">
        <f ca="1">IFERROR(VLOOKUP(B28,'درآمد صادرات'!$B$7:$Q$18,14,FALSE),0)+'فروش داخلی تجاری'!J28</f>
        <v>0</v>
      </c>
      <c r="M28" s="1754"/>
      <c r="P28" s="982"/>
      <c r="Q28" s="982"/>
    </row>
    <row r="29" spans="1:17" ht="30" customHeight="1" thickBot="1">
      <c r="A29" s="576">
        <v>23</v>
      </c>
      <c r="B29" s="1751">
        <f ca="1">'فروش داخلی تجاری'!B29</f>
        <v>0</v>
      </c>
      <c r="C29" s="1752">
        <f ca="1">IFERROR((('فروش داخلی تجاری'!F29)+IFERROR(VLOOKUP(B29,'درآمد صادرات'!$B$7:$Q$18,10,FALSE),0))*1000000/(IFERROR(VLOOKUP(B29,'درآمد صادرات'!$B$7:$Q$18,8,FALSE),0)+'فروش داخلی تجاری'!D29),0)</f>
        <v>0</v>
      </c>
      <c r="D29" s="265"/>
      <c r="E29" s="578">
        <f t="shared" ca="1" si="4"/>
        <v>0</v>
      </c>
      <c r="F29" s="1752">
        <f ca="1">IFERROR((('فروش داخلی تجاری'!L29)+IFERROR(VLOOKUP(B29,'درآمد صادرات'!$B$7:$Q$18,16,FALSE),0))*1000000/(IFERROR(VLOOKUP(B29,'درآمد صادرات'!$B$7:$Q$18,14,FALSE),0)+'فروش داخلی تجاری'!J29),0)</f>
        <v>0</v>
      </c>
      <c r="G29" s="1757">
        <f>'خرید کالای تجاری'!E57</f>
        <v>0</v>
      </c>
      <c r="H29" s="578">
        <f t="shared" ca="1" si="5"/>
        <v>0</v>
      </c>
      <c r="K29" s="1734">
        <f ca="1">IFERROR(VLOOKUP(B29,'درآمد صادرات'!$B$7:$Q$18,8,FALSE),0)+'فروش داخلی تجاری'!D29</f>
        <v>0</v>
      </c>
      <c r="L29" s="1734">
        <f ca="1">IFERROR(VLOOKUP(B29,'درآمد صادرات'!$B$7:$Q$18,14,FALSE),0)+'فروش داخلی تجاری'!J29</f>
        <v>0</v>
      </c>
      <c r="M29" s="1754"/>
      <c r="P29" s="982"/>
      <c r="Q29" s="982"/>
    </row>
    <row r="30" spans="1:17" ht="18.75" customHeight="1">
      <c r="A30" s="3158"/>
      <c r="B30" s="3158"/>
      <c r="C30" s="983"/>
      <c r="D30" s="983"/>
      <c r="E30" s="983"/>
      <c r="F30" s="971"/>
      <c r="G30" s="971"/>
      <c r="H30" s="971"/>
      <c r="P30" s="982"/>
      <c r="Q30" s="982"/>
    </row>
    <row r="31" spans="1:17" ht="25.5" customHeight="1">
      <c r="A31" s="971"/>
      <c r="B31" s="8"/>
      <c r="C31" s="8"/>
      <c r="D31" s="8"/>
      <c r="E31" s="9"/>
      <c r="F31" s="964"/>
      <c r="G31" s="8"/>
      <c r="H31" s="964"/>
    </row>
    <row r="32" spans="1:17" ht="17.25">
      <c r="A32" s="971"/>
      <c r="B32" s="971"/>
      <c r="C32" s="971"/>
      <c r="D32" s="971"/>
      <c r="E32" s="971"/>
      <c r="F32" s="971"/>
      <c r="G32" s="971"/>
      <c r="H32" s="971"/>
    </row>
    <row r="33" spans="1:8" ht="17.25">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8" thickBot="1">
      <c r="A44" s="971"/>
      <c r="B44" s="971"/>
      <c r="C44" s="971"/>
      <c r="D44" s="971"/>
      <c r="E44" s="971"/>
      <c r="F44" s="971"/>
      <c r="G44" s="971"/>
      <c r="H44" s="971"/>
    </row>
    <row r="45" spans="1:8" ht="18" thickBot="1">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row r="61" spans="1:8" ht="17.25">
      <c r="A61" s="971"/>
      <c r="B61" s="971"/>
      <c r="C61" s="971"/>
      <c r="D61" s="971"/>
      <c r="E61" s="971"/>
      <c r="F61" s="971"/>
      <c r="G61" s="971"/>
      <c r="H61" s="971"/>
    </row>
    <row r="62" spans="1:8" ht="17.25">
      <c r="A62" s="971"/>
      <c r="B62" s="971"/>
      <c r="C62" s="971"/>
      <c r="D62" s="971"/>
      <c r="E62" s="971"/>
      <c r="F62" s="971"/>
      <c r="G62" s="971"/>
      <c r="H62" s="971"/>
    </row>
    <row r="63" spans="1:8" ht="17.25">
      <c r="A63" s="971"/>
      <c r="B63" s="971"/>
      <c r="C63" s="971"/>
      <c r="D63" s="971"/>
      <c r="E63" s="971"/>
      <c r="F63" s="971"/>
      <c r="G63" s="971"/>
      <c r="H63" s="971"/>
    </row>
    <row r="64" spans="1:8" ht="17.25">
      <c r="A64" s="971"/>
      <c r="B64" s="971"/>
      <c r="C64" s="971"/>
      <c r="D64" s="971"/>
      <c r="E64" s="971"/>
      <c r="F64" s="971"/>
      <c r="G64" s="971"/>
      <c r="H64" s="971"/>
    </row>
    <row r="65" spans="1:8" ht="17.25">
      <c r="A65" s="971"/>
      <c r="B65" s="971"/>
      <c r="C65" s="971"/>
      <c r="D65" s="971"/>
      <c r="E65" s="971"/>
      <c r="F65" s="971"/>
      <c r="G65" s="971"/>
      <c r="H65" s="971"/>
    </row>
    <row r="66" spans="1:8" ht="17.25">
      <c r="A66" s="971"/>
      <c r="B66" s="971"/>
      <c r="C66" s="971"/>
      <c r="D66" s="971"/>
      <c r="E66" s="971"/>
      <c r="F66" s="971"/>
      <c r="G66" s="971"/>
      <c r="H66" s="971"/>
    </row>
    <row r="67" spans="1:8" ht="17.25">
      <c r="A67" s="971"/>
      <c r="B67" s="971"/>
      <c r="C67" s="971"/>
      <c r="D67" s="971"/>
      <c r="E67" s="971"/>
      <c r="F67" s="971"/>
      <c r="G67" s="971"/>
      <c r="H67" s="971"/>
    </row>
    <row r="68" spans="1:8" ht="17.25">
      <c r="A68" s="971"/>
      <c r="B68" s="971"/>
      <c r="C68" s="971"/>
      <c r="D68" s="971"/>
      <c r="E68" s="971"/>
      <c r="F68" s="971"/>
      <c r="G68" s="971"/>
      <c r="H68" s="971"/>
    </row>
    <row r="69" spans="1:8" ht="17.25">
      <c r="A69" s="971"/>
      <c r="B69" s="971"/>
      <c r="C69" s="971"/>
      <c r="D69" s="971"/>
      <c r="E69" s="971"/>
      <c r="F69" s="971"/>
      <c r="G69" s="971"/>
      <c r="H69" s="971"/>
    </row>
    <row r="70" spans="1:8" ht="17.25">
      <c r="A70" s="971"/>
      <c r="B70" s="971"/>
      <c r="C70" s="971"/>
      <c r="D70" s="971"/>
      <c r="E70" s="971"/>
      <c r="F70" s="971"/>
      <c r="G70" s="971"/>
      <c r="H70" s="971"/>
    </row>
    <row r="71" spans="1:8" ht="17.25">
      <c r="A71" s="971"/>
      <c r="B71" s="971"/>
      <c r="C71" s="971"/>
      <c r="D71" s="971"/>
      <c r="E71" s="971"/>
      <c r="F71" s="971"/>
      <c r="G71" s="971"/>
      <c r="H71" s="971"/>
    </row>
  </sheetData>
  <mergeCells count="4">
    <mergeCell ref="A30:B30"/>
    <mergeCell ref="A1:H1"/>
    <mergeCell ref="A4:A6"/>
    <mergeCell ref="B4:B6"/>
  </mergeCells>
  <printOptions horizontalCentered="1"/>
  <pageMargins left="0.59055118110236227" right="0.59055118110236227" top="0.19685039370078741" bottom="0.78740157480314965" header="0.19685039370078741" footer="0.19685039370078741"/>
  <pageSetup paperSize="9" scale="7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39A5760E-845E-4FC1-AD50-28F8349ECE08}">
            <x14:iconSet iconSet="3Symbols" custom="1">
              <x14:cfvo type="percent">
                <xm:f>0</xm:f>
              </x14:cfvo>
              <x14:cfvo type="num">
                <xm:f>0</xm:f>
              </x14:cfvo>
              <x14:cfvo type="num">
                <xm:f>0</xm:f>
              </x14:cfvo>
              <x14:cfIcon iconSet="3Symbols" iconId="1"/>
              <x14:cfIcon iconSet="NoIcons" iconId="0"/>
              <x14:cfIcon iconSet="NoIcons" iconId="0"/>
            </x14:iconSet>
          </x14:cfRule>
          <xm:sqref>E7:E29 H7:H29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66">
    <tabColor rgb="FFFFFF00"/>
    <pageSetUpPr fitToPage="1"/>
  </sheetPr>
  <dimension ref="A1:M60"/>
  <sheetViews>
    <sheetView rightToLeft="1" view="pageBreakPreview" topLeftCell="A3" zoomScale="60" zoomScaleNormal="100" workbookViewId="0">
      <selection activeCell="E15" sqref="E15"/>
    </sheetView>
  </sheetViews>
  <sheetFormatPr defaultColWidth="9" defaultRowHeight="12.75"/>
  <cols>
    <col min="1" max="1" width="7.5703125" style="970" customWidth="1"/>
    <col min="2" max="2" width="32.5703125" style="970" customWidth="1"/>
    <col min="3" max="8" width="12.5703125" style="970" customWidth="1"/>
    <col min="9" max="10" width="9" style="970"/>
    <col min="11" max="12" width="9" style="970" hidden="1" customWidth="1"/>
    <col min="13" max="13" width="0" style="970" hidden="1" customWidth="1"/>
    <col min="14" max="16384" width="9" style="970"/>
  </cols>
  <sheetData>
    <row r="1" spans="1:13" s="5" customFormat="1" ht="24" customHeight="1">
      <c r="A1" s="2685" t="str">
        <f>روکش!D4</f>
        <v>انبارهای عمومی و خدمات گمرکی ایران</v>
      </c>
      <c r="B1" s="2685"/>
      <c r="C1" s="2685"/>
      <c r="D1" s="2685"/>
      <c r="E1" s="2685"/>
      <c r="F1" s="2685"/>
      <c r="G1" s="2685"/>
      <c r="H1" s="2685"/>
    </row>
    <row r="2" spans="1:13" s="5" customFormat="1" ht="28.5" customHeight="1">
      <c r="A2" s="1206" t="str">
        <f>"گزارش مقایسه‌ای نرخ‌های فروش و بهای تمام شده کالای صادراتی در دوره " &amp; روکش!F9 &amp; " سال " &amp; روکش!D9</f>
        <v>گزارش مقایسه‌ای نرخ‌های فروش و بهای تمام شده کالای صادراتی در دوره شش ماهه سال 1405</v>
      </c>
      <c r="B2" s="1206"/>
      <c r="C2" s="1206"/>
      <c r="D2" s="1206"/>
      <c r="E2" s="1203"/>
      <c r="F2" s="1203"/>
      <c r="G2" s="1203"/>
      <c r="H2" s="1203"/>
      <c r="I2" s="251"/>
    </row>
    <row r="3" spans="1:13" ht="20.100000000000001" customHeight="1" thickBot="1">
      <c r="A3" s="1735"/>
      <c r="B3" s="1735"/>
      <c r="C3" s="1735"/>
      <c r="D3" s="570"/>
      <c r="E3" s="570"/>
      <c r="F3" s="568"/>
      <c r="G3" s="1736"/>
      <c r="H3" s="1737" t="s">
        <v>191</v>
      </c>
    </row>
    <row r="4" spans="1:13" ht="25.5" customHeight="1" thickBot="1">
      <c r="A4" s="3152" t="s">
        <v>72</v>
      </c>
      <c r="B4" s="3155" t="s">
        <v>190</v>
      </c>
      <c r="C4" s="1738" t="s">
        <v>683</v>
      </c>
      <c r="D4" s="1739"/>
      <c r="E4" s="1740"/>
      <c r="F4" s="1738" t="s">
        <v>642</v>
      </c>
      <c r="G4" s="1739"/>
      <c r="H4" s="1740"/>
    </row>
    <row r="5" spans="1:13" ht="21" customHeight="1">
      <c r="A5" s="3153"/>
      <c r="B5" s="3156"/>
      <c r="C5" s="1741" t="s">
        <v>1491</v>
      </c>
      <c r="D5" s="1742"/>
      <c r="E5" s="1743"/>
      <c r="F5" s="1741" t="s">
        <v>1491</v>
      </c>
      <c r="G5" s="1742"/>
      <c r="H5" s="1743"/>
    </row>
    <row r="6" spans="1:13" ht="48.75" customHeight="1" thickBot="1">
      <c r="A6" s="3154"/>
      <c r="B6" s="3157"/>
      <c r="C6" s="571" t="s">
        <v>1490</v>
      </c>
      <c r="D6" s="572" t="s">
        <v>74</v>
      </c>
      <c r="E6" s="573" t="s">
        <v>1488</v>
      </c>
      <c r="F6" s="571" t="s">
        <v>1490</v>
      </c>
      <c r="G6" s="572" t="s">
        <v>74</v>
      </c>
      <c r="H6" s="573" t="s">
        <v>1488</v>
      </c>
      <c r="K6" s="1734" t="s">
        <v>795</v>
      </c>
      <c r="L6" s="1734" t="s">
        <v>796</v>
      </c>
      <c r="M6" s="1734"/>
    </row>
    <row r="7" spans="1:13" ht="30" customHeight="1">
      <c r="A7" s="574">
        <v>1</v>
      </c>
      <c r="B7" s="1744">
        <f ca="1">'درآمد صادرات'!B7</f>
        <v>0</v>
      </c>
      <c r="C7" s="1745">
        <f>'درآمد صادرات'!E7*'درآمد صادرات'!J7</f>
        <v>0</v>
      </c>
      <c r="D7" s="1154"/>
      <c r="E7" s="1753">
        <f>IFERROR(C7-D7,"-")</f>
        <v>0</v>
      </c>
      <c r="F7" s="1745">
        <f>'درآمد صادرات'!G7*'درآمد صادرات'!P7</f>
        <v>0</v>
      </c>
      <c r="G7" s="262"/>
      <c r="H7" s="577">
        <f>IFERROR(F7-G7,"-")</f>
        <v>0</v>
      </c>
      <c r="K7" s="1734">
        <f ca="1">IFERROR(VLOOKUP(B7,'درآمد صادرات'!$B$7:$Q$18,8,FALSE),0)+'فروش داخلی تولیدی'!D7</f>
        <v>0</v>
      </c>
      <c r="L7" s="1734">
        <f ca="1">IFERROR(VLOOKUP(B7,'درآمد صادرات'!$B$7:$Q$18,14,FALSE),0)+'فروش داخلی تولیدی'!J7</f>
        <v>0</v>
      </c>
      <c r="M7" s="1734"/>
    </row>
    <row r="8" spans="1:13" ht="30" customHeight="1">
      <c r="A8" s="575">
        <v>2</v>
      </c>
      <c r="B8" s="1746">
        <f ca="1">'درآمد صادرات'!B8</f>
        <v>0</v>
      </c>
      <c r="C8" s="1747">
        <f>'درآمد صادرات'!E8*'درآمد صادرات'!J8</f>
        <v>0</v>
      </c>
      <c r="D8" s="263"/>
      <c r="E8" s="577">
        <f t="shared" ref="E8:E16" si="0">IFERROR(C8-D8,"-")</f>
        <v>0</v>
      </c>
      <c r="F8" s="1747">
        <f>'درآمد صادرات'!G8*'درآمد صادرات'!P8</f>
        <v>0</v>
      </c>
      <c r="G8" s="263"/>
      <c r="H8" s="577">
        <f t="shared" ref="H8:H16" si="1">IFERROR(F8-G8,"-")</f>
        <v>0</v>
      </c>
      <c r="K8" s="1734">
        <f ca="1">IFERROR(VLOOKUP(B8,'درآمد صادرات'!$B$7:$Q$18,8,FALSE),0)+'فروش داخلی تولیدی'!D8</f>
        <v>0</v>
      </c>
      <c r="L8" s="1734">
        <f ca="1">IFERROR(VLOOKUP(B8,'درآمد صادرات'!$B$7:$Q$18,14,FALSE),0)+'فروش داخلی تولیدی'!J8</f>
        <v>0</v>
      </c>
      <c r="M8" s="1734"/>
    </row>
    <row r="9" spans="1:13" ht="30" customHeight="1">
      <c r="A9" s="575">
        <v>3</v>
      </c>
      <c r="B9" s="1746">
        <f ca="1">'درآمد صادرات'!B9</f>
        <v>0</v>
      </c>
      <c r="C9" s="1747">
        <f>'درآمد صادرات'!E9*'درآمد صادرات'!J9</f>
        <v>0</v>
      </c>
      <c r="D9" s="263"/>
      <c r="E9" s="577">
        <f t="shared" si="0"/>
        <v>0</v>
      </c>
      <c r="F9" s="1747">
        <f>'درآمد صادرات'!G9*'درآمد صادرات'!P9</f>
        <v>0</v>
      </c>
      <c r="G9" s="263"/>
      <c r="H9" s="577">
        <f t="shared" si="1"/>
        <v>0</v>
      </c>
      <c r="K9" s="1734">
        <f ca="1">IFERROR(VLOOKUP(B9,'درآمد صادرات'!$B$7:$Q$18,8,FALSE),0)+'فروش داخلی تولیدی'!D9</f>
        <v>0</v>
      </c>
      <c r="L9" s="1734">
        <f ca="1">IFERROR(VLOOKUP(B9,'درآمد صادرات'!$B$7:$Q$18,14,FALSE),0)+'فروش داخلی تولیدی'!J9</f>
        <v>0</v>
      </c>
      <c r="M9" s="1734"/>
    </row>
    <row r="10" spans="1:13" ht="30" customHeight="1">
      <c r="A10" s="575">
        <v>4</v>
      </c>
      <c r="B10" s="1746">
        <f ca="1">'درآمد صادرات'!B10</f>
        <v>0</v>
      </c>
      <c r="C10" s="1747">
        <f>'درآمد صادرات'!E10*'درآمد صادرات'!J10</f>
        <v>0</v>
      </c>
      <c r="D10" s="263"/>
      <c r="E10" s="577">
        <f t="shared" si="0"/>
        <v>0</v>
      </c>
      <c r="F10" s="1747">
        <f>'درآمد صادرات'!G10*'درآمد صادرات'!P10</f>
        <v>0</v>
      </c>
      <c r="G10" s="263"/>
      <c r="H10" s="577">
        <f t="shared" si="1"/>
        <v>0</v>
      </c>
      <c r="K10" s="1734">
        <f ca="1">IFERROR(VLOOKUP(B10,'درآمد صادرات'!$B$7:$Q$18,8,FALSE),0)+'فروش داخلی تولیدی'!D10</f>
        <v>0</v>
      </c>
      <c r="L10" s="1734">
        <f ca="1">IFERROR(VLOOKUP(B10,'درآمد صادرات'!$B$7:$Q$18,14,FALSE),0)+'فروش داخلی تولیدی'!J10</f>
        <v>0</v>
      </c>
      <c r="M10" s="1734"/>
    </row>
    <row r="11" spans="1:13" ht="30" customHeight="1">
      <c r="A11" s="575">
        <v>5</v>
      </c>
      <c r="B11" s="1746">
        <f ca="1">'درآمد صادرات'!B11</f>
        <v>0</v>
      </c>
      <c r="C11" s="1747">
        <f>'درآمد صادرات'!E11*'درآمد صادرات'!J11</f>
        <v>0</v>
      </c>
      <c r="D11" s="263"/>
      <c r="E11" s="577">
        <f t="shared" si="0"/>
        <v>0</v>
      </c>
      <c r="F11" s="1747">
        <f>'درآمد صادرات'!G11*'درآمد صادرات'!P11</f>
        <v>0</v>
      </c>
      <c r="G11" s="263"/>
      <c r="H11" s="577">
        <f t="shared" si="1"/>
        <v>0</v>
      </c>
      <c r="K11" s="1734">
        <f ca="1">IFERROR(VLOOKUP(B11,'درآمد صادرات'!$B$7:$Q$18,8,FALSE),0)+'فروش داخلی تولیدی'!D11</f>
        <v>0</v>
      </c>
      <c r="L11" s="1734">
        <f ca="1">IFERROR(VLOOKUP(B11,'درآمد صادرات'!$B$7:$Q$18,14,FALSE),0)+'فروش داخلی تولیدی'!J11</f>
        <v>0</v>
      </c>
      <c r="M11" s="1734"/>
    </row>
    <row r="12" spans="1:13" ht="30" customHeight="1">
      <c r="A12" s="575">
        <v>6</v>
      </c>
      <c r="B12" s="1746">
        <f ca="1">'درآمد صادرات'!B12</f>
        <v>0</v>
      </c>
      <c r="C12" s="1747">
        <f>'درآمد صادرات'!E12*'درآمد صادرات'!J12</f>
        <v>0</v>
      </c>
      <c r="D12" s="263"/>
      <c r="E12" s="577">
        <f t="shared" si="0"/>
        <v>0</v>
      </c>
      <c r="F12" s="1747">
        <f>'درآمد صادرات'!G12*'درآمد صادرات'!P12</f>
        <v>0</v>
      </c>
      <c r="G12" s="263"/>
      <c r="H12" s="577">
        <f t="shared" si="1"/>
        <v>0</v>
      </c>
      <c r="K12" s="1734">
        <f ca="1">IFERROR(VLOOKUP(B12,'درآمد صادرات'!$B$7:$Q$18,8,FALSE),0)+'فروش داخلی تولیدی'!D12</f>
        <v>0</v>
      </c>
      <c r="L12" s="1734">
        <f ca="1">IFERROR(VLOOKUP(B12,'درآمد صادرات'!$B$7:$Q$18,14,FALSE),0)+'فروش داخلی تولیدی'!J12</f>
        <v>0</v>
      </c>
      <c r="M12" s="1734"/>
    </row>
    <row r="13" spans="1:13" ht="30" customHeight="1">
      <c r="A13" s="575">
        <v>7</v>
      </c>
      <c r="B13" s="1746">
        <f ca="1">'درآمد صادرات'!B13</f>
        <v>0</v>
      </c>
      <c r="C13" s="1747">
        <f>'درآمد صادرات'!E13*'درآمد صادرات'!J13</f>
        <v>0</v>
      </c>
      <c r="D13" s="263"/>
      <c r="E13" s="577">
        <f t="shared" si="0"/>
        <v>0</v>
      </c>
      <c r="F13" s="1747">
        <f>'درآمد صادرات'!G13*'درآمد صادرات'!P13</f>
        <v>0</v>
      </c>
      <c r="G13" s="263"/>
      <c r="H13" s="577">
        <f t="shared" si="1"/>
        <v>0</v>
      </c>
      <c r="K13" s="1734">
        <f ca="1">IFERROR(VLOOKUP(B13,'درآمد صادرات'!$B$7:$Q$18,8,FALSE),0)+'فروش داخلی تولیدی'!D13</f>
        <v>0</v>
      </c>
      <c r="L13" s="1734">
        <f ca="1">IFERROR(VLOOKUP(B13,'درآمد صادرات'!$B$7:$Q$18,14,FALSE),0)+'فروش داخلی تولیدی'!J13</f>
        <v>0</v>
      </c>
      <c r="M13" s="1734"/>
    </row>
    <row r="14" spans="1:13" ht="30" customHeight="1">
      <c r="A14" s="575">
        <v>8</v>
      </c>
      <c r="B14" s="1746">
        <f ca="1">'درآمد صادرات'!B14</f>
        <v>0</v>
      </c>
      <c r="C14" s="1747">
        <f>'درآمد صادرات'!E14*'درآمد صادرات'!J14</f>
        <v>0</v>
      </c>
      <c r="D14" s="263"/>
      <c r="E14" s="577">
        <f t="shared" si="0"/>
        <v>0</v>
      </c>
      <c r="F14" s="1747">
        <f>'درآمد صادرات'!G14*'درآمد صادرات'!P14</f>
        <v>0</v>
      </c>
      <c r="G14" s="263"/>
      <c r="H14" s="577">
        <f t="shared" si="1"/>
        <v>0</v>
      </c>
      <c r="K14" s="1734">
        <f ca="1">IFERROR(VLOOKUP(B14,'درآمد صادرات'!$B$7:$Q$18,8,FALSE),0)+'فروش داخلی تولیدی'!D14</f>
        <v>0</v>
      </c>
      <c r="L14" s="1734">
        <f ca="1">IFERROR(VLOOKUP(B14,'درآمد صادرات'!$B$7:$Q$18,14,FALSE),0)+'فروش داخلی تولیدی'!J14</f>
        <v>0</v>
      </c>
      <c r="M14" s="1734"/>
    </row>
    <row r="15" spans="1:13" ht="30" customHeight="1">
      <c r="A15" s="575">
        <v>9</v>
      </c>
      <c r="B15" s="1746">
        <f ca="1">'درآمد صادرات'!B15</f>
        <v>0</v>
      </c>
      <c r="C15" s="1747">
        <f>'درآمد صادرات'!E15*'درآمد صادرات'!J15</f>
        <v>0</v>
      </c>
      <c r="D15" s="263"/>
      <c r="E15" s="577">
        <f t="shared" si="0"/>
        <v>0</v>
      </c>
      <c r="F15" s="1747">
        <f>'درآمد صادرات'!G15*'درآمد صادرات'!P15</f>
        <v>0</v>
      </c>
      <c r="G15" s="263"/>
      <c r="H15" s="577">
        <f t="shared" si="1"/>
        <v>0</v>
      </c>
      <c r="K15" s="1734">
        <f ca="1">IFERROR(VLOOKUP(B15,'درآمد صادرات'!$B$7:$Q$18,8,FALSE),0)+'فروش داخلی تولیدی'!D15</f>
        <v>0</v>
      </c>
      <c r="L15" s="1734">
        <f ca="1">IFERROR(VLOOKUP(B15,'درآمد صادرات'!$B$7:$Q$18,14,FALSE),0)+'فروش داخلی تولیدی'!J15</f>
        <v>0</v>
      </c>
      <c r="M15" s="1734"/>
    </row>
    <row r="16" spans="1:13" ht="30" customHeight="1">
      <c r="A16" s="575">
        <v>10</v>
      </c>
      <c r="B16" s="1746">
        <f ca="1">'درآمد صادرات'!B16</f>
        <v>0</v>
      </c>
      <c r="C16" s="1747">
        <f>'درآمد صادرات'!E16*'درآمد صادرات'!J16</f>
        <v>0</v>
      </c>
      <c r="D16" s="263"/>
      <c r="E16" s="577">
        <f t="shared" si="0"/>
        <v>0</v>
      </c>
      <c r="F16" s="1747">
        <f>'درآمد صادرات'!G16*'درآمد صادرات'!P16</f>
        <v>0</v>
      </c>
      <c r="G16" s="263"/>
      <c r="H16" s="577">
        <f t="shared" si="1"/>
        <v>0</v>
      </c>
      <c r="K16" s="1734">
        <f ca="1">IFERROR(VLOOKUP(B16,'درآمد صادرات'!$B$7:$Q$18,8,FALSE),0)+'فروش داخلی تولیدی'!D16</f>
        <v>0</v>
      </c>
      <c r="L16" s="1734">
        <f ca="1">IFERROR(VLOOKUP(B16,'درآمد صادرات'!$B$7:$Q$18,14,FALSE),0)+'فروش داخلی تولیدی'!J16</f>
        <v>0</v>
      </c>
      <c r="M16" s="1734"/>
    </row>
    <row r="17" spans="1:13" ht="30" customHeight="1">
      <c r="A17" s="575">
        <v>11</v>
      </c>
      <c r="B17" s="1746">
        <f ca="1">'درآمد صادرات'!B17</f>
        <v>0</v>
      </c>
      <c r="C17" s="1747">
        <f>'درآمد صادرات'!E17*'درآمد صادرات'!J17</f>
        <v>0</v>
      </c>
      <c r="D17" s="263"/>
      <c r="E17" s="577">
        <f>IFERROR(C17-D17,"-")</f>
        <v>0</v>
      </c>
      <c r="F17" s="1747">
        <f>'درآمد صادرات'!G17*'درآمد صادرات'!P17</f>
        <v>0</v>
      </c>
      <c r="G17" s="263"/>
      <c r="H17" s="577">
        <f>IFERROR(F17-G17,"-")</f>
        <v>0</v>
      </c>
      <c r="K17" s="1734">
        <f ca="1">IFERROR(VLOOKUP(B17,'درآمد صادرات'!$B$7:$Q$18,8,FALSE),0)+'فروش داخلی تولیدی'!D17</f>
        <v>0</v>
      </c>
      <c r="L17" s="1734">
        <f ca="1">IFERROR(VLOOKUP(B17,'درآمد صادرات'!$B$7:$Q$18,14,FALSE),0)+'فروش داخلی تولیدی'!J17</f>
        <v>0</v>
      </c>
      <c r="M17" s="1734"/>
    </row>
    <row r="18" spans="1:13" ht="30" customHeight="1" thickBot="1">
      <c r="A18" s="576">
        <v>12</v>
      </c>
      <c r="B18" s="1751">
        <f ca="1">'درآمد صادرات'!B18</f>
        <v>0</v>
      </c>
      <c r="C18" s="1752">
        <f>'درآمد صادرات'!E18*'درآمد صادرات'!J18</f>
        <v>0</v>
      </c>
      <c r="D18" s="265"/>
      <c r="E18" s="578">
        <f>IFERROR(C18-D18,"-")</f>
        <v>0</v>
      </c>
      <c r="F18" s="1752">
        <f>'درآمد صادرات'!G18*'درآمد صادرات'!P18</f>
        <v>0</v>
      </c>
      <c r="G18" s="265"/>
      <c r="H18" s="578">
        <f>IFERROR(F18-G18,"-")</f>
        <v>0</v>
      </c>
      <c r="K18" s="1734">
        <f ca="1">IFERROR(VLOOKUP(B18,'درآمد صادرات'!$B$7:$Q$18,8,FALSE),0)+'فروش داخلی تولیدی'!D26</f>
        <v>0</v>
      </c>
      <c r="L18" s="1734">
        <f ca="1">IFERROR(VLOOKUP(B18,'درآمد صادرات'!$B$7:$Q$18,14,FALSE),0)+'فروش داخلی تولیدی'!J26</f>
        <v>0</v>
      </c>
      <c r="M18" s="1734"/>
    </row>
    <row r="19" spans="1:13" ht="10.5" customHeight="1">
      <c r="A19" s="972"/>
      <c r="B19" s="971"/>
      <c r="C19" s="971"/>
      <c r="D19" s="971"/>
      <c r="E19" s="971"/>
      <c r="F19" s="971"/>
      <c r="G19" s="971"/>
      <c r="H19" s="569"/>
    </row>
    <row r="20" spans="1:13" ht="25.5" customHeight="1">
      <c r="A20" s="971"/>
      <c r="B20" s="8"/>
      <c r="C20" s="8"/>
      <c r="D20" s="8"/>
      <c r="E20" s="9"/>
      <c r="F20" s="964"/>
      <c r="G20" s="8"/>
      <c r="H20" s="964"/>
    </row>
    <row r="21" spans="1:13" ht="17.25">
      <c r="A21" s="971"/>
      <c r="B21" s="971"/>
      <c r="C21" s="971"/>
      <c r="D21" s="971"/>
      <c r="E21" s="971"/>
      <c r="F21" s="971"/>
      <c r="G21" s="971"/>
      <c r="H21" s="971"/>
    </row>
    <row r="22" spans="1:13" ht="17.25">
      <c r="A22" s="971"/>
      <c r="B22" s="971"/>
      <c r="C22" s="971"/>
      <c r="D22" s="971"/>
      <c r="E22" s="971"/>
      <c r="F22" s="971"/>
      <c r="G22" s="971"/>
      <c r="H22" s="971"/>
    </row>
    <row r="23" spans="1:13" ht="17.25">
      <c r="A23" s="971"/>
      <c r="B23" s="971"/>
      <c r="C23" s="971"/>
      <c r="D23" s="971"/>
      <c r="E23" s="971"/>
      <c r="F23" s="971"/>
      <c r="G23" s="971"/>
      <c r="H23" s="971"/>
    </row>
    <row r="24" spans="1:13" ht="17.25">
      <c r="A24" s="971"/>
      <c r="B24" s="971"/>
      <c r="C24" s="971"/>
      <c r="D24" s="971"/>
      <c r="E24" s="971"/>
      <c r="F24" s="971"/>
      <c r="G24" s="971"/>
      <c r="H24" s="971"/>
    </row>
    <row r="25" spans="1:13" ht="17.25">
      <c r="A25" s="971"/>
      <c r="B25" s="971"/>
      <c r="C25" s="971"/>
      <c r="D25" s="971"/>
      <c r="E25" s="971"/>
      <c r="F25" s="971"/>
      <c r="G25" s="971"/>
      <c r="H25" s="971"/>
    </row>
    <row r="26" spans="1:13" ht="17.25">
      <c r="A26" s="971"/>
      <c r="B26" s="971"/>
      <c r="C26" s="971"/>
      <c r="D26" s="971"/>
      <c r="E26" s="971"/>
      <c r="F26" s="971"/>
      <c r="G26" s="971"/>
      <c r="H26" s="971"/>
    </row>
    <row r="27" spans="1:13" ht="17.25">
      <c r="A27" s="971"/>
      <c r="B27" s="971"/>
      <c r="C27" s="971"/>
      <c r="D27" s="971"/>
      <c r="E27" s="971"/>
      <c r="F27" s="971"/>
      <c r="G27" s="971"/>
      <c r="H27" s="971"/>
    </row>
    <row r="28" spans="1:13" ht="17.25">
      <c r="A28" s="971"/>
      <c r="B28" s="971"/>
      <c r="C28" s="971"/>
      <c r="D28" s="971"/>
      <c r="E28" s="971"/>
      <c r="F28" s="971"/>
      <c r="G28" s="971"/>
      <c r="H28" s="971"/>
    </row>
    <row r="29" spans="1:13" ht="17.25">
      <c r="A29" s="971"/>
      <c r="B29" s="971"/>
      <c r="C29" s="971"/>
      <c r="D29" s="971"/>
      <c r="E29" s="971"/>
      <c r="F29" s="971"/>
      <c r="G29" s="971"/>
      <c r="H29" s="971"/>
    </row>
    <row r="30" spans="1:13" ht="17.25">
      <c r="A30" s="971"/>
      <c r="B30" s="971"/>
      <c r="C30" s="971"/>
      <c r="D30" s="971"/>
      <c r="E30" s="971"/>
      <c r="F30" s="971"/>
      <c r="G30" s="971"/>
      <c r="H30" s="971"/>
    </row>
    <row r="31" spans="1:13" ht="17.25">
      <c r="A31" s="971"/>
      <c r="B31" s="971"/>
      <c r="C31" s="971"/>
      <c r="D31" s="971"/>
      <c r="E31" s="971"/>
      <c r="F31" s="971"/>
      <c r="G31" s="971"/>
      <c r="H31" s="971"/>
    </row>
    <row r="32" spans="1:13" ht="17.25">
      <c r="A32" s="971"/>
      <c r="B32" s="971"/>
      <c r="C32" s="971"/>
      <c r="D32" s="971"/>
      <c r="E32" s="971"/>
      <c r="F32" s="971"/>
      <c r="G32" s="971"/>
      <c r="H32" s="971"/>
    </row>
    <row r="33" spans="1:8" ht="17.25">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8" thickBot="1">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sheetData>
  <mergeCells count="3">
    <mergeCell ref="A4:A6"/>
    <mergeCell ref="B4:B6"/>
    <mergeCell ref="A1:H1"/>
  </mergeCells>
  <printOptions horizontalCentered="1"/>
  <pageMargins left="0.59055118110236227" right="0.59055118110236227" top="0.19685039370078741" bottom="0.78740157480314965" header="0.19685039370078741" footer="0.19685039370078741"/>
  <pageSetup paperSize="9" scale="7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818086B5-2720-487D-8D72-2C07EB141088}">
            <x14:iconSet iconSet="3Symbols" custom="1">
              <x14:cfvo type="percent">
                <xm:f>0</xm:f>
              </x14:cfvo>
              <x14:cfvo type="num">
                <xm:f>0</xm:f>
              </x14:cfvo>
              <x14:cfvo type="num">
                <xm:f>0</xm:f>
              </x14:cfvo>
              <x14:cfIcon iconSet="3Symbols" iconId="1"/>
              <x14:cfIcon iconSet="NoIcons" iconId="0"/>
              <x14:cfIcon iconSet="NoIcons" iconId="0"/>
            </x14:iconSet>
          </x14:cfRule>
          <xm:sqref>E7:E18 H7:H18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4">
    <pageSetUpPr fitToPage="1"/>
  </sheetPr>
  <dimension ref="A1:I56"/>
  <sheetViews>
    <sheetView rightToLeft="1" workbookViewId="0">
      <selection sqref="A1:E1"/>
    </sheetView>
  </sheetViews>
  <sheetFormatPr defaultColWidth="9" defaultRowHeight="12.75"/>
  <cols>
    <col min="1" max="1" width="9" style="970"/>
    <col min="2" max="2" width="32.5703125" style="970" customWidth="1"/>
    <col min="3" max="8" width="12.5703125" style="970" customWidth="1"/>
    <col min="9" max="16384" width="9" style="970"/>
  </cols>
  <sheetData>
    <row r="1" spans="1:9" s="5" customFormat="1" ht="15.75" customHeight="1">
      <c r="A1" s="2759"/>
      <c r="B1" s="2759"/>
      <c r="C1" s="2759"/>
      <c r="D1" s="2759"/>
      <c r="E1" s="2759"/>
      <c r="F1" s="407"/>
      <c r="G1" s="407"/>
      <c r="H1" s="407"/>
      <c r="I1" s="9"/>
    </row>
    <row r="2" spans="1:9" s="5" customFormat="1" ht="26.25" customHeight="1">
      <c r="A2" s="2685" t="str">
        <f>'دریافت پرداخت'!A1:I1</f>
        <v>انبارهای عمومی و خدمات گمرکی ایران</v>
      </c>
      <c r="B2" s="2685"/>
      <c r="C2" s="2685"/>
      <c r="D2" s="2685"/>
      <c r="E2" s="2685"/>
      <c r="F2" s="2685"/>
      <c r="G2" s="2685"/>
      <c r="H2" s="2685"/>
    </row>
    <row r="3" spans="1:9" s="5" customFormat="1" ht="20.25" customHeight="1">
      <c r="A3" s="396"/>
      <c r="B3" s="396"/>
      <c r="C3" s="396"/>
      <c r="D3" s="396"/>
      <c r="E3" s="396"/>
      <c r="F3" s="3159"/>
      <c r="G3" s="3159"/>
      <c r="H3" s="3159"/>
    </row>
    <row r="4" spans="1:9" s="5" customFormat="1" ht="24" customHeight="1">
      <c r="A4" s="1110" t="s">
        <v>192</v>
      </c>
      <c r="B4" s="1110"/>
      <c r="C4" s="1110"/>
      <c r="D4" s="1110"/>
      <c r="E4" s="1088" t="s">
        <v>1246</v>
      </c>
      <c r="F4" s="1089" t="str">
        <f>روکش!$F$9</f>
        <v>شش ماهه</v>
      </c>
      <c r="G4" s="1089" t="s">
        <v>379</v>
      </c>
      <c r="H4" s="1088">
        <f>روکش!$D$9</f>
        <v>1405</v>
      </c>
      <c r="I4" s="251"/>
    </row>
    <row r="5" spans="1:9" ht="15.75" customHeight="1">
      <c r="A5" s="568"/>
      <c r="B5" s="568"/>
      <c r="C5" s="568"/>
      <c r="D5" s="569"/>
      <c r="E5" s="569"/>
      <c r="F5" s="569"/>
      <c r="G5" s="569"/>
      <c r="H5" s="569"/>
    </row>
    <row r="6" spans="1:9" ht="30" customHeight="1" thickBot="1">
      <c r="A6" s="3160"/>
      <c r="B6" s="3160"/>
      <c r="C6" s="3160"/>
      <c r="D6" s="579"/>
      <c r="E6" s="570"/>
      <c r="F6" s="3161" t="s">
        <v>191</v>
      </c>
      <c r="G6" s="3161"/>
      <c r="H6" s="3161"/>
    </row>
    <row r="7" spans="1:9" ht="25.5" customHeight="1">
      <c r="A7" s="3152" t="s">
        <v>72</v>
      </c>
      <c r="B7" s="3155" t="s">
        <v>281</v>
      </c>
      <c r="C7" s="3165" t="s">
        <v>683</v>
      </c>
      <c r="D7" s="3166"/>
      <c r="E7" s="3167"/>
      <c r="F7" s="3165" t="s">
        <v>642</v>
      </c>
      <c r="G7" s="3166"/>
      <c r="H7" s="3167"/>
    </row>
    <row r="8" spans="1:9" ht="21" customHeight="1">
      <c r="A8" s="3153"/>
      <c r="B8" s="3156"/>
      <c r="C8" s="3162" t="s">
        <v>314</v>
      </c>
      <c r="D8" s="3163"/>
      <c r="E8" s="3164"/>
      <c r="F8" s="3162" t="s">
        <v>314</v>
      </c>
      <c r="G8" s="3163"/>
      <c r="H8" s="3164"/>
    </row>
    <row r="9" spans="1:9" ht="42" customHeight="1" thickBot="1">
      <c r="A9" s="3154"/>
      <c r="B9" s="3157"/>
      <c r="C9" s="571" t="s">
        <v>73</v>
      </c>
      <c r="D9" s="572" t="s">
        <v>74</v>
      </c>
      <c r="E9" s="573" t="s">
        <v>75</v>
      </c>
      <c r="F9" s="571" t="s">
        <v>73</v>
      </c>
      <c r="G9" s="572" t="s">
        <v>74</v>
      </c>
      <c r="H9" s="573" t="s">
        <v>75</v>
      </c>
    </row>
    <row r="10" spans="1:9" ht="26.45" customHeight="1">
      <c r="A10" s="574">
        <v>1</v>
      </c>
      <c r="B10" s="973">
        <f>'درآمد خدمات آزادراهی'!B10</f>
        <v>0</v>
      </c>
      <c r="C10" s="974">
        <f>'درآمد خدمات آزادراهی'!E10</f>
        <v>0</v>
      </c>
      <c r="D10" s="1154"/>
      <c r="E10" s="977">
        <f>IFERROR(C10-D10,"-")</f>
        <v>0</v>
      </c>
      <c r="F10" s="974">
        <f>'درآمد خدمات آزادراهی'!K10</f>
        <v>0</v>
      </c>
      <c r="G10" s="262"/>
      <c r="H10" s="577">
        <f>IFERROR(F10-G10,"-")</f>
        <v>0</v>
      </c>
    </row>
    <row r="11" spans="1:9" ht="26.45" customHeight="1">
      <c r="A11" s="575">
        <v>2</v>
      </c>
      <c r="B11" s="975">
        <f>'درآمد خدمات آزادراهی'!B11</f>
        <v>0</v>
      </c>
      <c r="C11" s="976">
        <f>'درآمد خدمات آزادراهی'!E11</f>
        <v>0</v>
      </c>
      <c r="D11" s="263"/>
      <c r="E11" s="977">
        <f>IFERROR(C11-D11,"-")</f>
        <v>0</v>
      </c>
      <c r="F11" s="974">
        <f>'درآمد خدمات آزادراهی'!K11</f>
        <v>0</v>
      </c>
      <c r="G11" s="263"/>
      <c r="H11" s="577">
        <f>IFERROR(F11-G11,"-")</f>
        <v>0</v>
      </c>
    </row>
    <row r="12" spans="1:9" ht="26.45" customHeight="1">
      <c r="A12" s="575">
        <v>3</v>
      </c>
      <c r="B12" s="975">
        <f>'درآمد خدمات آزادراهی'!B12</f>
        <v>0</v>
      </c>
      <c r="C12" s="976">
        <f>'درآمد خدمات آزادراهی'!E12</f>
        <v>0</v>
      </c>
      <c r="D12" s="263"/>
      <c r="E12" s="977">
        <f>IFERROR(C12-D12,"-")</f>
        <v>0</v>
      </c>
      <c r="F12" s="974">
        <f>'درآمد خدمات آزادراهی'!K12</f>
        <v>0</v>
      </c>
      <c r="G12" s="263"/>
      <c r="H12" s="577">
        <f>IFERROR(F12-G12,"-")</f>
        <v>0</v>
      </c>
    </row>
    <row r="13" spans="1:9" ht="26.45" customHeight="1">
      <c r="A13" s="575">
        <v>4</v>
      </c>
      <c r="B13" s="975">
        <f>'درآمد خدمات آزادراهی'!B13</f>
        <v>0</v>
      </c>
      <c r="C13" s="976">
        <f>'درآمد خدمات آزادراهی'!E13</f>
        <v>0</v>
      </c>
      <c r="D13" s="263"/>
      <c r="E13" s="977">
        <f>IFERROR(C13-D13,"-")</f>
        <v>0</v>
      </c>
      <c r="F13" s="974">
        <f>'درآمد خدمات آزادراهی'!K13</f>
        <v>0</v>
      </c>
      <c r="G13" s="263"/>
      <c r="H13" s="577">
        <f>IFERROR(F13-G13,"-")</f>
        <v>0</v>
      </c>
    </row>
    <row r="14" spans="1:9" ht="26.45" customHeight="1" thickBot="1">
      <c r="A14" s="576">
        <v>5</v>
      </c>
      <c r="B14" s="978">
        <f>'درآمد خدمات آزادراهی'!B14</f>
        <v>0</v>
      </c>
      <c r="C14" s="979">
        <f>'درآمد خدمات آزادراهی'!E14</f>
        <v>0</v>
      </c>
      <c r="D14" s="265"/>
      <c r="E14" s="980">
        <f>IFERROR(C14-D14,"-")</f>
        <v>0</v>
      </c>
      <c r="F14" s="979">
        <f>'درآمد خدمات آزادراهی'!K14</f>
        <v>0</v>
      </c>
      <c r="G14" s="265"/>
      <c r="H14" s="578">
        <f>IFERROR(F14-G14,"-")</f>
        <v>0</v>
      </c>
    </row>
    <row r="15" spans="1:9" ht="12.75" customHeight="1">
      <c r="A15" s="972"/>
      <c r="B15" s="971"/>
      <c r="C15" s="971"/>
      <c r="D15" s="971"/>
      <c r="E15" s="971"/>
      <c r="F15" s="971"/>
      <c r="G15" s="971"/>
      <c r="H15" s="971"/>
    </row>
    <row r="16" spans="1:9" ht="25.5" customHeight="1">
      <c r="A16" s="971"/>
      <c r="B16" s="8"/>
      <c r="C16" s="8"/>
      <c r="D16" s="8"/>
      <c r="E16" s="9"/>
      <c r="F16" s="964"/>
      <c r="G16" s="8"/>
      <c r="H16" s="964"/>
    </row>
    <row r="17" spans="1:8" ht="17.25">
      <c r="A17" s="971"/>
      <c r="B17" s="971"/>
      <c r="C17" s="971"/>
      <c r="D17" s="971"/>
      <c r="E17" s="971"/>
      <c r="F17" s="971"/>
      <c r="G17" s="971"/>
      <c r="H17" s="971"/>
    </row>
    <row r="18" spans="1:8" ht="17.25">
      <c r="A18" s="971"/>
      <c r="B18" s="971"/>
      <c r="C18" s="971"/>
      <c r="D18" s="971"/>
      <c r="E18" s="971"/>
      <c r="F18" s="971"/>
      <c r="G18" s="971"/>
      <c r="H18" s="971"/>
    </row>
    <row r="19" spans="1:8" ht="17.25">
      <c r="A19" s="971"/>
      <c r="B19" s="971"/>
      <c r="C19" s="971"/>
      <c r="D19" s="971"/>
      <c r="E19" s="971"/>
      <c r="F19" s="971"/>
      <c r="G19" s="971"/>
      <c r="H19" s="971"/>
    </row>
    <row r="20" spans="1:8" ht="17.25">
      <c r="A20" s="971"/>
      <c r="B20" s="971"/>
      <c r="C20" s="971"/>
      <c r="D20" s="971"/>
      <c r="E20" s="971"/>
      <c r="F20" s="971"/>
      <c r="G20" s="971"/>
      <c r="H20" s="971"/>
    </row>
    <row r="21" spans="1:8" ht="17.25">
      <c r="A21" s="971"/>
      <c r="B21" s="971"/>
      <c r="C21" s="971"/>
      <c r="D21" s="971"/>
      <c r="E21" s="971"/>
      <c r="F21" s="971"/>
      <c r="G21" s="971"/>
      <c r="H21" s="971"/>
    </row>
    <row r="22" spans="1:8" ht="17.25">
      <c r="A22" s="971"/>
      <c r="B22" s="971"/>
      <c r="C22" s="971"/>
      <c r="D22" s="971"/>
      <c r="E22" s="971"/>
      <c r="F22" s="971"/>
      <c r="G22" s="971"/>
      <c r="H22" s="971"/>
    </row>
    <row r="23" spans="1:8" ht="17.25">
      <c r="A23" s="971"/>
      <c r="B23" s="971"/>
      <c r="C23" s="971"/>
      <c r="D23" s="971"/>
      <c r="E23" s="971"/>
      <c r="F23" s="971"/>
      <c r="G23" s="971"/>
      <c r="H23" s="971"/>
    </row>
    <row r="24" spans="1:8" ht="17.25">
      <c r="A24" s="971"/>
      <c r="B24" s="971"/>
      <c r="C24" s="971"/>
      <c r="D24" s="971"/>
      <c r="E24" s="971"/>
      <c r="F24" s="971"/>
      <c r="G24" s="971"/>
      <c r="H24" s="971"/>
    </row>
    <row r="25" spans="1:8" ht="17.25">
      <c r="A25" s="971"/>
      <c r="B25" s="971"/>
      <c r="C25" s="971"/>
      <c r="D25" s="971"/>
      <c r="E25" s="971"/>
      <c r="F25" s="971"/>
      <c r="G25" s="971"/>
      <c r="H25" s="971"/>
    </row>
    <row r="26" spans="1:8" ht="17.25">
      <c r="A26" s="971"/>
      <c r="B26" s="971"/>
      <c r="C26" s="971"/>
      <c r="D26" s="971"/>
      <c r="E26" s="971"/>
      <c r="F26" s="971"/>
      <c r="G26" s="971"/>
      <c r="H26" s="971"/>
    </row>
    <row r="27" spans="1:8" ht="17.25">
      <c r="A27" s="971"/>
      <c r="B27" s="971"/>
      <c r="C27" s="971"/>
      <c r="D27" s="971"/>
      <c r="E27" s="971"/>
      <c r="F27" s="971"/>
      <c r="G27" s="971"/>
      <c r="H27" s="971"/>
    </row>
    <row r="28" spans="1:8" ht="17.25">
      <c r="A28" s="971"/>
      <c r="B28" s="971"/>
      <c r="C28" s="971"/>
      <c r="D28" s="971"/>
      <c r="E28" s="971"/>
      <c r="F28" s="971"/>
      <c r="G28" s="971"/>
      <c r="H28" s="971"/>
    </row>
    <row r="29" spans="1:8" ht="17.25">
      <c r="A29" s="971"/>
      <c r="B29" s="971"/>
      <c r="C29" s="971"/>
      <c r="D29" s="971"/>
      <c r="E29" s="971"/>
      <c r="F29" s="971"/>
      <c r="G29" s="971"/>
      <c r="H29" s="971"/>
    </row>
    <row r="30" spans="1:8" ht="17.25">
      <c r="A30" s="971"/>
      <c r="B30" s="971"/>
      <c r="C30" s="971"/>
      <c r="D30" s="971"/>
      <c r="E30" s="971"/>
      <c r="F30" s="971"/>
      <c r="G30" s="971"/>
      <c r="H30" s="971"/>
    </row>
    <row r="31" spans="1:8" ht="17.25">
      <c r="A31" s="971"/>
      <c r="B31" s="971"/>
      <c r="C31" s="971"/>
      <c r="D31" s="971"/>
      <c r="E31" s="971"/>
      <c r="F31" s="971"/>
      <c r="G31" s="971"/>
      <c r="H31" s="971"/>
    </row>
    <row r="32" spans="1:8" ht="17.25">
      <c r="A32" s="971"/>
      <c r="B32" s="971"/>
      <c r="C32" s="971"/>
      <c r="D32" s="971"/>
      <c r="E32" s="971"/>
      <c r="F32" s="971"/>
      <c r="G32" s="971"/>
      <c r="H32" s="971"/>
    </row>
    <row r="33" spans="1:8" ht="17.25">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sheetData>
  <mergeCells count="11">
    <mergeCell ref="F8:H8"/>
    <mergeCell ref="A7:A9"/>
    <mergeCell ref="B7:B9"/>
    <mergeCell ref="C7:E7"/>
    <mergeCell ref="F7:H7"/>
    <mergeCell ref="C8:E8"/>
    <mergeCell ref="A1:E1"/>
    <mergeCell ref="A2:H2"/>
    <mergeCell ref="F3:H3"/>
    <mergeCell ref="A6:C6"/>
    <mergeCell ref="F6:H6"/>
  </mergeCells>
  <printOptions horizontalCentered="1"/>
  <pageMargins left="0.59055118110236227" right="0.59055118110236227" top="0.19685039370078741" bottom="0.78740157480314965" header="0.19685039370078741" footer="0.19685039370078741"/>
  <pageSetup paperSize="9" scale="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9">
    <tabColor rgb="FFFFA07A"/>
    <pageSetUpPr fitToPage="1"/>
  </sheetPr>
  <dimension ref="A1:N86"/>
  <sheetViews>
    <sheetView rightToLeft="1" view="pageBreakPreview" zoomScale="60" zoomScaleNormal="85" workbookViewId="0">
      <selection activeCell="B11" sqref="B11"/>
    </sheetView>
  </sheetViews>
  <sheetFormatPr defaultColWidth="9" defaultRowHeight="15"/>
  <cols>
    <col min="1" max="1" width="53.42578125" style="5" customWidth="1"/>
    <col min="2" max="4" width="18.5703125" style="5" customWidth="1"/>
    <col min="5" max="5" width="17.42578125" style="5" customWidth="1"/>
    <col min="6" max="6" width="13.5703125" style="5" customWidth="1"/>
    <col min="7" max="7" width="3.7109375" style="79" customWidth="1"/>
    <col min="8" max="8" width="9" style="212"/>
    <col min="9" max="12" width="9" style="1081" hidden="1" customWidth="1"/>
    <col min="13" max="13" width="9" style="212" hidden="1" customWidth="1"/>
    <col min="14" max="15" width="0" style="5" hidden="1" customWidth="1"/>
    <col min="16" max="16384" width="9" style="5"/>
  </cols>
  <sheetData>
    <row r="1" spans="1:14" s="52" customFormat="1" ht="24" customHeight="1">
      <c r="A1" s="2685" t="str">
        <f>'سود ناویژه خدمات'!$A$1:$H$1</f>
        <v>انبارهای عمومی و خدمات گمرکی ایران</v>
      </c>
      <c r="B1" s="2685"/>
      <c r="C1" s="2685"/>
      <c r="D1" s="2685"/>
      <c r="E1" s="2685"/>
      <c r="F1" s="2685"/>
      <c r="G1" s="2685"/>
      <c r="H1" s="249"/>
      <c r="I1" s="1671"/>
      <c r="J1" s="1671"/>
      <c r="K1" s="1671"/>
      <c r="L1" s="1081"/>
      <c r="M1" s="249"/>
    </row>
    <row r="2" spans="1:14" ht="28.5" customHeight="1">
      <c r="A2" s="1206" t="str">
        <f>"هزينه‌هاي اداري، توزيع و فروش آزادراه در دوره " &amp; روکش!F9 &amp; " سال " &amp; روکش!D9</f>
        <v>هزينه‌هاي اداري، توزيع و فروش آزادراه در دوره شش ماهه سال 1405</v>
      </c>
      <c r="B2" s="1205"/>
      <c r="C2" s="1202"/>
      <c r="D2" s="1202"/>
      <c r="E2" s="1202"/>
      <c r="F2" s="1202"/>
      <c r="G2" s="2211"/>
      <c r="H2" s="935"/>
    </row>
    <row r="3" spans="1:14" ht="24" customHeight="1" thickBot="1">
      <c r="A3" s="398"/>
      <c r="B3" s="398"/>
      <c r="C3" s="398"/>
      <c r="D3" s="538"/>
      <c r="E3" s="538"/>
      <c r="F3" s="1225" t="s">
        <v>30</v>
      </c>
    </row>
    <row r="4" spans="1:14" ht="30" customHeight="1">
      <c r="A4" s="2907" t="s">
        <v>21</v>
      </c>
      <c r="B4" s="2907" t="s">
        <v>693</v>
      </c>
      <c r="C4" s="1434" t="s">
        <v>642</v>
      </c>
      <c r="D4" s="1435"/>
      <c r="E4" s="1435"/>
      <c r="F4" s="2213"/>
      <c r="G4" s="1376"/>
    </row>
    <row r="5" spans="1:14" ht="60" customHeight="1" thickBot="1">
      <c r="A5" s="2908"/>
      <c r="B5" s="2909"/>
      <c r="C5" s="713" t="s">
        <v>53</v>
      </c>
      <c r="D5" s="714" t="s">
        <v>216</v>
      </c>
      <c r="E5" s="714" t="s">
        <v>804</v>
      </c>
      <c r="F5" s="2875" t="s">
        <v>230</v>
      </c>
      <c r="G5" s="2876"/>
      <c r="I5" s="1081" t="s">
        <v>784</v>
      </c>
      <c r="L5" s="1081" t="s">
        <v>792</v>
      </c>
    </row>
    <row r="6" spans="1:14" ht="20.100000000000001" customHeight="1">
      <c r="A6" s="1424">
        <f ca="1">IF(ROW()-ROW($A$6)&lt;'الف-ب-ج'!$L$9,INDIRECT("BudgetDB!GU"&amp;('الف-ب-ج'!$M$9+ROW()-ROW($A$6))),"")</f>
        <v>0</v>
      </c>
      <c r="B6" s="2277"/>
      <c r="C6" s="1426" cm="1">
        <f t="array" aca="1" ref="C6" ca="1">IF(ROW()-ROW($A$6)&lt;'الف-ب-ج'!$L$9,IF(روکش!$F$9="سه ماهه",INDIRECT("BudgetDB!GV"&amp;('الف-ب-ج'!$M$9+ROW()-ROW($A$6))),INDIRECT("BudgetDB!GW"&amp;('الف-ب-ج'!$M$9+ROW()-ROW($A$6)))),"")</f>
        <v>0</v>
      </c>
      <c r="D6" s="245"/>
      <c r="E6" s="535" t="str">
        <f t="shared" ref="E6:E58" si="0">IFERROR((D6-B6)*100/B6,"-")</f>
        <v>-</v>
      </c>
      <c r="F6" s="2199" t="str">
        <f t="shared" ref="F6:F58" ca="1" si="1">IFERROR(D6*100/C6,"-")</f>
        <v>-</v>
      </c>
      <c r="G6" s="2200">
        <f t="shared" ref="G6:G37" ca="1" si="2">IFERROR(ABS(F6-100),500)</f>
        <v>500</v>
      </c>
      <c r="I6" s="1360" t="str">
        <f ca="1">IF(AND(C6=0,D6&gt;0),100,IFERROR(ABS(F6-100),"-"))</f>
        <v>-</v>
      </c>
      <c r="L6" s="1423">
        <f t="shared" ref="L6:L18" ca="1" si="3">B6+C6+D6</f>
        <v>0</v>
      </c>
      <c r="M6" s="212" t="e">
        <f ca="1">AND(COUNTIF($A6,"*سایر*")=1,$B6/$B$26&gt;0.2)</f>
        <v>#DIV/0!</v>
      </c>
      <c r="N6" s="5" t="e">
        <f ca="1">AND(COUNTIF($A6,"*سایر*")=1,$D6/$D$26&gt;0.2)</f>
        <v>#DIV/0!</v>
      </c>
    </row>
    <row r="7" spans="1:14" ht="20.100000000000001" customHeight="1">
      <c r="A7" s="963">
        <f ca="1">IF(ROW()-ROW($A$6)&lt;'الف-ب-ج'!$L$9,INDIRECT("BudgetDB!GU"&amp;('الف-ب-ج'!$M$9+ROW()-ROW($A$6))),"")</f>
        <v>0</v>
      </c>
      <c r="B7" s="2278"/>
      <c r="C7" s="1432" cm="1">
        <f t="array" aca="1" ref="C7" ca="1">IF(ROW()-ROW($A$6)&lt;'الف-ب-ج'!$L$9,IF(روکش!$F$9="سه ماهه",INDIRECT("BudgetDB!GV"&amp;('الف-ب-ج'!$M$9+ROW()-ROW($A$6))),INDIRECT("BudgetDB!GW"&amp;('الف-ب-ج'!$M$9+ROW()-ROW($A$6)))),"")</f>
        <v>0</v>
      </c>
      <c r="D7" s="246"/>
      <c r="E7" s="536" t="str">
        <f t="shared" si="0"/>
        <v>-</v>
      </c>
      <c r="F7" s="2201" t="str">
        <f t="shared" ca="1" si="1"/>
        <v>-</v>
      </c>
      <c r="G7" s="498">
        <f t="shared" ca="1" si="2"/>
        <v>500</v>
      </c>
      <c r="I7" s="1360" t="str">
        <f t="shared" ref="I7:I57" ca="1" si="4">IF(AND(C7=0,D7&gt;0),100,IFERROR(ABS(F7-100),"-"))</f>
        <v>-</v>
      </c>
      <c r="L7" s="1423">
        <f t="shared" ca="1" si="3"/>
        <v>0</v>
      </c>
      <c r="M7" s="212" t="e">
        <f t="shared" ref="M7:M25" ca="1" si="5">AND(COUNTIF($A7,"*سایر*")=1,$B7/$B$26&gt;0.2)</f>
        <v>#DIV/0!</v>
      </c>
      <c r="N7" s="5" t="e">
        <f t="shared" ref="N7:N26" ca="1" si="6">AND(COUNTIF($A7,"*سایر*")=1,$D7/$D$26&gt;0.2)</f>
        <v>#DIV/0!</v>
      </c>
    </row>
    <row r="8" spans="1:14" ht="20.100000000000001" customHeight="1">
      <c r="A8" s="963">
        <f ca="1">IF(ROW()-ROW($A$6)&lt;'الف-ب-ج'!$L$9,INDIRECT("BudgetDB!GU"&amp;('الف-ب-ج'!$M$9+ROW()-ROW($A$6))),"")</f>
        <v>0</v>
      </c>
      <c r="B8" s="2278"/>
      <c r="C8" s="1432" cm="1">
        <f t="array" aca="1" ref="C8" ca="1">IF(ROW()-ROW($A$6)&lt;'الف-ب-ج'!$L$9,IF(روکش!$F$9="سه ماهه",INDIRECT("BudgetDB!GV"&amp;('الف-ب-ج'!$M$9+ROW()-ROW($A$6))),INDIRECT("BudgetDB!GW"&amp;('الف-ب-ج'!$M$9+ROW()-ROW($A$6)))),"")</f>
        <v>0</v>
      </c>
      <c r="D8" s="246"/>
      <c r="E8" s="536" t="str">
        <f t="shared" si="0"/>
        <v>-</v>
      </c>
      <c r="F8" s="2201" t="str">
        <f t="shared" ca="1" si="1"/>
        <v>-</v>
      </c>
      <c r="G8" s="498">
        <f t="shared" ca="1" si="2"/>
        <v>500</v>
      </c>
      <c r="I8" s="1360" t="str">
        <f t="shared" ca="1" si="4"/>
        <v>-</v>
      </c>
      <c r="L8" s="1423">
        <f t="shared" ca="1" si="3"/>
        <v>0</v>
      </c>
      <c r="M8" s="212" t="e">
        <f t="shared" ca="1" si="5"/>
        <v>#DIV/0!</v>
      </c>
      <c r="N8" s="5" t="e">
        <f t="shared" ca="1" si="6"/>
        <v>#DIV/0!</v>
      </c>
    </row>
    <row r="9" spans="1:14" ht="20.100000000000001" customHeight="1">
      <c r="A9" s="963">
        <f ca="1">IF(ROW()-ROW($A$6)&lt;'الف-ب-ج'!$L$9,INDIRECT("BudgetDB!GU"&amp;('الف-ب-ج'!$M$9+ROW()-ROW($A$6))),"")</f>
        <v>0</v>
      </c>
      <c r="B9" s="2278"/>
      <c r="C9" s="1432" cm="1">
        <f t="array" aca="1" ref="C9" ca="1">IF(ROW()-ROW($A$6)&lt;'الف-ب-ج'!$L$9,IF(روکش!$F$9="سه ماهه",INDIRECT("BudgetDB!GV"&amp;('الف-ب-ج'!$M$9+ROW()-ROW($A$6))),INDIRECT("BudgetDB!GW"&amp;('الف-ب-ج'!$M$9+ROW()-ROW($A$6)))),"")</f>
        <v>0</v>
      </c>
      <c r="D9" s="246"/>
      <c r="E9" s="536" t="str">
        <f t="shared" si="0"/>
        <v>-</v>
      </c>
      <c r="F9" s="2201" t="str">
        <f t="shared" ca="1" si="1"/>
        <v>-</v>
      </c>
      <c r="G9" s="498">
        <f t="shared" ca="1" si="2"/>
        <v>500</v>
      </c>
      <c r="I9" s="1360" t="str">
        <f t="shared" ca="1" si="4"/>
        <v>-</v>
      </c>
      <c r="L9" s="1423">
        <f t="shared" ca="1" si="3"/>
        <v>0</v>
      </c>
      <c r="M9" s="212" t="e">
        <f t="shared" ca="1" si="5"/>
        <v>#DIV/0!</v>
      </c>
      <c r="N9" s="5" t="e">
        <f t="shared" ca="1" si="6"/>
        <v>#DIV/0!</v>
      </c>
    </row>
    <row r="10" spans="1:14" ht="20.100000000000001" customHeight="1">
      <c r="A10" s="963">
        <f ca="1">IF(ROW()-ROW($A$6)&lt;'الف-ب-ج'!$L$9,INDIRECT("BudgetDB!GU"&amp;('الف-ب-ج'!$M$9+ROW()-ROW($A$6))),"")</f>
        <v>0</v>
      </c>
      <c r="B10" s="2278"/>
      <c r="C10" s="1432" cm="1">
        <f t="array" aca="1" ref="C10" ca="1">IF(ROW()-ROW($A$6)&lt;'الف-ب-ج'!$L$9,IF(روکش!$F$9="سه ماهه",INDIRECT("BudgetDB!GV"&amp;('الف-ب-ج'!$M$9+ROW()-ROW($A$6))),INDIRECT("BudgetDB!GW"&amp;('الف-ب-ج'!$M$9+ROW()-ROW($A$6)))),"")</f>
        <v>0</v>
      </c>
      <c r="D10" s="246"/>
      <c r="E10" s="536" t="str">
        <f t="shared" si="0"/>
        <v>-</v>
      </c>
      <c r="F10" s="2201" t="str">
        <f t="shared" ca="1" si="1"/>
        <v>-</v>
      </c>
      <c r="G10" s="498">
        <f t="shared" ca="1" si="2"/>
        <v>500</v>
      </c>
      <c r="I10" s="1360" t="str">
        <f t="shared" ca="1" si="4"/>
        <v>-</v>
      </c>
      <c r="L10" s="1423">
        <f t="shared" ca="1" si="3"/>
        <v>0</v>
      </c>
      <c r="M10" s="212" t="e">
        <f t="shared" ca="1" si="5"/>
        <v>#DIV/0!</v>
      </c>
      <c r="N10" s="5" t="e">
        <f t="shared" ca="1" si="6"/>
        <v>#DIV/0!</v>
      </c>
    </row>
    <row r="11" spans="1:14" ht="20.100000000000001" customHeight="1">
      <c r="A11" s="963">
        <f ca="1">IF(ROW()-ROW($A$6)&lt;'الف-ب-ج'!$L$9,INDIRECT("BudgetDB!GU"&amp;('الف-ب-ج'!$M$9+ROW()-ROW($A$6))),"")</f>
        <v>0</v>
      </c>
      <c r="B11" s="2278"/>
      <c r="C11" s="1432" cm="1">
        <f t="array" aca="1" ref="C11" ca="1">IF(ROW()-ROW($A$6)&lt;'الف-ب-ج'!$L$9,IF(روکش!$F$9="سه ماهه",INDIRECT("BudgetDB!GV"&amp;('الف-ب-ج'!$M$9+ROW()-ROW($A$6))),INDIRECT("BudgetDB!GW"&amp;('الف-ب-ج'!$M$9+ROW()-ROW($A$6)))),"")</f>
        <v>0</v>
      </c>
      <c r="D11" s="246"/>
      <c r="E11" s="536" t="str">
        <f t="shared" si="0"/>
        <v>-</v>
      </c>
      <c r="F11" s="2201" t="str">
        <f t="shared" ca="1" si="1"/>
        <v>-</v>
      </c>
      <c r="G11" s="498">
        <f t="shared" ca="1" si="2"/>
        <v>500</v>
      </c>
      <c r="I11" s="1360" t="str">
        <f t="shared" ca="1" si="4"/>
        <v>-</v>
      </c>
      <c r="L11" s="1423">
        <f t="shared" ca="1" si="3"/>
        <v>0</v>
      </c>
      <c r="M11" s="212" t="e">
        <f t="shared" ca="1" si="5"/>
        <v>#DIV/0!</v>
      </c>
      <c r="N11" s="5" t="e">
        <f t="shared" ca="1" si="6"/>
        <v>#DIV/0!</v>
      </c>
    </row>
    <row r="12" spans="1:14" ht="20.100000000000001" customHeight="1">
      <c r="A12" s="963">
        <f ca="1">IF(ROW()-ROW($A$6)&lt;'الف-ب-ج'!$L$9,INDIRECT("BudgetDB!GU"&amp;('الف-ب-ج'!$M$9+ROW()-ROW($A$6))),"")</f>
        <v>0</v>
      </c>
      <c r="B12" s="2278"/>
      <c r="C12" s="1432" cm="1">
        <f t="array" aca="1" ref="C12" ca="1">IF(ROW()-ROW($A$6)&lt;'الف-ب-ج'!$L$9,IF(روکش!$F$9="سه ماهه",INDIRECT("BudgetDB!GV"&amp;('الف-ب-ج'!$M$9+ROW()-ROW($A$6))),INDIRECT("BudgetDB!GW"&amp;('الف-ب-ج'!$M$9+ROW()-ROW($A$6)))),"")</f>
        <v>0</v>
      </c>
      <c r="D12" s="246"/>
      <c r="E12" s="536" t="str">
        <f t="shared" si="0"/>
        <v>-</v>
      </c>
      <c r="F12" s="2201" t="str">
        <f t="shared" ca="1" si="1"/>
        <v>-</v>
      </c>
      <c r="G12" s="498">
        <f t="shared" ca="1" si="2"/>
        <v>500</v>
      </c>
      <c r="I12" s="1360" t="str">
        <f t="shared" ca="1" si="4"/>
        <v>-</v>
      </c>
      <c r="L12" s="1423">
        <f t="shared" ca="1" si="3"/>
        <v>0</v>
      </c>
      <c r="M12" s="212" t="e">
        <f t="shared" ca="1" si="5"/>
        <v>#DIV/0!</v>
      </c>
      <c r="N12" s="5" t="e">
        <f t="shared" ca="1" si="6"/>
        <v>#DIV/0!</v>
      </c>
    </row>
    <row r="13" spans="1:14" ht="20.100000000000001" customHeight="1">
      <c r="A13" s="963">
        <f ca="1">IF(ROW()-ROW($A$6)&lt;'الف-ب-ج'!$L$9,INDIRECT("BudgetDB!GU"&amp;('الف-ب-ج'!$M$9+ROW()-ROW($A$6))),"")</f>
        <v>0</v>
      </c>
      <c r="B13" s="2278"/>
      <c r="C13" s="1432" cm="1">
        <f t="array" aca="1" ref="C13" ca="1">IF(ROW()-ROW($A$6)&lt;'الف-ب-ج'!$L$9,IF(روکش!$F$9="سه ماهه",INDIRECT("BudgetDB!GV"&amp;('الف-ب-ج'!$M$9+ROW()-ROW($A$6))),INDIRECT("BudgetDB!GW"&amp;('الف-ب-ج'!$M$9+ROW()-ROW($A$6)))),"")</f>
        <v>0</v>
      </c>
      <c r="D13" s="246"/>
      <c r="E13" s="536" t="str">
        <f t="shared" si="0"/>
        <v>-</v>
      </c>
      <c r="F13" s="2201" t="str">
        <f t="shared" ca="1" si="1"/>
        <v>-</v>
      </c>
      <c r="G13" s="498">
        <f t="shared" ca="1" si="2"/>
        <v>500</v>
      </c>
      <c r="I13" s="1360" t="str">
        <f t="shared" ca="1" si="4"/>
        <v>-</v>
      </c>
      <c r="L13" s="1423">
        <f t="shared" ca="1" si="3"/>
        <v>0</v>
      </c>
      <c r="M13" s="212" t="e">
        <f t="shared" ca="1" si="5"/>
        <v>#DIV/0!</v>
      </c>
      <c r="N13" s="5" t="e">
        <f t="shared" ca="1" si="6"/>
        <v>#DIV/0!</v>
      </c>
    </row>
    <row r="14" spans="1:14" ht="20.100000000000001" customHeight="1">
      <c r="A14" s="963">
        <f ca="1">IF(ROW()-ROW($A$6)&lt;'الف-ب-ج'!$L$9,INDIRECT("BudgetDB!GU"&amp;('الف-ب-ج'!$M$9+ROW()-ROW($A$6))),"")</f>
        <v>0</v>
      </c>
      <c r="B14" s="2278"/>
      <c r="C14" s="1432" cm="1">
        <f t="array" aca="1" ref="C14" ca="1">IF(ROW()-ROW($A$6)&lt;'الف-ب-ج'!$L$9,IF(روکش!$F$9="سه ماهه",INDIRECT("BudgetDB!GV"&amp;('الف-ب-ج'!$M$9+ROW()-ROW($A$6))),INDIRECT("BudgetDB!GW"&amp;('الف-ب-ج'!$M$9+ROW()-ROW($A$6)))),"")</f>
        <v>0</v>
      </c>
      <c r="D14" s="246"/>
      <c r="E14" s="536" t="str">
        <f t="shared" si="0"/>
        <v>-</v>
      </c>
      <c r="F14" s="2201" t="str">
        <f t="shared" ca="1" si="1"/>
        <v>-</v>
      </c>
      <c r="G14" s="498">
        <f t="shared" ca="1" si="2"/>
        <v>500</v>
      </c>
      <c r="I14" s="1360" t="str">
        <f t="shared" ca="1" si="4"/>
        <v>-</v>
      </c>
      <c r="L14" s="1423">
        <f t="shared" ca="1" si="3"/>
        <v>0</v>
      </c>
      <c r="M14" s="212" t="e">
        <f t="shared" ca="1" si="5"/>
        <v>#DIV/0!</v>
      </c>
      <c r="N14" s="5" t="e">
        <f t="shared" ca="1" si="6"/>
        <v>#DIV/0!</v>
      </c>
    </row>
    <row r="15" spans="1:14" ht="20.100000000000001" customHeight="1">
      <c r="A15" s="963">
        <f ca="1">IF(ROW()-ROW($A$6)&lt;'الف-ب-ج'!$L$9,INDIRECT("BudgetDB!GU"&amp;('الف-ب-ج'!$M$9+ROW()-ROW($A$6))),"")</f>
        <v>0</v>
      </c>
      <c r="B15" s="2278"/>
      <c r="C15" s="1432" cm="1">
        <f t="array" aca="1" ref="C15" ca="1">IF(ROW()-ROW($A$6)&lt;'الف-ب-ج'!$L$9,IF(روکش!$F$9="سه ماهه",INDIRECT("BudgetDB!GV"&amp;('الف-ب-ج'!$M$9+ROW()-ROW($A$6))),INDIRECT("BudgetDB!GW"&amp;('الف-ب-ج'!$M$9+ROW()-ROW($A$6)))),"")</f>
        <v>0</v>
      </c>
      <c r="D15" s="246"/>
      <c r="E15" s="536" t="str">
        <f t="shared" si="0"/>
        <v>-</v>
      </c>
      <c r="F15" s="2201" t="str">
        <f t="shared" ca="1" si="1"/>
        <v>-</v>
      </c>
      <c r="G15" s="498">
        <f t="shared" ca="1" si="2"/>
        <v>500</v>
      </c>
      <c r="I15" s="1360" t="str">
        <f t="shared" ca="1" si="4"/>
        <v>-</v>
      </c>
      <c r="L15" s="1423">
        <f t="shared" ca="1" si="3"/>
        <v>0</v>
      </c>
      <c r="M15" s="212" t="e">
        <f t="shared" ca="1" si="5"/>
        <v>#DIV/0!</v>
      </c>
      <c r="N15" s="5" t="e">
        <f t="shared" ca="1" si="6"/>
        <v>#DIV/0!</v>
      </c>
    </row>
    <row r="16" spans="1:14" ht="20.100000000000001" customHeight="1">
      <c r="A16" s="963">
        <f ca="1">IF(ROW()-ROW($A$6)&lt;'الف-ب-ج'!$L$9,INDIRECT("BudgetDB!GU"&amp;('الف-ب-ج'!$M$9+ROW()-ROW($A$6))),"")</f>
        <v>0</v>
      </c>
      <c r="B16" s="2278"/>
      <c r="C16" s="1432" cm="1">
        <f t="array" aca="1" ref="C16" ca="1">IF(ROW()-ROW($A$6)&lt;'الف-ب-ج'!$L$9,IF(روکش!$F$9="سه ماهه",INDIRECT("BudgetDB!GV"&amp;('الف-ب-ج'!$M$9+ROW()-ROW($A$6))),INDIRECT("BudgetDB!GW"&amp;('الف-ب-ج'!$M$9+ROW()-ROW($A$6)))),"")</f>
        <v>0</v>
      </c>
      <c r="D16" s="246"/>
      <c r="E16" s="536" t="str">
        <f t="shared" si="0"/>
        <v>-</v>
      </c>
      <c r="F16" s="2201" t="str">
        <f t="shared" ca="1" si="1"/>
        <v>-</v>
      </c>
      <c r="G16" s="498">
        <f t="shared" ca="1" si="2"/>
        <v>500</v>
      </c>
      <c r="I16" s="1360" t="str">
        <f t="shared" ca="1" si="4"/>
        <v>-</v>
      </c>
      <c r="L16" s="1423">
        <f t="shared" ca="1" si="3"/>
        <v>0</v>
      </c>
      <c r="M16" s="212" t="e">
        <f t="shared" ca="1" si="5"/>
        <v>#DIV/0!</v>
      </c>
      <c r="N16" s="5" t="e">
        <f t="shared" ca="1" si="6"/>
        <v>#DIV/0!</v>
      </c>
    </row>
    <row r="17" spans="1:14" ht="20.100000000000001" customHeight="1">
      <c r="A17" s="963">
        <f ca="1">IF(ROW()-ROW($A$6)&lt;'الف-ب-ج'!$L$9,INDIRECT("BudgetDB!GU"&amp;('الف-ب-ج'!$M$9+ROW()-ROW($A$6))),"")</f>
        <v>0</v>
      </c>
      <c r="B17" s="2278"/>
      <c r="C17" s="1432" cm="1">
        <f t="array" aca="1" ref="C17" ca="1">IF(ROW()-ROW($A$6)&lt;'الف-ب-ج'!$L$9,IF(روکش!$F$9="سه ماهه",INDIRECT("BudgetDB!GV"&amp;('الف-ب-ج'!$M$9+ROW()-ROW($A$6))),INDIRECT("BudgetDB!GW"&amp;('الف-ب-ج'!$M$9+ROW()-ROW($A$6)))),"")</f>
        <v>0</v>
      </c>
      <c r="D17" s="246"/>
      <c r="E17" s="536" t="str">
        <f t="shared" si="0"/>
        <v>-</v>
      </c>
      <c r="F17" s="2201" t="str">
        <f t="shared" ca="1" si="1"/>
        <v>-</v>
      </c>
      <c r="G17" s="498">
        <f t="shared" ca="1" si="2"/>
        <v>500</v>
      </c>
      <c r="I17" s="1360" t="str">
        <f t="shared" ca="1" si="4"/>
        <v>-</v>
      </c>
      <c r="L17" s="1423">
        <f t="shared" ca="1" si="3"/>
        <v>0</v>
      </c>
      <c r="M17" s="212" t="e">
        <f t="shared" ca="1" si="5"/>
        <v>#DIV/0!</v>
      </c>
      <c r="N17" s="5" t="e">
        <f t="shared" ca="1" si="6"/>
        <v>#DIV/0!</v>
      </c>
    </row>
    <row r="18" spans="1:14" ht="20.100000000000001" customHeight="1">
      <c r="A18" s="963">
        <f ca="1">IF(ROW()-ROW($A$6)&lt;'الف-ب-ج'!$L$9,INDIRECT("BudgetDB!GU"&amp;('الف-ب-ج'!$M$9+ROW()-ROW($A$6))),"")</f>
        <v>0</v>
      </c>
      <c r="B18" s="2278"/>
      <c r="C18" s="1432" cm="1">
        <f t="array" aca="1" ref="C18" ca="1">IF(ROW()-ROW($A$6)&lt;'الف-ب-ج'!$L$9,IF(روکش!$F$9="سه ماهه",INDIRECT("BudgetDB!GV"&amp;('الف-ب-ج'!$M$9+ROW()-ROW($A$6))),INDIRECT("BudgetDB!GW"&amp;('الف-ب-ج'!$M$9+ROW()-ROW($A$6)))),"")</f>
        <v>0</v>
      </c>
      <c r="D18" s="246"/>
      <c r="E18" s="536" t="str">
        <f t="shared" si="0"/>
        <v>-</v>
      </c>
      <c r="F18" s="2201" t="str">
        <f t="shared" ca="1" si="1"/>
        <v>-</v>
      </c>
      <c r="G18" s="498">
        <f t="shared" ca="1" si="2"/>
        <v>500</v>
      </c>
      <c r="I18" s="1360" t="str">
        <f t="shared" ca="1" si="4"/>
        <v>-</v>
      </c>
      <c r="L18" s="1423">
        <f t="shared" ca="1" si="3"/>
        <v>0</v>
      </c>
      <c r="M18" s="212" t="e">
        <f t="shared" ca="1" si="5"/>
        <v>#DIV/0!</v>
      </c>
      <c r="N18" s="5" t="e">
        <f t="shared" ca="1" si="6"/>
        <v>#DIV/0!</v>
      </c>
    </row>
    <row r="19" spans="1:14" ht="20.100000000000001" customHeight="1">
      <c r="A19" s="963">
        <f ca="1">IF(ROW()-ROW($A$6)&lt;'الف-ب-ج'!$L$9,INDIRECT("BudgetDB!GU"&amp;('الف-ب-ج'!$M$9+ROW()-ROW($A$6))),"")</f>
        <v>0</v>
      </c>
      <c r="B19" s="2278"/>
      <c r="C19" s="1432" cm="1">
        <f t="array" aca="1" ref="C19" ca="1">IF(ROW()-ROW($A$6)&lt;'الف-ب-ج'!$L$9,IF(روکش!$F$9="سه ماهه",INDIRECT("BudgetDB!GV"&amp;('الف-ب-ج'!$M$9+ROW()-ROW($A$6))),INDIRECT("BudgetDB!GW"&amp;('الف-ب-ج'!$M$9+ROW()-ROW($A$6)))),"")</f>
        <v>0</v>
      </c>
      <c r="D19" s="246"/>
      <c r="E19" s="536" t="str">
        <f t="shared" ref="E19:E25" si="7">IFERROR((D19-B19)*100/B19,"-")</f>
        <v>-</v>
      </c>
      <c r="F19" s="2201" t="str">
        <f t="shared" ref="F19:F25" ca="1" si="8">IFERROR(D19*100/C19,"-")</f>
        <v>-</v>
      </c>
      <c r="G19" s="498">
        <f t="shared" ca="1" si="2"/>
        <v>500</v>
      </c>
      <c r="I19" s="1360" t="str">
        <f t="shared" ref="I19:I25" ca="1" si="9">IF(AND(C19=0,D19&gt;0),100,IFERROR(ABS(F19-100),"-"))</f>
        <v>-</v>
      </c>
      <c r="L19" s="1423">
        <f t="shared" ref="L19:L25" ca="1" si="10">B19+C19+D19</f>
        <v>0</v>
      </c>
      <c r="M19" s="212" t="e">
        <f t="shared" ca="1" si="5"/>
        <v>#DIV/0!</v>
      </c>
      <c r="N19" s="5" t="e">
        <f t="shared" ca="1" si="6"/>
        <v>#DIV/0!</v>
      </c>
    </row>
    <row r="20" spans="1:14" ht="20.100000000000001" customHeight="1">
      <c r="A20" s="963">
        <f ca="1">IF(ROW()-ROW($A$6)&lt;'الف-ب-ج'!$L$9,INDIRECT("BudgetDB!GU"&amp;('الف-ب-ج'!$M$9+ROW()-ROW($A$6))),"")</f>
        <v>0</v>
      </c>
      <c r="B20" s="2278"/>
      <c r="C20" s="1432" cm="1">
        <f t="array" aca="1" ref="C20" ca="1">IF(ROW()-ROW($A$6)&lt;'الف-ب-ج'!$L$9,IF(روکش!$F$9="سه ماهه",INDIRECT("BudgetDB!GV"&amp;('الف-ب-ج'!$M$9+ROW()-ROW($A$6))),INDIRECT("BudgetDB!GW"&amp;('الف-ب-ج'!$M$9+ROW()-ROW($A$6)))),"")</f>
        <v>0</v>
      </c>
      <c r="D20" s="246"/>
      <c r="E20" s="536" t="str">
        <f t="shared" si="7"/>
        <v>-</v>
      </c>
      <c r="F20" s="2201" t="str">
        <f t="shared" ca="1" si="8"/>
        <v>-</v>
      </c>
      <c r="G20" s="498">
        <f t="shared" ca="1" si="2"/>
        <v>500</v>
      </c>
      <c r="I20" s="1360" t="str">
        <f t="shared" ca="1" si="9"/>
        <v>-</v>
      </c>
      <c r="L20" s="1423">
        <f t="shared" ca="1" si="10"/>
        <v>0</v>
      </c>
      <c r="M20" s="212" t="e">
        <f t="shared" ca="1" si="5"/>
        <v>#DIV/0!</v>
      </c>
      <c r="N20" s="5" t="e">
        <f t="shared" ca="1" si="6"/>
        <v>#DIV/0!</v>
      </c>
    </row>
    <row r="21" spans="1:14" ht="20.100000000000001" customHeight="1">
      <c r="A21" s="963">
        <f ca="1">IF(ROW()-ROW($A$6)&lt;'الف-ب-ج'!$L$9,INDIRECT("BudgetDB!GU"&amp;('الف-ب-ج'!$M$9+ROW()-ROW($A$6))),"")</f>
        <v>0</v>
      </c>
      <c r="B21" s="2278"/>
      <c r="C21" s="1432" cm="1">
        <f t="array" aca="1" ref="C21" ca="1">IF(ROW()-ROW($A$6)&lt;'الف-ب-ج'!$L$9,IF(روکش!$F$9="سه ماهه",INDIRECT("BudgetDB!GV"&amp;('الف-ب-ج'!$M$9+ROW()-ROW($A$6))),INDIRECT("BudgetDB!GW"&amp;('الف-ب-ج'!$M$9+ROW()-ROW($A$6)))),"")</f>
        <v>0</v>
      </c>
      <c r="D21" s="246"/>
      <c r="E21" s="536" t="str">
        <f t="shared" si="7"/>
        <v>-</v>
      </c>
      <c r="F21" s="2201" t="str">
        <f t="shared" ca="1" si="8"/>
        <v>-</v>
      </c>
      <c r="G21" s="498">
        <f t="shared" ca="1" si="2"/>
        <v>500</v>
      </c>
      <c r="I21" s="1360" t="str">
        <f t="shared" ca="1" si="9"/>
        <v>-</v>
      </c>
      <c r="L21" s="1423">
        <f t="shared" ca="1" si="10"/>
        <v>0</v>
      </c>
      <c r="M21" s="212" t="e">
        <f t="shared" ca="1" si="5"/>
        <v>#DIV/0!</v>
      </c>
      <c r="N21" s="5" t="e">
        <f t="shared" ca="1" si="6"/>
        <v>#DIV/0!</v>
      </c>
    </row>
    <row r="22" spans="1:14" ht="20.100000000000001" customHeight="1">
      <c r="A22" s="496">
        <f ca="1">IF(ROW()-ROW($A$6)&lt;'الف-ب-ج'!$L$9,INDIRECT("BudgetDB!GU"&amp;('الف-ب-ج'!$M$9+ROW()-ROW($A$6))),"")</f>
        <v>0</v>
      </c>
      <c r="B22" s="2278"/>
      <c r="C22" s="1432" cm="1">
        <f t="array" aca="1" ref="C22" ca="1">IF(ROW()-ROW($A$6)&lt;'الف-ب-ج'!$L$9,IF(روکش!$F$9="سه ماهه",INDIRECT("BudgetDB!GV"&amp;('الف-ب-ج'!$M$9+ROW()-ROW($A$6))),INDIRECT("BudgetDB!GW"&amp;('الف-ب-ج'!$M$9+ROW()-ROW($A$6)))),"")</f>
        <v>0</v>
      </c>
      <c r="D22" s="246"/>
      <c r="E22" s="536" t="str">
        <f t="shared" si="7"/>
        <v>-</v>
      </c>
      <c r="F22" s="2201" t="str">
        <f t="shared" ca="1" si="8"/>
        <v>-</v>
      </c>
      <c r="G22" s="498">
        <f t="shared" ca="1" si="2"/>
        <v>500</v>
      </c>
      <c r="I22" s="1360" t="str">
        <f t="shared" ca="1" si="9"/>
        <v>-</v>
      </c>
      <c r="L22" s="1423">
        <f t="shared" ca="1" si="10"/>
        <v>0</v>
      </c>
      <c r="M22" s="212" t="e">
        <f t="shared" ca="1" si="5"/>
        <v>#DIV/0!</v>
      </c>
      <c r="N22" s="5" t="e">
        <f t="shared" ca="1" si="6"/>
        <v>#DIV/0!</v>
      </c>
    </row>
    <row r="23" spans="1:14" ht="20.100000000000001" customHeight="1">
      <c r="A23" s="496">
        <f ca="1">IF(ROW()-ROW($A$6)&lt;'الف-ب-ج'!$L$9,INDIRECT("BudgetDB!GU"&amp;('الف-ب-ج'!$M$9+ROW()-ROW($A$6))),"")</f>
        <v>0</v>
      </c>
      <c r="B23" s="2278"/>
      <c r="C23" s="1432" cm="1">
        <f t="array" aca="1" ref="C23" ca="1">IF(ROW()-ROW($A$6)&lt;'الف-ب-ج'!$L$9,IF(روکش!$F$9="سه ماهه",INDIRECT("BudgetDB!GV"&amp;('الف-ب-ج'!$M$9+ROW()-ROW($A$6))),INDIRECT("BudgetDB!GW"&amp;('الف-ب-ج'!$M$9+ROW()-ROW($A$6)))),"")</f>
        <v>0</v>
      </c>
      <c r="D23" s="246"/>
      <c r="E23" s="536" t="str">
        <f t="shared" si="7"/>
        <v>-</v>
      </c>
      <c r="F23" s="2201" t="str">
        <f t="shared" ca="1" si="8"/>
        <v>-</v>
      </c>
      <c r="G23" s="498">
        <f t="shared" ca="1" si="2"/>
        <v>500</v>
      </c>
      <c r="I23" s="1360" t="str">
        <f t="shared" ca="1" si="9"/>
        <v>-</v>
      </c>
      <c r="L23" s="1423">
        <f t="shared" ca="1" si="10"/>
        <v>0</v>
      </c>
      <c r="M23" s="212" t="e">
        <f t="shared" ca="1" si="5"/>
        <v>#DIV/0!</v>
      </c>
      <c r="N23" s="5" t="e">
        <f t="shared" ca="1" si="6"/>
        <v>#DIV/0!</v>
      </c>
    </row>
    <row r="24" spans="1:14" ht="20.100000000000001" customHeight="1">
      <c r="A24" s="496">
        <f ca="1">IF(ROW()-ROW($A$6)&lt;'الف-ب-ج'!$L$9,INDIRECT("BudgetDB!GU"&amp;('الف-ب-ج'!$M$9+ROW()-ROW($A$6))),"")</f>
        <v>0</v>
      </c>
      <c r="B24" s="2278"/>
      <c r="C24" s="1432" cm="1">
        <f t="array" aca="1" ref="C24" ca="1">IF(ROW()-ROW($A$6)&lt;'الف-ب-ج'!$L$9,IF(روکش!$F$9="سه ماهه",INDIRECT("BudgetDB!GV"&amp;('الف-ب-ج'!$M$9+ROW()-ROW($A$6))),INDIRECT("BudgetDB!GW"&amp;('الف-ب-ج'!$M$9+ROW()-ROW($A$6)))),"")</f>
        <v>0</v>
      </c>
      <c r="D24" s="246"/>
      <c r="E24" s="536" t="str">
        <f t="shared" si="7"/>
        <v>-</v>
      </c>
      <c r="F24" s="2201" t="str">
        <f t="shared" ca="1" si="8"/>
        <v>-</v>
      </c>
      <c r="G24" s="498">
        <f t="shared" ca="1" si="2"/>
        <v>500</v>
      </c>
      <c r="I24" s="1360" t="str">
        <f t="shared" ca="1" si="9"/>
        <v>-</v>
      </c>
      <c r="L24" s="1423">
        <f t="shared" ca="1" si="10"/>
        <v>0</v>
      </c>
      <c r="M24" s="212" t="e">
        <f t="shared" ca="1" si="5"/>
        <v>#DIV/0!</v>
      </c>
      <c r="N24" s="5" t="e">
        <f t="shared" ca="1" si="6"/>
        <v>#DIV/0!</v>
      </c>
    </row>
    <row r="25" spans="1:14" ht="20.100000000000001" customHeight="1" thickBot="1">
      <c r="A25" s="496">
        <f ca="1">IF(ROW()-ROW($A$6)&lt;'الف-ب-ج'!$L$9,INDIRECT("BudgetDB!GU"&amp;('الف-ب-ج'!$M$9+ROW()-ROW($A$6))),"")</f>
        <v>0</v>
      </c>
      <c r="B25" s="2278"/>
      <c r="C25" s="1432" cm="1">
        <f t="array" aca="1" ref="C25" ca="1">IF(ROW()-ROW($A$6)&lt;'الف-ب-ج'!$L$9,IF(روکش!$F$9="سه ماهه",INDIRECT("BudgetDB!GV"&amp;('الف-ب-ج'!$M$9+ROW()-ROW($A$6))),INDIRECT("BudgetDB!GW"&amp;('الف-ب-ج'!$M$9+ROW()-ROW($A$6)))),"")</f>
        <v>0</v>
      </c>
      <c r="D25" s="246"/>
      <c r="E25" s="536" t="str">
        <f t="shared" si="7"/>
        <v>-</v>
      </c>
      <c r="F25" s="2201" t="str">
        <f t="shared" ca="1" si="8"/>
        <v>-</v>
      </c>
      <c r="G25" s="498">
        <f t="shared" ca="1" si="2"/>
        <v>500</v>
      </c>
      <c r="I25" s="1360" t="str">
        <f t="shared" ca="1" si="9"/>
        <v>-</v>
      </c>
      <c r="L25" s="1423">
        <f t="shared" ca="1" si="10"/>
        <v>0</v>
      </c>
      <c r="M25" s="212" t="e">
        <f t="shared" ca="1" si="5"/>
        <v>#DIV/0!</v>
      </c>
      <c r="N25" s="5" t="e">
        <f t="shared" ca="1" si="6"/>
        <v>#DIV/0!</v>
      </c>
    </row>
    <row r="26" spans="1:14" ht="21.75" thickBot="1">
      <c r="A26" s="492" t="s">
        <v>437</v>
      </c>
      <c r="B26" s="2279">
        <f>SUM(B6:B25)</f>
        <v>0</v>
      </c>
      <c r="C26" s="1430">
        <f ca="1">SUM(C6:C25)</f>
        <v>0</v>
      </c>
      <c r="D26" s="494">
        <f>SUM(D6:D25)</f>
        <v>0</v>
      </c>
      <c r="E26" s="537" t="str">
        <f t="shared" si="0"/>
        <v>-</v>
      </c>
      <c r="F26" s="2204" t="str">
        <f t="shared" ca="1" si="1"/>
        <v>-</v>
      </c>
      <c r="G26" s="2205">
        <f t="shared" ca="1" si="2"/>
        <v>500</v>
      </c>
      <c r="I26" s="1360" t="s">
        <v>206</v>
      </c>
      <c r="L26" s="1423" t="s">
        <v>206</v>
      </c>
      <c r="M26" s="212" t="e">
        <f>AND(COUNTIF($A26,"*سایر*")=1,$B26/$B$26&gt;0.2)</f>
        <v>#DIV/0!</v>
      </c>
      <c r="N26" s="5" t="e">
        <f t="shared" si="6"/>
        <v>#DIV/0!</v>
      </c>
    </row>
    <row r="27" spans="1:14" ht="20.100000000000001" customHeight="1">
      <c r="A27" s="1424">
        <f ca="1">IF(ROW()-ROW($A$27)&lt;'الف-ب-ج'!$L$9,INDIRECT("BudgetDB!GX"&amp;('الف-ب-ج'!$M$9+ROW()-ROW($A$27))),"")</f>
        <v>0</v>
      </c>
      <c r="B27" s="2278"/>
      <c r="C27" s="1426" cm="1">
        <f t="array" aca="1" ref="C27" ca="1">IF(ROW()-ROW($A$27)&lt;'الف-ب-ج'!$L$9,IF(روکش!$F$9="سه ماهه",INDIRECT("BudgetDB!GY"&amp;('الف-ب-ج'!$M$9+ROW()-ROW($A$27))),INDIRECT("BudgetDB!GZ"&amp;('الف-ب-ج'!$M$9+ROW()-ROW($A$27)))),"")</f>
        <v>0</v>
      </c>
      <c r="D27" s="246"/>
      <c r="E27" s="536" t="str">
        <f t="shared" si="0"/>
        <v>-</v>
      </c>
      <c r="F27" s="2201" t="str">
        <f t="shared" ca="1" si="1"/>
        <v>-</v>
      </c>
      <c r="G27" s="498">
        <f t="shared" ca="1" si="2"/>
        <v>500</v>
      </c>
      <c r="I27" s="1360" t="str">
        <f t="shared" ca="1" si="4"/>
        <v>-</v>
      </c>
      <c r="L27" s="1423">
        <f t="shared" ref="L27:L38" ca="1" si="11">B27+C27+D27</f>
        <v>0</v>
      </c>
      <c r="M27" s="212" t="e">
        <f ca="1">AND(COUNTIF($A27,"*سایر*")=1,$B27/$B$55&gt;0.2)</f>
        <v>#DIV/0!</v>
      </c>
      <c r="N27" s="5" t="e">
        <f ca="1">AND(COUNTIF($A27,"*سایر*")=1,$D27/$D$55&gt;0.2)</f>
        <v>#DIV/0!</v>
      </c>
    </row>
    <row r="28" spans="1:14" ht="20.100000000000001" customHeight="1">
      <c r="A28" s="1511">
        <f ca="1">IF(ROW()-ROW($A$27)&lt;'الف-ب-ج'!$L$9,INDIRECT("BudgetDB!GX"&amp;('الف-ب-ج'!$M$9+ROW()-ROW($A$27))),"")</f>
        <v>0</v>
      </c>
      <c r="B28" s="2278"/>
      <c r="C28" s="1432" cm="1">
        <f t="array" aca="1" ref="C28" ca="1">IF(ROW()-ROW($A$27)&lt;'الف-ب-ج'!$L$9,IF(روکش!$F$9="سه ماهه",INDIRECT("BudgetDB!GY"&amp;('الف-ب-ج'!$M$9+ROW()-ROW($A$27))),INDIRECT("BudgetDB!GZ"&amp;('الف-ب-ج'!$M$9+ROW()-ROW($A$27)))),"")</f>
        <v>0</v>
      </c>
      <c r="D28" s="246"/>
      <c r="E28" s="536" t="str">
        <f t="shared" si="0"/>
        <v>-</v>
      </c>
      <c r="F28" s="2201" t="str">
        <f t="shared" ca="1" si="1"/>
        <v>-</v>
      </c>
      <c r="G28" s="498">
        <f t="shared" ca="1" si="2"/>
        <v>500</v>
      </c>
      <c r="I28" s="1360" t="str">
        <f t="shared" ca="1" si="4"/>
        <v>-</v>
      </c>
      <c r="L28" s="1423">
        <f t="shared" ca="1" si="11"/>
        <v>0</v>
      </c>
      <c r="M28" s="212" t="e">
        <f t="shared" ref="M28:M54" ca="1" si="12">AND(COUNTIF($A28,"*سایر*")=1,$B28/$B$55&gt;0.2)</f>
        <v>#DIV/0!</v>
      </c>
      <c r="N28" s="5" t="e">
        <f t="shared" ref="N28:N54" ca="1" si="13">AND(COUNTIF($A28,"*سایر*")=1,$D28/$D$55&gt;0.2)</f>
        <v>#DIV/0!</v>
      </c>
    </row>
    <row r="29" spans="1:14" ht="20.100000000000001" customHeight="1">
      <c r="A29" s="1511">
        <f ca="1">IF(ROW()-ROW($A$27)&lt;'الف-ب-ج'!$L$9,INDIRECT("BudgetDB!GX"&amp;('الف-ب-ج'!$M$9+ROW()-ROW($A$27))),"")</f>
        <v>0</v>
      </c>
      <c r="B29" s="2278"/>
      <c r="C29" s="1432" cm="1">
        <f t="array" aca="1" ref="C29" ca="1">IF(ROW()-ROW($A$27)&lt;'الف-ب-ج'!$L$9,IF(روکش!$F$9="سه ماهه",INDIRECT("BudgetDB!GY"&amp;('الف-ب-ج'!$M$9+ROW()-ROW($A$27))),INDIRECT("BudgetDB!GZ"&amp;('الف-ب-ج'!$M$9+ROW()-ROW($A$27)))),"")</f>
        <v>0</v>
      </c>
      <c r="D29" s="246"/>
      <c r="E29" s="536" t="str">
        <f t="shared" si="0"/>
        <v>-</v>
      </c>
      <c r="F29" s="2201" t="str">
        <f t="shared" ca="1" si="1"/>
        <v>-</v>
      </c>
      <c r="G29" s="498">
        <f t="shared" ca="1" si="2"/>
        <v>500</v>
      </c>
      <c r="I29" s="1360" t="str">
        <f t="shared" ca="1" si="4"/>
        <v>-</v>
      </c>
      <c r="L29" s="1423">
        <f t="shared" ca="1" si="11"/>
        <v>0</v>
      </c>
      <c r="M29" s="212" t="e">
        <f t="shared" ca="1" si="12"/>
        <v>#DIV/0!</v>
      </c>
      <c r="N29" s="5" t="e">
        <f t="shared" ca="1" si="13"/>
        <v>#DIV/0!</v>
      </c>
    </row>
    <row r="30" spans="1:14" ht="20.100000000000001" customHeight="1">
      <c r="A30" s="1511">
        <f ca="1">IF(ROW()-ROW($A$27)&lt;'الف-ب-ج'!$L$9,INDIRECT("BudgetDB!GX"&amp;('الف-ب-ج'!$M$9+ROW()-ROW($A$27))),"")</f>
        <v>0</v>
      </c>
      <c r="B30" s="2278"/>
      <c r="C30" s="1432" cm="1">
        <f t="array" aca="1" ref="C30" ca="1">IF(ROW()-ROW($A$27)&lt;'الف-ب-ج'!$L$9,IF(روکش!$F$9="سه ماهه",INDIRECT("BudgetDB!GY"&amp;('الف-ب-ج'!$M$9+ROW()-ROW($A$27))),INDIRECT("BudgetDB!GZ"&amp;('الف-ب-ج'!$M$9+ROW()-ROW($A$27)))),"")</f>
        <v>0</v>
      </c>
      <c r="D30" s="246"/>
      <c r="E30" s="536" t="str">
        <f t="shared" si="0"/>
        <v>-</v>
      </c>
      <c r="F30" s="2201" t="str">
        <f t="shared" ca="1" si="1"/>
        <v>-</v>
      </c>
      <c r="G30" s="498">
        <f t="shared" ca="1" si="2"/>
        <v>500</v>
      </c>
      <c r="I30" s="1360" t="str">
        <f t="shared" ca="1" si="4"/>
        <v>-</v>
      </c>
      <c r="L30" s="1423">
        <f t="shared" ca="1" si="11"/>
        <v>0</v>
      </c>
      <c r="M30" s="212" t="e">
        <f t="shared" ca="1" si="12"/>
        <v>#DIV/0!</v>
      </c>
      <c r="N30" s="5" t="e">
        <f t="shared" ca="1" si="13"/>
        <v>#DIV/0!</v>
      </c>
    </row>
    <row r="31" spans="1:14" ht="20.100000000000001" customHeight="1">
      <c r="A31" s="1511">
        <f ca="1">IF(ROW()-ROW($A$27)&lt;'الف-ب-ج'!$L$9,INDIRECT("BudgetDB!GX"&amp;('الف-ب-ج'!$M$9+ROW()-ROW($A$27))),"")</f>
        <v>0</v>
      </c>
      <c r="B31" s="2278"/>
      <c r="C31" s="1432" cm="1">
        <f t="array" aca="1" ref="C31" ca="1">IF(ROW()-ROW($A$27)&lt;'الف-ب-ج'!$L$9,IF(روکش!$F$9="سه ماهه",INDIRECT("BudgetDB!GY"&amp;('الف-ب-ج'!$M$9+ROW()-ROW($A$27))),INDIRECT("BudgetDB!GZ"&amp;('الف-ب-ج'!$M$9+ROW()-ROW($A$27)))),"")</f>
        <v>0</v>
      </c>
      <c r="D31" s="246"/>
      <c r="E31" s="536" t="str">
        <f t="shared" si="0"/>
        <v>-</v>
      </c>
      <c r="F31" s="2201" t="str">
        <f t="shared" ca="1" si="1"/>
        <v>-</v>
      </c>
      <c r="G31" s="498">
        <f t="shared" ca="1" si="2"/>
        <v>500</v>
      </c>
      <c r="I31" s="1360" t="str">
        <f t="shared" ca="1" si="4"/>
        <v>-</v>
      </c>
      <c r="L31" s="1423">
        <f t="shared" ca="1" si="11"/>
        <v>0</v>
      </c>
      <c r="M31" s="212" t="e">
        <f t="shared" ca="1" si="12"/>
        <v>#DIV/0!</v>
      </c>
      <c r="N31" s="5" t="e">
        <f t="shared" ca="1" si="13"/>
        <v>#DIV/0!</v>
      </c>
    </row>
    <row r="32" spans="1:14" ht="20.100000000000001" customHeight="1">
      <c r="A32" s="1511">
        <f ca="1">IF(ROW()-ROW($A$27)&lt;'الف-ب-ج'!$L$9,INDIRECT("BudgetDB!GX"&amp;('الف-ب-ج'!$M$9+ROW()-ROW($A$27))),"")</f>
        <v>0</v>
      </c>
      <c r="B32" s="2278"/>
      <c r="C32" s="1432" cm="1">
        <f t="array" aca="1" ref="C32" ca="1">IF(ROW()-ROW($A$27)&lt;'الف-ب-ج'!$L$9,IF(روکش!$F$9="سه ماهه",INDIRECT("BudgetDB!GY"&amp;('الف-ب-ج'!$M$9+ROW()-ROW($A$27))),INDIRECT("BudgetDB!GZ"&amp;('الف-ب-ج'!$M$9+ROW()-ROW($A$27)))),"")</f>
        <v>0</v>
      </c>
      <c r="D32" s="246"/>
      <c r="E32" s="536" t="str">
        <f t="shared" si="0"/>
        <v>-</v>
      </c>
      <c r="F32" s="2201" t="str">
        <f t="shared" ca="1" si="1"/>
        <v>-</v>
      </c>
      <c r="G32" s="498">
        <f t="shared" ca="1" si="2"/>
        <v>500</v>
      </c>
      <c r="I32" s="1360" t="str">
        <f t="shared" ca="1" si="4"/>
        <v>-</v>
      </c>
      <c r="L32" s="1423">
        <f t="shared" ca="1" si="11"/>
        <v>0</v>
      </c>
      <c r="M32" s="212" t="e">
        <f t="shared" ca="1" si="12"/>
        <v>#DIV/0!</v>
      </c>
      <c r="N32" s="5" t="e">
        <f t="shared" ca="1" si="13"/>
        <v>#DIV/0!</v>
      </c>
    </row>
    <row r="33" spans="1:14" s="79" customFormat="1" ht="20.100000000000001" customHeight="1">
      <c r="A33" s="1511">
        <f ca="1">IF(ROW()-ROW($A$27)&lt;'الف-ب-ج'!$L$9,INDIRECT("BudgetDB!GX"&amp;('الف-ب-ج'!$M$9+ROW()-ROW($A$27))),"")</f>
        <v>0</v>
      </c>
      <c r="B33" s="2278"/>
      <c r="C33" s="1432" cm="1">
        <f t="array" aca="1" ref="C33" ca="1">IF(ROW()-ROW($A$27)&lt;'الف-ب-ج'!$L$9,IF(روکش!$F$9="سه ماهه",INDIRECT("BudgetDB!GY"&amp;('الف-ب-ج'!$M$9+ROW()-ROW($A$27))),INDIRECT("BudgetDB!GZ"&amp;('الف-ب-ج'!$M$9+ROW()-ROW($A$27)))),"")</f>
        <v>0</v>
      </c>
      <c r="D33" s="246"/>
      <c r="E33" s="536" t="str">
        <f t="shared" si="0"/>
        <v>-</v>
      </c>
      <c r="F33" s="2201" t="str">
        <f t="shared" ca="1" si="1"/>
        <v>-</v>
      </c>
      <c r="G33" s="498">
        <f t="shared" ca="1" si="2"/>
        <v>500</v>
      </c>
      <c r="H33" s="212"/>
      <c r="I33" s="1360" t="str">
        <f t="shared" ca="1" si="4"/>
        <v>-</v>
      </c>
      <c r="J33" s="1081"/>
      <c r="K33" s="1081"/>
      <c r="L33" s="1423">
        <f t="shared" ca="1" si="11"/>
        <v>0</v>
      </c>
      <c r="M33" s="212" t="e">
        <f t="shared" ca="1" si="12"/>
        <v>#DIV/0!</v>
      </c>
      <c r="N33" s="5" t="e">
        <f t="shared" ca="1" si="13"/>
        <v>#DIV/0!</v>
      </c>
    </row>
    <row r="34" spans="1:14" s="79" customFormat="1" ht="20.100000000000001" customHeight="1">
      <c r="A34" s="1511">
        <f ca="1">IF(ROW()-ROW($A$27)&lt;'الف-ب-ج'!$L$9,INDIRECT("BudgetDB!GX"&amp;('الف-ب-ج'!$M$9+ROW()-ROW($A$27))),"")</f>
        <v>0</v>
      </c>
      <c r="B34" s="2278"/>
      <c r="C34" s="1432" cm="1">
        <f t="array" aca="1" ref="C34" ca="1">IF(ROW()-ROW($A$27)&lt;'الف-ب-ج'!$L$9,IF(روکش!$F$9="سه ماهه",INDIRECT("BudgetDB!GY"&amp;('الف-ب-ج'!$M$9+ROW()-ROW($A$27))),INDIRECT("BudgetDB!GZ"&amp;('الف-ب-ج'!$M$9+ROW()-ROW($A$27)))),"")</f>
        <v>0</v>
      </c>
      <c r="D34" s="246"/>
      <c r="E34" s="536" t="str">
        <f t="shared" si="0"/>
        <v>-</v>
      </c>
      <c r="F34" s="2201" t="str">
        <f t="shared" ca="1" si="1"/>
        <v>-</v>
      </c>
      <c r="G34" s="498">
        <f t="shared" ca="1" si="2"/>
        <v>500</v>
      </c>
      <c r="H34" s="212"/>
      <c r="I34" s="1360" t="str">
        <f t="shared" ca="1" si="4"/>
        <v>-</v>
      </c>
      <c r="J34" s="1081"/>
      <c r="K34" s="1081"/>
      <c r="L34" s="1423">
        <f t="shared" ca="1" si="11"/>
        <v>0</v>
      </c>
      <c r="M34" s="212" t="e">
        <f t="shared" ca="1" si="12"/>
        <v>#DIV/0!</v>
      </c>
      <c r="N34" s="5" t="e">
        <f t="shared" ca="1" si="13"/>
        <v>#DIV/0!</v>
      </c>
    </row>
    <row r="35" spans="1:14" s="79" customFormat="1" ht="20.100000000000001" customHeight="1">
      <c r="A35" s="1511">
        <f ca="1">IF(ROW()-ROW($A$27)&lt;'الف-ب-ج'!$L$9,INDIRECT("BudgetDB!GX"&amp;('الف-ب-ج'!$M$9+ROW()-ROW($A$27))),"")</f>
        <v>0</v>
      </c>
      <c r="B35" s="2278"/>
      <c r="C35" s="1432" cm="1">
        <f t="array" aca="1" ref="C35" ca="1">IF(ROW()-ROW($A$27)&lt;'الف-ب-ج'!$L$9,IF(روکش!$F$9="سه ماهه",INDIRECT("BudgetDB!GY"&amp;('الف-ب-ج'!$M$9+ROW()-ROW($A$27))),INDIRECT("BudgetDB!GZ"&amp;('الف-ب-ج'!$M$9+ROW()-ROW($A$27)))),"")</f>
        <v>0</v>
      </c>
      <c r="D35" s="246"/>
      <c r="E35" s="536" t="str">
        <f t="shared" si="0"/>
        <v>-</v>
      </c>
      <c r="F35" s="2201" t="str">
        <f t="shared" ca="1" si="1"/>
        <v>-</v>
      </c>
      <c r="G35" s="498">
        <f t="shared" ca="1" si="2"/>
        <v>500</v>
      </c>
      <c r="H35" s="212"/>
      <c r="I35" s="1360" t="str">
        <f t="shared" ca="1" si="4"/>
        <v>-</v>
      </c>
      <c r="J35" s="1081"/>
      <c r="K35" s="1081"/>
      <c r="L35" s="1423">
        <f t="shared" ca="1" si="11"/>
        <v>0</v>
      </c>
      <c r="M35" s="212" t="e">
        <f t="shared" ca="1" si="12"/>
        <v>#DIV/0!</v>
      </c>
      <c r="N35" s="5" t="e">
        <f t="shared" ca="1" si="13"/>
        <v>#DIV/0!</v>
      </c>
    </row>
    <row r="36" spans="1:14" s="79" customFormat="1" ht="20.100000000000001" customHeight="1">
      <c r="A36" s="1511">
        <f ca="1">IF(ROW()-ROW($A$27)&lt;'الف-ب-ج'!$L$9,INDIRECT("BudgetDB!GX"&amp;('الف-ب-ج'!$M$9+ROW()-ROW($A$27))),"")</f>
        <v>0</v>
      </c>
      <c r="B36" s="2278"/>
      <c r="C36" s="1432" cm="1">
        <f t="array" aca="1" ref="C36" ca="1">IF(ROW()-ROW($A$27)&lt;'الف-ب-ج'!$L$9,IF(روکش!$F$9="سه ماهه",INDIRECT("BudgetDB!GY"&amp;('الف-ب-ج'!$M$9+ROW()-ROW($A$27))),INDIRECT("BudgetDB!GZ"&amp;('الف-ب-ج'!$M$9+ROW()-ROW($A$27)))),"")</f>
        <v>0</v>
      </c>
      <c r="D36" s="246"/>
      <c r="E36" s="536" t="str">
        <f t="shared" si="0"/>
        <v>-</v>
      </c>
      <c r="F36" s="2201" t="str">
        <f t="shared" ca="1" si="1"/>
        <v>-</v>
      </c>
      <c r="G36" s="498">
        <f t="shared" ca="1" si="2"/>
        <v>500</v>
      </c>
      <c r="H36" s="212"/>
      <c r="I36" s="1360" t="str">
        <f t="shared" ca="1" si="4"/>
        <v>-</v>
      </c>
      <c r="J36" s="1081"/>
      <c r="K36" s="1081"/>
      <c r="L36" s="1423">
        <f t="shared" ca="1" si="11"/>
        <v>0</v>
      </c>
      <c r="M36" s="212" t="e">
        <f t="shared" ca="1" si="12"/>
        <v>#DIV/0!</v>
      </c>
      <c r="N36" s="5" t="e">
        <f t="shared" ca="1" si="13"/>
        <v>#DIV/0!</v>
      </c>
    </row>
    <row r="37" spans="1:14" s="79" customFormat="1" ht="20.100000000000001" customHeight="1">
      <c r="A37" s="963">
        <f ca="1">IF(ROW()-ROW($A$27)&lt;'الف-ب-ج'!$L$9,INDIRECT("BudgetDB!GX"&amp;('الف-ب-ج'!$M$9+ROW()-ROW($A$27))),"")</f>
        <v>0</v>
      </c>
      <c r="B37" s="2278"/>
      <c r="C37" s="1432" cm="1">
        <f t="array" aca="1" ref="C37" ca="1">IF(ROW()-ROW($A$27)&lt;'الف-ب-ج'!$L$9,IF(روکش!$F$9="سه ماهه",INDIRECT("BudgetDB!GY"&amp;('الف-ب-ج'!$M$9+ROW()-ROW($A$27))),INDIRECT("BudgetDB!GZ"&amp;('الف-ب-ج'!$M$9+ROW()-ROW($A$27)))),"")</f>
        <v>0</v>
      </c>
      <c r="D37" s="246"/>
      <c r="E37" s="536" t="str">
        <f t="shared" si="0"/>
        <v>-</v>
      </c>
      <c r="F37" s="2201" t="str">
        <f t="shared" ca="1" si="1"/>
        <v>-</v>
      </c>
      <c r="G37" s="498">
        <f t="shared" ca="1" si="2"/>
        <v>500</v>
      </c>
      <c r="H37" s="212"/>
      <c r="I37" s="1360" t="str">
        <f t="shared" ca="1" si="4"/>
        <v>-</v>
      </c>
      <c r="J37" s="1081"/>
      <c r="K37" s="1081"/>
      <c r="L37" s="1423">
        <f t="shared" ca="1" si="11"/>
        <v>0</v>
      </c>
      <c r="M37" s="212" t="e">
        <f t="shared" ca="1" si="12"/>
        <v>#DIV/0!</v>
      </c>
      <c r="N37" s="5" t="e">
        <f t="shared" ca="1" si="13"/>
        <v>#DIV/0!</v>
      </c>
    </row>
    <row r="38" spans="1:14" s="79" customFormat="1" ht="20.100000000000001" customHeight="1">
      <c r="A38" s="963">
        <f ca="1">IF(ROW()-ROW($A$27)&lt;'الف-ب-ج'!$L$9,INDIRECT("BudgetDB!GX"&amp;('الف-ب-ج'!$M$9+ROW()-ROW($A$27))),"")</f>
        <v>0</v>
      </c>
      <c r="B38" s="2278"/>
      <c r="C38" s="1432" cm="1">
        <f t="array" aca="1" ref="C38" ca="1">IF(ROW()-ROW($A$27)&lt;'الف-ب-ج'!$L$9,IF(روکش!$F$9="سه ماهه",INDIRECT("BudgetDB!GY"&amp;('الف-ب-ج'!$M$9+ROW()-ROW($A$27))),INDIRECT("BudgetDB!GZ"&amp;('الف-ب-ج'!$M$9+ROW()-ROW($A$27)))),"")</f>
        <v>0</v>
      </c>
      <c r="D38" s="246"/>
      <c r="E38" s="536" t="str">
        <f t="shared" si="0"/>
        <v>-</v>
      </c>
      <c r="F38" s="2201" t="str">
        <f t="shared" ca="1" si="1"/>
        <v>-</v>
      </c>
      <c r="G38" s="498">
        <f t="shared" ref="G38:G58" ca="1" si="14">IFERROR(ABS(F38-100),500)</f>
        <v>500</v>
      </c>
      <c r="H38" s="212"/>
      <c r="I38" s="1360" t="str">
        <f t="shared" ca="1" si="4"/>
        <v>-</v>
      </c>
      <c r="J38" s="1081"/>
      <c r="K38" s="1081"/>
      <c r="L38" s="1423">
        <f t="shared" ca="1" si="11"/>
        <v>0</v>
      </c>
      <c r="M38" s="212" t="e">
        <f t="shared" ca="1" si="12"/>
        <v>#DIV/0!</v>
      </c>
      <c r="N38" s="5" t="e">
        <f t="shared" ca="1" si="13"/>
        <v>#DIV/0!</v>
      </c>
    </row>
    <row r="39" spans="1:14" s="79" customFormat="1" ht="20.100000000000001" customHeight="1">
      <c r="A39" s="963">
        <f ca="1">IF(ROW()-ROW($A$27)&lt;'الف-ب-ج'!$L$9,INDIRECT("BudgetDB!GX"&amp;('الف-ب-ج'!$M$9+ROW()-ROW($A$27))),"")</f>
        <v>0</v>
      </c>
      <c r="B39" s="2278"/>
      <c r="C39" s="1432" cm="1">
        <f t="array" aca="1" ref="C39" ca="1">IF(ROW()-ROW($A$27)&lt;'الف-ب-ج'!$L$9,IF(روکش!$F$9="سه ماهه",INDIRECT("BudgetDB!GY"&amp;('الف-ب-ج'!$M$9+ROW()-ROW($A$27))),INDIRECT("BudgetDB!GZ"&amp;('الف-ب-ج'!$M$9+ROW()-ROW($A$27)))),"")</f>
        <v>0</v>
      </c>
      <c r="D39" s="246"/>
      <c r="E39" s="536" t="str">
        <f t="shared" ref="E39:E54" si="15">IFERROR((D39-B39)*100/B39,"-")</f>
        <v>-</v>
      </c>
      <c r="F39" s="2201" t="str">
        <f t="shared" ref="F39:F54" ca="1" si="16">IFERROR(D39*100/C39,"-")</f>
        <v>-</v>
      </c>
      <c r="G39" s="498">
        <f t="shared" ca="1" si="14"/>
        <v>500</v>
      </c>
      <c r="H39" s="212"/>
      <c r="I39" s="1360" t="str">
        <f t="shared" ref="I39:I54" ca="1" si="17">IF(AND(C39=0,D39&gt;0),100,IFERROR(ABS(F39-100),"-"))</f>
        <v>-</v>
      </c>
      <c r="J39" s="1081"/>
      <c r="K39" s="1081"/>
      <c r="L39" s="1423">
        <f t="shared" ref="L39:L54" ca="1" si="18">B39+C39+D39</f>
        <v>0</v>
      </c>
      <c r="M39" s="212" t="e">
        <f t="shared" ca="1" si="12"/>
        <v>#DIV/0!</v>
      </c>
      <c r="N39" s="5" t="e">
        <f t="shared" ca="1" si="13"/>
        <v>#DIV/0!</v>
      </c>
    </row>
    <row r="40" spans="1:14" s="79" customFormat="1" ht="20.100000000000001" customHeight="1">
      <c r="A40" s="963">
        <f ca="1">IF(ROW()-ROW($A$27)&lt;'الف-ب-ج'!$L$9,INDIRECT("BudgetDB!GX"&amp;('الف-ب-ج'!$M$9+ROW()-ROW($A$27))),"")</f>
        <v>0</v>
      </c>
      <c r="B40" s="2278"/>
      <c r="C40" s="1432" cm="1">
        <f t="array" aca="1" ref="C40" ca="1">IF(ROW()-ROW($A$27)&lt;'الف-ب-ج'!$L$9,IF(روکش!$F$9="سه ماهه",INDIRECT("BudgetDB!GY"&amp;('الف-ب-ج'!$M$9+ROW()-ROW($A$27))),INDIRECT("BudgetDB!GZ"&amp;('الف-ب-ج'!$M$9+ROW()-ROW($A$27)))),"")</f>
        <v>0</v>
      </c>
      <c r="D40" s="246"/>
      <c r="E40" s="536" t="str">
        <f t="shared" si="15"/>
        <v>-</v>
      </c>
      <c r="F40" s="2201" t="str">
        <f t="shared" ca="1" si="16"/>
        <v>-</v>
      </c>
      <c r="G40" s="498">
        <f t="shared" ca="1" si="14"/>
        <v>500</v>
      </c>
      <c r="H40" s="212"/>
      <c r="I40" s="1360" t="str">
        <f t="shared" ca="1" si="17"/>
        <v>-</v>
      </c>
      <c r="J40" s="1081"/>
      <c r="K40" s="1081"/>
      <c r="L40" s="1423">
        <f t="shared" ca="1" si="18"/>
        <v>0</v>
      </c>
      <c r="M40" s="212" t="e">
        <f t="shared" ca="1" si="12"/>
        <v>#DIV/0!</v>
      </c>
      <c r="N40" s="5" t="e">
        <f t="shared" ca="1" si="13"/>
        <v>#DIV/0!</v>
      </c>
    </row>
    <row r="41" spans="1:14" s="79" customFormat="1" ht="20.100000000000001" customHeight="1">
      <c r="A41" s="963">
        <f ca="1">IF(ROW()-ROW($A$27)&lt;'الف-ب-ج'!$L$9,INDIRECT("BudgetDB!GX"&amp;('الف-ب-ج'!$M$9+ROW()-ROW($A$27))),"")</f>
        <v>0</v>
      </c>
      <c r="B41" s="2278"/>
      <c r="C41" s="1432" cm="1">
        <f t="array" aca="1" ref="C41" ca="1">IF(ROW()-ROW($A$27)&lt;'الف-ب-ج'!$L$9,IF(روکش!$F$9="سه ماهه",INDIRECT("BudgetDB!GY"&amp;('الف-ب-ج'!$M$9+ROW()-ROW($A$27))),INDIRECT("BudgetDB!GZ"&amp;('الف-ب-ج'!$M$9+ROW()-ROW($A$27)))),"")</f>
        <v>0</v>
      </c>
      <c r="D41" s="246"/>
      <c r="E41" s="536" t="str">
        <f t="shared" si="15"/>
        <v>-</v>
      </c>
      <c r="F41" s="2201" t="str">
        <f t="shared" ca="1" si="16"/>
        <v>-</v>
      </c>
      <c r="G41" s="498">
        <f t="shared" ca="1" si="14"/>
        <v>500</v>
      </c>
      <c r="H41" s="212"/>
      <c r="I41" s="1360" t="str">
        <f t="shared" ca="1" si="17"/>
        <v>-</v>
      </c>
      <c r="J41" s="1081"/>
      <c r="K41" s="1081"/>
      <c r="L41" s="1423">
        <f t="shared" ca="1" si="18"/>
        <v>0</v>
      </c>
      <c r="M41" s="212" t="e">
        <f t="shared" ca="1" si="12"/>
        <v>#DIV/0!</v>
      </c>
      <c r="N41" s="5" t="e">
        <f t="shared" ca="1" si="13"/>
        <v>#DIV/0!</v>
      </c>
    </row>
    <row r="42" spans="1:14" s="79" customFormat="1" ht="20.100000000000001" customHeight="1">
      <c r="A42" s="963">
        <f ca="1">IF(ROW()-ROW($A$27)&lt;'الف-ب-ج'!$L$9,INDIRECT("BudgetDB!GX"&amp;('الف-ب-ج'!$M$9+ROW()-ROW($A$27))),"")</f>
        <v>0</v>
      </c>
      <c r="B42" s="2278"/>
      <c r="C42" s="1432" cm="1">
        <f t="array" aca="1" ref="C42" ca="1">IF(ROW()-ROW($A$27)&lt;'الف-ب-ج'!$L$9,IF(روکش!$F$9="سه ماهه",INDIRECT("BudgetDB!GY"&amp;('الف-ب-ج'!$M$9+ROW()-ROW($A$27))),INDIRECT("BudgetDB!GZ"&amp;('الف-ب-ج'!$M$9+ROW()-ROW($A$27)))),"")</f>
        <v>0</v>
      </c>
      <c r="D42" s="246"/>
      <c r="E42" s="536" t="str">
        <f t="shared" si="15"/>
        <v>-</v>
      </c>
      <c r="F42" s="2201" t="str">
        <f t="shared" ca="1" si="16"/>
        <v>-</v>
      </c>
      <c r="G42" s="498">
        <f t="shared" ca="1" si="14"/>
        <v>500</v>
      </c>
      <c r="H42" s="212"/>
      <c r="I42" s="1360" t="str">
        <f t="shared" ca="1" si="17"/>
        <v>-</v>
      </c>
      <c r="J42" s="1081"/>
      <c r="K42" s="1081"/>
      <c r="L42" s="1423">
        <f t="shared" ca="1" si="18"/>
        <v>0</v>
      </c>
      <c r="M42" s="212" t="e">
        <f t="shared" ca="1" si="12"/>
        <v>#DIV/0!</v>
      </c>
      <c r="N42" s="5" t="e">
        <f t="shared" ca="1" si="13"/>
        <v>#DIV/0!</v>
      </c>
    </row>
    <row r="43" spans="1:14" s="79" customFormat="1" ht="20.100000000000001" customHeight="1">
      <c r="A43" s="963">
        <f ca="1">IF(ROW()-ROW($A$27)&lt;'الف-ب-ج'!$L$9,INDIRECT("BudgetDB!GX"&amp;('الف-ب-ج'!$M$9+ROW()-ROW($A$27))),"")</f>
        <v>0</v>
      </c>
      <c r="B43" s="2278"/>
      <c r="C43" s="1432" cm="1">
        <f t="array" aca="1" ref="C43" ca="1">IF(ROW()-ROW($A$27)&lt;'الف-ب-ج'!$L$9,IF(روکش!$F$9="سه ماهه",INDIRECT("BudgetDB!GY"&amp;('الف-ب-ج'!$M$9+ROW()-ROW($A$27))),INDIRECT("BudgetDB!GZ"&amp;('الف-ب-ج'!$M$9+ROW()-ROW($A$27)))),"")</f>
        <v>0</v>
      </c>
      <c r="D43" s="246"/>
      <c r="E43" s="536" t="str">
        <f t="shared" si="15"/>
        <v>-</v>
      </c>
      <c r="F43" s="2201" t="str">
        <f t="shared" ca="1" si="16"/>
        <v>-</v>
      </c>
      <c r="G43" s="498">
        <f t="shared" ca="1" si="14"/>
        <v>500</v>
      </c>
      <c r="H43" s="212"/>
      <c r="I43" s="1360" t="str">
        <f t="shared" ca="1" si="17"/>
        <v>-</v>
      </c>
      <c r="J43" s="1081"/>
      <c r="K43" s="1081"/>
      <c r="L43" s="1423">
        <f t="shared" ca="1" si="18"/>
        <v>0</v>
      </c>
      <c r="M43" s="212" t="e">
        <f t="shared" ca="1" si="12"/>
        <v>#DIV/0!</v>
      </c>
      <c r="N43" s="5" t="e">
        <f t="shared" ca="1" si="13"/>
        <v>#DIV/0!</v>
      </c>
    </row>
    <row r="44" spans="1:14" s="79" customFormat="1" ht="20.100000000000001" customHeight="1">
      <c r="A44" s="963">
        <f ca="1">IF(ROW()-ROW($A$27)&lt;'الف-ب-ج'!$L$9,INDIRECT("BudgetDB!GX"&amp;('الف-ب-ج'!$M$9+ROW()-ROW($A$27))),"")</f>
        <v>0</v>
      </c>
      <c r="B44" s="2278"/>
      <c r="C44" s="1432" cm="1">
        <f t="array" aca="1" ref="C44" ca="1">IF(ROW()-ROW($A$27)&lt;'الف-ب-ج'!$L$9,IF(روکش!$F$9="سه ماهه",INDIRECT("BudgetDB!GY"&amp;('الف-ب-ج'!$M$9+ROW()-ROW($A$27))),INDIRECT("BudgetDB!GZ"&amp;('الف-ب-ج'!$M$9+ROW()-ROW($A$27)))),"")</f>
        <v>0</v>
      </c>
      <c r="D44" s="246"/>
      <c r="E44" s="536" t="str">
        <f t="shared" si="15"/>
        <v>-</v>
      </c>
      <c r="F44" s="2201" t="str">
        <f t="shared" ca="1" si="16"/>
        <v>-</v>
      </c>
      <c r="G44" s="498">
        <f t="shared" ca="1" si="14"/>
        <v>500</v>
      </c>
      <c r="H44" s="212"/>
      <c r="I44" s="1360" t="str">
        <f t="shared" ca="1" si="17"/>
        <v>-</v>
      </c>
      <c r="J44" s="1081"/>
      <c r="K44" s="1081"/>
      <c r="L44" s="1423">
        <f t="shared" ca="1" si="18"/>
        <v>0</v>
      </c>
      <c r="M44" s="212" t="e">
        <f t="shared" ca="1" si="12"/>
        <v>#DIV/0!</v>
      </c>
      <c r="N44" s="5" t="e">
        <f t="shared" ca="1" si="13"/>
        <v>#DIV/0!</v>
      </c>
    </row>
    <row r="45" spans="1:14" s="79" customFormat="1" ht="20.100000000000001" customHeight="1">
      <c r="A45" s="963">
        <f ca="1">IF(ROW()-ROW($A$27)&lt;'الف-ب-ج'!$L$9,INDIRECT("BudgetDB!GX"&amp;('الف-ب-ج'!$M$9+ROW()-ROW($A$27))),"")</f>
        <v>0</v>
      </c>
      <c r="B45" s="2278"/>
      <c r="C45" s="1432" cm="1">
        <f t="array" aca="1" ref="C45" ca="1">IF(ROW()-ROW($A$27)&lt;'الف-ب-ج'!$L$9,IF(روکش!$F$9="سه ماهه",INDIRECT("BudgetDB!GY"&amp;('الف-ب-ج'!$M$9+ROW()-ROW($A$27))),INDIRECT("BudgetDB!GZ"&amp;('الف-ب-ج'!$M$9+ROW()-ROW($A$27)))),"")</f>
        <v>0</v>
      </c>
      <c r="D45" s="246"/>
      <c r="E45" s="536" t="str">
        <f t="shared" si="15"/>
        <v>-</v>
      </c>
      <c r="F45" s="2201" t="str">
        <f t="shared" ca="1" si="16"/>
        <v>-</v>
      </c>
      <c r="G45" s="498">
        <f t="shared" ca="1" si="14"/>
        <v>500</v>
      </c>
      <c r="H45" s="212"/>
      <c r="I45" s="1360" t="str">
        <f t="shared" ca="1" si="17"/>
        <v>-</v>
      </c>
      <c r="J45" s="1081"/>
      <c r="K45" s="1081"/>
      <c r="L45" s="1423">
        <f t="shared" ca="1" si="18"/>
        <v>0</v>
      </c>
      <c r="M45" s="212" t="e">
        <f t="shared" ca="1" si="12"/>
        <v>#DIV/0!</v>
      </c>
      <c r="N45" s="5" t="e">
        <f t="shared" ca="1" si="13"/>
        <v>#DIV/0!</v>
      </c>
    </row>
    <row r="46" spans="1:14" s="79" customFormat="1" ht="20.100000000000001" customHeight="1">
      <c r="A46" s="963">
        <f ca="1">IF(ROW()-ROW($A$27)&lt;'الف-ب-ج'!$L$9,INDIRECT("BudgetDB!GX"&amp;('الف-ب-ج'!$M$9+ROW()-ROW($A$27))),"")</f>
        <v>0</v>
      </c>
      <c r="B46" s="2278"/>
      <c r="C46" s="1432" cm="1">
        <f t="array" aca="1" ref="C46" ca="1">IF(ROW()-ROW($A$27)&lt;'الف-ب-ج'!$L$9,IF(روکش!$F$9="سه ماهه",INDIRECT("BudgetDB!GY"&amp;('الف-ب-ج'!$M$9+ROW()-ROW($A$27))),INDIRECT("BudgetDB!GZ"&amp;('الف-ب-ج'!$M$9+ROW()-ROW($A$27)))),"")</f>
        <v>0</v>
      </c>
      <c r="D46" s="246"/>
      <c r="E46" s="536" t="str">
        <f t="shared" si="15"/>
        <v>-</v>
      </c>
      <c r="F46" s="2201" t="str">
        <f t="shared" ca="1" si="16"/>
        <v>-</v>
      </c>
      <c r="G46" s="498">
        <f t="shared" ca="1" si="14"/>
        <v>500</v>
      </c>
      <c r="H46" s="212"/>
      <c r="I46" s="1360" t="str">
        <f t="shared" ca="1" si="17"/>
        <v>-</v>
      </c>
      <c r="J46" s="1081"/>
      <c r="K46" s="1081"/>
      <c r="L46" s="1423">
        <f t="shared" ca="1" si="18"/>
        <v>0</v>
      </c>
      <c r="M46" s="212" t="e">
        <f t="shared" ca="1" si="12"/>
        <v>#DIV/0!</v>
      </c>
      <c r="N46" s="5" t="e">
        <f t="shared" ca="1" si="13"/>
        <v>#DIV/0!</v>
      </c>
    </row>
    <row r="47" spans="1:14" s="79" customFormat="1" ht="20.100000000000001" customHeight="1">
      <c r="A47" s="963">
        <f ca="1">IF(ROW()-ROW($A$27)&lt;'الف-ب-ج'!$L$9,INDIRECT("BudgetDB!GX"&amp;('الف-ب-ج'!$M$9+ROW()-ROW($A$27))),"")</f>
        <v>0</v>
      </c>
      <c r="B47" s="2278"/>
      <c r="C47" s="1432" cm="1">
        <f t="array" aca="1" ref="C47" ca="1">IF(ROW()-ROW($A$27)&lt;'الف-ب-ج'!$L$9,IF(روکش!$F$9="سه ماهه",INDIRECT("BudgetDB!GY"&amp;('الف-ب-ج'!$M$9+ROW()-ROW($A$27))),INDIRECT("BudgetDB!GZ"&amp;('الف-ب-ج'!$M$9+ROW()-ROW($A$27)))),"")</f>
        <v>0</v>
      </c>
      <c r="D47" s="246"/>
      <c r="E47" s="536" t="str">
        <f t="shared" si="15"/>
        <v>-</v>
      </c>
      <c r="F47" s="2201" t="str">
        <f t="shared" ca="1" si="16"/>
        <v>-</v>
      </c>
      <c r="G47" s="498">
        <f t="shared" ca="1" si="14"/>
        <v>500</v>
      </c>
      <c r="H47" s="212"/>
      <c r="I47" s="1360" t="str">
        <f t="shared" ca="1" si="17"/>
        <v>-</v>
      </c>
      <c r="J47" s="1081"/>
      <c r="K47" s="1081"/>
      <c r="L47" s="1423">
        <f t="shared" ca="1" si="18"/>
        <v>0</v>
      </c>
      <c r="M47" s="212" t="e">
        <f t="shared" ca="1" si="12"/>
        <v>#DIV/0!</v>
      </c>
      <c r="N47" s="5" t="e">
        <f t="shared" ca="1" si="13"/>
        <v>#DIV/0!</v>
      </c>
    </row>
    <row r="48" spans="1:14" s="79" customFormat="1" ht="20.100000000000001" customHeight="1">
      <c r="A48" s="963">
        <f ca="1">IF(ROW()-ROW($A$27)&lt;'الف-ب-ج'!$L$9,INDIRECT("BudgetDB!GX"&amp;('الف-ب-ج'!$M$9+ROW()-ROW($A$27))),"")</f>
        <v>0</v>
      </c>
      <c r="B48" s="2278"/>
      <c r="C48" s="1432" cm="1">
        <f t="array" aca="1" ref="C48" ca="1">IF(ROW()-ROW($A$27)&lt;'الف-ب-ج'!$L$9,IF(روکش!$F$9="سه ماهه",INDIRECT("BudgetDB!GY"&amp;('الف-ب-ج'!$M$9+ROW()-ROW($A$27))),INDIRECT("BudgetDB!GZ"&amp;('الف-ب-ج'!$M$9+ROW()-ROW($A$27)))),"")</f>
        <v>0</v>
      </c>
      <c r="D48" s="246"/>
      <c r="E48" s="536" t="str">
        <f t="shared" si="15"/>
        <v>-</v>
      </c>
      <c r="F48" s="2201" t="str">
        <f t="shared" ca="1" si="16"/>
        <v>-</v>
      </c>
      <c r="G48" s="498">
        <f t="shared" ca="1" si="14"/>
        <v>500</v>
      </c>
      <c r="H48" s="212"/>
      <c r="I48" s="1360" t="str">
        <f t="shared" ca="1" si="17"/>
        <v>-</v>
      </c>
      <c r="J48" s="1081"/>
      <c r="K48" s="1081"/>
      <c r="L48" s="1423">
        <f t="shared" ca="1" si="18"/>
        <v>0</v>
      </c>
      <c r="M48" s="212" t="e">
        <f t="shared" ca="1" si="12"/>
        <v>#DIV/0!</v>
      </c>
      <c r="N48" s="5" t="e">
        <f t="shared" ca="1" si="13"/>
        <v>#DIV/0!</v>
      </c>
    </row>
    <row r="49" spans="1:14" s="79" customFormat="1" ht="20.100000000000001" customHeight="1">
      <c r="A49" s="963">
        <f ca="1">IF(ROW()-ROW($A$27)&lt;'الف-ب-ج'!$L$9,INDIRECT("BudgetDB!GX"&amp;('الف-ب-ج'!$M$9+ROW()-ROW($A$27))),"")</f>
        <v>0</v>
      </c>
      <c r="B49" s="2278"/>
      <c r="C49" s="1432" cm="1">
        <f t="array" aca="1" ref="C49" ca="1">IF(ROW()-ROW($A$27)&lt;'الف-ب-ج'!$L$9,IF(روکش!$F$9="سه ماهه",INDIRECT("BudgetDB!GY"&amp;('الف-ب-ج'!$M$9+ROW()-ROW($A$27))),INDIRECT("BudgetDB!GZ"&amp;('الف-ب-ج'!$M$9+ROW()-ROW($A$27)))),"")</f>
        <v>0</v>
      </c>
      <c r="D49" s="246"/>
      <c r="E49" s="536" t="str">
        <f t="shared" si="15"/>
        <v>-</v>
      </c>
      <c r="F49" s="2201" t="str">
        <f t="shared" ca="1" si="16"/>
        <v>-</v>
      </c>
      <c r="G49" s="498">
        <f t="shared" ca="1" si="14"/>
        <v>500</v>
      </c>
      <c r="H49" s="212"/>
      <c r="I49" s="1360" t="str">
        <f t="shared" ca="1" si="17"/>
        <v>-</v>
      </c>
      <c r="J49" s="1081"/>
      <c r="K49" s="1081"/>
      <c r="L49" s="1423">
        <f t="shared" ca="1" si="18"/>
        <v>0</v>
      </c>
      <c r="M49" s="212" t="e">
        <f t="shared" ca="1" si="12"/>
        <v>#DIV/0!</v>
      </c>
      <c r="N49" s="5" t="e">
        <f t="shared" ca="1" si="13"/>
        <v>#DIV/0!</v>
      </c>
    </row>
    <row r="50" spans="1:14" s="79" customFormat="1" ht="20.100000000000001" customHeight="1">
      <c r="A50" s="496">
        <f ca="1">IF(ROW()-ROW($A$27)&lt;'الف-ب-ج'!$L$9,INDIRECT("BudgetDB!GX"&amp;('الف-ب-ج'!$M$9+ROW()-ROW($A$27))),"")</f>
        <v>0</v>
      </c>
      <c r="B50" s="2278"/>
      <c r="C50" s="1432" cm="1">
        <f t="array" aca="1" ref="C50" ca="1">IF(ROW()-ROW($A$27)&lt;'الف-ب-ج'!$L$9,IF(روکش!$F$9="سه ماهه",INDIRECT("BudgetDB!GY"&amp;('الف-ب-ج'!$M$9+ROW()-ROW($A$27))),INDIRECT("BudgetDB!GZ"&amp;('الف-ب-ج'!$M$9+ROW()-ROW($A$27)))),"")</f>
        <v>0</v>
      </c>
      <c r="D50" s="246"/>
      <c r="E50" s="536" t="str">
        <f t="shared" si="15"/>
        <v>-</v>
      </c>
      <c r="F50" s="2201" t="str">
        <f t="shared" ca="1" si="16"/>
        <v>-</v>
      </c>
      <c r="G50" s="498">
        <f t="shared" ca="1" si="14"/>
        <v>500</v>
      </c>
      <c r="H50" s="212"/>
      <c r="I50" s="1360" t="str">
        <f t="shared" ca="1" si="17"/>
        <v>-</v>
      </c>
      <c r="J50" s="1081"/>
      <c r="K50" s="1081"/>
      <c r="L50" s="1423">
        <f t="shared" ca="1" si="18"/>
        <v>0</v>
      </c>
      <c r="M50" s="212" t="e">
        <f t="shared" ca="1" si="12"/>
        <v>#DIV/0!</v>
      </c>
      <c r="N50" s="5" t="e">
        <f t="shared" ca="1" si="13"/>
        <v>#DIV/0!</v>
      </c>
    </row>
    <row r="51" spans="1:14" s="79" customFormat="1" ht="20.100000000000001" customHeight="1">
      <c r="A51" s="496">
        <f ca="1">IF(ROW()-ROW($A$27)&lt;'الف-ب-ج'!$L$9,INDIRECT("BudgetDB!GX"&amp;('الف-ب-ج'!$M$9+ROW()-ROW($A$27))),"")</f>
        <v>0</v>
      </c>
      <c r="B51" s="2278"/>
      <c r="C51" s="1432" cm="1">
        <f t="array" aca="1" ref="C51" ca="1">IF(ROW()-ROW($A$27)&lt;'الف-ب-ج'!$L$9,IF(روکش!$F$9="سه ماهه",INDIRECT("BudgetDB!GY"&amp;('الف-ب-ج'!$M$9+ROW()-ROW($A$27))),INDIRECT("BudgetDB!GZ"&amp;('الف-ب-ج'!$M$9+ROW()-ROW($A$27)))),"")</f>
        <v>0</v>
      </c>
      <c r="D51" s="246"/>
      <c r="E51" s="536" t="str">
        <f t="shared" si="15"/>
        <v>-</v>
      </c>
      <c r="F51" s="2201" t="str">
        <f t="shared" ca="1" si="16"/>
        <v>-</v>
      </c>
      <c r="G51" s="498">
        <f t="shared" ca="1" si="14"/>
        <v>500</v>
      </c>
      <c r="H51" s="212"/>
      <c r="I51" s="1360" t="str">
        <f t="shared" ca="1" si="17"/>
        <v>-</v>
      </c>
      <c r="J51" s="1081"/>
      <c r="K51" s="1081"/>
      <c r="L51" s="1423">
        <f t="shared" ca="1" si="18"/>
        <v>0</v>
      </c>
      <c r="M51" s="212" t="e">
        <f t="shared" ca="1" si="12"/>
        <v>#DIV/0!</v>
      </c>
      <c r="N51" s="5" t="e">
        <f t="shared" ca="1" si="13"/>
        <v>#DIV/0!</v>
      </c>
    </row>
    <row r="52" spans="1:14" s="79" customFormat="1" ht="20.100000000000001" customHeight="1">
      <c r="A52" s="496">
        <f ca="1">IF(ROW()-ROW($A$27)&lt;'الف-ب-ج'!$L$9,INDIRECT("BudgetDB!GX"&amp;('الف-ب-ج'!$M$9+ROW()-ROW($A$27))),"")</f>
        <v>0</v>
      </c>
      <c r="B52" s="2278"/>
      <c r="C52" s="1432" cm="1">
        <f t="array" aca="1" ref="C52" ca="1">IF(ROW()-ROW($A$27)&lt;'الف-ب-ج'!$L$9,IF(روکش!$F$9="سه ماهه",INDIRECT("BudgetDB!GY"&amp;('الف-ب-ج'!$M$9+ROW()-ROW($A$27))),INDIRECT("BudgetDB!GZ"&amp;('الف-ب-ج'!$M$9+ROW()-ROW($A$27)))),"")</f>
        <v>0</v>
      </c>
      <c r="D52" s="246"/>
      <c r="E52" s="536" t="str">
        <f t="shared" si="15"/>
        <v>-</v>
      </c>
      <c r="F52" s="2201" t="str">
        <f t="shared" ca="1" si="16"/>
        <v>-</v>
      </c>
      <c r="G52" s="498">
        <f t="shared" ca="1" si="14"/>
        <v>500</v>
      </c>
      <c r="H52" s="212"/>
      <c r="I52" s="1360" t="str">
        <f t="shared" ca="1" si="17"/>
        <v>-</v>
      </c>
      <c r="J52" s="1081"/>
      <c r="K52" s="1081"/>
      <c r="L52" s="1423">
        <f t="shared" ca="1" si="18"/>
        <v>0</v>
      </c>
      <c r="M52" s="212" t="e">
        <f t="shared" ca="1" si="12"/>
        <v>#DIV/0!</v>
      </c>
      <c r="N52" s="5" t="e">
        <f t="shared" ca="1" si="13"/>
        <v>#DIV/0!</v>
      </c>
    </row>
    <row r="53" spans="1:14" s="79" customFormat="1" ht="20.100000000000001" customHeight="1">
      <c r="A53" s="496">
        <f ca="1">IF(ROW()-ROW($A$27)&lt;'الف-ب-ج'!$L$9,INDIRECT("BudgetDB!GX"&amp;('الف-ب-ج'!$M$9+ROW()-ROW($A$27))),"")</f>
        <v>0</v>
      </c>
      <c r="B53" s="2278"/>
      <c r="C53" s="1432" cm="1">
        <f t="array" aca="1" ref="C53" ca="1">IF(ROW()-ROW($A$27)&lt;'الف-ب-ج'!$L$9,IF(روکش!$F$9="سه ماهه",INDIRECT("BudgetDB!GY"&amp;('الف-ب-ج'!$M$9+ROW()-ROW($A$27))),INDIRECT("BudgetDB!GZ"&amp;('الف-ب-ج'!$M$9+ROW()-ROW($A$27)))),"")</f>
        <v>0</v>
      </c>
      <c r="D53" s="246"/>
      <c r="E53" s="536" t="str">
        <f t="shared" si="15"/>
        <v>-</v>
      </c>
      <c r="F53" s="2201" t="str">
        <f t="shared" ca="1" si="16"/>
        <v>-</v>
      </c>
      <c r="G53" s="498">
        <f t="shared" ca="1" si="14"/>
        <v>500</v>
      </c>
      <c r="H53" s="212"/>
      <c r="I53" s="1360" t="str">
        <f t="shared" ca="1" si="17"/>
        <v>-</v>
      </c>
      <c r="J53" s="1081"/>
      <c r="K53" s="1081"/>
      <c r="L53" s="1423">
        <f t="shared" ca="1" si="18"/>
        <v>0</v>
      </c>
      <c r="M53" s="212" t="e">
        <f t="shared" ca="1" si="12"/>
        <v>#DIV/0!</v>
      </c>
      <c r="N53" s="5" t="e">
        <f t="shared" ca="1" si="13"/>
        <v>#DIV/0!</v>
      </c>
    </row>
    <row r="54" spans="1:14" ht="20.100000000000001" customHeight="1" thickBot="1">
      <c r="A54" s="496">
        <f ca="1">IF(ROW()-ROW($A$27)&lt;'الف-ب-ج'!$L$9,INDIRECT("BudgetDB!GX"&amp;('الف-ب-ج'!$M$9+ROW()-ROW($A$27))),"")</f>
        <v>0</v>
      </c>
      <c r="B54" s="2278"/>
      <c r="C54" s="1432" cm="1">
        <f t="array" aca="1" ref="C54" ca="1">IF(ROW()-ROW($A$27)&lt;'الف-ب-ج'!$L$9,IF(روکش!$F$9="سه ماهه",INDIRECT("BudgetDB!GY"&amp;('الف-ب-ج'!$M$9+ROW()-ROW($A$27))),INDIRECT("BudgetDB!GZ"&amp;('الف-ب-ج'!$M$9+ROW()-ROW($A$27)))),"")</f>
        <v>0</v>
      </c>
      <c r="D54" s="246"/>
      <c r="E54" s="536" t="str">
        <f t="shared" si="15"/>
        <v>-</v>
      </c>
      <c r="F54" s="2201" t="str">
        <f t="shared" ca="1" si="16"/>
        <v>-</v>
      </c>
      <c r="G54" s="498">
        <f t="shared" ca="1" si="14"/>
        <v>500</v>
      </c>
      <c r="I54" s="1360" t="str">
        <f t="shared" ca="1" si="17"/>
        <v>-</v>
      </c>
      <c r="L54" s="1423">
        <f t="shared" ca="1" si="18"/>
        <v>0</v>
      </c>
      <c r="M54" s="212" t="e">
        <f t="shared" ca="1" si="12"/>
        <v>#DIV/0!</v>
      </c>
      <c r="N54" s="5" t="e">
        <f t="shared" ca="1" si="13"/>
        <v>#DIV/0!</v>
      </c>
    </row>
    <row r="55" spans="1:14" ht="21.75" thickBot="1">
      <c r="A55" s="492" t="s">
        <v>1437</v>
      </c>
      <c r="B55" s="2279">
        <f>SUM(B27:B54)</f>
        <v>0</v>
      </c>
      <c r="C55" s="1430">
        <f ca="1">SUM(C27:C54)</f>
        <v>0</v>
      </c>
      <c r="D55" s="494">
        <f>SUM(D27:D54)</f>
        <v>0</v>
      </c>
      <c r="E55" s="537" t="str">
        <f t="shared" si="0"/>
        <v>-</v>
      </c>
      <c r="F55" s="2204" t="str">
        <f t="shared" ca="1" si="1"/>
        <v>-</v>
      </c>
      <c r="G55" s="2205">
        <f t="shared" ca="1" si="14"/>
        <v>500</v>
      </c>
      <c r="I55" s="1360" t="s">
        <v>206</v>
      </c>
      <c r="L55" s="1423" t="s">
        <v>206</v>
      </c>
    </row>
    <row r="56" spans="1:14" ht="21.75" thickBot="1">
      <c r="A56" s="492" t="s">
        <v>438</v>
      </c>
      <c r="B56" s="2279">
        <f>B26+B55</f>
        <v>0</v>
      </c>
      <c r="C56" s="1430">
        <f ca="1">C26+C55</f>
        <v>0</v>
      </c>
      <c r="D56" s="494">
        <f>D26+D55</f>
        <v>0</v>
      </c>
      <c r="E56" s="537" t="str">
        <f t="shared" si="0"/>
        <v>-</v>
      </c>
      <c r="F56" s="2204" t="str">
        <f t="shared" ca="1" si="1"/>
        <v>-</v>
      </c>
      <c r="G56" s="2205">
        <f t="shared" ca="1" si="14"/>
        <v>500</v>
      </c>
      <c r="I56" s="1360" t="s">
        <v>206</v>
      </c>
      <c r="L56" s="1423" t="s">
        <v>206</v>
      </c>
    </row>
    <row r="57" spans="1:14" ht="21.75" thickBot="1">
      <c r="A57" s="495" t="s">
        <v>1555</v>
      </c>
      <c r="B57" s="2280"/>
      <c r="C57" s="1432" cm="1">
        <f t="array" aca="1" ref="C57" ca="1">IF(روکش!$F$9="سه ماهه",INDIRECT("BudgetDB!HA"&amp;('الف-ب-ج'!$M$9+ROW()-ROW($A$57))),INDIRECT("BudgetDB!HB"&amp;('الف-ب-ج'!$M$9+ROW()-ROW($A$57))))</f>
        <v>0</v>
      </c>
      <c r="D57" s="250"/>
      <c r="E57" s="537" t="str">
        <f t="shared" si="0"/>
        <v>-</v>
      </c>
      <c r="F57" s="2204" t="str">
        <f t="shared" ca="1" si="1"/>
        <v>-</v>
      </c>
      <c r="G57" s="2205">
        <f t="shared" ca="1" si="14"/>
        <v>500</v>
      </c>
      <c r="I57" s="1360" t="str">
        <f t="shared" ca="1" si="4"/>
        <v>-</v>
      </c>
      <c r="L57" s="1423" t="s">
        <v>206</v>
      </c>
    </row>
    <row r="58" spans="1:14" ht="21.75" thickBot="1">
      <c r="A58" s="492" t="s">
        <v>436</v>
      </c>
      <c r="B58" s="2279">
        <f>B56+B57</f>
        <v>0</v>
      </c>
      <c r="C58" s="1430">
        <f ca="1">C56+C57</f>
        <v>0</v>
      </c>
      <c r="D58" s="494">
        <f>D56+D57</f>
        <v>0</v>
      </c>
      <c r="E58" s="537" t="str">
        <f t="shared" si="0"/>
        <v>-</v>
      </c>
      <c r="F58" s="2204" t="str">
        <f t="shared" ca="1" si="1"/>
        <v>-</v>
      </c>
      <c r="G58" s="2205">
        <f t="shared" ca="1" si="14"/>
        <v>500</v>
      </c>
      <c r="I58" s="1360" t="s">
        <v>206</v>
      </c>
      <c r="L58" s="1423" t="s">
        <v>206</v>
      </c>
    </row>
    <row r="59" spans="1:14" ht="10.5" customHeight="1">
      <c r="A59" s="2906"/>
      <c r="B59" s="2906"/>
      <c r="C59" s="2906"/>
      <c r="D59" s="857"/>
      <c r="E59" s="857"/>
      <c r="F59" s="857"/>
      <c r="I59" s="1360" t="s">
        <v>206</v>
      </c>
      <c r="L59" s="1423">
        <f>B59+C59+D59</f>
        <v>0</v>
      </c>
    </row>
    <row r="60" spans="1:14" s="79" customFormat="1" ht="5.25" customHeight="1">
      <c r="A60" s="5"/>
      <c r="B60" s="5"/>
      <c r="C60" s="5"/>
      <c r="D60" s="5"/>
      <c r="E60" s="5"/>
      <c r="F60" s="5"/>
      <c r="H60" s="212"/>
      <c r="I60" s="1081"/>
      <c r="J60" s="1081"/>
      <c r="K60" s="1081"/>
      <c r="L60" s="1423" t="s">
        <v>206</v>
      </c>
      <c r="M60" s="212"/>
    </row>
    <row r="61" spans="1:14" s="79" customFormat="1" ht="21">
      <c r="A61" s="8"/>
      <c r="B61" s="2752"/>
      <c r="C61" s="2752"/>
      <c r="D61" s="5"/>
      <c r="E61" s="8"/>
      <c r="F61" s="5"/>
      <c r="H61" s="212"/>
      <c r="I61" s="1081"/>
      <c r="J61" s="1081"/>
      <c r="K61" s="1081"/>
      <c r="L61" s="1423" t="s">
        <v>206</v>
      </c>
      <c r="M61" s="212"/>
    </row>
    <row r="62" spans="1:14" s="79" customFormat="1">
      <c r="A62" s="5"/>
      <c r="B62" s="5"/>
      <c r="C62" s="5"/>
      <c r="D62" s="5"/>
      <c r="E62" s="5"/>
      <c r="F62" s="5"/>
      <c r="H62" s="212"/>
      <c r="I62" s="1081"/>
      <c r="J62" s="1081"/>
      <c r="K62" s="1081"/>
      <c r="L62" s="1423" t="s">
        <v>206</v>
      </c>
      <c r="M62" s="212"/>
    </row>
    <row r="63" spans="1:14" s="79" customFormat="1">
      <c r="A63" s="5"/>
      <c r="B63" s="5"/>
      <c r="C63" s="5"/>
      <c r="D63" s="5"/>
      <c r="E63" s="5"/>
      <c r="F63" s="5"/>
      <c r="H63" s="212"/>
      <c r="I63" s="1081"/>
      <c r="J63" s="1081"/>
      <c r="K63" s="1081"/>
      <c r="L63" s="1423" t="s">
        <v>206</v>
      </c>
      <c r="M63" s="212"/>
    </row>
    <row r="64" spans="1:14" s="79" customFormat="1">
      <c r="A64" s="5"/>
      <c r="B64" s="5"/>
      <c r="C64" s="5"/>
      <c r="D64" s="5"/>
      <c r="E64" s="5"/>
      <c r="F64" s="5"/>
      <c r="H64" s="212"/>
      <c r="I64" s="1081"/>
      <c r="J64" s="1081"/>
      <c r="K64" s="1081"/>
      <c r="L64" s="1423" t="s">
        <v>206</v>
      </c>
      <c r="M64" s="212"/>
    </row>
    <row r="65" spans="1:13" s="79" customFormat="1">
      <c r="A65" s="5"/>
      <c r="B65" s="5"/>
      <c r="C65" s="5"/>
      <c r="D65" s="5"/>
      <c r="E65" s="5"/>
      <c r="F65" s="5"/>
      <c r="H65" s="212"/>
      <c r="I65" s="1081"/>
      <c r="J65" s="1081"/>
      <c r="K65" s="1081"/>
      <c r="L65" s="1423" t="s">
        <v>206</v>
      </c>
      <c r="M65" s="212"/>
    </row>
    <row r="66" spans="1:13" s="79" customFormat="1">
      <c r="A66" s="5"/>
      <c r="B66" s="5"/>
      <c r="C66" s="5"/>
      <c r="D66" s="5"/>
      <c r="E66" s="5"/>
      <c r="F66" s="5"/>
      <c r="H66" s="212"/>
      <c r="I66" s="1081"/>
      <c r="J66" s="1081"/>
      <c r="K66" s="1081"/>
      <c r="L66" s="1423" t="s">
        <v>206</v>
      </c>
      <c r="M66" s="212"/>
    </row>
    <row r="67" spans="1:13" s="79" customFormat="1">
      <c r="A67" s="5"/>
      <c r="B67" s="5"/>
      <c r="C67" s="5"/>
      <c r="D67" s="5"/>
      <c r="E67" s="5"/>
      <c r="F67" s="5"/>
      <c r="H67" s="212"/>
      <c r="I67" s="1081"/>
      <c r="J67" s="1081"/>
      <c r="K67" s="1081"/>
      <c r="L67" s="1423" t="s">
        <v>206</v>
      </c>
      <c r="M67" s="212"/>
    </row>
    <row r="68" spans="1:13" s="79" customFormat="1">
      <c r="A68" s="5"/>
      <c r="B68" s="5"/>
      <c r="C68" s="5"/>
      <c r="D68" s="5"/>
      <c r="E68" s="5"/>
      <c r="F68" s="5"/>
      <c r="H68" s="212"/>
      <c r="I68" s="1081"/>
      <c r="J68" s="1081"/>
      <c r="K68" s="1081"/>
      <c r="L68" s="1423" t="s">
        <v>206</v>
      </c>
      <c r="M68" s="212"/>
    </row>
    <row r="69" spans="1:13" s="79" customFormat="1">
      <c r="A69" s="5"/>
      <c r="B69" s="5"/>
      <c r="C69" s="5"/>
      <c r="D69" s="5"/>
      <c r="E69" s="5"/>
      <c r="F69" s="5"/>
      <c r="H69" s="212"/>
      <c r="I69" s="1081"/>
      <c r="J69" s="1081"/>
      <c r="K69" s="1081"/>
      <c r="L69" s="1423" t="s">
        <v>206</v>
      </c>
      <c r="M69" s="212"/>
    </row>
    <row r="70" spans="1:13" s="79" customFormat="1">
      <c r="A70" s="5"/>
      <c r="B70" s="5"/>
      <c r="C70" s="5"/>
      <c r="D70" s="5"/>
      <c r="E70" s="5"/>
      <c r="F70" s="5"/>
      <c r="H70" s="212"/>
      <c r="I70" s="1081"/>
      <c r="J70" s="1081"/>
      <c r="K70" s="1081"/>
      <c r="L70" s="1423" t="s">
        <v>206</v>
      </c>
      <c r="M70" s="212"/>
    </row>
    <row r="71" spans="1:13" s="79" customFormat="1">
      <c r="A71" s="5"/>
      <c r="B71" s="5"/>
      <c r="C71" s="5"/>
      <c r="D71" s="5"/>
      <c r="E71" s="5"/>
      <c r="F71" s="5"/>
      <c r="H71" s="212"/>
      <c r="I71" s="1081"/>
      <c r="J71" s="1081"/>
      <c r="K71" s="1081"/>
      <c r="L71" s="1423" t="s">
        <v>206</v>
      </c>
      <c r="M71" s="212"/>
    </row>
    <row r="72" spans="1:13">
      <c r="L72" s="1423" t="s">
        <v>206</v>
      </c>
    </row>
    <row r="73" spans="1:13">
      <c r="L73" s="1423" t="s">
        <v>206</v>
      </c>
    </row>
    <row r="74" spans="1:13">
      <c r="L74" s="1423" t="s">
        <v>206</v>
      </c>
    </row>
    <row r="75" spans="1:13">
      <c r="L75" s="1423" t="s">
        <v>206</v>
      </c>
    </row>
    <row r="76" spans="1:13">
      <c r="L76" s="1423" t="s">
        <v>206</v>
      </c>
    </row>
    <row r="77" spans="1:13">
      <c r="L77" s="1423" t="s">
        <v>206</v>
      </c>
    </row>
    <row r="78" spans="1:13">
      <c r="L78" s="1423" t="s">
        <v>206</v>
      </c>
    </row>
    <row r="79" spans="1:13">
      <c r="L79" s="1423" t="s">
        <v>206</v>
      </c>
    </row>
    <row r="80" spans="1:13">
      <c r="L80" s="1423" t="s">
        <v>206</v>
      </c>
    </row>
    <row r="81" spans="12:12">
      <c r="L81" s="1423" t="s">
        <v>206</v>
      </c>
    </row>
    <row r="82" spans="12:12">
      <c r="L82" s="1423" t="s">
        <v>206</v>
      </c>
    </row>
    <row r="83" spans="12:12">
      <c r="L83" s="1423" t="s">
        <v>206</v>
      </c>
    </row>
    <row r="84" spans="12:12">
      <c r="L84" s="1423" t="s">
        <v>206</v>
      </c>
    </row>
    <row r="85" spans="12:12">
      <c r="L85" s="1423" t="s">
        <v>206</v>
      </c>
    </row>
    <row r="86" spans="12:12">
      <c r="L86" s="1423" t="s">
        <v>206</v>
      </c>
    </row>
  </sheetData>
  <mergeCells count="6">
    <mergeCell ref="A1:G1"/>
    <mergeCell ref="A4:A5"/>
    <mergeCell ref="B4:B5"/>
    <mergeCell ref="A59:C59"/>
    <mergeCell ref="B61:C61"/>
    <mergeCell ref="F5:G5"/>
  </mergeCells>
  <conditionalFormatting sqref="A6:A54">
    <cfRule type="expression" dxfId="325" priority="1">
      <formula>AND($A6=0,OR($B6&lt;&gt;0,$D6&lt;&gt;0))</formula>
    </cfRule>
    <cfRule type="expression" dxfId="324" priority="7">
      <formula>AND($A6=0,OR($B6&lt;&gt;0,$D6&lt;&gt;0))</formula>
    </cfRule>
  </conditionalFormatting>
  <conditionalFormatting sqref="G6:G58">
    <cfRule type="iconSet" priority="6">
      <iconSet iconSet="3Symbols" showValue="0" reverse="1">
        <cfvo type="percent" val="0"/>
        <cfvo type="num" val="10" gte="0"/>
        <cfvo type="num" val="40"/>
      </iconSet>
    </cfRule>
  </conditionalFormatting>
  <conditionalFormatting sqref="D6:D54">
    <cfRule type="expression" dxfId="323" priority="4">
      <formula>$N6=TRUE</formula>
    </cfRule>
  </conditionalFormatting>
  <conditionalFormatting sqref="B6:B54">
    <cfRule type="expression" dxfId="322" priority="2">
      <formula>$M6=TRUE</formula>
    </cfRule>
  </conditionalFormatting>
  <printOptions horizontalCentered="1"/>
  <pageMargins left="0.59055118110236227" right="0.59055118110236227" top="0.19685039370078741" bottom="0.78740157480314965" header="0.19685039370078741" footer="0.19685039370078741"/>
  <pageSetup paperSize="9" scale="6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5" id="{E30E0184-5791-4DBB-BB99-22804EB9BAA8}">
            <x14:iconSet iconSet="3Symbols" custom="1">
              <x14:cfvo type="percent">
                <xm:f>0</xm:f>
              </x14:cfvo>
              <x14:cfvo type="num">
                <xm:f>0</xm:f>
              </x14:cfvo>
              <x14:cfvo type="num">
                <xm:f>0</xm:f>
              </x14:cfvo>
              <x14:cfIcon iconSet="3Symbols" iconId="1"/>
              <x14:cfIcon iconSet="3Symbols" iconId="1"/>
              <x14:cfIcon iconSet="NoIcons" iconId="0"/>
            </x14:iconSet>
          </x14:cfRule>
          <xm:sqref>E6:E58</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55">
    <tabColor rgb="FFFFA07A"/>
    <pageSetUpPr fitToPage="1"/>
  </sheetPr>
  <dimension ref="A1:O33"/>
  <sheetViews>
    <sheetView rightToLeft="1" view="pageBreakPreview" zoomScale="60" zoomScaleNormal="100" workbookViewId="0">
      <selection activeCell="D20" sqref="D20"/>
    </sheetView>
  </sheetViews>
  <sheetFormatPr defaultColWidth="9" defaultRowHeight="17.25"/>
  <cols>
    <col min="1" max="1" width="40.5703125" style="42" customWidth="1"/>
    <col min="2" max="15" width="12.5703125" style="42" customWidth="1"/>
    <col min="16" max="16384" width="9" style="42"/>
  </cols>
  <sheetData>
    <row r="1" spans="1:15" s="5"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row>
    <row r="2" spans="1:15" s="5" customFormat="1" ht="28.5" customHeight="1">
      <c r="A2" s="1206" t="str">
        <f>"گزارش تغییرات وضعیت دارایی ثابت مشهود و نامشهود آزادراه در دوره " &amp; روکش!F9 &amp; " سال " &amp; روکش!D9</f>
        <v>گزارش تغییرات وضعیت دارایی ثابت مشهود و نامشهود آزادراه در دوره شش ماهه سال 1405</v>
      </c>
      <c r="B2" s="1206"/>
      <c r="C2" s="1206"/>
      <c r="D2" s="1206"/>
      <c r="E2" s="1206"/>
      <c r="F2" s="1206"/>
      <c r="G2" s="1206"/>
      <c r="H2" s="1206"/>
      <c r="I2" s="1206"/>
      <c r="J2" s="1206"/>
      <c r="K2" s="1206"/>
      <c r="L2" s="1203"/>
      <c r="M2" s="1203"/>
      <c r="N2" s="1203"/>
      <c r="O2" s="1203"/>
    </row>
    <row r="3" spans="1:15" ht="21" customHeight="1" thickBot="1">
      <c r="A3" s="3088"/>
      <c r="B3" s="3088"/>
      <c r="C3" s="3168"/>
      <c r="D3" s="3168"/>
      <c r="E3" s="3169"/>
      <c r="F3" s="3169"/>
      <c r="G3" s="3169"/>
      <c r="H3" s="3169"/>
      <c r="I3" s="580"/>
      <c r="J3" s="581"/>
      <c r="K3" s="567"/>
      <c r="L3" s="516"/>
      <c r="M3" s="516"/>
      <c r="N3" s="516"/>
      <c r="O3" s="1208" t="s">
        <v>30</v>
      </c>
    </row>
    <row r="4" spans="1:15" ht="25.5" customHeight="1">
      <c r="A4" s="3170" t="s">
        <v>76</v>
      </c>
      <c r="B4" s="2979" t="s">
        <v>194</v>
      </c>
      <c r="C4" s="1222" t="s">
        <v>769</v>
      </c>
      <c r="D4" s="1223"/>
      <c r="E4" s="1223"/>
      <c r="F4" s="1223"/>
      <c r="G4" s="1223"/>
      <c r="H4" s="1764"/>
      <c r="I4" s="1222" t="s">
        <v>770</v>
      </c>
      <c r="J4" s="1223"/>
      <c r="K4" s="1223"/>
      <c r="L4" s="1223"/>
      <c r="M4" s="1223"/>
      <c r="N4" s="1764"/>
      <c r="O4" s="2907" t="s">
        <v>718</v>
      </c>
    </row>
    <row r="5" spans="1:15" ht="20.25" customHeight="1">
      <c r="A5" s="3171"/>
      <c r="B5" s="3173"/>
      <c r="C5" s="3175" t="s">
        <v>315</v>
      </c>
      <c r="D5" s="3176"/>
      <c r="E5" s="3177" t="s">
        <v>79</v>
      </c>
      <c r="F5" s="3176"/>
      <c r="G5" s="3178" t="s">
        <v>1934</v>
      </c>
      <c r="H5" s="3179"/>
      <c r="I5" s="3177" t="s">
        <v>315</v>
      </c>
      <c r="J5" s="3176"/>
      <c r="K5" s="3177" t="s">
        <v>79</v>
      </c>
      <c r="L5" s="3176"/>
      <c r="M5" s="3178" t="s">
        <v>1934</v>
      </c>
      <c r="N5" s="3179"/>
      <c r="O5" s="3174"/>
    </row>
    <row r="6" spans="1:15" ht="22.5" customHeight="1">
      <c r="A6" s="3171"/>
      <c r="B6" s="3173"/>
      <c r="C6" s="3178" t="s">
        <v>77</v>
      </c>
      <c r="D6" s="3182" t="s">
        <v>23</v>
      </c>
      <c r="E6" s="3175" t="s">
        <v>77</v>
      </c>
      <c r="F6" s="3176" t="s">
        <v>32</v>
      </c>
      <c r="G6" s="3178"/>
      <c r="H6" s="3179"/>
      <c r="I6" s="3186" t="s">
        <v>77</v>
      </c>
      <c r="J6" s="3182" t="s">
        <v>23</v>
      </c>
      <c r="K6" s="3175" t="s">
        <v>77</v>
      </c>
      <c r="L6" s="3176" t="s">
        <v>32</v>
      </c>
      <c r="M6" s="3178"/>
      <c r="N6" s="3179"/>
      <c r="O6" s="3174"/>
    </row>
    <row r="7" spans="1:15" ht="21.75" thickBot="1">
      <c r="A7" s="3172"/>
      <c r="B7" s="2876"/>
      <c r="C7" s="3181"/>
      <c r="D7" s="3183"/>
      <c r="E7" s="3184"/>
      <c r="F7" s="3185"/>
      <c r="G7" s="713" t="s">
        <v>78</v>
      </c>
      <c r="H7" s="1765" t="s">
        <v>79</v>
      </c>
      <c r="I7" s="3187"/>
      <c r="J7" s="3183"/>
      <c r="K7" s="3184"/>
      <c r="L7" s="3185"/>
      <c r="M7" s="713" t="s">
        <v>78</v>
      </c>
      <c r="N7" s="1765" t="s">
        <v>79</v>
      </c>
      <c r="O7" s="2908"/>
    </row>
    <row r="8" spans="1:15" ht="24.95" customHeight="1">
      <c r="A8" s="2281">
        <f ca="1">IF(ROW()-ROW($A$8)&lt;'الف-ب-ج'!$L$9,INDIRECT("BudgetDB!KJ"&amp;('الف-ب-ج'!$M$9+ROW()-ROW($A$8))),"")</f>
        <v>0</v>
      </c>
      <c r="B8" s="1761"/>
      <c r="C8" s="1782">
        <f ca="1">IF(ROW()-ROW($A$8)&lt;'الف-ب-ج'!$L$9,INDIRECT("BudgetDB!KK"&amp;('الف-ب-ج'!$M$9+ROW()-ROW($A$8))),"")</f>
        <v>0</v>
      </c>
      <c r="D8" s="1783">
        <f ca="1">IF(ROW()-ROW($A$8)&lt;'الف-ب-ج'!$L$9,INDIRECT("BudgetDB!KL"&amp;('الف-ب-ج'!$M$9+ROW()-ROW($A$8))),"")</f>
        <v>0</v>
      </c>
      <c r="E8" s="1782">
        <f ca="1">IF(ROW()-ROW($A$8)&lt;'الف-ب-ج'!$L$9,INDIRECT("BudgetDB!KM"&amp;('الف-ب-ج'!$M$9+ROW()-ROW($A$8))),"")</f>
        <v>0</v>
      </c>
      <c r="F8" s="1783">
        <f ca="1">IF(ROW()-ROW($A$8)&lt;'الف-ب-ج'!$L$9,INDIRECT("BudgetDB!KN"&amp;('الف-ب-ج'!$M$9+ROW()-ROW($A$8))),"")</f>
        <v>0</v>
      </c>
      <c r="G8" s="1782">
        <f ca="1">IF(ROW()-ROW($A$8)&lt;'الف-ب-ج'!$L$9,INDIRECT("BudgetDB!KO"&amp;('الف-ب-ج'!$M$9+ROW()-ROW($A$8))),"")</f>
        <v>0</v>
      </c>
      <c r="H8" s="1784">
        <f ca="1">IF(ROW()-ROW($A$8)&lt;'الف-ب-ج'!$L$9,INDIRECT("BudgetDB!KP"&amp;('الف-ب-ج'!$M$9+ROW()-ROW($A$8))),"")</f>
        <v>0</v>
      </c>
      <c r="I8" s="190"/>
      <c r="J8" s="189"/>
      <c r="K8" s="188"/>
      <c r="L8" s="189"/>
      <c r="M8" s="188"/>
      <c r="N8" s="268"/>
      <c r="O8" s="1766">
        <f>B8+I8-K8+M8-N8</f>
        <v>0</v>
      </c>
    </row>
    <row r="9" spans="1:15" ht="24.95" customHeight="1">
      <c r="A9" s="2281">
        <f ca="1">IF(ROW()-ROW($A$8)&lt;'الف-ب-ج'!$L$9,INDIRECT("BudgetDB!KJ"&amp;('الف-ب-ج'!$M$9+ROW()-ROW($A$8))),"")</f>
        <v>0</v>
      </c>
      <c r="B9" s="1762"/>
      <c r="C9" s="1785">
        <f ca="1">IF(ROW()-ROW($A$8)&lt;'الف-ب-ج'!$L$9,INDIRECT("BudgetDB!KK"&amp;('الف-ب-ج'!$M$9+ROW()-ROW($A$8))),"")</f>
        <v>0</v>
      </c>
      <c r="D9" s="1786">
        <f ca="1">IF(ROW()-ROW($A$8)&lt;'الف-ب-ج'!$L$9,INDIRECT("BudgetDB!KL"&amp;('الف-ب-ج'!$M$9+ROW()-ROW($A$8))),"")</f>
        <v>0</v>
      </c>
      <c r="E9" s="1785">
        <f ca="1">IF(ROW()-ROW($A$8)&lt;'الف-ب-ج'!$L$9,INDIRECT("BudgetDB!KM"&amp;('الف-ب-ج'!$M$9+ROW()-ROW($A$8))),"")</f>
        <v>0</v>
      </c>
      <c r="F9" s="1786">
        <f ca="1">IF(ROW()-ROW($A$8)&lt;'الف-ب-ج'!$L$9,INDIRECT("BudgetDB!KN"&amp;('الف-ب-ج'!$M$9+ROW()-ROW($A$8))),"")</f>
        <v>0</v>
      </c>
      <c r="G9" s="1785">
        <f ca="1">IF(ROW()-ROW($A$8)&lt;'الف-ب-ج'!$L$9,INDIRECT("BudgetDB!KO"&amp;('الف-ب-ج'!$M$9+ROW()-ROW($A$8))),"")</f>
        <v>0</v>
      </c>
      <c r="H9" s="1787">
        <f ca="1">IF(ROW()-ROW($A$8)&lt;'الف-ب-ج'!$L$9,INDIRECT("BudgetDB!KP"&amp;('الف-ب-ج'!$M$9+ROW()-ROW($A$8))),"")</f>
        <v>0</v>
      </c>
      <c r="I9" s="193"/>
      <c r="J9" s="192"/>
      <c r="K9" s="191"/>
      <c r="L9" s="192"/>
      <c r="M9" s="191"/>
      <c r="N9" s="269"/>
      <c r="O9" s="514">
        <f>B9+I9-K9+M9-N9</f>
        <v>0</v>
      </c>
    </row>
    <row r="10" spans="1:15" ht="24.95" customHeight="1">
      <c r="A10" s="2281">
        <f ca="1">IF(ROW()-ROW($A$8)&lt;'الف-ب-ج'!$L$9,INDIRECT("BudgetDB!KJ"&amp;('الف-ب-ج'!$M$9+ROW()-ROW($A$8))),"")</f>
        <v>0</v>
      </c>
      <c r="B10" s="1762"/>
      <c r="C10" s="1785">
        <f ca="1">IF(ROW()-ROW($A$8)&lt;'الف-ب-ج'!$L$9,INDIRECT("BudgetDB!KK"&amp;('الف-ب-ج'!$M$9+ROW()-ROW($A$8))),"")</f>
        <v>0</v>
      </c>
      <c r="D10" s="1786">
        <f ca="1">IF(ROW()-ROW($A$8)&lt;'الف-ب-ج'!$L$9,INDIRECT("BudgetDB!KL"&amp;('الف-ب-ج'!$M$9+ROW()-ROW($A$8))),"")</f>
        <v>0</v>
      </c>
      <c r="E10" s="1785">
        <f ca="1">IF(ROW()-ROW($A$8)&lt;'الف-ب-ج'!$L$9,INDIRECT("BudgetDB!KM"&amp;('الف-ب-ج'!$M$9+ROW()-ROW($A$8))),"")</f>
        <v>0</v>
      </c>
      <c r="F10" s="1788">
        <f ca="1">IF(ROW()-ROW($A$8)&lt;'الف-ب-ج'!$L$9,INDIRECT("BudgetDB!KN"&amp;('الف-ب-ج'!$M$9+ROW()-ROW($A$8))),"")</f>
        <v>0</v>
      </c>
      <c r="G10" s="1785">
        <f ca="1">IF(ROW()-ROW($A$8)&lt;'الف-ب-ج'!$L$9,INDIRECT("BudgetDB!KO"&amp;('الف-ب-ج'!$M$9+ROW()-ROW($A$8))),"")</f>
        <v>0</v>
      </c>
      <c r="H10" s="1787">
        <f ca="1">IF(ROW()-ROW($A$8)&lt;'الف-ب-ج'!$L$9,INDIRECT("BudgetDB!KP"&amp;('الف-ب-ج'!$M$9+ROW()-ROW($A$8))),"")</f>
        <v>0</v>
      </c>
      <c r="I10" s="193"/>
      <c r="J10" s="192"/>
      <c r="K10" s="191"/>
      <c r="L10" s="192"/>
      <c r="M10" s="191"/>
      <c r="N10" s="269"/>
      <c r="O10" s="514">
        <f>B10+I10-K10+M10-N10</f>
        <v>0</v>
      </c>
    </row>
    <row r="11" spans="1:15" ht="24.95" customHeight="1">
      <c r="A11" s="2281">
        <f ca="1">IF(ROW()-ROW($A$8)&lt;'الف-ب-ج'!$L$9,INDIRECT("BudgetDB!KJ"&amp;('الف-ب-ج'!$M$9+ROW()-ROW($A$8))),"")</f>
        <v>0</v>
      </c>
      <c r="B11" s="1762"/>
      <c r="C11" s="1785">
        <f ca="1">IF(ROW()-ROW($A$8)&lt;'الف-ب-ج'!$L$9,INDIRECT("BudgetDB!KK"&amp;('الف-ب-ج'!$M$9+ROW()-ROW($A$8))),"")</f>
        <v>0</v>
      </c>
      <c r="D11" s="1786">
        <f ca="1">IF(ROW()-ROW($A$8)&lt;'الف-ب-ج'!$L$9,INDIRECT("BudgetDB!KL"&amp;('الف-ب-ج'!$M$9+ROW()-ROW($A$8))),"")</f>
        <v>0</v>
      </c>
      <c r="E11" s="1785">
        <f ca="1">IF(ROW()-ROW($A$8)&lt;'الف-ب-ج'!$L$9,INDIRECT("BudgetDB!KM"&amp;('الف-ب-ج'!$M$9+ROW()-ROW($A$8))),"")</f>
        <v>0</v>
      </c>
      <c r="F11" s="1788">
        <f ca="1">IF(ROW()-ROW($A$8)&lt;'الف-ب-ج'!$L$9,INDIRECT("BudgetDB!KN"&amp;('الف-ب-ج'!$M$9+ROW()-ROW($A$8))),"")</f>
        <v>0</v>
      </c>
      <c r="G11" s="1785">
        <f ca="1">IF(ROW()-ROW($A$8)&lt;'الف-ب-ج'!$L$9,INDIRECT("BudgetDB!KO"&amp;('الف-ب-ج'!$M$9+ROW()-ROW($A$8))),"")</f>
        <v>0</v>
      </c>
      <c r="H11" s="1787">
        <f ca="1">IF(ROW()-ROW($A$8)&lt;'الف-ب-ج'!$L$9,INDIRECT("BudgetDB!KP"&amp;('الف-ب-ج'!$M$9+ROW()-ROW($A$8))),"")</f>
        <v>0</v>
      </c>
      <c r="I11" s="193"/>
      <c r="J11" s="192"/>
      <c r="K11" s="191"/>
      <c r="L11" s="192"/>
      <c r="M11" s="191"/>
      <c r="N11" s="269"/>
      <c r="O11" s="514">
        <f>B11+I11-K11+M11-N11</f>
        <v>0</v>
      </c>
    </row>
    <row r="12" spans="1:15" ht="24.95" customHeight="1">
      <c r="A12" s="2281">
        <f ca="1">IF(ROW()-ROW($A$8)&lt;'الف-ب-ج'!$L$9,INDIRECT("BudgetDB!KJ"&amp;('الف-ب-ج'!$M$9+ROW()-ROW($A$8))),"")</f>
        <v>0</v>
      </c>
      <c r="B12" s="1762"/>
      <c r="C12" s="1785">
        <f ca="1">IF(ROW()-ROW($A$8)&lt;'الف-ب-ج'!$L$9,INDIRECT("BudgetDB!KK"&amp;('الف-ب-ج'!$M$9+ROW()-ROW($A$8))),"")</f>
        <v>0</v>
      </c>
      <c r="D12" s="1786">
        <f ca="1">IF(ROW()-ROW($A$8)&lt;'الف-ب-ج'!$L$9,INDIRECT("BudgetDB!KL"&amp;('الف-ب-ج'!$M$9+ROW()-ROW($A$8))),"")</f>
        <v>0</v>
      </c>
      <c r="E12" s="1785">
        <f ca="1">IF(ROW()-ROW($A$8)&lt;'الف-ب-ج'!$L$9,INDIRECT("BudgetDB!KM"&amp;('الف-ب-ج'!$M$9+ROW()-ROW($A$8))),"")</f>
        <v>0</v>
      </c>
      <c r="F12" s="1788">
        <f ca="1">IF(ROW()-ROW($A$8)&lt;'الف-ب-ج'!$L$9,INDIRECT("BudgetDB!KN"&amp;('الف-ب-ج'!$M$9+ROW()-ROW($A$8))),"")</f>
        <v>0</v>
      </c>
      <c r="G12" s="1785">
        <f ca="1">IF(ROW()-ROW($A$8)&lt;'الف-ب-ج'!$L$9,INDIRECT("BudgetDB!KO"&amp;('الف-ب-ج'!$M$9+ROW()-ROW($A$8))),"")</f>
        <v>0</v>
      </c>
      <c r="H12" s="1787">
        <f ca="1">IF(ROW()-ROW($A$8)&lt;'الف-ب-ج'!$L$9,INDIRECT("BudgetDB!KP"&amp;('الف-ب-ج'!$M$9+ROW()-ROW($A$8))),"")</f>
        <v>0</v>
      </c>
      <c r="I12" s="193"/>
      <c r="J12" s="192"/>
      <c r="K12" s="191"/>
      <c r="L12" s="192"/>
      <c r="M12" s="191"/>
      <c r="N12" s="269"/>
      <c r="O12" s="514">
        <f t="shared" ref="O12:O22" si="0">B12+I12-K12+M12-N12</f>
        <v>0</v>
      </c>
    </row>
    <row r="13" spans="1:15" ht="24.95" customHeight="1">
      <c r="A13" s="2281">
        <f ca="1">IF(ROW()-ROW($A$8)&lt;'الف-ب-ج'!$L$9,INDIRECT("BudgetDB!KJ"&amp;('الف-ب-ج'!$M$9+ROW()-ROW($A$8))),"")</f>
        <v>0</v>
      </c>
      <c r="B13" s="1762"/>
      <c r="C13" s="1785">
        <f ca="1">IF(ROW()-ROW($A$8)&lt;'الف-ب-ج'!$L$9,INDIRECT("BudgetDB!KK"&amp;('الف-ب-ج'!$M$9+ROW()-ROW($A$8))),"")</f>
        <v>0</v>
      </c>
      <c r="D13" s="1786">
        <f ca="1">IF(ROW()-ROW($A$8)&lt;'الف-ب-ج'!$L$9,INDIRECT("BudgetDB!KL"&amp;('الف-ب-ج'!$M$9+ROW()-ROW($A$8))),"")</f>
        <v>0</v>
      </c>
      <c r="E13" s="1785">
        <f ca="1">IF(ROW()-ROW($A$8)&lt;'الف-ب-ج'!$L$9,INDIRECT("BudgetDB!KM"&amp;('الف-ب-ج'!$M$9+ROW()-ROW($A$8))),"")</f>
        <v>0</v>
      </c>
      <c r="F13" s="1786">
        <f ca="1">IF(ROW()-ROW($A$8)&lt;'الف-ب-ج'!$L$9,INDIRECT("BudgetDB!KN"&amp;('الف-ب-ج'!$M$9+ROW()-ROW($A$8))),"")</f>
        <v>0</v>
      </c>
      <c r="G13" s="1785">
        <f ca="1">IF(ROW()-ROW($A$8)&lt;'الف-ب-ج'!$L$9,INDIRECT("BudgetDB!KO"&amp;('الف-ب-ج'!$M$9+ROW()-ROW($A$8))),"")</f>
        <v>0</v>
      </c>
      <c r="H13" s="1787">
        <f ca="1">IF(ROW()-ROW($A$8)&lt;'الف-ب-ج'!$L$9,INDIRECT("BudgetDB!KP"&amp;('الف-ب-ج'!$M$9+ROW()-ROW($A$8))),"")</f>
        <v>0</v>
      </c>
      <c r="I13" s="193"/>
      <c r="J13" s="192"/>
      <c r="K13" s="191"/>
      <c r="L13" s="192"/>
      <c r="M13" s="191"/>
      <c r="N13" s="269"/>
      <c r="O13" s="514">
        <f t="shared" si="0"/>
        <v>0</v>
      </c>
    </row>
    <row r="14" spans="1:15" ht="24.95" customHeight="1">
      <c r="A14" s="2281">
        <f ca="1">IF(ROW()-ROW($A$8)&lt;'الف-ب-ج'!$L$9,INDIRECT("BudgetDB!KJ"&amp;('الف-ب-ج'!$M$9+ROW()-ROW($A$8))),"")</f>
        <v>0</v>
      </c>
      <c r="B14" s="1762"/>
      <c r="C14" s="1785">
        <f ca="1">IF(ROW()-ROW($A$8)&lt;'الف-ب-ج'!$L$9,INDIRECT("BudgetDB!KK"&amp;('الف-ب-ج'!$M$9+ROW()-ROW($A$8))),"")</f>
        <v>0</v>
      </c>
      <c r="D14" s="1786">
        <f ca="1">IF(ROW()-ROW($A$8)&lt;'الف-ب-ج'!$L$9,INDIRECT("BudgetDB!KL"&amp;('الف-ب-ج'!$M$9+ROW()-ROW($A$8))),"")</f>
        <v>0</v>
      </c>
      <c r="E14" s="1785">
        <f ca="1">IF(ROW()-ROW($A$8)&lt;'الف-ب-ج'!$L$9,INDIRECT("BudgetDB!KM"&amp;('الف-ب-ج'!$M$9+ROW()-ROW($A$8))),"")</f>
        <v>0</v>
      </c>
      <c r="F14" s="1786">
        <f ca="1">IF(ROW()-ROW($A$8)&lt;'الف-ب-ج'!$L$9,INDIRECT("BudgetDB!KN"&amp;('الف-ب-ج'!$M$9+ROW()-ROW($A$8))),"")</f>
        <v>0</v>
      </c>
      <c r="G14" s="1785">
        <f ca="1">IF(ROW()-ROW($A$8)&lt;'الف-ب-ج'!$L$9,INDIRECT("BudgetDB!KO"&amp;('الف-ب-ج'!$M$9+ROW()-ROW($A$8))),"")</f>
        <v>0</v>
      </c>
      <c r="H14" s="1787">
        <f ca="1">IF(ROW()-ROW($A$8)&lt;'الف-ب-ج'!$L$9,INDIRECT("BudgetDB!KP"&amp;('الف-ب-ج'!$M$9+ROW()-ROW($A$8))),"")</f>
        <v>0</v>
      </c>
      <c r="I14" s="193"/>
      <c r="J14" s="192"/>
      <c r="K14" s="191"/>
      <c r="L14" s="192"/>
      <c r="M14" s="191"/>
      <c r="N14" s="269"/>
      <c r="O14" s="514">
        <f t="shared" si="0"/>
        <v>0</v>
      </c>
    </row>
    <row r="15" spans="1:15" ht="24.95" customHeight="1">
      <c r="A15" s="2281">
        <f ca="1">IF(ROW()-ROW($A$8)&lt;'الف-ب-ج'!$L$9,INDIRECT("BudgetDB!KJ"&amp;('الف-ب-ج'!$M$9+ROW()-ROW($A$8))),"")</f>
        <v>0</v>
      </c>
      <c r="B15" s="1762"/>
      <c r="C15" s="1785">
        <f ca="1">IF(ROW()-ROW($A$8)&lt;'الف-ب-ج'!$L$9,INDIRECT("BudgetDB!KK"&amp;('الف-ب-ج'!$M$9+ROW()-ROW($A$8))),"")</f>
        <v>0</v>
      </c>
      <c r="D15" s="1786">
        <f ca="1">IF(ROW()-ROW($A$8)&lt;'الف-ب-ج'!$L$9,INDIRECT("BudgetDB!KL"&amp;('الف-ب-ج'!$M$9+ROW()-ROW($A$8))),"")</f>
        <v>0</v>
      </c>
      <c r="E15" s="1785">
        <f ca="1">IF(ROW()-ROW($A$8)&lt;'الف-ب-ج'!$L$9,INDIRECT("BudgetDB!KM"&amp;('الف-ب-ج'!$M$9+ROW()-ROW($A$8))),"")</f>
        <v>0</v>
      </c>
      <c r="F15" s="1786">
        <f ca="1">IF(ROW()-ROW($A$8)&lt;'الف-ب-ج'!$L$9,INDIRECT("BudgetDB!KN"&amp;('الف-ب-ج'!$M$9+ROW()-ROW($A$8))),"")</f>
        <v>0</v>
      </c>
      <c r="G15" s="1785">
        <f ca="1">IF(ROW()-ROW($A$8)&lt;'الف-ب-ج'!$L$9,INDIRECT("BudgetDB!KO"&amp;('الف-ب-ج'!$M$9+ROW()-ROW($A$8))),"")</f>
        <v>0</v>
      </c>
      <c r="H15" s="1787">
        <f ca="1">IF(ROW()-ROW($A$8)&lt;'الف-ب-ج'!$L$9,INDIRECT("BudgetDB!KP"&amp;('الف-ب-ج'!$M$9+ROW()-ROW($A$8))),"")</f>
        <v>0</v>
      </c>
      <c r="I15" s="193"/>
      <c r="J15" s="192"/>
      <c r="K15" s="191"/>
      <c r="L15" s="192"/>
      <c r="M15" s="191"/>
      <c r="N15" s="269"/>
      <c r="O15" s="514">
        <f t="shared" si="0"/>
        <v>0</v>
      </c>
    </row>
    <row r="16" spans="1:15" ht="24.95" customHeight="1">
      <c r="A16" s="2281">
        <f ca="1">IF(ROW()-ROW($A$8)&lt;'الف-ب-ج'!$L$9,INDIRECT("BudgetDB!KJ"&amp;('الف-ب-ج'!$M$9+ROW()-ROW($A$8))),"")</f>
        <v>0</v>
      </c>
      <c r="B16" s="1762"/>
      <c r="C16" s="1785">
        <f ca="1">IF(ROW()-ROW($A$8)&lt;'الف-ب-ج'!$L$9,INDIRECT("BudgetDB!KK"&amp;('الف-ب-ج'!$M$9+ROW()-ROW($A$8))),"")</f>
        <v>0</v>
      </c>
      <c r="D16" s="1786">
        <f ca="1">IF(ROW()-ROW($A$8)&lt;'الف-ب-ج'!$L$9,INDIRECT("BudgetDB!KL"&amp;('الف-ب-ج'!$M$9+ROW()-ROW($A$8))),"")</f>
        <v>0</v>
      </c>
      <c r="E16" s="1785">
        <f ca="1">IF(ROW()-ROW($A$8)&lt;'الف-ب-ج'!$L$9,INDIRECT("BudgetDB!KM"&amp;('الف-ب-ج'!$M$9+ROW()-ROW($A$8))),"")</f>
        <v>0</v>
      </c>
      <c r="F16" s="1786">
        <f ca="1">IF(ROW()-ROW($A$8)&lt;'الف-ب-ج'!$L$9,INDIRECT("BudgetDB!KN"&amp;('الف-ب-ج'!$M$9+ROW()-ROW($A$8))),"")</f>
        <v>0</v>
      </c>
      <c r="G16" s="1785">
        <f ca="1">IF(ROW()-ROW($A$8)&lt;'الف-ب-ج'!$L$9,INDIRECT("BudgetDB!KO"&amp;('الف-ب-ج'!$M$9+ROW()-ROW($A$8))),"")</f>
        <v>0</v>
      </c>
      <c r="H16" s="1787">
        <f ca="1">IF(ROW()-ROW($A$8)&lt;'الف-ب-ج'!$L$9,INDIRECT("BudgetDB!KP"&amp;('الف-ب-ج'!$M$9+ROW()-ROW($A$8))),"")</f>
        <v>0</v>
      </c>
      <c r="I16" s="193"/>
      <c r="J16" s="192"/>
      <c r="K16" s="191"/>
      <c r="L16" s="192"/>
      <c r="M16" s="191"/>
      <c r="N16" s="269"/>
      <c r="O16" s="514">
        <f t="shared" si="0"/>
        <v>0</v>
      </c>
    </row>
    <row r="17" spans="1:15" ht="24.95" customHeight="1">
      <c r="A17" s="2281">
        <f ca="1">IF(ROW()-ROW($A$8)&lt;'الف-ب-ج'!$L$9,INDIRECT("BudgetDB!KJ"&amp;('الف-ب-ج'!$M$9+ROW()-ROW($A$8))),"")</f>
        <v>0</v>
      </c>
      <c r="B17" s="1763"/>
      <c r="C17" s="1789">
        <f ca="1">IF(ROW()-ROW($A$8)&lt;'الف-ب-ج'!$L$9,INDIRECT("BudgetDB!KK"&amp;('الف-ب-ج'!$M$9+ROW()-ROW($A$8))),"")</f>
        <v>0</v>
      </c>
      <c r="D17" s="1790">
        <f ca="1">IF(ROW()-ROW($A$8)&lt;'الف-ب-ج'!$L$9,INDIRECT("BudgetDB!KL"&amp;('الف-ب-ج'!$M$9+ROW()-ROW($A$8))),"")</f>
        <v>0</v>
      </c>
      <c r="E17" s="1789">
        <f ca="1">IF(ROW()-ROW($A$8)&lt;'الف-ب-ج'!$L$9,INDIRECT("BudgetDB!KM"&amp;('الف-ب-ج'!$M$9+ROW()-ROW($A$8))),"")</f>
        <v>0</v>
      </c>
      <c r="F17" s="1790">
        <f ca="1">IF(ROW()-ROW($A$8)&lt;'الف-ب-ج'!$L$9,INDIRECT("BudgetDB!KN"&amp;('الف-ب-ج'!$M$9+ROW()-ROW($A$8))),"")</f>
        <v>0</v>
      </c>
      <c r="G17" s="1789">
        <f ca="1">IF(ROW()-ROW($A$8)&lt;'الف-ب-ج'!$L$9,INDIRECT("BudgetDB!KO"&amp;('الف-ب-ج'!$M$9+ROW()-ROW($A$8))),"")</f>
        <v>0</v>
      </c>
      <c r="H17" s="1791">
        <f ca="1">IF(ROW()-ROW($A$8)&lt;'الف-ب-ج'!$L$9,INDIRECT("BudgetDB!KP"&amp;('الف-ب-ج'!$M$9+ROW()-ROW($A$8))),"")</f>
        <v>0</v>
      </c>
      <c r="I17" s="196"/>
      <c r="J17" s="195"/>
      <c r="K17" s="194"/>
      <c r="L17" s="195"/>
      <c r="M17" s="194"/>
      <c r="N17" s="270"/>
      <c r="O17" s="514">
        <f t="shared" si="0"/>
        <v>0</v>
      </c>
    </row>
    <row r="18" spans="1:15" ht="24.95" customHeight="1">
      <c r="A18" s="2281">
        <f ca="1">IF(ROW()-ROW($A$8)&lt;'الف-ب-ج'!$L$9,INDIRECT("BudgetDB!KJ"&amp;('الف-ب-ج'!$M$9+ROW()-ROW($A$8))),"")</f>
        <v>0</v>
      </c>
      <c r="B18" s="1763"/>
      <c r="C18" s="1789">
        <f ca="1">IF(ROW()-ROW($A$8)&lt;'الف-ب-ج'!$L$9,INDIRECT("BudgetDB!KK"&amp;('الف-ب-ج'!$M$9+ROW()-ROW($A$8))),"")</f>
        <v>0</v>
      </c>
      <c r="D18" s="1790">
        <f ca="1">IF(ROW()-ROW($A$8)&lt;'الف-ب-ج'!$L$9,INDIRECT("BudgetDB!KL"&amp;('الف-ب-ج'!$M$9+ROW()-ROW($A$8))),"")</f>
        <v>0</v>
      </c>
      <c r="E18" s="1789">
        <f ca="1">IF(ROW()-ROW($A$8)&lt;'الف-ب-ج'!$L$9,INDIRECT("BudgetDB!KM"&amp;('الف-ب-ج'!$M$9+ROW()-ROW($A$8))),"")</f>
        <v>0</v>
      </c>
      <c r="F18" s="1790">
        <f ca="1">IF(ROW()-ROW($A$8)&lt;'الف-ب-ج'!$L$9,INDIRECT("BudgetDB!KN"&amp;('الف-ب-ج'!$M$9+ROW()-ROW($A$8))),"")</f>
        <v>0</v>
      </c>
      <c r="G18" s="1789">
        <f ca="1">IF(ROW()-ROW($A$8)&lt;'الف-ب-ج'!$L$9,INDIRECT("BudgetDB!KO"&amp;('الف-ب-ج'!$M$9+ROW()-ROW($A$8))),"")</f>
        <v>0</v>
      </c>
      <c r="H18" s="1791">
        <f ca="1">IF(ROW()-ROW($A$8)&lt;'الف-ب-ج'!$L$9,INDIRECT("BudgetDB!KP"&amp;('الف-ب-ج'!$M$9+ROW()-ROW($A$8))),"")</f>
        <v>0</v>
      </c>
      <c r="I18" s="196"/>
      <c r="J18" s="195"/>
      <c r="K18" s="194"/>
      <c r="L18" s="195"/>
      <c r="M18" s="194"/>
      <c r="N18" s="270"/>
      <c r="O18" s="514">
        <f t="shared" si="0"/>
        <v>0</v>
      </c>
    </row>
    <row r="19" spans="1:15" ht="24.95" customHeight="1">
      <c r="A19" s="2282">
        <f ca="1">IF(ROW()-ROW($A$8)&lt;'الف-ب-ج'!$L$9,INDIRECT("BudgetDB!KJ"&amp;('الف-ب-ج'!$M$9+ROW()-ROW($A$8))),"")</f>
        <v>0</v>
      </c>
      <c r="B19" s="1763"/>
      <c r="C19" s="1789">
        <f ca="1">IF(ROW()-ROW($A$8)&lt;'الف-ب-ج'!$L$9,INDIRECT("BudgetDB!KK"&amp;('الف-ب-ج'!$M$9+ROW()-ROW($A$8))),"")</f>
        <v>0</v>
      </c>
      <c r="D19" s="1790">
        <f ca="1">IF(ROW()-ROW($A$8)&lt;'الف-ب-ج'!$L$9,INDIRECT("BudgetDB!KL"&amp;('الف-ب-ج'!$M$9+ROW()-ROW($A$8))),"")</f>
        <v>0</v>
      </c>
      <c r="E19" s="1789">
        <f ca="1">IF(ROW()-ROW($A$8)&lt;'الف-ب-ج'!$L$9,INDIRECT("BudgetDB!KM"&amp;('الف-ب-ج'!$M$9+ROW()-ROW($A$8))),"")</f>
        <v>0</v>
      </c>
      <c r="F19" s="1790">
        <f ca="1">IF(ROW()-ROW($A$8)&lt;'الف-ب-ج'!$L$9,INDIRECT("BudgetDB!KN"&amp;('الف-ب-ج'!$M$9+ROW()-ROW($A$8))),"")</f>
        <v>0</v>
      </c>
      <c r="G19" s="1789">
        <f ca="1">IF(ROW()-ROW($A$8)&lt;'الف-ب-ج'!$L$9,INDIRECT("BudgetDB!KO"&amp;('الف-ب-ج'!$M$9+ROW()-ROW($A$8))),"")</f>
        <v>0</v>
      </c>
      <c r="H19" s="1791">
        <f ca="1">IF(ROW()-ROW($A$8)&lt;'الف-ب-ج'!$L$9,INDIRECT("BudgetDB!KP"&amp;('الف-ب-ج'!$M$9+ROW()-ROW($A$8))),"")</f>
        <v>0</v>
      </c>
      <c r="I19" s="196"/>
      <c r="J19" s="195"/>
      <c r="K19" s="194"/>
      <c r="L19" s="195"/>
      <c r="M19" s="194"/>
      <c r="N19" s="270"/>
      <c r="O19" s="514">
        <f t="shared" si="0"/>
        <v>0</v>
      </c>
    </row>
    <row r="20" spans="1:15" ht="24.95" customHeight="1">
      <c r="A20" s="2282">
        <f ca="1">IF(ROW()-ROW($A$8)&lt;'الف-ب-ج'!$L$9,INDIRECT("BudgetDB!KJ"&amp;('الف-ب-ج'!$M$9+ROW()-ROW($A$8))),"")</f>
        <v>0</v>
      </c>
      <c r="B20" s="1763"/>
      <c r="C20" s="1789">
        <f ca="1">IF(ROW()-ROW($A$8)&lt;'الف-ب-ج'!$L$9,INDIRECT("BudgetDB!KK"&amp;('الف-ب-ج'!$M$9+ROW()-ROW($A$8))),"")</f>
        <v>0</v>
      </c>
      <c r="D20" s="1790">
        <f ca="1">IF(ROW()-ROW($A$8)&lt;'الف-ب-ج'!$L$9,INDIRECT("BudgetDB!KL"&amp;('الف-ب-ج'!$M$9+ROW()-ROW($A$8))),"")</f>
        <v>0</v>
      </c>
      <c r="E20" s="1789">
        <f ca="1">IF(ROW()-ROW($A$8)&lt;'الف-ب-ج'!$L$9,INDIRECT("BudgetDB!KM"&amp;('الف-ب-ج'!$M$9+ROW()-ROW($A$8))),"")</f>
        <v>0</v>
      </c>
      <c r="F20" s="1790">
        <f ca="1">IF(ROW()-ROW($A$8)&lt;'الف-ب-ج'!$L$9,INDIRECT("BudgetDB!KN"&amp;('الف-ب-ج'!$M$9+ROW()-ROW($A$8))),"")</f>
        <v>0</v>
      </c>
      <c r="G20" s="1789">
        <f ca="1">IF(ROW()-ROW($A$8)&lt;'الف-ب-ج'!$L$9,INDIRECT("BudgetDB!KO"&amp;('الف-ب-ج'!$M$9+ROW()-ROW($A$8))),"")</f>
        <v>0</v>
      </c>
      <c r="H20" s="1791">
        <f ca="1">IF(ROW()-ROW($A$8)&lt;'الف-ب-ج'!$L$9,INDIRECT("BudgetDB!KP"&amp;('الف-ب-ج'!$M$9+ROW()-ROW($A$8))),"")</f>
        <v>0</v>
      </c>
      <c r="I20" s="196"/>
      <c r="J20" s="195"/>
      <c r="K20" s="194"/>
      <c r="L20" s="195"/>
      <c r="M20" s="194"/>
      <c r="N20" s="270"/>
      <c r="O20" s="514">
        <f t="shared" si="0"/>
        <v>0</v>
      </c>
    </row>
    <row r="21" spans="1:15" ht="24.95" customHeight="1" thickBot="1">
      <c r="A21" s="2282">
        <f ca="1">IF(ROW()-ROW($A$8)&lt;'الف-ب-ج'!$L$9,INDIRECT("BudgetDB!KJ"&amp;('الف-ب-ج'!$M$9+ROW()-ROW($A$8))),"")</f>
        <v>0</v>
      </c>
      <c r="B21" s="1763"/>
      <c r="C21" s="1789">
        <f ca="1">IF(ROW()-ROW($A$8)&lt;'الف-ب-ج'!$L$9,INDIRECT("BudgetDB!KK"&amp;('الف-ب-ج'!$M$9+ROW()-ROW($A$8))),"")</f>
        <v>0</v>
      </c>
      <c r="D21" s="1790">
        <f ca="1">IF(ROW()-ROW($A$8)&lt;'الف-ب-ج'!$L$9,INDIRECT("BudgetDB!KL"&amp;('الف-ب-ج'!$M$9+ROW()-ROW($A$8))),"")</f>
        <v>0</v>
      </c>
      <c r="E21" s="1789">
        <f ca="1">IF(ROW()-ROW($A$8)&lt;'الف-ب-ج'!$L$9,INDIRECT("BudgetDB!KM"&amp;('الف-ب-ج'!$M$9+ROW()-ROW($A$8))),"")</f>
        <v>0</v>
      </c>
      <c r="F21" s="1790">
        <f ca="1">IF(ROW()-ROW($A$8)&lt;'الف-ب-ج'!$L$9,INDIRECT("BudgetDB!KN"&amp;('الف-ب-ج'!$M$9+ROW()-ROW($A$8))),"")</f>
        <v>0</v>
      </c>
      <c r="G21" s="1789">
        <f ca="1">IF(ROW()-ROW($A$8)&lt;'الف-ب-ج'!$L$9,INDIRECT("BudgetDB!KO"&amp;('الف-ب-ج'!$M$9+ROW()-ROW($A$8))),"")</f>
        <v>0</v>
      </c>
      <c r="H21" s="1791">
        <f ca="1">IF(ROW()-ROW($A$8)&lt;'الف-ب-ج'!$L$9,INDIRECT("BudgetDB!KP"&amp;('الف-ب-ج'!$M$9+ROW()-ROW($A$8))),"")</f>
        <v>0</v>
      </c>
      <c r="I21" s="196"/>
      <c r="J21" s="195"/>
      <c r="K21" s="194"/>
      <c r="L21" s="195"/>
      <c r="M21" s="194"/>
      <c r="N21" s="270"/>
      <c r="O21" s="515">
        <f t="shared" si="0"/>
        <v>0</v>
      </c>
    </row>
    <row r="22" spans="1:15" ht="24.95" customHeight="1">
      <c r="A22" s="2283" t="s">
        <v>1494</v>
      </c>
      <c r="B22" s="1768">
        <f>SUM(B8:B21)</f>
        <v>0</v>
      </c>
      <c r="C22" s="1769">
        <f t="shared" ref="C22:N22" ca="1" si="1">SUM(C8:C21)</f>
        <v>0</v>
      </c>
      <c r="D22" s="1770">
        <f t="shared" ca="1" si="1"/>
        <v>0</v>
      </c>
      <c r="E22" s="1769">
        <f t="shared" ca="1" si="1"/>
        <v>0</v>
      </c>
      <c r="F22" s="1770">
        <f t="shared" ca="1" si="1"/>
        <v>0</v>
      </c>
      <c r="G22" s="1769">
        <f t="shared" ca="1" si="1"/>
        <v>0</v>
      </c>
      <c r="H22" s="1771">
        <f t="shared" ca="1" si="1"/>
        <v>0</v>
      </c>
      <c r="I22" s="1772">
        <f t="shared" si="1"/>
        <v>0</v>
      </c>
      <c r="J22" s="1770">
        <f t="shared" si="1"/>
        <v>0</v>
      </c>
      <c r="K22" s="1769">
        <f t="shared" si="1"/>
        <v>0</v>
      </c>
      <c r="L22" s="1770">
        <f t="shared" si="1"/>
        <v>0</v>
      </c>
      <c r="M22" s="1769">
        <f t="shared" si="1"/>
        <v>0</v>
      </c>
      <c r="N22" s="1770">
        <f t="shared" si="1"/>
        <v>0</v>
      </c>
      <c r="O22" s="1767">
        <f t="shared" si="0"/>
        <v>0</v>
      </c>
    </row>
    <row r="23" spans="1:15" ht="24.95" customHeight="1" thickBot="1">
      <c r="A23" s="2284" t="s">
        <v>1493</v>
      </c>
      <c r="B23" s="197"/>
      <c r="C23" s="1792">
        <f ca="1">IF(ROW()-ROW($A$8)&lt;'الف-ب-ج'!$L$9,INDIRECT("BudgetDB!KK"&amp;('الف-ب-ج'!$M$9+ROW()-ROW($A$8))),"")</f>
        <v>0</v>
      </c>
      <c r="D23" s="1793">
        <f ca="1">IF(ROW()-ROW($A$8)&lt;'الف-ب-ج'!$L$9,INDIRECT("BudgetDB!KL"&amp;('الف-ب-ج'!$M$9+ROW()-ROW($A$8))),"")</f>
        <v>0</v>
      </c>
      <c r="E23" s="1792">
        <f ca="1">IF(ROW()-ROW($A$8)&lt;'الف-ب-ج'!$L$9,INDIRECT("BudgetDB!KM"&amp;('الف-ب-ج'!$M$9+ROW()-ROW($A$8))),"")</f>
        <v>0</v>
      </c>
      <c r="F23" s="1794">
        <f ca="1">IF(ROW()-ROW($A$8)&lt;'الف-ب-ج'!$L$9,INDIRECT("BudgetDB!KN"&amp;('الف-ب-ج'!$M$9+ROW()-ROW($A$8))),"")</f>
        <v>0</v>
      </c>
      <c r="G23" s="863">
        <f ca="1">IF(ROW()-ROW($A$8)&lt;'الف-ب-ج'!$L$9,INDIRECT("BudgetDB!KO"&amp;('الف-ب-ج'!$M$9+ROW()-ROW($A$8))),"")</f>
        <v>0</v>
      </c>
      <c r="H23" s="1795">
        <f ca="1">IF(ROW()-ROW($A$8)&lt;'الف-ب-ج'!$L$9,INDIRECT("BudgetDB!KP"&amp;('الف-ب-ج'!$M$9+ROW()-ROW($A$8))),"")</f>
        <v>0</v>
      </c>
      <c r="I23" s="200"/>
      <c r="J23" s="199"/>
      <c r="K23" s="198"/>
      <c r="L23" s="266"/>
      <c r="M23" s="267"/>
      <c r="N23" s="271"/>
      <c r="O23" s="515">
        <f>B23+I23-K23+M23-N23</f>
        <v>0</v>
      </c>
    </row>
    <row r="24" spans="1:15" ht="24.95" customHeight="1" thickBot="1">
      <c r="A24" s="2285" t="s">
        <v>1947</v>
      </c>
      <c r="B24" s="1773">
        <f>SUM(B22:B23)</f>
        <v>0</v>
      </c>
      <c r="C24" s="1774">
        <f ca="1">SUM(C22:C23)</f>
        <v>0</v>
      </c>
      <c r="D24" s="1775">
        <f t="shared" ref="D24:N24" ca="1" si="2">SUM(D22:D23)</f>
        <v>0</v>
      </c>
      <c r="E24" s="1774">
        <f t="shared" ca="1" si="2"/>
        <v>0</v>
      </c>
      <c r="F24" s="1775">
        <f t="shared" ca="1" si="2"/>
        <v>0</v>
      </c>
      <c r="G24" s="1774">
        <f t="shared" ca="1" si="2"/>
        <v>0</v>
      </c>
      <c r="H24" s="1776">
        <f t="shared" ca="1" si="2"/>
        <v>0</v>
      </c>
      <c r="I24" s="1777">
        <f t="shared" si="2"/>
        <v>0</v>
      </c>
      <c r="J24" s="1775">
        <f t="shared" si="2"/>
        <v>0</v>
      </c>
      <c r="K24" s="1774">
        <f t="shared" si="2"/>
        <v>0</v>
      </c>
      <c r="L24" s="1775">
        <f t="shared" si="2"/>
        <v>0</v>
      </c>
      <c r="M24" s="1774">
        <f t="shared" si="2"/>
        <v>0</v>
      </c>
      <c r="N24" s="1775">
        <f t="shared" si="2"/>
        <v>0</v>
      </c>
      <c r="O24" s="1778">
        <f>SUM(O22:O23)</f>
        <v>0</v>
      </c>
    </row>
    <row r="25" spans="1:15" s="989" customFormat="1" ht="24.95" customHeight="1">
      <c r="A25" s="2286" t="s">
        <v>1935</v>
      </c>
      <c r="B25" s="201"/>
      <c r="C25" s="985"/>
      <c r="D25" s="986"/>
      <c r="E25" s="986"/>
      <c r="F25" s="986"/>
      <c r="G25" s="986"/>
      <c r="H25" s="987"/>
      <c r="I25" s="986"/>
      <c r="J25" s="986"/>
      <c r="K25" s="986"/>
      <c r="L25" s="986"/>
      <c r="M25" s="986"/>
      <c r="N25" s="988"/>
      <c r="O25" s="202"/>
    </row>
    <row r="26" spans="1:15" s="989" customFormat="1" ht="24.95" customHeight="1">
      <c r="A26" s="2287" t="s">
        <v>84</v>
      </c>
      <c r="B26" s="197"/>
      <c r="C26" s="985"/>
      <c r="D26" s="986"/>
      <c r="E26" s="986"/>
      <c r="F26" s="986"/>
      <c r="G26" s="986"/>
      <c r="H26" s="987"/>
      <c r="I26" s="986"/>
      <c r="J26" s="986"/>
      <c r="K26" s="986"/>
      <c r="L26" s="986"/>
      <c r="M26" s="986"/>
      <c r="N26" s="988"/>
      <c r="O26" s="171"/>
    </row>
    <row r="27" spans="1:15" s="989" customFormat="1" ht="24.95" customHeight="1">
      <c r="A27" s="2284" t="s">
        <v>3118</v>
      </c>
      <c r="B27" s="203"/>
      <c r="C27" s="985"/>
      <c r="D27" s="986"/>
      <c r="E27" s="986"/>
      <c r="F27" s="986"/>
      <c r="G27" s="986"/>
      <c r="H27" s="987"/>
      <c r="I27" s="986"/>
      <c r="J27" s="986"/>
      <c r="K27" s="986"/>
      <c r="L27" s="986"/>
      <c r="M27" s="986"/>
      <c r="N27" s="988"/>
      <c r="O27" s="203"/>
    </row>
    <row r="28" spans="1:15" s="989" customFormat="1" ht="24.95" customHeight="1" thickBot="1">
      <c r="A28" s="2288" t="s">
        <v>1936</v>
      </c>
      <c r="B28" s="204"/>
      <c r="C28" s="985"/>
      <c r="D28" s="986"/>
      <c r="E28" s="986"/>
      <c r="F28" s="986"/>
      <c r="G28" s="986"/>
      <c r="H28" s="987"/>
      <c r="I28" s="986"/>
      <c r="J28" s="986"/>
      <c r="K28" s="986"/>
      <c r="L28" s="986"/>
      <c r="M28" s="986"/>
      <c r="N28" s="988"/>
      <c r="O28" s="204"/>
    </row>
    <row r="29" spans="1:15" s="989" customFormat="1" ht="24.95" customHeight="1" thickBot="1">
      <c r="A29" s="2285" t="s">
        <v>1937</v>
      </c>
      <c r="B29" s="1779">
        <f>SUM(B26:B28)</f>
        <v>0</v>
      </c>
      <c r="C29" s="985"/>
      <c r="D29" s="986"/>
      <c r="E29" s="986"/>
      <c r="F29" s="986"/>
      <c r="G29" s="986"/>
      <c r="H29" s="987"/>
      <c r="I29" s="986"/>
      <c r="J29" s="986"/>
      <c r="K29" s="986"/>
      <c r="L29" s="986"/>
      <c r="M29" s="986"/>
      <c r="N29" s="988"/>
      <c r="O29" s="1778">
        <f>SUM(O26:O28)</f>
        <v>0</v>
      </c>
    </row>
    <row r="30" spans="1:15" s="989" customFormat="1" ht="24.95" customHeight="1" thickBot="1">
      <c r="A30" s="2289" t="s">
        <v>1938</v>
      </c>
      <c r="B30" s="1780">
        <f>B24-B29</f>
        <v>0</v>
      </c>
      <c r="C30" s="990"/>
      <c r="D30" s="991"/>
      <c r="E30" s="991"/>
      <c r="F30" s="991"/>
      <c r="G30" s="991"/>
      <c r="H30" s="992"/>
      <c r="I30" s="991"/>
      <c r="J30" s="991"/>
      <c r="K30" s="991"/>
      <c r="L30" s="991"/>
      <c r="M30" s="991"/>
      <c r="N30" s="993"/>
      <c r="O30" s="1781">
        <f>O24-O29</f>
        <v>0</v>
      </c>
    </row>
    <row r="31" spans="1:15" s="995" customFormat="1" ht="29.25" customHeight="1" thickTop="1">
      <c r="A31" s="994" t="s">
        <v>1939</v>
      </c>
      <c r="B31" s="3180"/>
      <c r="C31" s="3180"/>
      <c r="D31" s="3180"/>
      <c r="E31" s="3180"/>
      <c r="F31" s="3180"/>
      <c r="G31" s="3180"/>
      <c r="H31" s="3180"/>
      <c r="I31" s="3180"/>
      <c r="J31" s="3180"/>
      <c r="K31" s="3180"/>
      <c r="L31" s="3180"/>
      <c r="M31" s="3180"/>
      <c r="N31" s="3180"/>
      <c r="O31" s="3180"/>
    </row>
    <row r="32" spans="1:15" s="995" customFormat="1" ht="34.5" customHeight="1">
      <c r="A32" s="8"/>
      <c r="B32" s="8"/>
      <c r="C32" s="47"/>
      <c r="D32" s="8"/>
      <c r="E32" s="996"/>
      <c r="F32" s="8"/>
      <c r="G32" s="997"/>
      <c r="H32" s="997"/>
      <c r="L32" s="8"/>
    </row>
    <row r="33" spans="1:8" ht="23.25" customHeight="1">
      <c r="A33" s="998"/>
      <c r="B33" s="999"/>
      <c r="C33" s="999"/>
      <c r="D33" s="999"/>
      <c r="E33" s="999"/>
      <c r="F33" s="901"/>
      <c r="G33" s="901"/>
      <c r="H33" s="901"/>
    </row>
  </sheetData>
  <mergeCells count="22">
    <mergeCell ref="B31:O31"/>
    <mergeCell ref="M5:N6"/>
    <mergeCell ref="C6:C7"/>
    <mergeCell ref="D6:D7"/>
    <mergeCell ref="E6:E7"/>
    <mergeCell ref="F6:F7"/>
    <mergeCell ref="I6:I7"/>
    <mergeCell ref="J6:J7"/>
    <mergeCell ref="K6:K7"/>
    <mergeCell ref="L6:L7"/>
    <mergeCell ref="A1:O1"/>
    <mergeCell ref="A3:B3"/>
    <mergeCell ref="C3:D3"/>
    <mergeCell ref="E3:H3"/>
    <mergeCell ref="A4:A7"/>
    <mergeCell ref="B4:B7"/>
    <mergeCell ref="O4:O7"/>
    <mergeCell ref="C5:D5"/>
    <mergeCell ref="E5:F5"/>
    <mergeCell ref="G5:H6"/>
    <mergeCell ref="I5:J5"/>
    <mergeCell ref="K5:L5"/>
  </mergeCells>
  <conditionalFormatting sqref="M24:N24">
    <cfRule type="expression" dxfId="321" priority="3">
      <formula>$M$24&lt;&gt;$N$24</formula>
    </cfRule>
  </conditionalFormatting>
  <conditionalFormatting sqref="J24">
    <cfRule type="expression" dxfId="320" priority="2">
      <formula>$J$24&gt;$I$24</formula>
    </cfRule>
  </conditionalFormatting>
  <conditionalFormatting sqref="A8:A21">
    <cfRule type="expression" dxfId="319" priority="1">
      <formula>AND($A8=0,OR($B8&lt;&gt;0,$O8&lt;&gt;0))</formula>
    </cfRule>
  </conditionalFormatting>
  <printOptions horizontalCentered="1"/>
  <pageMargins left="0.19685039370078741" right="0.19685039370078741" top="0.59055118110236227" bottom="0.78740157480314965" header="0.19685039370078741" footer="0.19685039370078741"/>
  <pageSetup paperSize="9" scale="6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5">
    <tabColor rgb="FF32CD32"/>
    <pageSetUpPr fitToPage="1"/>
  </sheetPr>
  <dimension ref="A1:O37"/>
  <sheetViews>
    <sheetView rightToLeft="1" view="pageBreakPreview" topLeftCell="A8" zoomScale="85" zoomScaleNormal="55" zoomScaleSheetLayoutView="85" workbookViewId="0">
      <selection activeCell="I16" sqref="I16"/>
    </sheetView>
  </sheetViews>
  <sheetFormatPr defaultColWidth="9" defaultRowHeight="17.25"/>
  <cols>
    <col min="1" max="1" width="40.5703125" style="42" customWidth="1"/>
    <col min="2" max="15" width="12.5703125" style="42" customWidth="1"/>
    <col min="16" max="16384" width="9" style="42"/>
  </cols>
  <sheetData>
    <row r="1" spans="1:15" s="5"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row>
    <row r="2" spans="1:15" s="5" customFormat="1" ht="28.5" customHeight="1">
      <c r="A2" s="1206" t="str">
        <f>"گزارش تغییرات وضعیت دارایی ثابت مشهود و نامشهود در دوره " &amp; روکش!F9 &amp; " سال " &amp; روکش!D9</f>
        <v>گزارش تغییرات وضعیت دارایی ثابت مشهود و نامشهود در دوره شش ماهه سال 1405</v>
      </c>
      <c r="B2" s="1206"/>
      <c r="C2" s="1206"/>
      <c r="D2" s="1206"/>
      <c r="E2" s="1206"/>
      <c r="F2" s="1206"/>
      <c r="G2" s="1206"/>
      <c r="H2" s="1206"/>
      <c r="I2" s="1206"/>
      <c r="J2" s="1206"/>
      <c r="K2" s="1206"/>
      <c r="L2" s="1203"/>
      <c r="M2" s="1203"/>
      <c r="N2" s="1203"/>
      <c r="O2" s="1203"/>
    </row>
    <row r="3" spans="1:15" ht="20.100000000000001" customHeight="1" thickBot="1">
      <c r="A3" s="3088"/>
      <c r="B3" s="3088"/>
      <c r="C3" s="3168"/>
      <c r="D3" s="3168"/>
      <c r="E3" s="3169"/>
      <c r="F3" s="3169"/>
      <c r="G3" s="3169"/>
      <c r="H3" s="3169"/>
      <c r="I3" s="580"/>
      <c r="J3" s="581"/>
      <c r="L3" s="516"/>
      <c r="M3" s="516"/>
      <c r="N3" s="516"/>
      <c r="O3" s="1208" t="s">
        <v>30</v>
      </c>
    </row>
    <row r="4" spans="1:15" ht="25.5" customHeight="1">
      <c r="A4" s="3170" t="s">
        <v>76</v>
      </c>
      <c r="B4" s="2979" t="s">
        <v>194</v>
      </c>
      <c r="C4" s="1222" t="s">
        <v>769</v>
      </c>
      <c r="D4" s="1223"/>
      <c r="E4" s="1223"/>
      <c r="F4" s="1223"/>
      <c r="G4" s="1223"/>
      <c r="H4" s="1223"/>
      <c r="I4" s="1222" t="s">
        <v>770</v>
      </c>
      <c r="J4" s="1223"/>
      <c r="K4" s="1223"/>
      <c r="L4" s="1223"/>
      <c r="M4" s="1223"/>
      <c r="N4" s="1764"/>
      <c r="O4" s="2907" t="s">
        <v>718</v>
      </c>
    </row>
    <row r="5" spans="1:15" ht="20.25" customHeight="1">
      <c r="A5" s="3171"/>
      <c r="B5" s="3173"/>
      <c r="C5" s="3175" t="s">
        <v>315</v>
      </c>
      <c r="D5" s="3176"/>
      <c r="E5" s="3177" t="s">
        <v>79</v>
      </c>
      <c r="F5" s="3176"/>
      <c r="G5" s="3178" t="s">
        <v>1934</v>
      </c>
      <c r="H5" s="3188"/>
      <c r="I5" s="3175" t="s">
        <v>315</v>
      </c>
      <c r="J5" s="3176"/>
      <c r="K5" s="3177" t="s">
        <v>79</v>
      </c>
      <c r="L5" s="3176"/>
      <c r="M5" s="3178" t="s">
        <v>1934</v>
      </c>
      <c r="N5" s="3179"/>
      <c r="O5" s="3174"/>
    </row>
    <row r="6" spans="1:15" ht="22.5" customHeight="1">
      <c r="A6" s="3171"/>
      <c r="B6" s="3173"/>
      <c r="C6" s="3178" t="s">
        <v>77</v>
      </c>
      <c r="D6" s="3182" t="s">
        <v>23</v>
      </c>
      <c r="E6" s="3175" t="s">
        <v>77</v>
      </c>
      <c r="F6" s="3176" t="s">
        <v>32</v>
      </c>
      <c r="G6" s="3178"/>
      <c r="H6" s="3188"/>
      <c r="I6" s="3178" t="s">
        <v>77</v>
      </c>
      <c r="J6" s="3182" t="s">
        <v>23</v>
      </c>
      <c r="K6" s="3175" t="s">
        <v>77</v>
      </c>
      <c r="L6" s="3176" t="s">
        <v>32</v>
      </c>
      <c r="M6" s="3178"/>
      <c r="N6" s="3179"/>
      <c r="O6" s="3174"/>
    </row>
    <row r="7" spans="1:15" ht="21.75" thickBot="1">
      <c r="A7" s="3172"/>
      <c r="B7" s="2876"/>
      <c r="C7" s="3181"/>
      <c r="D7" s="3183"/>
      <c r="E7" s="3184"/>
      <c r="F7" s="3185"/>
      <c r="G7" s="713" t="s">
        <v>78</v>
      </c>
      <c r="H7" s="2312" t="s">
        <v>79</v>
      </c>
      <c r="I7" s="3181"/>
      <c r="J7" s="3183"/>
      <c r="K7" s="3184"/>
      <c r="L7" s="3185"/>
      <c r="M7" s="713" t="s">
        <v>78</v>
      </c>
      <c r="N7" s="1765" t="s">
        <v>79</v>
      </c>
      <c r="O7" s="2908"/>
    </row>
    <row r="8" spans="1:15" ht="24.95" customHeight="1">
      <c r="A8" s="2281" t="str">
        <f ca="1">IF(ROW()-ROW($A$8)&lt;'الف-ب-ج'!$L$9,INDIRECT("BudgetDB!HL"&amp;('الف-ب-ج'!$M$9+ROW()-ROW($A$8))),"")</f>
        <v>زمین</v>
      </c>
      <c r="B8" s="1761">
        <v>125103</v>
      </c>
      <c r="C8" s="190"/>
      <c r="D8" s="189"/>
      <c r="E8" s="188"/>
      <c r="F8" s="189"/>
      <c r="G8" s="188"/>
      <c r="H8" s="268"/>
      <c r="I8" s="188"/>
      <c r="J8" s="189"/>
      <c r="K8" s="188"/>
      <c r="L8" s="189"/>
      <c r="M8" s="188"/>
      <c r="N8" s="268"/>
      <c r="O8" s="1766">
        <f t="shared" ref="O8:O26" si="0">B8+I8-K8+M8-N8</f>
        <v>125103</v>
      </c>
    </row>
    <row r="9" spans="1:15" ht="24.95" customHeight="1">
      <c r="A9" s="2281" t="str">
        <f ca="1">IF(ROW()-ROW($A$8)&lt;'الف-ب-ج'!$L$9,INDIRECT("BudgetDB!HL"&amp;('الف-ب-ج'!$M$9+ROW()-ROW($A$8))),"")</f>
        <v>ساختمان</v>
      </c>
      <c r="B9" s="1762">
        <v>53733</v>
      </c>
      <c r="C9" s="193"/>
      <c r="D9" s="192"/>
      <c r="E9" s="191"/>
      <c r="F9" s="192"/>
      <c r="G9" s="191"/>
      <c r="H9" s="269"/>
      <c r="I9" s="191"/>
      <c r="J9" s="192"/>
      <c r="K9" s="191"/>
      <c r="L9" s="192"/>
      <c r="M9" s="191"/>
      <c r="N9" s="269"/>
      <c r="O9" s="514">
        <f>B9+I9-K9+M9-N9</f>
        <v>53733</v>
      </c>
    </row>
    <row r="10" spans="1:15" ht="24.95" customHeight="1">
      <c r="A10" s="2281" t="str">
        <f ca="1">IF(ROW()-ROW($A$8)&lt;'الف-ب-ج'!$L$9,INDIRECT("BudgetDB!HL"&amp;('الف-ب-ج'!$M$9+ROW()-ROW($A$8))),"")</f>
        <v>محوطه</v>
      </c>
      <c r="B10" s="1762">
        <v>432985</v>
      </c>
      <c r="C10" s="193"/>
      <c r="D10" s="192"/>
      <c r="E10" s="191"/>
      <c r="F10" s="192"/>
      <c r="G10" s="191"/>
      <c r="H10" s="269"/>
      <c r="I10" s="191">
        <v>284</v>
      </c>
      <c r="J10" s="192"/>
      <c r="K10" s="191"/>
      <c r="L10" s="192"/>
      <c r="M10" s="191"/>
      <c r="N10" s="269"/>
      <c r="O10" s="514">
        <f>B10+I10-K10+M10-N10</f>
        <v>433269</v>
      </c>
    </row>
    <row r="11" spans="1:15" ht="24.95" customHeight="1">
      <c r="A11" s="2281" t="str">
        <f ca="1">IF(ROW()-ROW($A$8)&lt;'الف-ب-ج'!$L$9,INDIRECT("BudgetDB!HL"&amp;('الف-ب-ج'!$M$9+ROW()-ROW($A$8))),"")</f>
        <v>تاسیسات</v>
      </c>
      <c r="B11" s="1762">
        <v>64586</v>
      </c>
      <c r="C11" s="193"/>
      <c r="D11" s="192"/>
      <c r="E11" s="191"/>
      <c r="F11" s="192"/>
      <c r="G11" s="191"/>
      <c r="H11" s="269"/>
      <c r="I11" s="191">
        <v>1712</v>
      </c>
      <c r="J11" s="192"/>
      <c r="K11" s="191"/>
      <c r="L11" s="192"/>
      <c r="M11" s="191"/>
      <c r="N11" s="269">
        <v>86</v>
      </c>
      <c r="O11" s="514">
        <f>B11+I11-K11+M11-N11</f>
        <v>66212</v>
      </c>
    </row>
    <row r="12" spans="1:15" ht="24.95" customHeight="1">
      <c r="A12" s="2281" t="str">
        <f ca="1">IF(ROW()-ROW($A$8)&lt;'الف-ب-ج'!$L$9,INDIRECT("BudgetDB!HL"&amp;('الف-ب-ج'!$M$9+ROW()-ROW($A$8))),"")</f>
        <v>ماشین‌آلات و تجهیزات</v>
      </c>
      <c r="B12" s="1762">
        <v>789034</v>
      </c>
      <c r="C12" s="193"/>
      <c r="D12" s="192"/>
      <c r="E12" s="191"/>
      <c r="F12" s="192"/>
      <c r="G12" s="191"/>
      <c r="H12" s="269"/>
      <c r="I12" s="191">
        <v>316315</v>
      </c>
      <c r="J12" s="192"/>
      <c r="K12" s="191"/>
      <c r="L12" s="192"/>
      <c r="M12" s="191"/>
      <c r="N12" s="269"/>
      <c r="O12" s="514">
        <f t="shared" si="0"/>
        <v>1105349</v>
      </c>
    </row>
    <row r="13" spans="1:15" ht="24.95" customHeight="1">
      <c r="A13" s="2281" t="str">
        <f ca="1">IF(ROW()-ROW($A$8)&lt;'الف-ب-ج'!$L$9,INDIRECT("BudgetDB!HL"&amp;('الف-ب-ج'!$M$9+ROW()-ROW($A$8))),"")</f>
        <v>وسائط نقلیه</v>
      </c>
      <c r="B13" s="1762">
        <v>85584</v>
      </c>
      <c r="C13" s="193"/>
      <c r="D13" s="192"/>
      <c r="E13" s="191"/>
      <c r="F13" s="192"/>
      <c r="G13" s="191"/>
      <c r="H13" s="269"/>
      <c r="I13" s="191"/>
      <c r="J13" s="192"/>
      <c r="K13" s="191"/>
      <c r="L13" s="192"/>
      <c r="M13" s="191"/>
      <c r="N13" s="269"/>
      <c r="O13" s="514">
        <f t="shared" si="0"/>
        <v>85584</v>
      </c>
    </row>
    <row r="14" spans="1:15" ht="24.95" customHeight="1">
      <c r="A14" s="2281" t="str">
        <f ca="1">IF(ROW()-ROW($A$8)&lt;'الف-ب-ج'!$L$9,INDIRECT("BudgetDB!HL"&amp;('الف-ب-ج'!$M$9+ROW()-ROW($A$8))),"")</f>
        <v>اثاثه و منصوبات</v>
      </c>
      <c r="B14" s="1762">
        <v>158703</v>
      </c>
      <c r="C14" s="193"/>
      <c r="D14" s="192"/>
      <c r="E14" s="191"/>
      <c r="F14" s="192"/>
      <c r="G14" s="191"/>
      <c r="H14" s="269"/>
      <c r="I14" s="191">
        <v>39564</v>
      </c>
      <c r="J14" s="192"/>
      <c r="K14" s="191"/>
      <c r="L14" s="192"/>
      <c r="M14" s="191">
        <v>86</v>
      </c>
      <c r="N14" s="269"/>
      <c r="O14" s="514">
        <f t="shared" si="0"/>
        <v>198353</v>
      </c>
    </row>
    <row r="15" spans="1:15" ht="24.95" customHeight="1">
      <c r="A15" s="2281" t="str">
        <f ca="1">IF(ROW()-ROW($A$8)&lt;'الف-ب-ج'!$L$9,INDIRECT("BudgetDB!HL"&amp;('الف-ب-ج'!$M$9+ROW()-ROW($A$8))),"")</f>
        <v>ابزارآلات</v>
      </c>
      <c r="B15" s="1762">
        <v>73128</v>
      </c>
      <c r="C15" s="193"/>
      <c r="D15" s="192"/>
      <c r="E15" s="191"/>
      <c r="F15" s="192"/>
      <c r="G15" s="191"/>
      <c r="H15" s="269"/>
      <c r="I15" s="191">
        <v>356</v>
      </c>
      <c r="J15" s="192"/>
      <c r="K15" s="191"/>
      <c r="L15" s="192"/>
      <c r="M15" s="191"/>
      <c r="N15" s="269"/>
      <c r="O15" s="514">
        <f t="shared" si="0"/>
        <v>73484</v>
      </c>
    </row>
    <row r="16" spans="1:15" ht="24.95" customHeight="1">
      <c r="A16" s="2281" t="str">
        <f ca="1">IF(ROW()-ROW($A$8)&lt;'الف-ب-ج'!$L$9,INDIRECT("BudgetDB!HL"&amp;('الف-ب-ج'!$M$9+ROW()-ROW($A$8))),"")</f>
        <v>دارایی‌های در جریان تکمیل</v>
      </c>
      <c r="B16" s="1762">
        <v>5134</v>
      </c>
      <c r="C16" s="193"/>
      <c r="D16" s="192"/>
      <c r="E16" s="191"/>
      <c r="F16" s="192"/>
      <c r="G16" s="191"/>
      <c r="H16" s="269"/>
      <c r="I16" s="191">
        <v>468956</v>
      </c>
      <c r="J16" s="192"/>
      <c r="K16" s="191"/>
      <c r="L16" s="192"/>
      <c r="M16" s="191"/>
      <c r="N16" s="269"/>
      <c r="O16" s="514">
        <f t="shared" si="0"/>
        <v>474090</v>
      </c>
    </row>
    <row r="17" spans="1:15" ht="24.95" customHeight="1">
      <c r="A17" s="2281" t="str">
        <f ca="1">IF(ROW()-ROW($A$8)&lt;'الف-ب-ج'!$L$9,INDIRECT("BudgetDB!HL"&amp;('الف-ب-ج'!$M$9+ROW()-ROW($A$8))),"")</f>
        <v>پیش‌پرداخت‌های سرمایه‌ای</v>
      </c>
      <c r="B17" s="1763"/>
      <c r="C17" s="196"/>
      <c r="D17" s="195"/>
      <c r="E17" s="194"/>
      <c r="F17" s="195"/>
      <c r="G17" s="194"/>
      <c r="H17" s="270"/>
      <c r="I17" s="194"/>
      <c r="J17" s="195"/>
      <c r="K17" s="194"/>
      <c r="L17" s="195"/>
      <c r="M17" s="194"/>
      <c r="N17" s="270"/>
      <c r="O17" s="514">
        <f t="shared" si="0"/>
        <v>0</v>
      </c>
    </row>
    <row r="18" spans="1:15" ht="24.95" customHeight="1">
      <c r="A18" s="2281">
        <f ca="1">IF(ROW()-ROW($A$8)&lt;'الف-ب-ج'!$L$9,INDIRECT("BudgetDB!HL"&amp;('الف-ب-ج'!$M$9+ROW()-ROW($A$8))),"")</f>
        <v>0</v>
      </c>
      <c r="B18" s="1763"/>
      <c r="C18" s="196"/>
      <c r="D18" s="195"/>
      <c r="E18" s="194"/>
      <c r="F18" s="195"/>
      <c r="G18" s="194"/>
      <c r="H18" s="270"/>
      <c r="I18" s="194"/>
      <c r="J18" s="195"/>
      <c r="K18" s="194"/>
      <c r="L18" s="195"/>
      <c r="M18" s="194"/>
      <c r="N18" s="270"/>
      <c r="O18" s="514">
        <f t="shared" ref="O18:O25" si="1">B18+I18-K18+M18-N18</f>
        <v>0</v>
      </c>
    </row>
    <row r="19" spans="1:15" ht="24.95" customHeight="1">
      <c r="A19" s="2281">
        <f ca="1">IF(ROW()-ROW($A$8)&lt;'الف-ب-ج'!$L$9,INDIRECT("BudgetDB!HL"&amp;('الف-ب-ج'!$M$9+ROW()-ROW($A$8))),"")</f>
        <v>0</v>
      </c>
      <c r="B19" s="1763"/>
      <c r="C19" s="196"/>
      <c r="D19" s="195"/>
      <c r="E19" s="194"/>
      <c r="F19" s="195"/>
      <c r="G19" s="194"/>
      <c r="H19" s="270"/>
      <c r="I19" s="194"/>
      <c r="J19" s="195"/>
      <c r="K19" s="194"/>
      <c r="L19" s="195"/>
      <c r="M19" s="194"/>
      <c r="N19" s="270"/>
      <c r="O19" s="514">
        <f t="shared" si="1"/>
        <v>0</v>
      </c>
    </row>
    <row r="20" spans="1:15" ht="24.95" customHeight="1">
      <c r="A20" s="2281">
        <f ca="1">IF(ROW()-ROW($A$8)&lt;'الف-ب-ج'!$L$9,INDIRECT("BudgetDB!HL"&amp;('الف-ب-ج'!$M$9+ROW()-ROW($A$8))),"")</f>
        <v>0</v>
      </c>
      <c r="B20" s="1763"/>
      <c r="C20" s="196"/>
      <c r="D20" s="195"/>
      <c r="E20" s="194"/>
      <c r="F20" s="195"/>
      <c r="G20" s="194"/>
      <c r="H20" s="270"/>
      <c r="I20" s="194"/>
      <c r="J20" s="195"/>
      <c r="K20" s="194"/>
      <c r="L20" s="195"/>
      <c r="M20" s="194"/>
      <c r="N20" s="270"/>
      <c r="O20" s="514">
        <f t="shared" si="1"/>
        <v>0</v>
      </c>
    </row>
    <row r="21" spans="1:15" ht="24.95" customHeight="1">
      <c r="A21" s="2281">
        <f ca="1">IF(ROW()-ROW($A$8)&lt;'الف-ب-ج'!$L$9,INDIRECT("BudgetDB!HL"&amp;('الف-ب-ج'!$M$9+ROW()-ROW($A$8))),"")</f>
        <v>0</v>
      </c>
      <c r="B21" s="1763"/>
      <c r="C21" s="196"/>
      <c r="D21" s="195"/>
      <c r="E21" s="194"/>
      <c r="F21" s="195"/>
      <c r="G21" s="194"/>
      <c r="H21" s="270"/>
      <c r="I21" s="194"/>
      <c r="J21" s="195"/>
      <c r="K21" s="194"/>
      <c r="L21" s="195"/>
      <c r="M21" s="194"/>
      <c r="N21" s="270"/>
      <c r="O21" s="514">
        <f t="shared" si="1"/>
        <v>0</v>
      </c>
    </row>
    <row r="22" spans="1:15" ht="24.95" customHeight="1">
      <c r="A22" s="2281">
        <f ca="1">IF(ROW()-ROW($A$8)&lt;'الف-ب-ج'!$L$9,INDIRECT("BudgetDB!HL"&amp;('الف-ب-ج'!$M$9+ROW()-ROW($A$8))),"")</f>
        <v>0</v>
      </c>
      <c r="B22" s="1763"/>
      <c r="C22" s="196"/>
      <c r="D22" s="195"/>
      <c r="E22" s="194"/>
      <c r="F22" s="195"/>
      <c r="G22" s="194"/>
      <c r="H22" s="270"/>
      <c r="I22" s="194"/>
      <c r="J22" s="195"/>
      <c r="K22" s="194"/>
      <c r="L22" s="195"/>
      <c r="M22" s="194"/>
      <c r="N22" s="270"/>
      <c r="O22" s="514">
        <f t="shared" si="1"/>
        <v>0</v>
      </c>
    </row>
    <row r="23" spans="1:15" ht="24.95" customHeight="1">
      <c r="A23" s="2282">
        <f ca="1">IF(ROW()-ROW($A$8)&lt;'الف-ب-ج'!$L$9,INDIRECT("BudgetDB!HL"&amp;('الف-ب-ج'!$M$9+ROW()-ROW($A$8))),"")</f>
        <v>0</v>
      </c>
      <c r="B23" s="1763"/>
      <c r="C23" s="196"/>
      <c r="D23" s="195"/>
      <c r="E23" s="194"/>
      <c r="F23" s="195"/>
      <c r="G23" s="194"/>
      <c r="H23" s="270"/>
      <c r="I23" s="194"/>
      <c r="J23" s="195"/>
      <c r="K23" s="194"/>
      <c r="L23" s="195"/>
      <c r="M23" s="194"/>
      <c r="N23" s="270"/>
      <c r="O23" s="514">
        <f t="shared" si="1"/>
        <v>0</v>
      </c>
    </row>
    <row r="24" spans="1:15" ht="24.95" customHeight="1">
      <c r="A24" s="2282">
        <f ca="1">IF(ROW()-ROW($A$8)&lt;'الف-ب-ج'!$L$9,INDIRECT("BudgetDB!HL"&amp;('الف-ب-ج'!$M$9+ROW()-ROW($A$8))),"")</f>
        <v>0</v>
      </c>
      <c r="B24" s="1763"/>
      <c r="C24" s="196"/>
      <c r="D24" s="195"/>
      <c r="E24" s="194"/>
      <c r="F24" s="195"/>
      <c r="G24" s="194"/>
      <c r="H24" s="270"/>
      <c r="I24" s="194"/>
      <c r="J24" s="195"/>
      <c r="K24" s="194"/>
      <c r="L24" s="195"/>
      <c r="M24" s="194"/>
      <c r="N24" s="270"/>
      <c r="O24" s="514">
        <f t="shared" si="1"/>
        <v>0</v>
      </c>
    </row>
    <row r="25" spans="1:15" ht="24.95" customHeight="1" thickBot="1">
      <c r="A25" s="2282">
        <f ca="1">IF(ROW()-ROW($A$8)&lt;'الف-ب-ج'!$L$9,INDIRECT("BudgetDB!HL"&amp;('الف-ب-ج'!$M$9+ROW()-ROW($A$8))),"")</f>
        <v>0</v>
      </c>
      <c r="B25" s="1763"/>
      <c r="C25" s="196"/>
      <c r="D25" s="195"/>
      <c r="E25" s="194"/>
      <c r="F25" s="195"/>
      <c r="G25" s="194"/>
      <c r="H25" s="270"/>
      <c r="I25" s="2315"/>
      <c r="J25" s="2316"/>
      <c r="K25" s="2315"/>
      <c r="L25" s="2316"/>
      <c r="M25" s="2315"/>
      <c r="N25" s="2317"/>
      <c r="O25" s="2318">
        <f t="shared" si="1"/>
        <v>0</v>
      </c>
    </row>
    <row r="26" spans="1:15" ht="24.95" customHeight="1">
      <c r="A26" s="2283" t="s">
        <v>1494</v>
      </c>
      <c r="B26" s="1768">
        <f>SUM(B8:B25)</f>
        <v>1787990</v>
      </c>
      <c r="C26" s="1769">
        <f t="shared" ref="C26:N26" si="2">SUM(C8:C25)</f>
        <v>0</v>
      </c>
      <c r="D26" s="1770">
        <f t="shared" si="2"/>
        <v>0</v>
      </c>
      <c r="E26" s="1769">
        <f t="shared" si="2"/>
        <v>0</v>
      </c>
      <c r="F26" s="1770">
        <f t="shared" si="2"/>
        <v>0</v>
      </c>
      <c r="G26" s="1769">
        <f t="shared" si="2"/>
        <v>0</v>
      </c>
      <c r="H26" s="1771">
        <f t="shared" si="2"/>
        <v>0</v>
      </c>
      <c r="I26" s="1772">
        <f t="shared" si="2"/>
        <v>827187</v>
      </c>
      <c r="J26" s="1770">
        <f t="shared" si="2"/>
        <v>0</v>
      </c>
      <c r="K26" s="1769">
        <f t="shared" si="2"/>
        <v>0</v>
      </c>
      <c r="L26" s="1770">
        <f t="shared" si="2"/>
        <v>0</v>
      </c>
      <c r="M26" s="1769">
        <f t="shared" si="2"/>
        <v>86</v>
      </c>
      <c r="N26" s="1770">
        <f t="shared" si="2"/>
        <v>86</v>
      </c>
      <c r="O26" s="1767">
        <f t="shared" si="0"/>
        <v>2615177</v>
      </c>
    </row>
    <row r="27" spans="1:15" ht="24.95" customHeight="1" thickBot="1">
      <c r="A27" s="2284" t="s">
        <v>1493</v>
      </c>
      <c r="B27" s="197">
        <v>203</v>
      </c>
      <c r="C27" s="200"/>
      <c r="D27" s="199"/>
      <c r="E27" s="198"/>
      <c r="F27" s="266"/>
      <c r="G27" s="267"/>
      <c r="H27" s="271"/>
      <c r="I27" s="200"/>
      <c r="J27" s="199"/>
      <c r="K27" s="198"/>
      <c r="L27" s="266"/>
      <c r="M27" s="267"/>
      <c r="N27" s="271"/>
      <c r="O27" s="515">
        <f>B27+I27-K27+M27-N27</f>
        <v>203</v>
      </c>
    </row>
    <row r="28" spans="1:15" ht="24.95" customHeight="1" thickBot="1">
      <c r="A28" s="2285" t="s">
        <v>1947</v>
      </c>
      <c r="B28" s="1773">
        <f>SUM(B26:B27)</f>
        <v>1788193</v>
      </c>
      <c r="C28" s="1774">
        <f>SUM(C26:C27)</f>
        <v>0</v>
      </c>
      <c r="D28" s="1775">
        <f t="shared" ref="D28:F28" si="3">SUM(D26:D27)</f>
        <v>0</v>
      </c>
      <c r="E28" s="1774">
        <f t="shared" si="3"/>
        <v>0</v>
      </c>
      <c r="F28" s="1775">
        <f t="shared" si="3"/>
        <v>0</v>
      </c>
      <c r="G28" s="1774">
        <f>SUM(G26:G27)</f>
        <v>0</v>
      </c>
      <c r="H28" s="1776">
        <f>SUM(H26:H27)</f>
        <v>0</v>
      </c>
      <c r="I28" s="1777">
        <f>SUM(I26:I27)</f>
        <v>827187</v>
      </c>
      <c r="J28" s="1775">
        <f>SUM(J26:J27)</f>
        <v>0</v>
      </c>
      <c r="K28" s="1774">
        <f t="shared" ref="K28:N28" si="4">SUM(K26:K27)</f>
        <v>0</v>
      </c>
      <c r="L28" s="1775">
        <f t="shared" si="4"/>
        <v>0</v>
      </c>
      <c r="M28" s="1774">
        <f t="shared" si="4"/>
        <v>86</v>
      </c>
      <c r="N28" s="1775">
        <f t="shared" si="4"/>
        <v>86</v>
      </c>
      <c r="O28" s="1778">
        <f>SUM(O26:O27)</f>
        <v>2615380</v>
      </c>
    </row>
    <row r="29" spans="1:15" s="989" customFormat="1" ht="24.95" customHeight="1">
      <c r="A29" s="2286" t="s">
        <v>1935</v>
      </c>
      <c r="B29" s="201"/>
      <c r="C29" s="985"/>
      <c r="D29" s="986"/>
      <c r="E29" s="986"/>
      <c r="F29" s="986"/>
      <c r="G29" s="986"/>
      <c r="H29" s="987"/>
      <c r="I29" s="986"/>
      <c r="J29" s="986"/>
      <c r="K29" s="986"/>
      <c r="L29" s="986"/>
      <c r="M29" s="986"/>
      <c r="N29" s="988"/>
      <c r="O29" s="202"/>
    </row>
    <row r="30" spans="1:15" s="989" customFormat="1" ht="24.95" customHeight="1">
      <c r="A30" s="2287" t="s">
        <v>84</v>
      </c>
      <c r="B30" s="197">
        <v>687388</v>
      </c>
      <c r="C30" s="985"/>
      <c r="D30" s="986"/>
      <c r="E30" s="986"/>
      <c r="F30" s="986"/>
      <c r="G30" s="986"/>
      <c r="H30" s="987"/>
      <c r="I30" s="986"/>
      <c r="J30" s="986"/>
      <c r="K30" s="986"/>
      <c r="L30" s="986"/>
      <c r="M30" s="986"/>
      <c r="N30" s="988"/>
      <c r="O30" s="171">
        <v>835461</v>
      </c>
    </row>
    <row r="31" spans="1:15" s="989" customFormat="1" ht="24.95" customHeight="1">
      <c r="A31" s="2284" t="s">
        <v>3118</v>
      </c>
      <c r="B31" s="203">
        <v>155</v>
      </c>
      <c r="C31" s="985"/>
      <c r="D31" s="986"/>
      <c r="E31" s="986"/>
      <c r="F31" s="986"/>
      <c r="G31" s="986"/>
      <c r="H31" s="987"/>
      <c r="I31" s="986"/>
      <c r="J31" s="986"/>
      <c r="K31" s="986"/>
      <c r="L31" s="986"/>
      <c r="M31" s="986"/>
      <c r="N31" s="988"/>
      <c r="O31" s="203">
        <v>155</v>
      </c>
    </row>
    <row r="32" spans="1:15" s="989" customFormat="1" ht="24.95" customHeight="1" thickBot="1">
      <c r="A32" s="2288" t="s">
        <v>1936</v>
      </c>
      <c r="B32" s="204"/>
      <c r="C32" s="985"/>
      <c r="D32" s="986"/>
      <c r="E32" s="986"/>
      <c r="F32" s="986"/>
      <c r="G32" s="986"/>
      <c r="H32" s="987"/>
      <c r="I32" s="986"/>
      <c r="J32" s="986"/>
      <c r="K32" s="986"/>
      <c r="L32" s="986"/>
      <c r="M32" s="986"/>
      <c r="N32" s="988"/>
      <c r="O32" s="204"/>
    </row>
    <row r="33" spans="1:15" s="989" customFormat="1" ht="24.95" customHeight="1" thickBot="1">
      <c r="A33" s="2285" t="s">
        <v>1937</v>
      </c>
      <c r="B33" s="1779">
        <f>SUM(B30:B32)</f>
        <v>687543</v>
      </c>
      <c r="C33" s="985"/>
      <c r="D33" s="986"/>
      <c r="E33" s="986"/>
      <c r="F33" s="986"/>
      <c r="G33" s="986"/>
      <c r="H33" s="987"/>
      <c r="I33" s="986"/>
      <c r="J33" s="986"/>
      <c r="K33" s="986"/>
      <c r="L33" s="986"/>
      <c r="M33" s="986"/>
      <c r="N33" s="988"/>
      <c r="O33" s="1778">
        <f>SUM(O30:O32)</f>
        <v>835616</v>
      </c>
    </row>
    <row r="34" spans="1:15" s="989" customFormat="1" ht="24.95" customHeight="1" thickBot="1">
      <c r="A34" s="2289" t="s">
        <v>1938</v>
      </c>
      <c r="B34" s="1780">
        <f>B28-B33</f>
        <v>1100650</v>
      </c>
      <c r="C34" s="990"/>
      <c r="D34" s="991"/>
      <c r="E34" s="991"/>
      <c r="F34" s="991"/>
      <c r="G34" s="991"/>
      <c r="H34" s="992"/>
      <c r="I34" s="991"/>
      <c r="J34" s="991"/>
      <c r="K34" s="991"/>
      <c r="L34" s="991"/>
      <c r="M34" s="991"/>
      <c r="N34" s="993"/>
      <c r="O34" s="1781">
        <f>O28-O33</f>
        <v>1779764</v>
      </c>
    </row>
    <row r="35" spans="1:15" s="995" customFormat="1" ht="29.25" customHeight="1" thickTop="1">
      <c r="A35" s="994" t="s">
        <v>637</v>
      </c>
      <c r="B35" s="3180"/>
      <c r="C35" s="3180"/>
      <c r="D35" s="3180"/>
      <c r="E35" s="3180"/>
      <c r="F35" s="3180"/>
      <c r="G35" s="3180"/>
      <c r="H35" s="3180"/>
      <c r="I35" s="3180"/>
      <c r="J35" s="3180"/>
      <c r="K35" s="3180"/>
      <c r="L35" s="3180"/>
      <c r="M35" s="3180"/>
      <c r="N35" s="3180"/>
      <c r="O35" s="3180"/>
    </row>
    <row r="36" spans="1:15" s="995" customFormat="1" ht="34.5" customHeight="1">
      <c r="A36" s="8"/>
      <c r="B36" s="8"/>
      <c r="C36" s="47"/>
      <c r="D36" s="8"/>
      <c r="E36" s="996"/>
      <c r="F36" s="8"/>
      <c r="G36" s="997"/>
      <c r="H36" s="997"/>
      <c r="L36" s="8"/>
    </row>
    <row r="37" spans="1:15" ht="23.25" customHeight="1">
      <c r="A37" s="998"/>
      <c r="B37" s="999"/>
      <c r="C37" s="999"/>
      <c r="D37" s="999"/>
      <c r="E37" s="999"/>
      <c r="F37" s="901"/>
      <c r="G37" s="901"/>
      <c r="H37" s="901"/>
    </row>
  </sheetData>
  <sheetProtection algorithmName="SHA-512" hashValue="76i4uYdgo1c8Vr4vQWKAqb5RjbXQLM0AzNYBr0Q/YwOy436euZ1UO0sp4fmKw1ITuQUDdmTXeKHn0OidU4UfVA==" saltValue="14Gy9uWNi/fhQpd5YRwwmQ==" spinCount="100000" sheet="1" objects="1" scenarios="1"/>
  <mergeCells count="22">
    <mergeCell ref="B35:O35"/>
    <mergeCell ref="C5:D5"/>
    <mergeCell ref="C6:C7"/>
    <mergeCell ref="D6:D7"/>
    <mergeCell ref="O4:O7"/>
    <mergeCell ref="I5:J5"/>
    <mergeCell ref="K5:L5"/>
    <mergeCell ref="M5:N6"/>
    <mergeCell ref="I6:I7"/>
    <mergeCell ref="J6:J7"/>
    <mergeCell ref="K6:K7"/>
    <mergeCell ref="L6:L7"/>
    <mergeCell ref="E5:F5"/>
    <mergeCell ref="A3:B3"/>
    <mergeCell ref="C3:D3"/>
    <mergeCell ref="E3:H3"/>
    <mergeCell ref="A1:O1"/>
    <mergeCell ref="G5:H6"/>
    <mergeCell ref="E6:E7"/>
    <mergeCell ref="F6:F7"/>
    <mergeCell ref="A4:A7"/>
    <mergeCell ref="B4:B7"/>
  </mergeCells>
  <conditionalFormatting sqref="M28:N28">
    <cfRule type="expression" dxfId="318" priority="3">
      <formula>$M$24&lt;&gt;$N$24</formula>
    </cfRule>
  </conditionalFormatting>
  <conditionalFormatting sqref="J28">
    <cfRule type="expression" dxfId="317" priority="2">
      <formula>$J$24&gt;$I$24</formula>
    </cfRule>
  </conditionalFormatting>
  <conditionalFormatting sqref="A8:A25">
    <cfRule type="expression" dxfId="316" priority="1">
      <formula>AND($A8=0,OR($B8&lt;&gt;0,$O8&lt;&gt;0))</formula>
    </cfRule>
  </conditionalFormatting>
  <printOptions horizontalCentered="1"/>
  <pageMargins left="0.25" right="0.25" top="0.75" bottom="0.75" header="0.3" footer="0.3"/>
  <pageSetup paperSize="9" scale="45"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03">
    <tabColor rgb="FF32CD32"/>
  </sheetPr>
  <dimension ref="A1:C13"/>
  <sheetViews>
    <sheetView rightToLeft="1" view="pageBreakPreview" zoomScaleNormal="100" zoomScaleSheetLayoutView="100" workbookViewId="0">
      <selection activeCell="C8" sqref="C8"/>
    </sheetView>
  </sheetViews>
  <sheetFormatPr defaultColWidth="9.140625" defaultRowHeight="15"/>
  <cols>
    <col min="1" max="1" width="31.7109375" style="5" bestFit="1" customWidth="1"/>
    <col min="2" max="3" width="20.7109375" style="5" customWidth="1"/>
    <col min="4" max="16384" width="9.140625" style="5"/>
  </cols>
  <sheetData>
    <row r="1" spans="1:3" ht="24" customHeight="1">
      <c r="A1" s="2685" t="str">
        <f>روکش!D4</f>
        <v>انبارهای عمومی و خدمات گمرکی ایران</v>
      </c>
      <c r="B1" s="2685"/>
      <c r="C1" s="2685"/>
    </row>
    <row r="2" spans="1:3" ht="28.5" customHeight="1">
      <c r="A2" s="1206" t="str">
        <f>"گزارش میزان موجودی مواد و کالا در پایان دوره " &amp; روکش!F9 &amp; " سال " &amp; روکش!D9</f>
        <v>گزارش میزان موجودی مواد و کالا در پایان دوره شش ماهه سال 1405</v>
      </c>
      <c r="B2" s="1205"/>
      <c r="C2" s="1202"/>
    </row>
    <row r="3" spans="1:3" ht="20.100000000000001" customHeight="1" thickBot="1">
      <c r="A3" s="582"/>
      <c r="B3" s="582"/>
      <c r="C3" s="1208" t="s">
        <v>30</v>
      </c>
    </row>
    <row r="4" spans="1:3" ht="48.75" thickBot="1">
      <c r="A4" s="1567" t="s">
        <v>21</v>
      </c>
      <c r="B4" s="1689" t="s">
        <v>187</v>
      </c>
      <c r="C4" s="1689" t="s">
        <v>718</v>
      </c>
    </row>
    <row r="5" spans="1:3" ht="25.5" customHeight="1">
      <c r="A5" s="1800" t="s">
        <v>1392</v>
      </c>
      <c r="B5" s="1797">
        <v>11927</v>
      </c>
      <c r="C5" s="1797">
        <v>11927</v>
      </c>
    </row>
    <row r="6" spans="1:3" ht="25.5" customHeight="1">
      <c r="A6" s="955" t="s">
        <v>1393</v>
      </c>
      <c r="B6" s="1234"/>
      <c r="C6" s="1234"/>
    </row>
    <row r="7" spans="1:3" ht="25.5" customHeight="1">
      <c r="A7" s="955" t="s">
        <v>1394</v>
      </c>
      <c r="B7" s="1234"/>
      <c r="C7" s="1234"/>
    </row>
    <row r="8" spans="1:3" ht="25.5" customHeight="1">
      <c r="A8" s="955" t="s">
        <v>1948</v>
      </c>
      <c r="B8" s="1234"/>
      <c r="C8" s="1234"/>
    </row>
    <row r="9" spans="1:3" ht="25.5" customHeight="1">
      <c r="A9" s="955" t="s">
        <v>2631</v>
      </c>
      <c r="B9" s="1234"/>
      <c r="C9" s="1234"/>
    </row>
    <row r="10" spans="1:3" ht="25.5" customHeight="1">
      <c r="A10" s="955" t="s">
        <v>1395</v>
      </c>
      <c r="B10" s="1234"/>
      <c r="C10" s="1234"/>
    </row>
    <row r="11" spans="1:3" ht="25.5" customHeight="1">
      <c r="A11" s="955" t="s">
        <v>1396</v>
      </c>
      <c r="B11" s="1234"/>
      <c r="C11" s="1234"/>
    </row>
    <row r="12" spans="1:3" ht="25.5" customHeight="1">
      <c r="A12" s="955" t="s">
        <v>333</v>
      </c>
      <c r="B12" s="1235"/>
      <c r="C12" s="1235"/>
    </row>
    <row r="13" spans="1:3" ht="24.75" thickBot="1">
      <c r="A13" s="1798" t="s">
        <v>1</v>
      </c>
      <c r="B13" s="1799">
        <f>SUM(B5:B12)</f>
        <v>11927</v>
      </c>
      <c r="C13" s="1799">
        <f>SUM(C5:C12)</f>
        <v>11927</v>
      </c>
    </row>
  </sheetData>
  <mergeCells count="1">
    <mergeCell ref="A1:C1"/>
  </mergeCells>
  <printOptions horizontalCentered="1"/>
  <pageMargins left="0.19685039370078741" right="0.19685039370078741" top="0.59055118110236227" bottom="0.78740157480314965" header="0.19685039370078741" footer="0.19685039370078741"/>
  <pageSetup paperSize="9" orientation="landscape"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
    <tabColor rgb="FFFFA07A"/>
  </sheetPr>
  <dimension ref="A1:C12"/>
  <sheetViews>
    <sheetView rightToLeft="1" view="pageBreakPreview" zoomScale="60" zoomScaleNormal="100" workbookViewId="0">
      <selection sqref="A1:C1"/>
    </sheetView>
  </sheetViews>
  <sheetFormatPr defaultRowHeight="15"/>
  <cols>
    <col min="1" max="1" width="32.28515625" bestFit="1" customWidth="1"/>
    <col min="2" max="3" width="20.7109375" customWidth="1"/>
  </cols>
  <sheetData>
    <row r="1" spans="1:3" ht="24" customHeight="1">
      <c r="A1" s="2685" t="str">
        <f>روکش!D4</f>
        <v>انبارهای عمومی و خدمات گمرکی ایران</v>
      </c>
      <c r="B1" s="2685"/>
      <c r="C1" s="2685"/>
    </row>
    <row r="2" spans="1:3" ht="28.5" customHeight="1">
      <c r="A2" s="1206" t="str">
        <f>"گزارش میزان موجودی مواد و کالای آزادراه در پایان دوره " &amp; روکش!F9 &amp; " سال " &amp; روکش!D9</f>
        <v>گزارش میزان موجودی مواد و کالای آزادراه در پایان دوره شش ماهه سال 1405</v>
      </c>
      <c r="B2" s="1205"/>
      <c r="C2" s="1202"/>
    </row>
    <row r="3" spans="1:3" ht="20.100000000000001" customHeight="1" thickBot="1">
      <c r="A3" s="582"/>
      <c r="B3" s="582"/>
      <c r="C3" s="1208" t="s">
        <v>30</v>
      </c>
    </row>
    <row r="4" spans="1:3" ht="48.75" thickBot="1">
      <c r="A4" s="1567" t="s">
        <v>21</v>
      </c>
      <c r="B4" s="1689" t="s">
        <v>187</v>
      </c>
      <c r="C4" s="1689" t="s">
        <v>718</v>
      </c>
    </row>
    <row r="5" spans="1:3" ht="21">
      <c r="A5" s="1800" t="s">
        <v>1392</v>
      </c>
      <c r="B5" s="1797"/>
      <c r="C5" s="1797"/>
    </row>
    <row r="6" spans="1:3" ht="21">
      <c r="A6" s="955" t="s">
        <v>1393</v>
      </c>
      <c r="B6" s="1234"/>
      <c r="C6" s="1234"/>
    </row>
    <row r="7" spans="1:3" ht="21">
      <c r="A7" s="955" t="s">
        <v>1394</v>
      </c>
      <c r="B7" s="1234"/>
      <c r="C7" s="1234"/>
    </row>
    <row r="8" spans="1:3" ht="21">
      <c r="A8" s="955" t="s">
        <v>1948</v>
      </c>
      <c r="B8" s="1234"/>
      <c r="C8" s="1234"/>
    </row>
    <row r="9" spans="1:3" ht="21">
      <c r="A9" s="955" t="s">
        <v>1395</v>
      </c>
      <c r="B9" s="1234"/>
      <c r="C9" s="1234"/>
    </row>
    <row r="10" spans="1:3" ht="21">
      <c r="A10" s="955" t="s">
        <v>1396</v>
      </c>
      <c r="B10" s="1234"/>
      <c r="C10" s="1234"/>
    </row>
    <row r="11" spans="1:3" ht="21">
      <c r="A11" s="955" t="s">
        <v>333</v>
      </c>
      <c r="B11" s="1235"/>
      <c r="C11" s="1235"/>
    </row>
    <row r="12" spans="1:3" ht="24.75" thickBot="1">
      <c r="A12" s="1798" t="s">
        <v>1</v>
      </c>
      <c r="B12" s="1799">
        <f>SUM(B5:B11)</f>
        <v>0</v>
      </c>
      <c r="C12" s="1799">
        <f>SUM(C5:C11)</f>
        <v>0</v>
      </c>
    </row>
  </sheetData>
  <mergeCells count="1">
    <mergeCell ref="A1:C1"/>
  </mergeCells>
  <printOptions horizontalCentered="1"/>
  <pageMargins left="0.19685039370078741" right="0.19685039370078741" top="0.59055118110236227" bottom="0.78740157480314965" header="0.19685039370078741" footer="0.19685039370078741"/>
  <pageSetup paperSize="9" orientation="landscape"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51">
    <tabColor rgb="FFFFA07A"/>
    <pageSetUpPr fitToPage="1"/>
  </sheetPr>
  <dimension ref="A1:L65"/>
  <sheetViews>
    <sheetView rightToLeft="1" view="pageBreakPreview" topLeftCell="A5" zoomScale="85" zoomScaleNormal="100" zoomScaleSheetLayoutView="85" workbookViewId="0">
      <selection activeCell="A24" sqref="A24"/>
    </sheetView>
  </sheetViews>
  <sheetFormatPr defaultColWidth="9" defaultRowHeight="21"/>
  <cols>
    <col min="1" max="1" width="58.85546875" style="1" customWidth="1"/>
    <col min="2" max="4" width="15.5703125" style="1" customWidth="1"/>
    <col min="5" max="5" width="14.5703125" style="1" customWidth="1"/>
    <col min="6" max="6" width="11.5703125" style="1" customWidth="1"/>
    <col min="7" max="7" width="3.7109375" style="86" customWidth="1"/>
    <col min="8" max="8" width="9" style="1193" hidden="1" customWidth="1"/>
    <col min="9" max="9" width="9" style="86" hidden="1" customWidth="1"/>
    <col min="10" max="10" width="0" style="1" hidden="1" customWidth="1"/>
    <col min="11" max="12" width="0" style="1193" hidden="1" customWidth="1"/>
    <col min="13" max="16384" width="9" style="1"/>
  </cols>
  <sheetData>
    <row r="1" spans="1:12" s="52" customFormat="1" ht="24" customHeight="1">
      <c r="A1" s="3094" t="str">
        <f>روکش!D4</f>
        <v>انبارهای عمومی و خدمات گمرکی ایران</v>
      </c>
      <c r="B1" s="3094"/>
      <c r="C1" s="3094"/>
      <c r="D1" s="3094"/>
      <c r="E1" s="3094"/>
      <c r="F1" s="3094"/>
      <c r="G1" s="3094"/>
      <c r="H1" s="1671"/>
      <c r="I1" s="88"/>
      <c r="K1" s="1077"/>
      <c r="L1" s="1077"/>
    </row>
    <row r="2" spans="1:12" s="5" customFormat="1" ht="28.5" customHeight="1">
      <c r="A2" s="1355" t="str">
        <f>"ساير درآمدها و هزينه‌هاي عملياتي آزادراه در دوره " &amp; روکش!F9 &amp; " سال " &amp; روکش!D9</f>
        <v>ساير درآمدها و هزينه‌هاي عملياتي آزادراه در دوره شش ماهه سال 1405</v>
      </c>
      <c r="B2" s="1758"/>
      <c r="C2" s="1300"/>
      <c r="D2" s="1300"/>
      <c r="E2" s="1300"/>
      <c r="F2" s="1300"/>
      <c r="G2" s="2290"/>
      <c r="H2" s="1081"/>
      <c r="I2" s="79"/>
      <c r="K2" s="41"/>
      <c r="L2" s="41"/>
    </row>
    <row r="3" spans="1:12" ht="20.100000000000001" customHeight="1" thickBot="1">
      <c r="A3" s="1301"/>
      <c r="B3" s="1301"/>
      <c r="C3" s="1759"/>
      <c r="D3" s="1301"/>
      <c r="E3" s="1301"/>
      <c r="F3" s="1760" t="s">
        <v>30</v>
      </c>
    </row>
    <row r="4" spans="1:12" ht="35.1" customHeight="1">
      <c r="A4" s="3089" t="s">
        <v>21</v>
      </c>
      <c r="B4" s="3091" t="s">
        <v>693</v>
      </c>
      <c r="C4" s="1434" t="s">
        <v>642</v>
      </c>
      <c r="D4" s="1435"/>
      <c r="E4" s="1435"/>
      <c r="F4" s="2213"/>
      <c r="G4" s="1376"/>
    </row>
    <row r="5" spans="1:12" ht="73.5" customHeight="1" thickBot="1">
      <c r="A5" s="3090"/>
      <c r="B5" s="3092"/>
      <c r="C5" s="713" t="s">
        <v>53</v>
      </c>
      <c r="D5" s="714" t="s">
        <v>216</v>
      </c>
      <c r="E5" s="714" t="s">
        <v>804</v>
      </c>
      <c r="F5" s="2875" t="s">
        <v>230</v>
      </c>
      <c r="G5" s="2876"/>
      <c r="H5" s="1193" t="s">
        <v>792</v>
      </c>
    </row>
    <row r="6" spans="1:12" ht="26.1" customHeight="1">
      <c r="A6" s="1801" t="s">
        <v>1495</v>
      </c>
      <c r="B6" s="2295"/>
      <c r="C6" s="1802"/>
      <c r="D6" s="2295"/>
      <c r="E6" s="1802"/>
      <c r="F6" s="1802"/>
      <c r="G6" s="1803"/>
      <c r="H6" s="1193" t="s">
        <v>206</v>
      </c>
    </row>
    <row r="7" spans="1:12">
      <c r="A7" s="1817">
        <f ca="1">IF(ROW()-ROW($A$7)&lt;'الف-ب-ج'!$L$9,INDIRECT("BudgetDB!KQ"&amp;('الف-ب-ج'!$M$9+ROW()-ROW($A$7))),"")</f>
        <v>0</v>
      </c>
      <c r="B7" s="2296"/>
      <c r="C7" s="1814" cm="1">
        <f t="array" aca="1" ref="C7" ca="1">IF(ROW()-ROW($A$7)&lt;'الف-ب-ج'!$L$9,IF(روکش!$F$9="سه ماهه",INDIRECT("BudgetDB!KR"&amp;('الف-ب-ج'!$M$9+ROW()-ROW($A$7))),INDIRECT("BudgetDB!KS"&amp;('الف-ب-ج'!$M$9+ROW()-ROW($A$7)))),"")</f>
        <v>0</v>
      </c>
      <c r="D7" s="2298"/>
      <c r="E7" s="1804" t="str">
        <f>IFERROR((D7-B7)*100/B7,"-")</f>
        <v>-</v>
      </c>
      <c r="F7" s="1805" t="str">
        <f ca="1">IFERROR(D7*100/C7,"-")</f>
        <v>-</v>
      </c>
      <c r="G7" s="2291">
        <f ca="1">IFERROR(ABS(F7-100),500)</f>
        <v>500</v>
      </c>
      <c r="H7" s="1501">
        <f ca="1">B7+C7+D7</f>
        <v>0</v>
      </c>
      <c r="K7" s="1081" t="e">
        <f ca="1">AND(COUNTIF($A7,"*سایر*")=1,$B7/$B$22&gt;0.2)</f>
        <v>#DIV/0!</v>
      </c>
      <c r="L7" s="41" t="e">
        <f ca="1">AND(COUNTIF($A7,"*سایر*")=1,$D7/$D$22&gt;0.2)</f>
        <v>#DIV/0!</v>
      </c>
    </row>
    <row r="8" spans="1:12">
      <c r="A8" s="1817">
        <f ca="1">IF(ROW()-ROW($A$7)&lt;'الف-ب-ج'!$L$9,INDIRECT("BudgetDB!KQ"&amp;('الف-ب-ج'!$M$9+ROW()-ROW($A$7))),"")</f>
        <v>0</v>
      </c>
      <c r="B8" s="2297"/>
      <c r="C8" s="1815" cm="1">
        <f t="array" aca="1" ref="C8" ca="1">IF(ROW()-ROW($A$7)&lt;'الف-ب-ج'!$L$9,IF(روکش!$F$9="سه ماهه",INDIRECT("BudgetDB!KR"&amp;('الف-ب-ج'!$M$9+ROW()-ROW($A$7))),INDIRECT("BudgetDB!KS"&amp;('الف-ب-ج'!$M$9+ROW()-ROW($A$7)))),"")</f>
        <v>0</v>
      </c>
      <c r="D8" s="2299"/>
      <c r="E8" s="1805" t="str">
        <f t="shared" ref="E8:E21" si="0">IFERROR((D8-B8)*100/B8,"-")</f>
        <v>-</v>
      </c>
      <c r="F8" s="1805" t="str">
        <f t="shared" ref="F8:F21" ca="1" si="1">IFERROR(D8*100/C8,"-")</f>
        <v>-</v>
      </c>
      <c r="G8" s="2291">
        <f ca="1">IFERROR(ABS(F8-100),500)</f>
        <v>500</v>
      </c>
      <c r="H8" s="1501">
        <f t="shared" ref="H8:H20" ca="1" si="2">B8+C8+D8</f>
        <v>0</v>
      </c>
      <c r="K8" s="1081" t="e">
        <f t="shared" ref="K8:K21" ca="1" si="3">AND(COUNTIF($A8,"*سایر*")=1,$B8/$B$22&gt;0.2)</f>
        <v>#DIV/0!</v>
      </c>
      <c r="L8" s="41" t="e">
        <f t="shared" ref="L8:L21" ca="1" si="4">AND(COUNTIF($A8,"*سایر*")=1,$D8/$D$22&gt;0.2)</f>
        <v>#DIV/0!</v>
      </c>
    </row>
    <row r="9" spans="1:12">
      <c r="A9" s="1817">
        <f ca="1">IF(ROW()-ROW($A$7)&lt;'الف-ب-ج'!$L$9,INDIRECT("BudgetDB!KQ"&amp;('الف-ب-ج'!$M$9+ROW()-ROW($A$7))),"")</f>
        <v>0</v>
      </c>
      <c r="B9" s="2297"/>
      <c r="C9" s="1815" cm="1">
        <f t="array" aca="1" ref="C9" ca="1">IF(ROW()-ROW($A$7)&lt;'الف-ب-ج'!$L$9,IF(روکش!$F$9="سه ماهه",INDIRECT("BudgetDB!KR"&amp;('الف-ب-ج'!$M$9+ROW()-ROW($A$7))),INDIRECT("BudgetDB!KS"&amp;('الف-ب-ج'!$M$9+ROW()-ROW($A$7)))),"")</f>
        <v>0</v>
      </c>
      <c r="D9" s="2299"/>
      <c r="E9" s="1805" t="str">
        <f t="shared" si="0"/>
        <v>-</v>
      </c>
      <c r="F9" s="1805" t="str">
        <f t="shared" ca="1" si="1"/>
        <v>-</v>
      </c>
      <c r="G9" s="2291">
        <f ca="1">IFERROR(ABS(F9-100),500)</f>
        <v>500</v>
      </c>
      <c r="H9" s="1501">
        <f t="shared" ca="1" si="2"/>
        <v>0</v>
      </c>
      <c r="K9" s="1081" t="e">
        <f t="shared" ca="1" si="3"/>
        <v>#DIV/0!</v>
      </c>
      <c r="L9" s="41" t="e">
        <f t="shared" ca="1" si="4"/>
        <v>#DIV/0!</v>
      </c>
    </row>
    <row r="10" spans="1:12">
      <c r="A10" s="1817">
        <f ca="1">IF(ROW()-ROW($A$7)&lt;'الف-ب-ج'!$L$9,INDIRECT("BudgetDB!KQ"&amp;('الف-ب-ج'!$M$9+ROW()-ROW($A$7))),"")</f>
        <v>0</v>
      </c>
      <c r="B10" s="2297"/>
      <c r="C10" s="1815" cm="1">
        <f t="array" aca="1" ref="C10" ca="1">IF(ROW()-ROW($A$7)&lt;'الف-ب-ج'!$L$9,IF(روکش!$F$9="سه ماهه",INDIRECT("BudgetDB!KR"&amp;('الف-ب-ج'!$M$9+ROW()-ROW($A$7))),INDIRECT("BudgetDB!KS"&amp;('الف-ب-ج'!$M$9+ROW()-ROW($A$7)))),"")</f>
        <v>0</v>
      </c>
      <c r="D10" s="2299"/>
      <c r="E10" s="1805" t="str">
        <f t="shared" si="0"/>
        <v>-</v>
      </c>
      <c r="F10" s="1805" t="str">
        <f t="shared" ca="1" si="1"/>
        <v>-</v>
      </c>
      <c r="G10" s="2291">
        <f ca="1">IFERROR(ABS(F10-100),500)</f>
        <v>500</v>
      </c>
      <c r="H10" s="1501">
        <f t="shared" ca="1" si="2"/>
        <v>0</v>
      </c>
      <c r="K10" s="1081" t="e">
        <f t="shared" ca="1" si="3"/>
        <v>#DIV/0!</v>
      </c>
      <c r="L10" s="41" t="e">
        <f t="shared" ca="1" si="4"/>
        <v>#DIV/0!</v>
      </c>
    </row>
    <row r="11" spans="1:12">
      <c r="A11" s="1817">
        <f ca="1">IF(ROW()-ROW($A$7)&lt;'الف-ب-ج'!$L$9,INDIRECT("BudgetDB!KQ"&amp;('الف-ب-ج'!$M$9+ROW()-ROW($A$7))),"")</f>
        <v>0</v>
      </c>
      <c r="B11" s="2297"/>
      <c r="C11" s="1815" cm="1">
        <f t="array" aca="1" ref="C11" ca="1">IF(ROW()-ROW($A$7)&lt;'الف-ب-ج'!$L$9,IF(روکش!$F$9="سه ماهه",INDIRECT("BudgetDB!KR"&amp;('الف-ب-ج'!$M$9+ROW()-ROW($A$7))),INDIRECT("BudgetDB!KS"&amp;('الف-ب-ج'!$M$9+ROW()-ROW($A$7)))),"")</f>
        <v>0</v>
      </c>
      <c r="D11" s="2299"/>
      <c r="E11" s="1805" t="str">
        <f t="shared" si="0"/>
        <v>-</v>
      </c>
      <c r="F11" s="1805" t="str">
        <f t="shared" ca="1" si="1"/>
        <v>-</v>
      </c>
      <c r="G11" s="2291">
        <f ca="1">IFERROR(ABS(F11-100),500)</f>
        <v>500</v>
      </c>
      <c r="H11" s="1501">
        <f t="shared" ca="1" si="2"/>
        <v>0</v>
      </c>
      <c r="K11" s="1081" t="e">
        <f t="shared" ca="1" si="3"/>
        <v>#DIV/0!</v>
      </c>
      <c r="L11" s="41" t="e">
        <f t="shared" ca="1" si="4"/>
        <v>#DIV/0!</v>
      </c>
    </row>
    <row r="12" spans="1:12" ht="26.1" customHeight="1">
      <c r="A12" s="1817">
        <f ca="1">IF(ROW()-ROW($A$7)&lt;'الف-ب-ج'!$L$9,INDIRECT("BudgetDB!KQ"&amp;('الف-ب-ج'!$M$9+ROW()-ROW($A$7))),"")</f>
        <v>0</v>
      </c>
      <c r="B12" s="2297"/>
      <c r="C12" s="1815" cm="1">
        <f t="array" aca="1" ref="C12" ca="1">IF(ROW()-ROW($A$7)&lt;'الف-ب-ج'!$L$9,IF(روکش!$F$9="سه ماهه",INDIRECT("BudgetDB!KR"&amp;('الف-ب-ج'!$M$9+ROW()-ROW($A$7))),INDIRECT("BudgetDB!KS"&amp;('الف-ب-ج'!$M$9+ROW()-ROW($A$7)))),"")</f>
        <v>0</v>
      </c>
      <c r="D12" s="2299"/>
      <c r="E12" s="1805" t="str">
        <f t="shared" si="0"/>
        <v>-</v>
      </c>
      <c r="F12" s="1805" t="str">
        <f t="shared" ca="1" si="1"/>
        <v>-</v>
      </c>
      <c r="G12" s="2291">
        <f t="shared" ref="G12:G40" ca="1" si="5">IFERROR(ABS(F12-100),500)</f>
        <v>500</v>
      </c>
      <c r="H12" s="1501">
        <f t="shared" ca="1" si="2"/>
        <v>0</v>
      </c>
      <c r="K12" s="1081" t="e">
        <f t="shared" ca="1" si="3"/>
        <v>#DIV/0!</v>
      </c>
      <c r="L12" s="41" t="e">
        <f t="shared" ca="1" si="4"/>
        <v>#DIV/0!</v>
      </c>
    </row>
    <row r="13" spans="1:12" ht="26.1" customHeight="1">
      <c r="A13" s="1817">
        <f ca="1">IF(ROW()-ROW($A$7)&lt;'الف-ب-ج'!$L$9,INDIRECT("BudgetDB!KQ"&amp;('الف-ب-ج'!$M$9+ROW()-ROW($A$7))),"")</f>
        <v>0</v>
      </c>
      <c r="B13" s="2297"/>
      <c r="C13" s="1815" cm="1">
        <f t="array" aca="1" ref="C13" ca="1">IF(ROW()-ROW($A$7)&lt;'الف-ب-ج'!$L$9,IF(روکش!$F$9="سه ماهه",INDIRECT("BudgetDB!KR"&amp;('الف-ب-ج'!$M$9+ROW()-ROW($A$7))),INDIRECT("BudgetDB!KS"&amp;('الف-ب-ج'!$M$9+ROW()-ROW($A$7)))),"")</f>
        <v>0</v>
      </c>
      <c r="D13" s="2299"/>
      <c r="E13" s="1805" t="str">
        <f t="shared" si="0"/>
        <v>-</v>
      </c>
      <c r="F13" s="1805" t="str">
        <f t="shared" ca="1" si="1"/>
        <v>-</v>
      </c>
      <c r="G13" s="2291">
        <f t="shared" ca="1" si="5"/>
        <v>500</v>
      </c>
      <c r="H13" s="1501">
        <f t="shared" ca="1" si="2"/>
        <v>0</v>
      </c>
      <c r="K13" s="1081" t="e">
        <f t="shared" ca="1" si="3"/>
        <v>#DIV/0!</v>
      </c>
      <c r="L13" s="41" t="e">
        <f t="shared" ca="1" si="4"/>
        <v>#DIV/0!</v>
      </c>
    </row>
    <row r="14" spans="1:12" ht="26.1" customHeight="1">
      <c r="A14" s="1817">
        <f ca="1">IF(ROW()-ROW($A$7)&lt;'الف-ب-ج'!$L$9,INDIRECT("BudgetDB!KQ"&amp;('الف-ب-ج'!$M$9+ROW()-ROW($A$7))),"")</f>
        <v>0</v>
      </c>
      <c r="B14" s="2297"/>
      <c r="C14" s="1815" cm="1">
        <f t="array" aca="1" ref="C14" ca="1">IF(ROW()-ROW($A$7)&lt;'الف-ب-ج'!$L$9,IF(روکش!$F$9="سه ماهه",INDIRECT("BudgetDB!KR"&amp;('الف-ب-ج'!$M$9+ROW()-ROW($A$7))),INDIRECT("BudgetDB!KS"&amp;('الف-ب-ج'!$M$9+ROW()-ROW($A$7)))),"")</f>
        <v>0</v>
      </c>
      <c r="D14" s="2299"/>
      <c r="E14" s="1805" t="str">
        <f t="shared" si="0"/>
        <v>-</v>
      </c>
      <c r="F14" s="1805" t="str">
        <f t="shared" ca="1" si="1"/>
        <v>-</v>
      </c>
      <c r="G14" s="2291">
        <f t="shared" ca="1" si="5"/>
        <v>500</v>
      </c>
      <c r="H14" s="1501">
        <f t="shared" ca="1" si="2"/>
        <v>0</v>
      </c>
      <c r="K14" s="1081" t="e">
        <f t="shared" ca="1" si="3"/>
        <v>#DIV/0!</v>
      </c>
      <c r="L14" s="41" t="e">
        <f t="shared" ca="1" si="4"/>
        <v>#DIV/0!</v>
      </c>
    </row>
    <row r="15" spans="1:12" ht="26.1" customHeight="1">
      <c r="A15" s="1817">
        <f ca="1">IF(ROW()-ROW($A$7)&lt;'الف-ب-ج'!$L$9,INDIRECT("BudgetDB!KQ"&amp;('الف-ب-ج'!$M$9+ROW()-ROW($A$7))),"")</f>
        <v>0</v>
      </c>
      <c r="B15" s="2297"/>
      <c r="C15" s="1815" cm="1">
        <f t="array" aca="1" ref="C15" ca="1">IF(ROW()-ROW($A$7)&lt;'الف-ب-ج'!$L$9,IF(روکش!$F$9="سه ماهه",INDIRECT("BudgetDB!KR"&amp;('الف-ب-ج'!$M$9+ROW()-ROW($A$7))),INDIRECT("BudgetDB!KS"&amp;('الف-ب-ج'!$M$9+ROW()-ROW($A$7)))),"")</f>
        <v>0</v>
      </c>
      <c r="D15" s="2299"/>
      <c r="E15" s="1805" t="str">
        <f t="shared" si="0"/>
        <v>-</v>
      </c>
      <c r="F15" s="1805" t="str">
        <f t="shared" ca="1" si="1"/>
        <v>-</v>
      </c>
      <c r="G15" s="2291">
        <f t="shared" ca="1" si="5"/>
        <v>500</v>
      </c>
      <c r="H15" s="1501">
        <f t="shared" ca="1" si="2"/>
        <v>0</v>
      </c>
      <c r="K15" s="1081" t="e">
        <f t="shared" ca="1" si="3"/>
        <v>#DIV/0!</v>
      </c>
      <c r="L15" s="41" t="e">
        <f t="shared" ca="1" si="4"/>
        <v>#DIV/0!</v>
      </c>
    </row>
    <row r="16" spans="1:12" ht="26.1" customHeight="1">
      <c r="A16" s="1817">
        <f ca="1">IF(ROW()-ROW($A$7)&lt;'الف-ب-ج'!$L$9,INDIRECT("BudgetDB!KQ"&amp;('الف-ب-ج'!$M$9+ROW()-ROW($A$7))),"")</f>
        <v>0</v>
      </c>
      <c r="B16" s="2297"/>
      <c r="C16" s="1815" cm="1">
        <f t="array" aca="1" ref="C16" ca="1">IF(ROW()-ROW($A$7)&lt;'الف-ب-ج'!$L$9,IF(روکش!$F$9="سه ماهه",INDIRECT("BudgetDB!KR"&amp;('الف-ب-ج'!$M$9+ROW()-ROW($A$7))),INDIRECT("BudgetDB!KS"&amp;('الف-ب-ج'!$M$9+ROW()-ROW($A$7)))),"")</f>
        <v>0</v>
      </c>
      <c r="D16" s="2299"/>
      <c r="E16" s="1805" t="str">
        <f t="shared" si="0"/>
        <v>-</v>
      </c>
      <c r="F16" s="1805" t="str">
        <f t="shared" ca="1" si="1"/>
        <v>-</v>
      </c>
      <c r="G16" s="2291">
        <f t="shared" ca="1" si="5"/>
        <v>500</v>
      </c>
      <c r="H16" s="1501">
        <f t="shared" ca="1" si="2"/>
        <v>0</v>
      </c>
      <c r="K16" s="1081" t="e">
        <f t="shared" ca="1" si="3"/>
        <v>#DIV/0!</v>
      </c>
      <c r="L16" s="41" t="e">
        <f t="shared" ca="1" si="4"/>
        <v>#DIV/0!</v>
      </c>
    </row>
    <row r="17" spans="1:12" ht="26.1" customHeight="1">
      <c r="A17" s="1817">
        <f ca="1">IF(ROW()-ROW($A$7)&lt;'الف-ب-ج'!$L$9,INDIRECT("BudgetDB!KQ"&amp;('الف-ب-ج'!$M$9+ROW()-ROW($A$7))),"")</f>
        <v>0</v>
      </c>
      <c r="B17" s="2297"/>
      <c r="C17" s="1815" cm="1">
        <f t="array" aca="1" ref="C17" ca="1">IF(ROW()-ROW($A$7)&lt;'الف-ب-ج'!$L$9,IF(روکش!$F$9="سه ماهه",INDIRECT("BudgetDB!KR"&amp;('الف-ب-ج'!$M$9+ROW()-ROW($A$7))),INDIRECT("BudgetDB!KS"&amp;('الف-ب-ج'!$M$9+ROW()-ROW($A$7)))),"")</f>
        <v>0</v>
      </c>
      <c r="D17" s="2299"/>
      <c r="E17" s="1805" t="str">
        <f t="shared" si="0"/>
        <v>-</v>
      </c>
      <c r="F17" s="1805" t="str">
        <f t="shared" ca="1" si="1"/>
        <v>-</v>
      </c>
      <c r="G17" s="2291">
        <f t="shared" ca="1" si="5"/>
        <v>500</v>
      </c>
      <c r="H17" s="1501">
        <f t="shared" ca="1" si="2"/>
        <v>0</v>
      </c>
      <c r="K17" s="1081" t="e">
        <f t="shared" ca="1" si="3"/>
        <v>#DIV/0!</v>
      </c>
      <c r="L17" s="41" t="e">
        <f t="shared" ca="1" si="4"/>
        <v>#DIV/0!</v>
      </c>
    </row>
    <row r="18" spans="1:12" ht="26.1" customHeight="1">
      <c r="A18" s="1817">
        <f ca="1">IF(ROW()-ROW($A$7)&lt;'الف-ب-ج'!$L$9,INDIRECT("BudgetDB!KQ"&amp;('الف-ب-ج'!$M$9+ROW()-ROW($A$7))),"")</f>
        <v>0</v>
      </c>
      <c r="B18" s="2297"/>
      <c r="C18" s="1815" cm="1">
        <f t="array" aca="1" ref="C18" ca="1">IF(ROW()-ROW($A$7)&lt;'الف-ب-ج'!$L$9,IF(روکش!$F$9="سه ماهه",INDIRECT("BudgetDB!KR"&amp;('الف-ب-ج'!$M$9+ROW()-ROW($A$7))),INDIRECT("BudgetDB!KS"&amp;('الف-ب-ج'!$M$9+ROW()-ROW($A$7)))),"")</f>
        <v>0</v>
      </c>
      <c r="D18" s="2299"/>
      <c r="E18" s="1805" t="str">
        <f t="shared" si="0"/>
        <v>-</v>
      </c>
      <c r="F18" s="1805" t="str">
        <f t="shared" ca="1" si="1"/>
        <v>-</v>
      </c>
      <c r="G18" s="2291">
        <f t="shared" ca="1" si="5"/>
        <v>500</v>
      </c>
      <c r="H18" s="1501">
        <f t="shared" ca="1" si="2"/>
        <v>0</v>
      </c>
      <c r="K18" s="1081" t="e">
        <f t="shared" ca="1" si="3"/>
        <v>#DIV/0!</v>
      </c>
      <c r="L18" s="41" t="e">
        <f t="shared" ca="1" si="4"/>
        <v>#DIV/0!</v>
      </c>
    </row>
    <row r="19" spans="1:12" ht="26.1" customHeight="1">
      <c r="A19" s="585">
        <f ca="1">IF(ROW()-ROW($A$7)&lt;'الف-ب-ج'!$L$9,INDIRECT("BudgetDB!KQ"&amp;('الف-ب-ج'!$M$9+ROW()-ROW($A$7))),"")</f>
        <v>0</v>
      </c>
      <c r="B19" s="1155"/>
      <c r="C19" s="1815" cm="1">
        <f t="array" aca="1" ref="C19" ca="1">IF(ROW()-ROW($A$7)&lt;'الف-ب-ج'!$L$9,IF(روکش!$F$9="سه ماهه",INDIRECT("BudgetDB!KR"&amp;('الف-ب-ج'!$M$9+ROW()-ROW($A$7))),INDIRECT("BudgetDB!KS"&amp;('الف-ب-ج'!$M$9+ROW()-ROW($A$7)))),"")</f>
        <v>0</v>
      </c>
      <c r="D19" s="692"/>
      <c r="E19" s="1805" t="str">
        <f t="shared" si="0"/>
        <v>-</v>
      </c>
      <c r="F19" s="1805" t="str">
        <f t="shared" ca="1" si="1"/>
        <v>-</v>
      </c>
      <c r="G19" s="2291">
        <f t="shared" ca="1" si="5"/>
        <v>500</v>
      </c>
      <c r="H19" s="1501">
        <f t="shared" ca="1" si="2"/>
        <v>0</v>
      </c>
      <c r="K19" s="1081" t="e">
        <f t="shared" ca="1" si="3"/>
        <v>#DIV/0!</v>
      </c>
      <c r="L19" s="41" t="e">
        <f t="shared" ca="1" si="4"/>
        <v>#DIV/0!</v>
      </c>
    </row>
    <row r="20" spans="1:12" ht="26.1" customHeight="1">
      <c r="A20" s="583">
        <f ca="1">IF(ROW()-ROW($A$7)&lt;'الف-ب-ج'!$L$9,INDIRECT("BudgetDB!KQ"&amp;('الف-ب-ج'!$M$9+ROW()-ROW($A$7))),"")</f>
        <v>0</v>
      </c>
      <c r="B20" s="1156"/>
      <c r="C20" s="1816" cm="1">
        <f t="array" aca="1" ref="C20" ca="1">IF(ROW()-ROW($A$7)&lt;'الف-ب-ج'!$L$9,IF(روکش!$F$9="سه ماهه",INDIRECT("BudgetDB!KR"&amp;('الف-ب-ج'!$M$9+ROW()-ROW($A$7))),INDIRECT("BudgetDB!KS"&amp;('الف-ب-ج'!$M$9+ROW()-ROW($A$7)))),"")</f>
        <v>0</v>
      </c>
      <c r="D20" s="273"/>
      <c r="E20" s="1806" t="str">
        <f t="shared" si="0"/>
        <v>-</v>
      </c>
      <c r="F20" s="1806" t="str">
        <f t="shared" ca="1" si="1"/>
        <v>-</v>
      </c>
      <c r="G20" s="2292">
        <f t="shared" ca="1" si="5"/>
        <v>500</v>
      </c>
      <c r="H20" s="1501">
        <f t="shared" ca="1" si="2"/>
        <v>0</v>
      </c>
      <c r="K20" s="1081" t="e">
        <f t="shared" ca="1" si="3"/>
        <v>#DIV/0!</v>
      </c>
      <c r="L20" s="41" t="e">
        <f t="shared" ca="1" si="4"/>
        <v>#DIV/0!</v>
      </c>
    </row>
    <row r="21" spans="1:12" ht="26.1" customHeight="1">
      <c r="A21" s="583">
        <f ca="1">IF(ROW()-ROW($A$7)&lt;'الف-ب-ج'!$L$9,INDIRECT("BudgetDB!KQ"&amp;('الف-ب-ج'!$M$9+ROW()-ROW($A$7))),"")</f>
        <v>0</v>
      </c>
      <c r="B21" s="1156"/>
      <c r="C21" s="1816" cm="1">
        <f t="array" aca="1" ref="C21" ca="1">IF(ROW()-ROW($A$7)&lt;'الف-ب-ج'!$L$9,IF(روکش!$F$9="سه ماهه",INDIRECT("BudgetDB!KR"&amp;('الف-ب-ج'!$M$9+ROW()-ROW($A$7))),INDIRECT("BudgetDB!KS"&amp;('الف-ب-ج'!$M$9+ROW()-ROW($A$7)))),"")</f>
        <v>0</v>
      </c>
      <c r="D21" s="273"/>
      <c r="E21" s="1806" t="str">
        <f t="shared" si="0"/>
        <v>-</v>
      </c>
      <c r="F21" s="1806" t="str">
        <f t="shared" ca="1" si="1"/>
        <v>-</v>
      </c>
      <c r="G21" s="2292">
        <f t="shared" ca="1" si="5"/>
        <v>500</v>
      </c>
      <c r="H21" s="1193">
        <f t="shared" ref="H21:H38" ca="1" si="6">B21+C21+D21</f>
        <v>0</v>
      </c>
      <c r="K21" s="1081" t="e">
        <f t="shared" ca="1" si="3"/>
        <v>#DIV/0!</v>
      </c>
      <c r="L21" s="41" t="e">
        <f t="shared" ca="1" si="4"/>
        <v>#DIV/0!</v>
      </c>
    </row>
    <row r="22" spans="1:12" s="86" customFormat="1" ht="24.75" thickBot="1">
      <c r="A22" s="1827" t="s">
        <v>195</v>
      </c>
      <c r="B22" s="1807">
        <f>SUM(B7:B21)</f>
        <v>0</v>
      </c>
      <c r="C22" s="1808">
        <f ca="1">SUM(C7:C21)</f>
        <v>0</v>
      </c>
      <c r="D22" s="1809">
        <f>SUM(D7:D21)</f>
        <v>0</v>
      </c>
      <c r="E22" s="1810" t="str">
        <f>IFERROR((D22-B22)*100/B22,"-")</f>
        <v>-</v>
      </c>
      <c r="F22" s="1810" t="str">
        <f ca="1">IFERROR(D22*100/C22,"-")</f>
        <v>-</v>
      </c>
      <c r="G22" s="2293">
        <f t="shared" ca="1" si="5"/>
        <v>500</v>
      </c>
      <c r="H22" s="1193" t="s">
        <v>206</v>
      </c>
      <c r="K22" s="1191"/>
      <c r="L22" s="1191"/>
    </row>
    <row r="23" spans="1:12" s="86" customFormat="1" ht="24">
      <c r="A23" s="1801" t="s">
        <v>1496</v>
      </c>
      <c r="B23" s="1811"/>
      <c r="C23" s="1811"/>
      <c r="D23" s="1811"/>
      <c r="E23" s="1811"/>
      <c r="F23" s="1811"/>
      <c r="G23" s="1812"/>
      <c r="H23" s="1193" t="s">
        <v>206</v>
      </c>
      <c r="K23" s="1191"/>
      <c r="L23" s="1191"/>
    </row>
    <row r="24" spans="1:12" s="86" customFormat="1" ht="26.1" customHeight="1">
      <c r="A24" s="1819">
        <f ca="1">IF(ROW()-ROW($A$24)&lt;'الف-ب-ج'!$L$9,INDIRECT("BudgetDB!KT"&amp;('الف-ب-ج'!$M$9+ROW()-ROW($A$24))),"")</f>
        <v>0</v>
      </c>
      <c r="B24" s="1157"/>
      <c r="C24" s="1814" cm="1">
        <f t="array" aca="1" ref="C24" ca="1">IF(ROW()-ROW($A$24)&lt;'الف-ب-ج'!$L$9,IF(روکش!$F$9="سه ماهه",INDIRECT("BudgetDB!KU"&amp;('الف-ب-ج'!$M$9+ROW()-ROW($A$24))),INDIRECT("BudgetDB!KV"&amp;('الف-ب-ج'!$M$9+ROW()-ROW($A$24)))),"")</f>
        <v>0</v>
      </c>
      <c r="D24" s="272"/>
      <c r="E24" s="1805" t="str">
        <f>IFERROR((D24-B24)*100/B24,"-")</f>
        <v>-</v>
      </c>
      <c r="F24" s="1805" t="str">
        <f ca="1">IFERROR(D24*100/C24,"-")</f>
        <v>-</v>
      </c>
      <c r="G24" s="2291">
        <f t="shared" ca="1" si="5"/>
        <v>500</v>
      </c>
      <c r="H24" s="1193">
        <f t="shared" ca="1" si="6"/>
        <v>0</v>
      </c>
      <c r="K24" s="1081" t="e">
        <f ca="1">AND(COUNTIF($A24,"*سایر*")=1,$B24/$B$39&gt;0.2)</f>
        <v>#DIV/0!</v>
      </c>
      <c r="L24" s="41" t="e">
        <f ca="1">AND(COUNTIF($A24,"*سایر*")=1,$D24/$D$39&gt;0.2)</f>
        <v>#DIV/0!</v>
      </c>
    </row>
    <row r="25" spans="1:12" s="86" customFormat="1" ht="26.1" customHeight="1">
      <c r="A25" s="1820">
        <f ca="1">IF(ROW()-ROW($A$24)&lt;'الف-ب-ج'!$L$9,INDIRECT("BudgetDB!KT"&amp;('الف-ب-ج'!$M$9+ROW()-ROW($A$24))),"")</f>
        <v>0</v>
      </c>
      <c r="B25" s="1158"/>
      <c r="C25" s="1815" cm="1">
        <f t="array" aca="1" ref="C25" ca="1">IF(ROW()-ROW($A$24)&lt;'الف-ب-ج'!$L$9,IF(روکش!$F$9="سه ماهه",INDIRECT("BudgetDB!KU"&amp;('الف-ب-ج'!$M$9+ROW()-ROW($A$24))),INDIRECT("BudgetDB!KV"&amp;('الف-ب-ج'!$M$9+ROW()-ROW($A$24)))),"")</f>
        <v>0</v>
      </c>
      <c r="D25" s="692"/>
      <c r="E25" s="1805" t="str">
        <f t="shared" ref="E25:E38" si="7">IFERROR((D25-B25)*100/B25,"-")</f>
        <v>-</v>
      </c>
      <c r="F25" s="1805" t="str">
        <f t="shared" ref="F25:F38" ca="1" si="8">IFERROR(D25*100/C25,"-")</f>
        <v>-</v>
      </c>
      <c r="G25" s="2291">
        <f t="shared" ca="1" si="5"/>
        <v>500</v>
      </c>
      <c r="H25" s="1193">
        <f t="shared" ca="1" si="6"/>
        <v>0</v>
      </c>
      <c r="K25" s="1081" t="e">
        <f t="shared" ref="K25:K39" ca="1" si="9">AND(COUNTIF($A25,"*سایر*")=1,$B25/$B$39&gt;0.2)</f>
        <v>#DIV/0!</v>
      </c>
      <c r="L25" s="41" t="e">
        <f t="shared" ref="L25:L39" ca="1" si="10">AND(COUNTIF($A25,"*سایر*")=1,$D25/$D$39&gt;0.2)</f>
        <v>#DIV/0!</v>
      </c>
    </row>
    <row r="26" spans="1:12" s="86" customFormat="1" ht="26.1" customHeight="1">
      <c r="A26" s="1828">
        <f ca="1">IF(ROW()-ROW($A$24)&lt;'الف-ب-ج'!$L$9,INDIRECT("BudgetDB!KT"&amp;('الف-ب-ج'!$M$9+ROW()-ROW($A$24))),"")</f>
        <v>0</v>
      </c>
      <c r="B26" s="1818"/>
      <c r="C26" s="1829" cm="1">
        <f t="array" aca="1" ref="C26" ca="1">IF(ROW()-ROW($A$24)&lt;'الف-ب-ج'!$L$9,IF(روکش!$F$9="سه ماهه",INDIRECT("BudgetDB!KU"&amp;('الف-ب-ج'!$M$9+ROW()-ROW($A$24))),INDIRECT("BudgetDB!KV"&amp;('الف-ب-ج'!$M$9+ROW()-ROW($A$24)))),"")</f>
        <v>0</v>
      </c>
      <c r="D26" s="692"/>
      <c r="E26" s="1805" t="str">
        <f t="shared" si="7"/>
        <v>-</v>
      </c>
      <c r="F26" s="1805" t="str">
        <f t="shared" ca="1" si="8"/>
        <v>-</v>
      </c>
      <c r="G26" s="2291">
        <f t="shared" ca="1" si="5"/>
        <v>500</v>
      </c>
      <c r="H26" s="1193">
        <f t="shared" ca="1" si="6"/>
        <v>0</v>
      </c>
      <c r="K26" s="1081" t="e">
        <f t="shared" ca="1" si="9"/>
        <v>#DIV/0!</v>
      </c>
      <c r="L26" s="41" t="e">
        <f t="shared" ca="1" si="10"/>
        <v>#DIV/0!</v>
      </c>
    </row>
    <row r="27" spans="1:12" s="86" customFormat="1" ht="26.1" customHeight="1">
      <c r="A27" s="1828">
        <f ca="1">IF(ROW()-ROW($A$24)&lt;'الف-ب-ج'!$L$9,INDIRECT("BudgetDB!KT"&amp;('الف-ب-ج'!$M$9+ROW()-ROW($A$24))),"")</f>
        <v>0</v>
      </c>
      <c r="B27" s="1818"/>
      <c r="C27" s="1829" cm="1">
        <f t="array" aca="1" ref="C27" ca="1">IF(ROW()-ROW($A$24)&lt;'الف-ب-ج'!$L$9,IF(روکش!$F$9="سه ماهه",INDIRECT("BudgetDB!KU"&amp;('الف-ب-ج'!$M$9+ROW()-ROW($A$24))),INDIRECT("BudgetDB!KV"&amp;('الف-ب-ج'!$M$9+ROW()-ROW($A$24)))),"")</f>
        <v>0</v>
      </c>
      <c r="D27" s="692"/>
      <c r="E27" s="1805" t="str">
        <f t="shared" si="7"/>
        <v>-</v>
      </c>
      <c r="F27" s="1805" t="str">
        <f t="shared" ca="1" si="8"/>
        <v>-</v>
      </c>
      <c r="G27" s="2291">
        <f t="shared" ca="1" si="5"/>
        <v>500</v>
      </c>
      <c r="H27" s="1193">
        <f t="shared" ca="1" si="6"/>
        <v>0</v>
      </c>
      <c r="K27" s="1081" t="e">
        <f t="shared" ca="1" si="9"/>
        <v>#DIV/0!</v>
      </c>
      <c r="L27" s="41" t="e">
        <f t="shared" ca="1" si="10"/>
        <v>#DIV/0!</v>
      </c>
    </row>
    <row r="28" spans="1:12" s="86" customFormat="1" ht="26.1" customHeight="1">
      <c r="A28" s="1828">
        <f ca="1">IF(ROW()-ROW($A$24)&lt;'الف-ب-ج'!$L$9,INDIRECT("BudgetDB!KT"&amp;('الف-ب-ج'!$M$9+ROW()-ROW($A$24))),"")</f>
        <v>0</v>
      </c>
      <c r="B28" s="1818"/>
      <c r="C28" s="1829" cm="1">
        <f t="array" aca="1" ref="C28" ca="1">IF(ROW()-ROW($A$24)&lt;'الف-ب-ج'!$L$9,IF(روکش!$F$9="سه ماهه",INDIRECT("BudgetDB!KU"&amp;('الف-ب-ج'!$M$9+ROW()-ROW($A$24))),INDIRECT("BudgetDB!KV"&amp;('الف-ب-ج'!$M$9+ROW()-ROW($A$24)))),"")</f>
        <v>0</v>
      </c>
      <c r="D28" s="692"/>
      <c r="E28" s="1805" t="str">
        <f t="shared" si="7"/>
        <v>-</v>
      </c>
      <c r="F28" s="1805" t="str">
        <f t="shared" ca="1" si="8"/>
        <v>-</v>
      </c>
      <c r="G28" s="2291">
        <f t="shared" ca="1" si="5"/>
        <v>500</v>
      </c>
      <c r="H28" s="1193">
        <f t="shared" ca="1" si="6"/>
        <v>0</v>
      </c>
      <c r="K28" s="1081" t="e">
        <f t="shared" ca="1" si="9"/>
        <v>#DIV/0!</v>
      </c>
      <c r="L28" s="41" t="e">
        <f t="shared" ca="1" si="10"/>
        <v>#DIV/0!</v>
      </c>
    </row>
    <row r="29" spans="1:12" s="86" customFormat="1" ht="26.1" customHeight="1">
      <c r="A29" s="1828">
        <f ca="1">IF(ROW()-ROW($A$24)&lt;'الف-ب-ج'!$L$9,INDIRECT("BudgetDB!KT"&amp;('الف-ب-ج'!$M$9+ROW()-ROW($A$24))),"")</f>
        <v>0</v>
      </c>
      <c r="B29" s="1818"/>
      <c r="C29" s="1829" cm="1">
        <f t="array" aca="1" ref="C29" ca="1">IF(ROW()-ROW($A$24)&lt;'الف-ب-ج'!$L$9,IF(روکش!$F$9="سه ماهه",INDIRECT("BudgetDB!KU"&amp;('الف-ب-ج'!$M$9+ROW()-ROW($A$24))),INDIRECT("BudgetDB!KV"&amp;('الف-ب-ج'!$M$9+ROW()-ROW($A$24)))),"")</f>
        <v>0</v>
      </c>
      <c r="D29" s="692"/>
      <c r="E29" s="1805" t="str">
        <f t="shared" si="7"/>
        <v>-</v>
      </c>
      <c r="F29" s="1805" t="str">
        <f t="shared" ca="1" si="8"/>
        <v>-</v>
      </c>
      <c r="G29" s="2291">
        <f t="shared" ca="1" si="5"/>
        <v>500</v>
      </c>
      <c r="H29" s="1193">
        <f t="shared" ca="1" si="6"/>
        <v>0</v>
      </c>
      <c r="K29" s="1081" t="e">
        <f t="shared" ca="1" si="9"/>
        <v>#DIV/0!</v>
      </c>
      <c r="L29" s="41" t="e">
        <f t="shared" ca="1" si="10"/>
        <v>#DIV/0!</v>
      </c>
    </row>
    <row r="30" spans="1:12" s="86" customFormat="1" ht="26.1" customHeight="1">
      <c r="A30" s="1828">
        <f ca="1">IF(ROW()-ROW($A$24)&lt;'الف-ب-ج'!$L$9,INDIRECT("BudgetDB!KT"&amp;('الف-ب-ج'!$M$9+ROW()-ROW($A$24))),"")</f>
        <v>0</v>
      </c>
      <c r="B30" s="1818"/>
      <c r="C30" s="1829" cm="1">
        <f t="array" aca="1" ref="C30" ca="1">IF(ROW()-ROW($A$24)&lt;'الف-ب-ج'!$L$9,IF(روکش!$F$9="سه ماهه",INDIRECT("BudgetDB!KU"&amp;('الف-ب-ج'!$M$9+ROW()-ROW($A$24))),INDIRECT("BudgetDB!KV"&amp;('الف-ب-ج'!$M$9+ROW()-ROW($A$24)))),"")</f>
        <v>0</v>
      </c>
      <c r="D30" s="692"/>
      <c r="E30" s="1805" t="str">
        <f t="shared" si="7"/>
        <v>-</v>
      </c>
      <c r="F30" s="1805" t="str">
        <f t="shared" ca="1" si="8"/>
        <v>-</v>
      </c>
      <c r="G30" s="2291">
        <f t="shared" ca="1" si="5"/>
        <v>500</v>
      </c>
      <c r="H30" s="1193">
        <f t="shared" ca="1" si="6"/>
        <v>0</v>
      </c>
      <c r="K30" s="1081" t="e">
        <f t="shared" ca="1" si="9"/>
        <v>#DIV/0!</v>
      </c>
      <c r="L30" s="41" t="e">
        <f t="shared" ca="1" si="10"/>
        <v>#DIV/0!</v>
      </c>
    </row>
    <row r="31" spans="1:12" s="86" customFormat="1" ht="26.1" customHeight="1">
      <c r="A31" s="1828">
        <f ca="1">IF(ROW()-ROW($A$24)&lt;'الف-ب-ج'!$L$9,INDIRECT("BudgetDB!KT"&amp;('الف-ب-ج'!$M$9+ROW()-ROW($A$24))),"")</f>
        <v>0</v>
      </c>
      <c r="B31" s="1818"/>
      <c r="C31" s="1829" cm="1">
        <f t="array" aca="1" ref="C31" ca="1">IF(ROW()-ROW($A$24)&lt;'الف-ب-ج'!$L$9,IF(روکش!$F$9="سه ماهه",INDIRECT("BudgetDB!KU"&amp;('الف-ب-ج'!$M$9+ROW()-ROW($A$24))),INDIRECT("BudgetDB!KV"&amp;('الف-ب-ج'!$M$9+ROW()-ROW($A$24)))),"")</f>
        <v>0</v>
      </c>
      <c r="D31" s="692"/>
      <c r="E31" s="1805" t="str">
        <f t="shared" si="7"/>
        <v>-</v>
      </c>
      <c r="F31" s="1805" t="str">
        <f t="shared" ca="1" si="8"/>
        <v>-</v>
      </c>
      <c r="G31" s="2291">
        <f t="shared" ca="1" si="5"/>
        <v>500</v>
      </c>
      <c r="H31" s="1193">
        <f t="shared" ca="1" si="6"/>
        <v>0</v>
      </c>
      <c r="K31" s="1081" t="e">
        <f t="shared" ca="1" si="9"/>
        <v>#DIV/0!</v>
      </c>
      <c r="L31" s="41" t="e">
        <f t="shared" ca="1" si="10"/>
        <v>#DIV/0!</v>
      </c>
    </row>
    <row r="32" spans="1:12" s="86" customFormat="1" ht="26.1" customHeight="1">
      <c r="A32" s="1828">
        <f ca="1">IF(ROW()-ROW($A$24)&lt;'الف-ب-ج'!$L$9,INDIRECT("BudgetDB!KT"&amp;('الف-ب-ج'!$M$9+ROW()-ROW($A$24))),"")</f>
        <v>0</v>
      </c>
      <c r="B32" s="1818"/>
      <c r="C32" s="1829" cm="1">
        <f t="array" aca="1" ref="C32" ca="1">IF(ROW()-ROW($A$24)&lt;'الف-ب-ج'!$L$9,IF(روکش!$F$9="سه ماهه",INDIRECT("BudgetDB!KU"&amp;('الف-ب-ج'!$M$9+ROW()-ROW($A$24))),INDIRECT("BudgetDB!KV"&amp;('الف-ب-ج'!$M$9+ROW()-ROW($A$24)))),"")</f>
        <v>0</v>
      </c>
      <c r="D32" s="692"/>
      <c r="E32" s="1805" t="str">
        <f t="shared" si="7"/>
        <v>-</v>
      </c>
      <c r="F32" s="1805" t="str">
        <f t="shared" ca="1" si="8"/>
        <v>-</v>
      </c>
      <c r="G32" s="2291">
        <f t="shared" ca="1" si="5"/>
        <v>500</v>
      </c>
      <c r="H32" s="1193">
        <f t="shared" ca="1" si="6"/>
        <v>0</v>
      </c>
      <c r="K32" s="1081" t="e">
        <f t="shared" ca="1" si="9"/>
        <v>#DIV/0!</v>
      </c>
      <c r="L32" s="41" t="e">
        <f t="shared" ca="1" si="10"/>
        <v>#DIV/0!</v>
      </c>
    </row>
    <row r="33" spans="1:12" s="86" customFormat="1" ht="26.1" customHeight="1">
      <c r="A33" s="1828">
        <f ca="1">IF(ROW()-ROW($A$24)&lt;'الف-ب-ج'!$L$9,INDIRECT("BudgetDB!KT"&amp;('الف-ب-ج'!$M$9+ROW()-ROW($A$24))),"")</f>
        <v>0</v>
      </c>
      <c r="B33" s="1818"/>
      <c r="C33" s="1829" cm="1">
        <f t="array" aca="1" ref="C33" ca="1">IF(ROW()-ROW($A$24)&lt;'الف-ب-ج'!$L$9,IF(روکش!$F$9="سه ماهه",INDIRECT("BudgetDB!KU"&amp;('الف-ب-ج'!$M$9+ROW()-ROW($A$24))),INDIRECT("BudgetDB!KV"&amp;('الف-ب-ج'!$M$9+ROW()-ROW($A$24)))),"")</f>
        <v>0</v>
      </c>
      <c r="D33" s="692"/>
      <c r="E33" s="1805" t="str">
        <f t="shared" si="7"/>
        <v>-</v>
      </c>
      <c r="F33" s="1805" t="str">
        <f t="shared" ca="1" si="8"/>
        <v>-</v>
      </c>
      <c r="G33" s="2291">
        <f t="shared" ca="1" si="5"/>
        <v>500</v>
      </c>
      <c r="H33" s="1193">
        <f t="shared" ca="1" si="6"/>
        <v>0</v>
      </c>
      <c r="K33" s="1081" t="e">
        <f t="shared" ca="1" si="9"/>
        <v>#DIV/0!</v>
      </c>
      <c r="L33" s="41" t="e">
        <f t="shared" ca="1" si="10"/>
        <v>#DIV/0!</v>
      </c>
    </row>
    <row r="34" spans="1:12" s="86" customFormat="1" ht="26.1" customHeight="1">
      <c r="A34" s="1828">
        <f ca="1">IF(ROW()-ROW($A$24)&lt;'الف-ب-ج'!$L$9,INDIRECT("BudgetDB!KT"&amp;('الف-ب-ج'!$M$9+ROW()-ROW($A$24))),"")</f>
        <v>0</v>
      </c>
      <c r="B34" s="1818"/>
      <c r="C34" s="1829" cm="1">
        <f t="array" aca="1" ref="C34" ca="1">IF(ROW()-ROW($A$24)&lt;'الف-ب-ج'!$L$9,IF(روکش!$F$9="سه ماهه",INDIRECT("BudgetDB!KU"&amp;('الف-ب-ج'!$M$9+ROW()-ROW($A$24))),INDIRECT("BudgetDB!KV"&amp;('الف-ب-ج'!$M$9+ROW()-ROW($A$24)))),"")</f>
        <v>0</v>
      </c>
      <c r="D34" s="692"/>
      <c r="E34" s="1805" t="str">
        <f t="shared" si="7"/>
        <v>-</v>
      </c>
      <c r="F34" s="1805" t="str">
        <f t="shared" ca="1" si="8"/>
        <v>-</v>
      </c>
      <c r="G34" s="2291">
        <f t="shared" ca="1" si="5"/>
        <v>500</v>
      </c>
      <c r="H34" s="1193">
        <f t="shared" ca="1" si="6"/>
        <v>0</v>
      </c>
      <c r="K34" s="1081" t="e">
        <f t="shared" ca="1" si="9"/>
        <v>#DIV/0!</v>
      </c>
      <c r="L34" s="41" t="e">
        <f t="shared" ca="1" si="10"/>
        <v>#DIV/0!</v>
      </c>
    </row>
    <row r="35" spans="1:12" s="86" customFormat="1" ht="26.1" customHeight="1">
      <c r="A35" s="1828">
        <f ca="1">IF(ROW()-ROW($A$24)&lt;'الف-ب-ج'!$L$9,INDIRECT("BudgetDB!KT"&amp;('الف-ب-ج'!$M$9+ROW()-ROW($A$24))),"")</f>
        <v>0</v>
      </c>
      <c r="B35" s="1818"/>
      <c r="C35" s="1829" cm="1">
        <f t="array" aca="1" ref="C35" ca="1">IF(ROW()-ROW($A$24)&lt;'الف-ب-ج'!$L$9,IF(روکش!$F$9="سه ماهه",INDIRECT("BudgetDB!KU"&amp;('الف-ب-ج'!$M$9+ROW()-ROW($A$24))),INDIRECT("BudgetDB!KV"&amp;('الف-ب-ج'!$M$9+ROW()-ROW($A$24)))),"")</f>
        <v>0</v>
      </c>
      <c r="D35" s="692"/>
      <c r="E35" s="1805" t="str">
        <f t="shared" si="7"/>
        <v>-</v>
      </c>
      <c r="F35" s="1805" t="str">
        <f t="shared" ca="1" si="8"/>
        <v>-</v>
      </c>
      <c r="G35" s="2291">
        <f t="shared" ca="1" si="5"/>
        <v>500</v>
      </c>
      <c r="H35" s="1193">
        <f t="shared" ca="1" si="6"/>
        <v>0</v>
      </c>
      <c r="K35" s="1081" t="e">
        <f t="shared" ca="1" si="9"/>
        <v>#DIV/0!</v>
      </c>
      <c r="L35" s="41" t="e">
        <f t="shared" ca="1" si="10"/>
        <v>#DIV/0!</v>
      </c>
    </row>
    <row r="36" spans="1:12" s="86" customFormat="1" ht="26.1" customHeight="1">
      <c r="A36" s="2050">
        <f ca="1">IF(ROW()-ROW($A$24)&lt;'الف-ب-ج'!$L$9,INDIRECT("BudgetDB!KT"&amp;('الف-ب-ج'!$M$9+ROW()-ROW($A$24))),"")</f>
        <v>0</v>
      </c>
      <c r="B36" s="1818"/>
      <c r="C36" s="1829" cm="1">
        <f t="array" aca="1" ref="C36" ca="1">IF(ROW()-ROW($A$24)&lt;'الف-ب-ج'!$L$9,IF(روکش!$F$9="سه ماهه",INDIRECT("BudgetDB!KU"&amp;('الف-ب-ج'!$M$9+ROW()-ROW($A$24))),INDIRECT("BudgetDB!KV"&amp;('الف-ب-ج'!$M$9+ROW()-ROW($A$24)))),"")</f>
        <v>0</v>
      </c>
      <c r="D36" s="692"/>
      <c r="E36" s="1805" t="str">
        <f t="shared" si="7"/>
        <v>-</v>
      </c>
      <c r="F36" s="1805" t="str">
        <f t="shared" ca="1" si="8"/>
        <v>-</v>
      </c>
      <c r="G36" s="2291">
        <f t="shared" ca="1" si="5"/>
        <v>500</v>
      </c>
      <c r="H36" s="1193">
        <f t="shared" ca="1" si="6"/>
        <v>0</v>
      </c>
      <c r="K36" s="1081" t="e">
        <f t="shared" ca="1" si="9"/>
        <v>#DIV/0!</v>
      </c>
      <c r="L36" s="41" t="e">
        <f t="shared" ca="1" si="10"/>
        <v>#DIV/0!</v>
      </c>
    </row>
    <row r="37" spans="1:12" s="86" customFormat="1" ht="26.1" customHeight="1">
      <c r="A37" s="2050">
        <f ca="1">IF(ROW()-ROW($A$24)&lt;'الف-ب-ج'!$L$9,INDIRECT("BudgetDB!KT"&amp;('الف-ب-ج'!$M$9+ROW()-ROW($A$24))),"")</f>
        <v>0</v>
      </c>
      <c r="B37" s="1159"/>
      <c r="C37" s="1830" cm="1">
        <f t="array" aca="1" ref="C37" ca="1">IF(ROW()-ROW($A$24)&lt;'الف-ب-ج'!$L$9,IF(روکش!$F$9="سه ماهه",INDIRECT("BudgetDB!KU"&amp;('الف-ب-ج'!$M$9+ROW()-ROW($A$24))),INDIRECT("BudgetDB!KV"&amp;('الف-ب-ج'!$M$9+ROW()-ROW($A$24)))),"")</f>
        <v>0</v>
      </c>
      <c r="D37" s="273"/>
      <c r="E37" s="1806" t="str">
        <f t="shared" si="7"/>
        <v>-</v>
      </c>
      <c r="F37" s="1806" t="str">
        <f t="shared" ca="1" si="8"/>
        <v>-</v>
      </c>
      <c r="G37" s="2292">
        <f t="shared" ca="1" si="5"/>
        <v>500</v>
      </c>
      <c r="H37" s="1193">
        <f t="shared" ca="1" si="6"/>
        <v>0</v>
      </c>
      <c r="K37" s="1081" t="e">
        <f t="shared" ca="1" si="9"/>
        <v>#DIV/0!</v>
      </c>
      <c r="L37" s="41" t="e">
        <f t="shared" ca="1" si="10"/>
        <v>#DIV/0!</v>
      </c>
    </row>
    <row r="38" spans="1:12" s="86" customFormat="1" ht="26.1" customHeight="1">
      <c r="A38" s="2050">
        <f ca="1">IF(ROW()-ROW($A$24)&lt;'الف-ب-ج'!$L$9,INDIRECT("BudgetDB!KT"&amp;('الف-ب-ج'!$M$9+ROW()-ROW($A$24))),"")</f>
        <v>0</v>
      </c>
      <c r="B38" s="1159"/>
      <c r="C38" s="1830" cm="1">
        <f t="array" aca="1" ref="C38" ca="1">IF(ROW()-ROW($A$24)&lt;'الف-ب-ج'!$L$9,IF(روکش!$F$9="سه ماهه",INDIRECT("BudgetDB!KU"&amp;('الف-ب-ج'!$M$9+ROW()-ROW($A$24))),INDIRECT("BudgetDB!KV"&amp;('الف-ب-ج'!$M$9+ROW()-ROW($A$24)))),"")</f>
        <v>0</v>
      </c>
      <c r="D38" s="273"/>
      <c r="E38" s="1806" t="str">
        <f t="shared" si="7"/>
        <v>-</v>
      </c>
      <c r="F38" s="1806" t="str">
        <f t="shared" ca="1" si="8"/>
        <v>-</v>
      </c>
      <c r="G38" s="2292">
        <f t="shared" ca="1" si="5"/>
        <v>500</v>
      </c>
      <c r="H38" s="1193">
        <f t="shared" ca="1" si="6"/>
        <v>0</v>
      </c>
      <c r="K38" s="1081" t="e">
        <f t="shared" ca="1" si="9"/>
        <v>#DIV/0!</v>
      </c>
      <c r="L38" s="41" t="e">
        <f t="shared" ca="1" si="10"/>
        <v>#DIV/0!</v>
      </c>
    </row>
    <row r="39" spans="1:12" s="86" customFormat="1" ht="26.1" customHeight="1" thickBot="1">
      <c r="A39" s="1821" t="s">
        <v>1497</v>
      </c>
      <c r="B39" s="1807">
        <f>SUM(B24:B38)</f>
        <v>0</v>
      </c>
      <c r="C39" s="1813">
        <f ca="1">SUM(C24:C38)</f>
        <v>0</v>
      </c>
      <c r="D39" s="1809">
        <f>SUM(D24:D38)</f>
        <v>0</v>
      </c>
      <c r="E39" s="1810" t="str">
        <f>IFERROR((D39-B39)*100/B39,"-")</f>
        <v>-</v>
      </c>
      <c r="F39" s="1810" t="str">
        <f ca="1">IFERROR(D39*100/C39,"-")</f>
        <v>-</v>
      </c>
      <c r="G39" s="2293">
        <f t="shared" ca="1" si="5"/>
        <v>500</v>
      </c>
      <c r="H39" s="1193" t="s">
        <v>206</v>
      </c>
      <c r="K39" s="1081" t="e">
        <f t="shared" si="9"/>
        <v>#DIV/0!</v>
      </c>
      <c r="L39" s="41" t="e">
        <f t="shared" si="10"/>
        <v>#DIV/0!</v>
      </c>
    </row>
    <row r="40" spans="1:12" s="86" customFormat="1" ht="26.1" customHeight="1" thickBot="1">
      <c r="A40" s="1822" t="s">
        <v>1500</v>
      </c>
      <c r="B40" s="1823">
        <f>B22-B39</f>
        <v>0</v>
      </c>
      <c r="C40" s="1824">
        <f ca="1">C22-C39</f>
        <v>0</v>
      </c>
      <c r="D40" s="1825">
        <f>D22-D39</f>
        <v>0</v>
      </c>
      <c r="E40" s="1826" t="str">
        <f>IFERROR((D40-B40)*100/B40,"-")</f>
        <v>-</v>
      </c>
      <c r="F40" s="1826" t="str">
        <f ca="1">IFERROR(D40*100/C40,"-")</f>
        <v>-</v>
      </c>
      <c r="G40" s="2294">
        <f t="shared" ca="1" si="5"/>
        <v>500</v>
      </c>
      <c r="H40" s="1193" t="s">
        <v>206</v>
      </c>
      <c r="K40" s="1191"/>
      <c r="L40" s="1191"/>
    </row>
    <row r="41" spans="1:12" s="86" customFormat="1">
      <c r="A41" s="24"/>
      <c r="B41" s="24"/>
      <c r="C41" s="24"/>
      <c r="D41" s="24"/>
      <c r="E41" s="24"/>
      <c r="F41" s="24"/>
      <c r="H41" s="1193" t="s">
        <v>206</v>
      </c>
      <c r="K41" s="1191"/>
      <c r="L41" s="1191"/>
    </row>
    <row r="42" spans="1:12" s="86" customFormat="1">
      <c r="A42" s="8"/>
      <c r="B42" s="8"/>
      <c r="C42" s="8"/>
      <c r="D42" s="8"/>
      <c r="E42" s="8"/>
      <c r="F42" s="1"/>
      <c r="H42" s="1193" t="s">
        <v>206</v>
      </c>
      <c r="K42" s="1191"/>
      <c r="L42" s="1191"/>
    </row>
    <row r="43" spans="1:12" s="86" customFormat="1">
      <c r="A43" s="44"/>
      <c r="B43" s="1"/>
      <c r="C43" s="1"/>
      <c r="D43" s="1"/>
      <c r="E43" s="1"/>
      <c r="F43" s="1"/>
      <c r="H43" s="1193" t="s">
        <v>206</v>
      </c>
      <c r="K43" s="1191"/>
      <c r="L43" s="1191"/>
    </row>
    <row r="44" spans="1:12">
      <c r="H44" s="1193" t="s">
        <v>206</v>
      </c>
    </row>
    <row r="45" spans="1:12">
      <c r="H45" s="1193" t="s">
        <v>206</v>
      </c>
    </row>
    <row r="46" spans="1:12">
      <c r="H46" s="1193" t="s">
        <v>206</v>
      </c>
    </row>
    <row r="47" spans="1:12">
      <c r="H47" s="1193" t="s">
        <v>206</v>
      </c>
    </row>
    <row r="48" spans="1:12">
      <c r="H48" s="1193" t="s">
        <v>206</v>
      </c>
    </row>
    <row r="49" spans="8:8">
      <c r="H49" s="1193" t="s">
        <v>206</v>
      </c>
    </row>
    <row r="50" spans="8:8">
      <c r="H50" s="1193" t="s">
        <v>206</v>
      </c>
    </row>
    <row r="51" spans="8:8">
      <c r="H51" s="1193" t="s">
        <v>206</v>
      </c>
    </row>
    <row r="52" spans="8:8">
      <c r="H52" s="1193" t="s">
        <v>206</v>
      </c>
    </row>
    <row r="53" spans="8:8">
      <c r="H53" s="1193" t="s">
        <v>206</v>
      </c>
    </row>
    <row r="54" spans="8:8">
      <c r="H54" s="1193" t="s">
        <v>206</v>
      </c>
    </row>
    <row r="55" spans="8:8">
      <c r="H55" s="1193" t="s">
        <v>206</v>
      </c>
    </row>
    <row r="56" spans="8:8">
      <c r="H56" s="1193" t="s">
        <v>206</v>
      </c>
    </row>
    <row r="57" spans="8:8">
      <c r="H57" s="1193" t="s">
        <v>206</v>
      </c>
    </row>
    <row r="58" spans="8:8">
      <c r="H58" s="1193" t="s">
        <v>206</v>
      </c>
    </row>
    <row r="59" spans="8:8">
      <c r="H59" s="1193" t="s">
        <v>206</v>
      </c>
    </row>
    <row r="60" spans="8:8">
      <c r="H60" s="1193" t="s">
        <v>206</v>
      </c>
    </row>
    <row r="61" spans="8:8">
      <c r="H61" s="1193" t="s">
        <v>206</v>
      </c>
    </row>
    <row r="62" spans="8:8">
      <c r="H62" s="1193" t="s">
        <v>206</v>
      </c>
    </row>
    <row r="63" spans="8:8">
      <c r="H63" s="1193" t="s">
        <v>206</v>
      </c>
    </row>
    <row r="64" spans="8:8">
      <c r="H64" s="1193" t="s">
        <v>206</v>
      </c>
    </row>
    <row r="65" spans="8:8">
      <c r="H65" s="1193" t="s">
        <v>206</v>
      </c>
    </row>
  </sheetData>
  <mergeCells count="4">
    <mergeCell ref="A4:A5"/>
    <mergeCell ref="B4:B5"/>
    <mergeCell ref="A1:G1"/>
    <mergeCell ref="F5:G5"/>
  </mergeCells>
  <conditionalFormatting sqref="G7:G22 G24:G40">
    <cfRule type="iconSet" priority="7">
      <iconSet iconSet="3Symbols" showValue="0" reverse="1">
        <cfvo type="percent" val="0"/>
        <cfvo type="num" val="10" gte="0"/>
        <cfvo type="num" val="40"/>
      </iconSet>
    </cfRule>
  </conditionalFormatting>
  <conditionalFormatting sqref="D7:D40">
    <cfRule type="expression" dxfId="315" priority="3">
      <formula>$L7=TRUE</formula>
    </cfRule>
  </conditionalFormatting>
  <conditionalFormatting sqref="B7:B40">
    <cfRule type="expression" dxfId="314" priority="2">
      <formula>$K7=TRUE</formula>
    </cfRule>
  </conditionalFormatting>
  <conditionalFormatting sqref="A7:A38">
    <cfRule type="expression" dxfId="313" priority="1">
      <formula>AND($A7=0,OR($B7&lt;&gt;0,$D7&lt;&gt;0))</formula>
    </cfRule>
  </conditionalFormatting>
  <printOptions horizontalCentered="1"/>
  <pageMargins left="0.59055118110236227" right="0.59055118110236227" top="0.19685039370078741" bottom="0.78740157480314965" header="0.19685039370078741" footer="0.19685039370078741"/>
  <pageSetup paperSize="9" scale="66"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6" id="{320FE9DE-AC46-43B4-A4D0-217DBDE747C0}">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54">
    <tabColor rgb="FFFFA07A"/>
    <pageSetUpPr fitToPage="1"/>
  </sheetPr>
  <dimension ref="A1:L43"/>
  <sheetViews>
    <sheetView rightToLeft="1" view="pageBreakPreview" zoomScale="60" zoomScaleNormal="85" workbookViewId="0">
      <selection activeCell="A18" sqref="A18"/>
    </sheetView>
  </sheetViews>
  <sheetFormatPr defaultColWidth="9" defaultRowHeight="21"/>
  <cols>
    <col min="1" max="1" width="50.5703125" style="1" customWidth="1"/>
    <col min="2" max="4" width="15.5703125" style="1" customWidth="1"/>
    <col min="5" max="5" width="14.85546875" style="1" customWidth="1"/>
    <col min="6" max="6" width="11.5703125" style="1" customWidth="1"/>
    <col min="7" max="7" width="3.7109375" style="86" customWidth="1"/>
    <col min="8" max="8" width="9" style="1" hidden="1" customWidth="1"/>
    <col min="9" max="9" width="0" style="86" hidden="1" customWidth="1"/>
    <col min="10" max="13" width="0" style="1" hidden="1" customWidth="1"/>
    <col min="14" max="16384" width="9" style="1"/>
  </cols>
  <sheetData>
    <row r="1" spans="1:12" s="52" customFormat="1" ht="24" customHeight="1">
      <c r="A1" s="2685" t="str">
        <f>روکش!D4</f>
        <v>انبارهای عمومی و خدمات گمرکی ایران</v>
      </c>
      <c r="B1" s="2685"/>
      <c r="C1" s="2685"/>
      <c r="D1" s="2685"/>
      <c r="E1" s="2685"/>
      <c r="F1" s="2685"/>
      <c r="G1" s="2685"/>
      <c r="H1" s="249"/>
      <c r="I1" s="88"/>
    </row>
    <row r="2" spans="1:12" s="5" customFormat="1" ht="28.5" customHeight="1">
      <c r="A2" s="1206" t="str">
        <f>"ساير درآمدها و هزينه‌هاي غیرعملياتي آزادراه در دوره " &amp; روکش!F9 &amp; " سال " &amp; روکش!D9</f>
        <v>ساير درآمدها و هزينه‌هاي غیرعملياتي آزادراه در دوره شش ماهه سال 1405</v>
      </c>
      <c r="B2" s="1249"/>
      <c r="C2" s="1203"/>
      <c r="D2" s="1203"/>
      <c r="E2" s="1203"/>
      <c r="F2" s="1203"/>
      <c r="G2" s="2290"/>
      <c r="H2" s="212"/>
      <c r="I2" s="79"/>
    </row>
    <row r="3" spans="1:12" ht="20.100000000000001" customHeight="1" thickBot="1">
      <c r="A3" s="398"/>
      <c r="B3" s="398"/>
      <c r="C3" s="584"/>
      <c r="D3" s="398"/>
      <c r="E3" s="398"/>
      <c r="F3" s="1208" t="s">
        <v>30</v>
      </c>
    </row>
    <row r="4" spans="1:12" ht="35.1" customHeight="1">
      <c r="A4" s="3089" t="s">
        <v>21</v>
      </c>
      <c r="B4" s="3091" t="s">
        <v>693</v>
      </c>
      <c r="C4" s="1434" t="s">
        <v>642</v>
      </c>
      <c r="D4" s="1435"/>
      <c r="E4" s="1435"/>
      <c r="F4" s="2213"/>
      <c r="G4" s="1376"/>
      <c r="H4" s="1193"/>
    </row>
    <row r="5" spans="1:12" ht="73.5" customHeight="1" thickBot="1">
      <c r="A5" s="3090"/>
      <c r="B5" s="3092"/>
      <c r="C5" s="713" t="s">
        <v>53</v>
      </c>
      <c r="D5" s="714" t="s">
        <v>216</v>
      </c>
      <c r="E5" s="714" t="s">
        <v>804</v>
      </c>
      <c r="F5" s="2875" t="s">
        <v>230</v>
      </c>
      <c r="G5" s="2876"/>
      <c r="H5" s="1193" t="s">
        <v>792</v>
      </c>
    </row>
    <row r="6" spans="1:12" ht="26.1" customHeight="1">
      <c r="A6" s="1801" t="s">
        <v>1955</v>
      </c>
      <c r="B6" s="1802"/>
      <c r="C6" s="1802"/>
      <c r="D6" s="2295"/>
      <c r="E6" s="1802"/>
      <c r="F6" s="1802"/>
      <c r="G6" s="1803"/>
      <c r="H6" s="1193" t="s">
        <v>206</v>
      </c>
      <c r="K6" s="1193"/>
      <c r="L6" s="1193"/>
    </row>
    <row r="7" spans="1:12" ht="26.1" customHeight="1">
      <c r="A7" s="1817">
        <f ca="1">IF(ROW()-ROW($A$7)&lt;'الف-ب-ج'!$L$9,INDIRECT("BudgetDB!KW"&amp;('الف-ب-ج'!$M$9+ROW()-ROW($A$7))),"")</f>
        <v>0</v>
      </c>
      <c r="B7" s="2296"/>
      <c r="C7" s="1814" cm="1">
        <f t="array" aca="1" ref="C7" ca="1">IF(ROW()-ROW($A$7)&lt;'الف-ب-ج'!$L$9,IF(روکش!$F$9="سه ماهه",INDIRECT("BudgetDB!KX"&amp;('الف-ب-ج'!$M$9+ROW()-ROW($A$7))),INDIRECT("BudgetDB!KY"&amp;('الف-ب-ج'!$M$9+ROW()-ROW($A$7)))),"")</f>
        <v>0</v>
      </c>
      <c r="D7" s="2298"/>
      <c r="E7" s="1804" t="str">
        <f>IFERROR((D7-B7)*100/B7,"-")</f>
        <v>-</v>
      </c>
      <c r="F7" s="1805" t="str">
        <f ca="1">IFERROR(D7*100/C7,"-")</f>
        <v>-</v>
      </c>
      <c r="G7" s="2291">
        <f ca="1">IFERROR(ABS(F7-100),500)</f>
        <v>500</v>
      </c>
      <c r="H7" s="1501">
        <f ca="1">B7+C7+D7</f>
        <v>0</v>
      </c>
      <c r="K7" s="1081" t="e">
        <f ca="1">AND(COUNTIF($A7,"*سایر*")=1,$B7/$B$22&gt;0.2)</f>
        <v>#DIV/0!</v>
      </c>
      <c r="L7" s="41" t="e">
        <f ca="1">AND(COUNTIF($A7,"*سایر*")=1,$D7/$D$22&gt;0.2)</f>
        <v>#DIV/0!</v>
      </c>
    </row>
    <row r="8" spans="1:12" ht="26.1" customHeight="1">
      <c r="A8" s="1817">
        <f ca="1">IF(ROW()-ROW($A$7)&lt;'الف-ب-ج'!$L$9,INDIRECT("BudgetDB!KW"&amp;('الف-ب-ج'!$M$9+ROW()-ROW($A$7))),"")</f>
        <v>0</v>
      </c>
      <c r="B8" s="2297"/>
      <c r="C8" s="1815" cm="1">
        <f t="array" aca="1" ref="C8" ca="1">IF(ROW()-ROW($A$7)&lt;'الف-ب-ج'!$L$9,IF(روکش!$F$9="سه ماهه",INDIRECT("BudgetDB!KX"&amp;('الف-ب-ج'!$M$9+ROW()-ROW($A$7))),INDIRECT("BudgetDB!KY"&amp;('الف-ب-ج'!$M$9+ROW()-ROW($A$7)))),"")</f>
        <v>0</v>
      </c>
      <c r="D8" s="2299"/>
      <c r="E8" s="1805" t="str">
        <f t="shared" ref="E8:E21" si="0">IFERROR((D8-B8)*100/B8,"-")</f>
        <v>-</v>
      </c>
      <c r="F8" s="1805" t="str">
        <f t="shared" ref="F8:F21" ca="1" si="1">IFERROR(D8*100/C8,"-")</f>
        <v>-</v>
      </c>
      <c r="G8" s="2291">
        <f ca="1">IFERROR(ABS(F8-100),500)</f>
        <v>500</v>
      </c>
      <c r="H8" s="1501">
        <f t="shared" ref="H8:H38" ca="1" si="2">B8+C8+D8</f>
        <v>0</v>
      </c>
      <c r="K8" s="1081" t="e">
        <f t="shared" ref="K8:K21" ca="1" si="3">AND(COUNTIF($A8,"*سایر*")=1,$B8/$B$22&gt;0.2)</f>
        <v>#DIV/0!</v>
      </c>
      <c r="L8" s="41" t="e">
        <f t="shared" ref="L8:L21" ca="1" si="4">AND(COUNTIF($A8,"*سایر*")=1,$D8/$D$22&gt;0.2)</f>
        <v>#DIV/0!</v>
      </c>
    </row>
    <row r="9" spans="1:12" ht="26.1" customHeight="1">
      <c r="A9" s="1817">
        <f ca="1">IF(ROW()-ROW($A$7)&lt;'الف-ب-ج'!$L$9,INDIRECT("BudgetDB!KW"&amp;('الف-ب-ج'!$M$9+ROW()-ROW($A$7))),"")</f>
        <v>0</v>
      </c>
      <c r="B9" s="2297"/>
      <c r="C9" s="1815" cm="1">
        <f t="array" aca="1" ref="C9" ca="1">IF(ROW()-ROW($A$7)&lt;'الف-ب-ج'!$L$9,IF(روکش!$F$9="سه ماهه",INDIRECT("BudgetDB!KX"&amp;('الف-ب-ج'!$M$9+ROW()-ROW($A$7))),INDIRECT("BudgetDB!KY"&amp;('الف-ب-ج'!$M$9+ROW()-ROW($A$7)))),"")</f>
        <v>0</v>
      </c>
      <c r="D9" s="2299"/>
      <c r="E9" s="1805" t="str">
        <f t="shared" si="0"/>
        <v>-</v>
      </c>
      <c r="F9" s="1805" t="str">
        <f t="shared" ca="1" si="1"/>
        <v>-</v>
      </c>
      <c r="G9" s="2291">
        <f ca="1">IFERROR(ABS(F9-100),500)</f>
        <v>500</v>
      </c>
      <c r="H9" s="1501">
        <f t="shared" ca="1" si="2"/>
        <v>0</v>
      </c>
      <c r="K9" s="1081" t="e">
        <f t="shared" ca="1" si="3"/>
        <v>#DIV/0!</v>
      </c>
      <c r="L9" s="41" t="e">
        <f t="shared" ca="1" si="4"/>
        <v>#DIV/0!</v>
      </c>
    </row>
    <row r="10" spans="1:12" ht="26.1" customHeight="1">
      <c r="A10" s="1817">
        <f ca="1">IF(ROW()-ROW($A$7)&lt;'الف-ب-ج'!$L$9,INDIRECT("BudgetDB!KW"&amp;('الف-ب-ج'!$M$9+ROW()-ROW($A$7))),"")</f>
        <v>0</v>
      </c>
      <c r="B10" s="2297"/>
      <c r="C10" s="1815" cm="1">
        <f t="array" aca="1" ref="C10" ca="1">IF(ROW()-ROW($A$7)&lt;'الف-ب-ج'!$L$9,IF(روکش!$F$9="سه ماهه",INDIRECT("BudgetDB!KX"&amp;('الف-ب-ج'!$M$9+ROW()-ROW($A$7))),INDIRECT("BudgetDB!KY"&amp;('الف-ب-ج'!$M$9+ROW()-ROW($A$7)))),"")</f>
        <v>0</v>
      </c>
      <c r="D10" s="2299"/>
      <c r="E10" s="1805" t="str">
        <f t="shared" si="0"/>
        <v>-</v>
      </c>
      <c r="F10" s="1805" t="str">
        <f t="shared" ca="1" si="1"/>
        <v>-</v>
      </c>
      <c r="G10" s="2291">
        <f ca="1">IFERROR(ABS(F10-100),500)</f>
        <v>500</v>
      </c>
      <c r="H10" s="1501">
        <f t="shared" ca="1" si="2"/>
        <v>0</v>
      </c>
      <c r="K10" s="1081" t="e">
        <f t="shared" ca="1" si="3"/>
        <v>#DIV/0!</v>
      </c>
      <c r="L10" s="41" t="e">
        <f t="shared" ca="1" si="4"/>
        <v>#DIV/0!</v>
      </c>
    </row>
    <row r="11" spans="1:12">
      <c r="A11" s="1817">
        <f ca="1">IF(ROW()-ROW($A$7)&lt;'الف-ب-ج'!$L$9,INDIRECT("BudgetDB!KW"&amp;('الف-ب-ج'!$M$9+ROW()-ROW($A$7))),"")</f>
        <v>0</v>
      </c>
      <c r="B11" s="2297"/>
      <c r="C11" s="1815" cm="1">
        <f t="array" aca="1" ref="C11" ca="1">IF(ROW()-ROW($A$7)&lt;'الف-ب-ج'!$L$9,IF(روکش!$F$9="سه ماهه",INDIRECT("BudgetDB!KX"&amp;('الف-ب-ج'!$M$9+ROW()-ROW($A$7))),INDIRECT("BudgetDB!KY"&amp;('الف-ب-ج'!$M$9+ROW()-ROW($A$7)))),"")</f>
        <v>0</v>
      </c>
      <c r="D11" s="2299"/>
      <c r="E11" s="1805" t="str">
        <f t="shared" si="0"/>
        <v>-</v>
      </c>
      <c r="F11" s="1805" t="str">
        <f t="shared" ca="1" si="1"/>
        <v>-</v>
      </c>
      <c r="G11" s="2291">
        <f ca="1">IFERROR(ABS(F11-100),500)</f>
        <v>500</v>
      </c>
      <c r="H11" s="1501">
        <f t="shared" ca="1" si="2"/>
        <v>0</v>
      </c>
      <c r="K11" s="1081" t="e">
        <f t="shared" ca="1" si="3"/>
        <v>#DIV/0!</v>
      </c>
      <c r="L11" s="41" t="e">
        <f t="shared" ca="1" si="4"/>
        <v>#DIV/0!</v>
      </c>
    </row>
    <row r="12" spans="1:12" ht="26.1" customHeight="1">
      <c r="A12" s="1817">
        <f ca="1">IF(ROW()-ROW($A$7)&lt;'الف-ب-ج'!$L$9,INDIRECT("BudgetDB!KW"&amp;('الف-ب-ج'!$M$9+ROW()-ROW($A$7))),"")</f>
        <v>0</v>
      </c>
      <c r="B12" s="2297"/>
      <c r="C12" s="1815" cm="1">
        <f t="array" aca="1" ref="C12" ca="1">IF(ROW()-ROW($A$7)&lt;'الف-ب-ج'!$L$9,IF(روکش!$F$9="سه ماهه",INDIRECT("BudgetDB!KX"&amp;('الف-ب-ج'!$M$9+ROW()-ROW($A$7))),INDIRECT("BudgetDB!KY"&amp;('الف-ب-ج'!$M$9+ROW()-ROW($A$7)))),"")</f>
        <v>0</v>
      </c>
      <c r="D12" s="2299"/>
      <c r="E12" s="1805" t="str">
        <f t="shared" si="0"/>
        <v>-</v>
      </c>
      <c r="F12" s="1805" t="str">
        <f t="shared" ca="1" si="1"/>
        <v>-</v>
      </c>
      <c r="G12" s="2291">
        <f t="shared" ref="G12:G40" ca="1" si="5">IFERROR(ABS(F12-100),500)</f>
        <v>500</v>
      </c>
      <c r="H12" s="1501">
        <f t="shared" ca="1" si="2"/>
        <v>0</v>
      </c>
      <c r="K12" s="1081" t="e">
        <f t="shared" ca="1" si="3"/>
        <v>#DIV/0!</v>
      </c>
      <c r="L12" s="41" t="e">
        <f t="shared" ca="1" si="4"/>
        <v>#DIV/0!</v>
      </c>
    </row>
    <row r="13" spans="1:12" ht="26.1" customHeight="1">
      <c r="A13" s="1817">
        <f ca="1">IF(ROW()-ROW($A$7)&lt;'الف-ب-ج'!$L$9,INDIRECT("BudgetDB!KW"&amp;('الف-ب-ج'!$M$9+ROW()-ROW($A$7))),"")</f>
        <v>0</v>
      </c>
      <c r="B13" s="2297"/>
      <c r="C13" s="1815" cm="1">
        <f t="array" aca="1" ref="C13" ca="1">IF(ROW()-ROW($A$7)&lt;'الف-ب-ج'!$L$9,IF(روکش!$F$9="سه ماهه",INDIRECT("BudgetDB!KX"&amp;('الف-ب-ج'!$M$9+ROW()-ROW($A$7))),INDIRECT("BudgetDB!KY"&amp;('الف-ب-ج'!$M$9+ROW()-ROW($A$7)))),"")</f>
        <v>0</v>
      </c>
      <c r="D13" s="2299"/>
      <c r="E13" s="1805" t="str">
        <f t="shared" si="0"/>
        <v>-</v>
      </c>
      <c r="F13" s="1805" t="str">
        <f t="shared" ca="1" si="1"/>
        <v>-</v>
      </c>
      <c r="G13" s="2291">
        <f t="shared" ca="1" si="5"/>
        <v>500</v>
      </c>
      <c r="H13" s="1501">
        <f t="shared" ca="1" si="2"/>
        <v>0</v>
      </c>
      <c r="K13" s="1081" t="e">
        <f t="shared" ca="1" si="3"/>
        <v>#DIV/0!</v>
      </c>
      <c r="L13" s="41" t="e">
        <f t="shared" ca="1" si="4"/>
        <v>#DIV/0!</v>
      </c>
    </row>
    <row r="14" spans="1:12" ht="26.1" customHeight="1">
      <c r="A14" s="1817">
        <f ca="1">IF(ROW()-ROW($A$7)&lt;'الف-ب-ج'!$L$9,INDIRECT("BudgetDB!KW"&amp;('الف-ب-ج'!$M$9+ROW()-ROW($A$7))),"")</f>
        <v>0</v>
      </c>
      <c r="B14" s="2297"/>
      <c r="C14" s="1815" cm="1">
        <f t="array" aca="1" ref="C14" ca="1">IF(ROW()-ROW($A$7)&lt;'الف-ب-ج'!$L$9,IF(روکش!$F$9="سه ماهه",INDIRECT("BudgetDB!KX"&amp;('الف-ب-ج'!$M$9+ROW()-ROW($A$7))),INDIRECT("BudgetDB!KY"&amp;('الف-ب-ج'!$M$9+ROW()-ROW($A$7)))),"")</f>
        <v>0</v>
      </c>
      <c r="D14" s="2299"/>
      <c r="E14" s="1805" t="str">
        <f t="shared" si="0"/>
        <v>-</v>
      </c>
      <c r="F14" s="1805" t="str">
        <f t="shared" ca="1" si="1"/>
        <v>-</v>
      </c>
      <c r="G14" s="2291">
        <f t="shared" ca="1" si="5"/>
        <v>500</v>
      </c>
      <c r="H14" s="1501">
        <f t="shared" ca="1" si="2"/>
        <v>0</v>
      </c>
      <c r="K14" s="1081" t="e">
        <f t="shared" ca="1" si="3"/>
        <v>#DIV/0!</v>
      </c>
      <c r="L14" s="41" t="e">
        <f t="shared" ca="1" si="4"/>
        <v>#DIV/0!</v>
      </c>
    </row>
    <row r="15" spans="1:12" ht="26.1" customHeight="1">
      <c r="A15" s="1817">
        <f ca="1">IF(ROW()-ROW($A$7)&lt;'الف-ب-ج'!$L$9,INDIRECT("BudgetDB!KW"&amp;('الف-ب-ج'!$M$9+ROW()-ROW($A$7))),"")</f>
        <v>0</v>
      </c>
      <c r="B15" s="2297"/>
      <c r="C15" s="1815" cm="1">
        <f t="array" aca="1" ref="C15" ca="1">IF(ROW()-ROW($A$7)&lt;'الف-ب-ج'!$L$9,IF(روکش!$F$9="سه ماهه",INDIRECT("BudgetDB!KX"&amp;('الف-ب-ج'!$M$9+ROW()-ROW($A$7))),INDIRECT("BudgetDB!KY"&amp;('الف-ب-ج'!$M$9+ROW()-ROW($A$7)))),"")</f>
        <v>0</v>
      </c>
      <c r="D15" s="2299"/>
      <c r="E15" s="1805" t="str">
        <f t="shared" si="0"/>
        <v>-</v>
      </c>
      <c r="F15" s="1805" t="str">
        <f t="shared" ca="1" si="1"/>
        <v>-</v>
      </c>
      <c r="G15" s="2291">
        <f t="shared" ca="1" si="5"/>
        <v>500</v>
      </c>
      <c r="H15" s="1501">
        <f t="shared" ca="1" si="2"/>
        <v>0</v>
      </c>
      <c r="K15" s="1081" t="e">
        <f t="shared" ca="1" si="3"/>
        <v>#DIV/0!</v>
      </c>
      <c r="L15" s="41" t="e">
        <f t="shared" ca="1" si="4"/>
        <v>#DIV/0!</v>
      </c>
    </row>
    <row r="16" spans="1:12" ht="26.1" customHeight="1">
      <c r="A16" s="1817">
        <f ca="1">IF(ROW()-ROW($A$7)&lt;'الف-ب-ج'!$L$9,INDIRECT("BudgetDB!KW"&amp;('الف-ب-ج'!$M$9+ROW()-ROW($A$7))),"")</f>
        <v>0</v>
      </c>
      <c r="B16" s="2297"/>
      <c r="C16" s="1815" cm="1">
        <f t="array" aca="1" ref="C16" ca="1">IF(ROW()-ROW($A$7)&lt;'الف-ب-ج'!$L$9,IF(روکش!$F$9="سه ماهه",INDIRECT("BudgetDB!KX"&amp;('الف-ب-ج'!$M$9+ROW()-ROW($A$7))),INDIRECT("BudgetDB!KY"&amp;('الف-ب-ج'!$M$9+ROW()-ROW($A$7)))),"")</f>
        <v>0</v>
      </c>
      <c r="D16" s="2299"/>
      <c r="E16" s="1805" t="str">
        <f t="shared" si="0"/>
        <v>-</v>
      </c>
      <c r="F16" s="1805" t="str">
        <f t="shared" ca="1" si="1"/>
        <v>-</v>
      </c>
      <c r="G16" s="2291">
        <f t="shared" ca="1" si="5"/>
        <v>500</v>
      </c>
      <c r="H16" s="1501">
        <f t="shared" ca="1" si="2"/>
        <v>0</v>
      </c>
      <c r="K16" s="1081" t="e">
        <f t="shared" ca="1" si="3"/>
        <v>#DIV/0!</v>
      </c>
      <c r="L16" s="41" t="e">
        <f t="shared" ca="1" si="4"/>
        <v>#DIV/0!</v>
      </c>
    </row>
    <row r="17" spans="1:12" ht="26.1" customHeight="1">
      <c r="A17" s="1817">
        <f ca="1">IF(ROW()-ROW($A$7)&lt;'الف-ب-ج'!$L$9,INDIRECT("BudgetDB!KW"&amp;('الف-ب-ج'!$M$9+ROW()-ROW($A$7))),"")</f>
        <v>0</v>
      </c>
      <c r="B17" s="2297"/>
      <c r="C17" s="1815" cm="1">
        <f t="array" aca="1" ref="C17" ca="1">IF(ROW()-ROW($A$7)&lt;'الف-ب-ج'!$L$9,IF(روکش!$F$9="سه ماهه",INDIRECT("BudgetDB!KX"&amp;('الف-ب-ج'!$M$9+ROW()-ROW($A$7))),INDIRECT("BudgetDB!KY"&amp;('الف-ب-ج'!$M$9+ROW()-ROW($A$7)))),"")</f>
        <v>0</v>
      </c>
      <c r="D17" s="2299"/>
      <c r="E17" s="1805" t="str">
        <f t="shared" si="0"/>
        <v>-</v>
      </c>
      <c r="F17" s="1805" t="str">
        <f t="shared" ca="1" si="1"/>
        <v>-</v>
      </c>
      <c r="G17" s="2291">
        <f t="shared" ca="1" si="5"/>
        <v>500</v>
      </c>
      <c r="H17" s="1501">
        <f t="shared" ca="1" si="2"/>
        <v>0</v>
      </c>
      <c r="K17" s="1081" t="e">
        <f t="shared" ca="1" si="3"/>
        <v>#DIV/0!</v>
      </c>
      <c r="L17" s="41" t="e">
        <f t="shared" ca="1" si="4"/>
        <v>#DIV/0!</v>
      </c>
    </row>
    <row r="18" spans="1:12" ht="26.1" customHeight="1">
      <c r="A18" s="1817">
        <f ca="1">IF(ROW()-ROW($A$7)&lt;'الف-ب-ج'!$L$9,INDIRECT("BudgetDB!KW"&amp;('الف-ب-ج'!$M$9+ROW()-ROW($A$7))),"")</f>
        <v>0</v>
      </c>
      <c r="B18" s="2297"/>
      <c r="C18" s="1815" cm="1">
        <f t="array" aca="1" ref="C18" ca="1">IF(ROW()-ROW($A$7)&lt;'الف-ب-ج'!$L$9,IF(روکش!$F$9="سه ماهه",INDIRECT("BudgetDB!KX"&amp;('الف-ب-ج'!$M$9+ROW()-ROW($A$7))),INDIRECT("BudgetDB!KY"&amp;('الف-ب-ج'!$M$9+ROW()-ROW($A$7)))),"")</f>
        <v>0</v>
      </c>
      <c r="D18" s="2299"/>
      <c r="E18" s="1805" t="str">
        <f t="shared" si="0"/>
        <v>-</v>
      </c>
      <c r="F18" s="1805" t="str">
        <f t="shared" ca="1" si="1"/>
        <v>-</v>
      </c>
      <c r="G18" s="2291">
        <f t="shared" ca="1" si="5"/>
        <v>500</v>
      </c>
      <c r="H18" s="1501">
        <f t="shared" ca="1" si="2"/>
        <v>0</v>
      </c>
      <c r="K18" s="1081" t="e">
        <f t="shared" ca="1" si="3"/>
        <v>#DIV/0!</v>
      </c>
      <c r="L18" s="41" t="e">
        <f t="shared" ca="1" si="4"/>
        <v>#DIV/0!</v>
      </c>
    </row>
    <row r="19" spans="1:12" ht="26.1" customHeight="1">
      <c r="A19" s="585">
        <f ca="1">IF(ROW()-ROW($A$7)&lt;'الف-ب-ج'!$L$9,INDIRECT("BudgetDB!KW"&amp;('الف-ب-ج'!$M$9+ROW()-ROW($A$7))),"")</f>
        <v>0</v>
      </c>
      <c r="B19" s="1155"/>
      <c r="C19" s="1815" cm="1">
        <f t="array" aca="1" ref="C19" ca="1">IF(ROW()-ROW($A$7)&lt;'الف-ب-ج'!$L$9,IF(روکش!$F$9="سه ماهه",INDIRECT("BudgetDB!KX"&amp;('الف-ب-ج'!$M$9+ROW()-ROW($A$7))),INDIRECT("BudgetDB!KY"&amp;('الف-ب-ج'!$M$9+ROW()-ROW($A$7)))),"")</f>
        <v>0</v>
      </c>
      <c r="D19" s="692"/>
      <c r="E19" s="1805" t="str">
        <f t="shared" si="0"/>
        <v>-</v>
      </c>
      <c r="F19" s="1805" t="str">
        <f t="shared" ca="1" si="1"/>
        <v>-</v>
      </c>
      <c r="G19" s="2291">
        <f t="shared" ca="1" si="5"/>
        <v>500</v>
      </c>
      <c r="H19" s="1501">
        <f t="shared" ca="1" si="2"/>
        <v>0</v>
      </c>
      <c r="K19" s="1081" t="e">
        <f t="shared" ca="1" si="3"/>
        <v>#DIV/0!</v>
      </c>
      <c r="L19" s="41" t="e">
        <f t="shared" ca="1" si="4"/>
        <v>#DIV/0!</v>
      </c>
    </row>
    <row r="20" spans="1:12" ht="26.1" customHeight="1">
      <c r="A20" s="583">
        <f ca="1">IF(ROW()-ROW($A$7)&lt;'الف-ب-ج'!$L$9,INDIRECT("BudgetDB!KW"&amp;('الف-ب-ج'!$M$9+ROW()-ROW($A$7))),"")</f>
        <v>0</v>
      </c>
      <c r="B20" s="1156"/>
      <c r="C20" s="1816" cm="1">
        <f t="array" aca="1" ref="C20" ca="1">IF(ROW()-ROW($A$7)&lt;'الف-ب-ج'!$L$9,IF(روکش!$F$9="سه ماهه",INDIRECT("BudgetDB!KX"&amp;('الف-ب-ج'!$M$9+ROW()-ROW($A$7))),INDIRECT("BudgetDB!KY"&amp;('الف-ب-ج'!$M$9+ROW()-ROW($A$7)))),"")</f>
        <v>0</v>
      </c>
      <c r="D20" s="273"/>
      <c r="E20" s="1806" t="str">
        <f t="shared" si="0"/>
        <v>-</v>
      </c>
      <c r="F20" s="1806" t="str">
        <f t="shared" ca="1" si="1"/>
        <v>-</v>
      </c>
      <c r="G20" s="2292">
        <f t="shared" ca="1" si="5"/>
        <v>500</v>
      </c>
      <c r="H20" s="1501">
        <f t="shared" ca="1" si="2"/>
        <v>0</v>
      </c>
      <c r="K20" s="1081" t="e">
        <f t="shared" ca="1" si="3"/>
        <v>#DIV/0!</v>
      </c>
      <c r="L20" s="41" t="e">
        <f t="shared" ca="1" si="4"/>
        <v>#DIV/0!</v>
      </c>
    </row>
    <row r="21" spans="1:12" ht="26.1" customHeight="1">
      <c r="A21" s="583">
        <f ca="1">IF(ROW()-ROW($A$7)&lt;'الف-ب-ج'!$L$9,INDIRECT("BudgetDB!KW"&amp;('الف-ب-ج'!$M$9+ROW()-ROW($A$7))),"")</f>
        <v>0</v>
      </c>
      <c r="B21" s="1156"/>
      <c r="C21" s="1816" cm="1">
        <f t="array" aca="1" ref="C21" ca="1">IF(ROW()-ROW($A$7)&lt;'الف-ب-ج'!$L$9,IF(روکش!$F$9="سه ماهه",INDIRECT("BudgetDB!KX"&amp;('الف-ب-ج'!$M$9+ROW()-ROW($A$7))),INDIRECT("BudgetDB!KY"&amp;('الف-ب-ج'!$M$9+ROW()-ROW($A$7)))),"")</f>
        <v>0</v>
      </c>
      <c r="D21" s="273"/>
      <c r="E21" s="1806" t="str">
        <f t="shared" si="0"/>
        <v>-</v>
      </c>
      <c r="F21" s="1806" t="str">
        <f t="shared" ca="1" si="1"/>
        <v>-</v>
      </c>
      <c r="G21" s="2292">
        <f t="shared" ca="1" si="5"/>
        <v>500</v>
      </c>
      <c r="H21" s="1193">
        <f t="shared" ca="1" si="2"/>
        <v>0</v>
      </c>
      <c r="K21" s="1081" t="e">
        <f t="shared" ca="1" si="3"/>
        <v>#DIV/0!</v>
      </c>
      <c r="L21" s="41" t="e">
        <f t="shared" ca="1" si="4"/>
        <v>#DIV/0!</v>
      </c>
    </row>
    <row r="22" spans="1:12" ht="26.1" customHeight="1" thickBot="1">
      <c r="A22" s="1827" t="s">
        <v>279</v>
      </c>
      <c r="B22" s="1807">
        <f>SUM(B7:B21)</f>
        <v>0</v>
      </c>
      <c r="C22" s="1808">
        <f ca="1">SUM(C7:C21)</f>
        <v>0</v>
      </c>
      <c r="D22" s="1809">
        <f>SUM(D7:D21)</f>
        <v>0</v>
      </c>
      <c r="E22" s="1810" t="str">
        <f>IFERROR((D22-B22)*100/B22,"-")</f>
        <v>-</v>
      </c>
      <c r="F22" s="1810" t="str">
        <f ca="1">IFERROR(D22*100/C22,"-")</f>
        <v>-</v>
      </c>
      <c r="G22" s="2293">
        <f t="shared" ca="1" si="5"/>
        <v>500</v>
      </c>
      <c r="H22" s="1193" t="s">
        <v>206</v>
      </c>
      <c r="J22" s="86"/>
      <c r="K22" s="1191"/>
      <c r="L22" s="1191"/>
    </row>
    <row r="23" spans="1:12" ht="26.1" customHeight="1">
      <c r="A23" s="1801" t="s">
        <v>1956</v>
      </c>
      <c r="B23" s="1811"/>
      <c r="C23" s="1811"/>
      <c r="D23" s="1811"/>
      <c r="E23" s="1811"/>
      <c r="F23" s="1811"/>
      <c r="G23" s="1812"/>
      <c r="H23" s="1193" t="s">
        <v>206</v>
      </c>
      <c r="J23" s="86"/>
      <c r="K23" s="1191"/>
      <c r="L23" s="1191"/>
    </row>
    <row r="24" spans="1:12" ht="26.1" customHeight="1">
      <c r="A24" s="1819">
        <f ca="1">IF(ROW()-ROW($A$24)&lt;'الف-ب-ج'!$L$9,INDIRECT("BudgetDB!KZ"&amp;('الف-ب-ج'!$M$9+ROW()-ROW($A$24))),"")</f>
        <v>0</v>
      </c>
      <c r="B24" s="1157"/>
      <c r="C24" s="1814" cm="1">
        <f t="array" aca="1" ref="C24" ca="1">IF(ROW()-ROW($A$24)&lt;'الف-ب-ج'!$L$9,IF(روکش!$F$9="سه ماهه",INDIRECT("BudgetDB!LA"&amp;('الف-ب-ج'!$M$9+ROW()-ROW($A$24))),INDIRECT("BudgetDB!LB"&amp;('الف-ب-ج'!$M$9+ROW()-ROW($A$24)))),"")</f>
        <v>0</v>
      </c>
      <c r="D24" s="272"/>
      <c r="E24" s="1805" t="str">
        <f>IFERROR((D24-B24)*100/B24,"-")</f>
        <v>-</v>
      </c>
      <c r="F24" s="1805" t="str">
        <f ca="1">IFERROR(D24*100/C24,"-")</f>
        <v>-</v>
      </c>
      <c r="G24" s="2291">
        <f t="shared" ca="1" si="5"/>
        <v>500</v>
      </c>
      <c r="H24" s="1193">
        <f t="shared" ca="1" si="2"/>
        <v>0</v>
      </c>
      <c r="J24" s="86"/>
      <c r="K24" s="1081" t="e">
        <f ca="1">AND(COUNTIF($A24,"*سایر*")=1,$B24/$B$39&gt;0.2)</f>
        <v>#DIV/0!</v>
      </c>
      <c r="L24" s="41" t="e">
        <f ca="1">AND(COUNTIF($A24,"*سایر*")=1,$D24/$D$39&gt;0.2)</f>
        <v>#DIV/0!</v>
      </c>
    </row>
    <row r="25" spans="1:12" ht="26.1" customHeight="1">
      <c r="A25" s="1820">
        <f ca="1">IF(ROW()-ROW($A$24)&lt;'الف-ب-ج'!$L$9,INDIRECT("BudgetDB!KZ"&amp;('الف-ب-ج'!$M$9+ROW()-ROW($A$24))),"")</f>
        <v>0</v>
      </c>
      <c r="B25" s="1158"/>
      <c r="C25" s="1815" cm="1">
        <f t="array" aca="1" ref="C25" ca="1">IF(ROW()-ROW($A$24)&lt;'الف-ب-ج'!$L$9,IF(روکش!$F$9="سه ماهه",INDIRECT("BudgetDB!LA"&amp;('الف-ب-ج'!$M$9+ROW()-ROW($A$24))),INDIRECT("BudgetDB!LB"&amp;('الف-ب-ج'!$M$9+ROW()-ROW($A$24)))),"")</f>
        <v>0</v>
      </c>
      <c r="D25" s="692"/>
      <c r="E25" s="1805" t="str">
        <f t="shared" ref="E25:E38" si="6">IFERROR((D25-B25)*100/B25,"-")</f>
        <v>-</v>
      </c>
      <c r="F25" s="1805" t="str">
        <f t="shared" ref="F25:F38" ca="1" si="7">IFERROR(D25*100/C25,"-")</f>
        <v>-</v>
      </c>
      <c r="G25" s="2291">
        <f t="shared" ca="1" si="5"/>
        <v>500</v>
      </c>
      <c r="H25" s="1193">
        <f t="shared" ca="1" si="2"/>
        <v>0</v>
      </c>
      <c r="J25" s="86"/>
      <c r="K25" s="1081" t="e">
        <f t="shared" ref="K25:K39" ca="1" si="8">AND(COUNTIF($A25,"*سایر*")=1,$B25/$B$39&gt;0.2)</f>
        <v>#DIV/0!</v>
      </c>
      <c r="L25" s="41" t="e">
        <f t="shared" ref="L25:L39" ca="1" si="9">AND(COUNTIF($A25,"*سایر*")=1,$D25/$D$39&gt;0.2)</f>
        <v>#DIV/0!</v>
      </c>
    </row>
    <row r="26" spans="1:12" ht="26.1" customHeight="1">
      <c r="A26" s="1828">
        <f ca="1">IF(ROW()-ROW($A$24)&lt;'الف-ب-ج'!$L$9,INDIRECT("BudgetDB!KZ"&amp;('الف-ب-ج'!$M$9+ROW()-ROW($A$24))),"")</f>
        <v>0</v>
      </c>
      <c r="B26" s="1818"/>
      <c r="C26" s="1829" cm="1">
        <f t="array" aca="1" ref="C26" ca="1">IF(ROW()-ROW($A$24)&lt;'الف-ب-ج'!$L$9,IF(روکش!$F$9="سه ماهه",INDIRECT("BudgetDB!LA"&amp;('الف-ب-ج'!$M$9+ROW()-ROW($A$24))),INDIRECT("BudgetDB!LB"&amp;('الف-ب-ج'!$M$9+ROW()-ROW($A$24)))),"")</f>
        <v>0</v>
      </c>
      <c r="D26" s="692"/>
      <c r="E26" s="1805" t="str">
        <f t="shared" si="6"/>
        <v>-</v>
      </c>
      <c r="F26" s="1805" t="str">
        <f t="shared" ca="1" si="7"/>
        <v>-</v>
      </c>
      <c r="G26" s="2291">
        <f t="shared" ca="1" si="5"/>
        <v>500</v>
      </c>
      <c r="H26" s="1193">
        <f t="shared" ca="1" si="2"/>
        <v>0</v>
      </c>
      <c r="J26" s="86"/>
      <c r="K26" s="1081" t="e">
        <f t="shared" ca="1" si="8"/>
        <v>#DIV/0!</v>
      </c>
      <c r="L26" s="41" t="e">
        <f t="shared" ca="1" si="9"/>
        <v>#DIV/0!</v>
      </c>
    </row>
    <row r="27" spans="1:12" ht="26.1" customHeight="1">
      <c r="A27" s="1828">
        <f ca="1">IF(ROW()-ROW($A$24)&lt;'الف-ب-ج'!$L$9,INDIRECT("BudgetDB!KZ"&amp;('الف-ب-ج'!$M$9+ROW()-ROW($A$24))),"")</f>
        <v>0</v>
      </c>
      <c r="B27" s="1818"/>
      <c r="C27" s="1829" cm="1">
        <f t="array" aca="1" ref="C27" ca="1">IF(ROW()-ROW($A$24)&lt;'الف-ب-ج'!$L$9,IF(روکش!$F$9="سه ماهه",INDIRECT("BudgetDB!LA"&amp;('الف-ب-ج'!$M$9+ROW()-ROW($A$24))),INDIRECT("BudgetDB!LB"&amp;('الف-ب-ج'!$M$9+ROW()-ROW($A$24)))),"")</f>
        <v>0</v>
      </c>
      <c r="D27" s="692"/>
      <c r="E27" s="1805" t="str">
        <f t="shared" si="6"/>
        <v>-</v>
      </c>
      <c r="F27" s="1805" t="str">
        <f t="shared" ca="1" si="7"/>
        <v>-</v>
      </c>
      <c r="G27" s="2291">
        <f t="shared" ca="1" si="5"/>
        <v>500</v>
      </c>
      <c r="H27" s="1193">
        <f t="shared" ca="1" si="2"/>
        <v>0</v>
      </c>
      <c r="J27" s="86"/>
      <c r="K27" s="1081" t="e">
        <f t="shared" ca="1" si="8"/>
        <v>#DIV/0!</v>
      </c>
      <c r="L27" s="41" t="e">
        <f t="shared" ca="1" si="9"/>
        <v>#DIV/0!</v>
      </c>
    </row>
    <row r="28" spans="1:12" ht="26.1" customHeight="1">
      <c r="A28" s="1828">
        <f ca="1">IF(ROW()-ROW($A$24)&lt;'الف-ب-ج'!$L$9,INDIRECT("BudgetDB!KZ"&amp;('الف-ب-ج'!$M$9+ROW()-ROW($A$24))),"")</f>
        <v>0</v>
      </c>
      <c r="B28" s="1818"/>
      <c r="C28" s="1829" cm="1">
        <f t="array" aca="1" ref="C28" ca="1">IF(ROW()-ROW($A$24)&lt;'الف-ب-ج'!$L$9,IF(روکش!$F$9="سه ماهه",INDIRECT("BudgetDB!LA"&amp;('الف-ب-ج'!$M$9+ROW()-ROW($A$24))),INDIRECT("BudgetDB!LB"&amp;('الف-ب-ج'!$M$9+ROW()-ROW($A$24)))),"")</f>
        <v>0</v>
      </c>
      <c r="D28" s="692"/>
      <c r="E28" s="1805" t="str">
        <f t="shared" si="6"/>
        <v>-</v>
      </c>
      <c r="F28" s="1805" t="str">
        <f t="shared" ca="1" si="7"/>
        <v>-</v>
      </c>
      <c r="G28" s="2291">
        <f t="shared" ca="1" si="5"/>
        <v>500</v>
      </c>
      <c r="H28" s="1193">
        <f t="shared" ca="1" si="2"/>
        <v>0</v>
      </c>
      <c r="J28" s="86"/>
      <c r="K28" s="1081" t="e">
        <f t="shared" ca="1" si="8"/>
        <v>#DIV/0!</v>
      </c>
      <c r="L28" s="41" t="e">
        <f t="shared" ca="1" si="9"/>
        <v>#DIV/0!</v>
      </c>
    </row>
    <row r="29" spans="1:12" ht="26.1" customHeight="1">
      <c r="A29" s="1828">
        <f ca="1">IF(ROW()-ROW($A$24)&lt;'الف-ب-ج'!$L$9,INDIRECT("BudgetDB!KZ"&amp;('الف-ب-ج'!$M$9+ROW()-ROW($A$24))),"")</f>
        <v>0</v>
      </c>
      <c r="B29" s="1818"/>
      <c r="C29" s="1829" cm="1">
        <f t="array" aca="1" ref="C29" ca="1">IF(ROW()-ROW($A$24)&lt;'الف-ب-ج'!$L$9,IF(روکش!$F$9="سه ماهه",INDIRECT("BudgetDB!LA"&amp;('الف-ب-ج'!$M$9+ROW()-ROW($A$24))),INDIRECT("BudgetDB!LB"&amp;('الف-ب-ج'!$M$9+ROW()-ROW($A$24)))),"")</f>
        <v>0</v>
      </c>
      <c r="D29" s="692"/>
      <c r="E29" s="1805" t="str">
        <f t="shared" si="6"/>
        <v>-</v>
      </c>
      <c r="F29" s="1805" t="str">
        <f t="shared" ca="1" si="7"/>
        <v>-</v>
      </c>
      <c r="G29" s="2291">
        <f t="shared" ca="1" si="5"/>
        <v>500</v>
      </c>
      <c r="H29" s="1193">
        <f t="shared" ca="1" si="2"/>
        <v>0</v>
      </c>
      <c r="J29" s="86"/>
      <c r="K29" s="1081" t="e">
        <f t="shared" ca="1" si="8"/>
        <v>#DIV/0!</v>
      </c>
      <c r="L29" s="41" t="e">
        <f t="shared" ca="1" si="9"/>
        <v>#DIV/0!</v>
      </c>
    </row>
    <row r="30" spans="1:12" ht="26.1" customHeight="1">
      <c r="A30" s="1828">
        <f ca="1">IF(ROW()-ROW($A$24)&lt;'الف-ب-ج'!$L$9,INDIRECT("BudgetDB!KZ"&amp;('الف-ب-ج'!$M$9+ROW()-ROW($A$24))),"")</f>
        <v>0</v>
      </c>
      <c r="B30" s="1818"/>
      <c r="C30" s="1829" cm="1">
        <f t="array" aca="1" ref="C30" ca="1">IF(ROW()-ROW($A$24)&lt;'الف-ب-ج'!$L$9,IF(روکش!$F$9="سه ماهه",INDIRECT("BudgetDB!LA"&amp;('الف-ب-ج'!$M$9+ROW()-ROW($A$24))),INDIRECT("BudgetDB!LB"&amp;('الف-ب-ج'!$M$9+ROW()-ROW($A$24)))),"")</f>
        <v>0</v>
      </c>
      <c r="D30" s="692"/>
      <c r="E30" s="1805" t="str">
        <f t="shared" si="6"/>
        <v>-</v>
      </c>
      <c r="F30" s="1805" t="str">
        <f t="shared" ca="1" si="7"/>
        <v>-</v>
      </c>
      <c r="G30" s="2291">
        <f t="shared" ca="1" si="5"/>
        <v>500</v>
      </c>
      <c r="H30" s="1193">
        <f t="shared" ca="1" si="2"/>
        <v>0</v>
      </c>
      <c r="J30" s="86"/>
      <c r="K30" s="1081" t="e">
        <f t="shared" ca="1" si="8"/>
        <v>#DIV/0!</v>
      </c>
      <c r="L30" s="41" t="e">
        <f t="shared" ca="1" si="9"/>
        <v>#DIV/0!</v>
      </c>
    </row>
    <row r="31" spans="1:12" ht="26.1" customHeight="1">
      <c r="A31" s="1828">
        <f ca="1">IF(ROW()-ROW($A$24)&lt;'الف-ب-ج'!$L$9,INDIRECT("BudgetDB!KZ"&amp;('الف-ب-ج'!$M$9+ROW()-ROW($A$24))),"")</f>
        <v>0</v>
      </c>
      <c r="B31" s="1818"/>
      <c r="C31" s="1829" cm="1">
        <f t="array" aca="1" ref="C31" ca="1">IF(ROW()-ROW($A$24)&lt;'الف-ب-ج'!$L$9,IF(روکش!$F$9="سه ماهه",INDIRECT("BudgetDB!LA"&amp;('الف-ب-ج'!$M$9+ROW()-ROW($A$24))),INDIRECT("BudgetDB!LB"&amp;('الف-ب-ج'!$M$9+ROW()-ROW($A$24)))),"")</f>
        <v>0</v>
      </c>
      <c r="D31" s="692"/>
      <c r="E31" s="1805" t="str">
        <f t="shared" si="6"/>
        <v>-</v>
      </c>
      <c r="F31" s="1805" t="str">
        <f t="shared" ca="1" si="7"/>
        <v>-</v>
      </c>
      <c r="G31" s="2291">
        <f t="shared" ca="1" si="5"/>
        <v>500</v>
      </c>
      <c r="H31" s="1193">
        <f t="shared" ca="1" si="2"/>
        <v>0</v>
      </c>
      <c r="J31" s="86"/>
      <c r="K31" s="1081" t="e">
        <f t="shared" ca="1" si="8"/>
        <v>#DIV/0!</v>
      </c>
      <c r="L31" s="41" t="e">
        <f t="shared" ca="1" si="9"/>
        <v>#DIV/0!</v>
      </c>
    </row>
    <row r="32" spans="1:12" ht="26.1" customHeight="1">
      <c r="A32" s="1828">
        <f ca="1">IF(ROW()-ROW($A$24)&lt;'الف-ب-ج'!$L$9,INDIRECT("BudgetDB!KZ"&amp;('الف-ب-ج'!$M$9+ROW()-ROW($A$24))),"")</f>
        <v>0</v>
      </c>
      <c r="B32" s="1818"/>
      <c r="C32" s="1829" cm="1">
        <f t="array" aca="1" ref="C32" ca="1">IF(ROW()-ROW($A$24)&lt;'الف-ب-ج'!$L$9,IF(روکش!$F$9="سه ماهه",INDIRECT("BudgetDB!LA"&amp;('الف-ب-ج'!$M$9+ROW()-ROW($A$24))),INDIRECT("BudgetDB!LB"&amp;('الف-ب-ج'!$M$9+ROW()-ROW($A$24)))),"")</f>
        <v>0</v>
      </c>
      <c r="D32" s="692"/>
      <c r="E32" s="1805" t="str">
        <f t="shared" si="6"/>
        <v>-</v>
      </c>
      <c r="F32" s="1805" t="str">
        <f t="shared" ca="1" si="7"/>
        <v>-</v>
      </c>
      <c r="G32" s="2291">
        <f t="shared" ca="1" si="5"/>
        <v>500</v>
      </c>
      <c r="H32" s="1193">
        <f t="shared" ca="1" si="2"/>
        <v>0</v>
      </c>
      <c r="J32" s="86"/>
      <c r="K32" s="1081" t="e">
        <f t="shared" ca="1" si="8"/>
        <v>#DIV/0!</v>
      </c>
      <c r="L32" s="41" t="e">
        <f t="shared" ca="1" si="9"/>
        <v>#DIV/0!</v>
      </c>
    </row>
    <row r="33" spans="1:12" ht="26.1" customHeight="1">
      <c r="A33" s="1828">
        <f ca="1">IF(ROW()-ROW($A$24)&lt;'الف-ب-ج'!$L$9,INDIRECT("BudgetDB!KZ"&amp;('الف-ب-ج'!$M$9+ROW()-ROW($A$24))),"")</f>
        <v>0</v>
      </c>
      <c r="B33" s="1818"/>
      <c r="C33" s="1829" cm="1">
        <f t="array" aca="1" ref="C33" ca="1">IF(ROW()-ROW($A$24)&lt;'الف-ب-ج'!$L$9,IF(روکش!$F$9="سه ماهه",INDIRECT("BudgetDB!LA"&amp;('الف-ب-ج'!$M$9+ROW()-ROW($A$24))),INDIRECT("BudgetDB!LB"&amp;('الف-ب-ج'!$M$9+ROW()-ROW($A$24)))),"")</f>
        <v>0</v>
      </c>
      <c r="D33" s="692"/>
      <c r="E33" s="1805" t="str">
        <f t="shared" si="6"/>
        <v>-</v>
      </c>
      <c r="F33" s="1805" t="str">
        <f t="shared" ca="1" si="7"/>
        <v>-</v>
      </c>
      <c r="G33" s="2291">
        <f t="shared" ca="1" si="5"/>
        <v>500</v>
      </c>
      <c r="H33" s="1193">
        <f t="shared" ca="1" si="2"/>
        <v>0</v>
      </c>
      <c r="J33" s="86"/>
      <c r="K33" s="1081" t="e">
        <f t="shared" ca="1" si="8"/>
        <v>#DIV/0!</v>
      </c>
      <c r="L33" s="41" t="e">
        <f t="shared" ca="1" si="9"/>
        <v>#DIV/0!</v>
      </c>
    </row>
    <row r="34" spans="1:12" ht="26.1" customHeight="1">
      <c r="A34" s="1828">
        <f ca="1">IF(ROW()-ROW($A$24)&lt;'الف-ب-ج'!$L$9,INDIRECT("BudgetDB!KZ"&amp;('الف-ب-ج'!$M$9+ROW()-ROW($A$24))),"")</f>
        <v>0</v>
      </c>
      <c r="B34" s="1818"/>
      <c r="C34" s="1829" cm="1">
        <f t="array" aca="1" ref="C34" ca="1">IF(ROW()-ROW($A$24)&lt;'الف-ب-ج'!$L$9,IF(روکش!$F$9="سه ماهه",INDIRECT("BudgetDB!LA"&amp;('الف-ب-ج'!$M$9+ROW()-ROW($A$24))),INDIRECT("BudgetDB!LB"&amp;('الف-ب-ج'!$M$9+ROW()-ROW($A$24)))),"")</f>
        <v>0</v>
      </c>
      <c r="D34" s="692"/>
      <c r="E34" s="1805" t="str">
        <f t="shared" si="6"/>
        <v>-</v>
      </c>
      <c r="F34" s="1805" t="str">
        <f t="shared" ca="1" si="7"/>
        <v>-</v>
      </c>
      <c r="G34" s="2291">
        <f t="shared" ca="1" si="5"/>
        <v>500</v>
      </c>
      <c r="H34" s="1193">
        <f t="shared" ca="1" si="2"/>
        <v>0</v>
      </c>
      <c r="J34" s="86"/>
      <c r="K34" s="1081" t="e">
        <f t="shared" ca="1" si="8"/>
        <v>#DIV/0!</v>
      </c>
      <c r="L34" s="41" t="e">
        <f t="shared" ca="1" si="9"/>
        <v>#DIV/0!</v>
      </c>
    </row>
    <row r="35" spans="1:12" ht="26.1" customHeight="1">
      <c r="A35" s="1828">
        <f ca="1">IF(ROW()-ROW($A$24)&lt;'الف-ب-ج'!$L$9,INDIRECT("BudgetDB!KZ"&amp;('الف-ب-ج'!$M$9+ROW()-ROW($A$24))),"")</f>
        <v>0</v>
      </c>
      <c r="B35" s="1818"/>
      <c r="C35" s="1829" cm="1">
        <f t="array" aca="1" ref="C35" ca="1">IF(ROW()-ROW($A$24)&lt;'الف-ب-ج'!$L$9,IF(روکش!$F$9="سه ماهه",INDIRECT("BudgetDB!LA"&amp;('الف-ب-ج'!$M$9+ROW()-ROW($A$24))),INDIRECT("BudgetDB!LB"&amp;('الف-ب-ج'!$M$9+ROW()-ROW($A$24)))),"")</f>
        <v>0</v>
      </c>
      <c r="D35" s="692"/>
      <c r="E35" s="1805" t="str">
        <f t="shared" si="6"/>
        <v>-</v>
      </c>
      <c r="F35" s="1805" t="str">
        <f t="shared" ca="1" si="7"/>
        <v>-</v>
      </c>
      <c r="G35" s="2291">
        <f t="shared" ca="1" si="5"/>
        <v>500</v>
      </c>
      <c r="H35" s="1193">
        <f t="shared" ca="1" si="2"/>
        <v>0</v>
      </c>
      <c r="J35" s="86"/>
      <c r="K35" s="1081" t="e">
        <f t="shared" ca="1" si="8"/>
        <v>#DIV/0!</v>
      </c>
      <c r="L35" s="41" t="e">
        <f t="shared" ca="1" si="9"/>
        <v>#DIV/0!</v>
      </c>
    </row>
    <row r="36" spans="1:12" ht="26.1" customHeight="1">
      <c r="A36" s="2050">
        <f ca="1">IF(ROW()-ROW($A$24)&lt;'الف-ب-ج'!$L$9,INDIRECT("BudgetDB!KZ"&amp;('الف-ب-ج'!$M$9+ROW()-ROW($A$24))),"")</f>
        <v>0</v>
      </c>
      <c r="B36" s="1818"/>
      <c r="C36" s="1829" cm="1">
        <f t="array" aca="1" ref="C36" ca="1">IF(ROW()-ROW($A$24)&lt;'الف-ب-ج'!$L$9,IF(روکش!$F$9="سه ماهه",INDIRECT("BudgetDB!LA"&amp;('الف-ب-ج'!$M$9+ROW()-ROW($A$24))),INDIRECT("BudgetDB!LB"&amp;('الف-ب-ج'!$M$9+ROW()-ROW($A$24)))),"")</f>
        <v>0</v>
      </c>
      <c r="D36" s="692"/>
      <c r="E36" s="1805" t="str">
        <f t="shared" si="6"/>
        <v>-</v>
      </c>
      <c r="F36" s="1805" t="str">
        <f t="shared" ca="1" si="7"/>
        <v>-</v>
      </c>
      <c r="G36" s="2291">
        <f t="shared" ca="1" si="5"/>
        <v>500</v>
      </c>
      <c r="H36" s="1193">
        <f t="shared" ca="1" si="2"/>
        <v>0</v>
      </c>
      <c r="J36" s="86"/>
      <c r="K36" s="1081" t="e">
        <f t="shared" ca="1" si="8"/>
        <v>#DIV/0!</v>
      </c>
      <c r="L36" s="41" t="e">
        <f t="shared" ca="1" si="9"/>
        <v>#DIV/0!</v>
      </c>
    </row>
    <row r="37" spans="1:12" ht="26.1" customHeight="1">
      <c r="A37" s="2050">
        <f ca="1">IF(ROW()-ROW($A$24)&lt;'الف-ب-ج'!$L$9,INDIRECT("BudgetDB!KZ"&amp;('الف-ب-ج'!$M$9+ROW()-ROW($A$24))),"")</f>
        <v>0</v>
      </c>
      <c r="B37" s="1159"/>
      <c r="C37" s="1830" cm="1">
        <f t="array" aca="1" ref="C37" ca="1">IF(ROW()-ROW($A$24)&lt;'الف-ب-ج'!$L$9,IF(روکش!$F$9="سه ماهه",INDIRECT("BudgetDB!LA"&amp;('الف-ب-ج'!$M$9+ROW()-ROW($A$24))),INDIRECT("BudgetDB!LB"&amp;('الف-ب-ج'!$M$9+ROW()-ROW($A$24)))),"")</f>
        <v>0</v>
      </c>
      <c r="D37" s="273"/>
      <c r="E37" s="1806" t="str">
        <f t="shared" si="6"/>
        <v>-</v>
      </c>
      <c r="F37" s="1806" t="str">
        <f t="shared" ca="1" si="7"/>
        <v>-</v>
      </c>
      <c r="G37" s="2292">
        <f t="shared" ca="1" si="5"/>
        <v>500</v>
      </c>
      <c r="H37" s="1193">
        <f t="shared" ca="1" si="2"/>
        <v>0</v>
      </c>
      <c r="J37" s="86"/>
      <c r="K37" s="1081" t="e">
        <f t="shared" ca="1" si="8"/>
        <v>#DIV/0!</v>
      </c>
      <c r="L37" s="41" t="e">
        <f t="shared" ca="1" si="9"/>
        <v>#DIV/0!</v>
      </c>
    </row>
    <row r="38" spans="1:12" ht="26.1" customHeight="1">
      <c r="A38" s="2050">
        <f ca="1">IF(ROW()-ROW($A$24)&lt;'الف-ب-ج'!$L$9,INDIRECT("BudgetDB!KZ"&amp;('الف-ب-ج'!$M$9+ROW()-ROW($A$24))),"")</f>
        <v>0</v>
      </c>
      <c r="B38" s="1159"/>
      <c r="C38" s="1830" cm="1">
        <f t="array" aca="1" ref="C38" ca="1">IF(ROW()-ROW($A$24)&lt;'الف-ب-ج'!$L$9,IF(روکش!$F$9="سه ماهه",INDIRECT("BudgetDB!LA"&amp;('الف-ب-ج'!$M$9+ROW()-ROW($A$24))),INDIRECT("BudgetDB!LB"&amp;('الف-ب-ج'!$M$9+ROW()-ROW($A$24)))),"")</f>
        <v>0</v>
      </c>
      <c r="D38" s="273"/>
      <c r="E38" s="1806" t="str">
        <f t="shared" si="6"/>
        <v>-</v>
      </c>
      <c r="F38" s="1806" t="str">
        <f t="shared" ca="1" si="7"/>
        <v>-</v>
      </c>
      <c r="G38" s="2292">
        <f t="shared" ca="1" si="5"/>
        <v>500</v>
      </c>
      <c r="H38" s="1193">
        <f t="shared" ca="1" si="2"/>
        <v>0</v>
      </c>
      <c r="J38" s="86"/>
      <c r="K38" s="1081" t="e">
        <f t="shared" ca="1" si="8"/>
        <v>#DIV/0!</v>
      </c>
      <c r="L38" s="41" t="e">
        <f t="shared" ca="1" si="9"/>
        <v>#DIV/0!</v>
      </c>
    </row>
    <row r="39" spans="1:12" ht="26.1" customHeight="1" thickBot="1">
      <c r="A39" s="1821" t="s">
        <v>1498</v>
      </c>
      <c r="B39" s="1807">
        <f>SUM(B24:B38)</f>
        <v>0</v>
      </c>
      <c r="C39" s="1813">
        <f ca="1">SUM(C24:C38)</f>
        <v>0</v>
      </c>
      <c r="D39" s="1809">
        <f>SUM(D24:D38)</f>
        <v>0</v>
      </c>
      <c r="E39" s="1810" t="str">
        <f>IFERROR((D39-B39)*100/B39,"-")</f>
        <v>-</v>
      </c>
      <c r="F39" s="1810" t="str">
        <f ca="1">IFERROR(D39*100/C39,"-")</f>
        <v>-</v>
      </c>
      <c r="G39" s="2293">
        <f t="shared" ca="1" si="5"/>
        <v>500</v>
      </c>
      <c r="H39" s="1193" t="s">
        <v>206</v>
      </c>
      <c r="J39" s="86"/>
      <c r="K39" s="1081" t="e">
        <f t="shared" si="8"/>
        <v>#DIV/0!</v>
      </c>
      <c r="L39" s="41" t="e">
        <f t="shared" si="9"/>
        <v>#DIV/0!</v>
      </c>
    </row>
    <row r="40" spans="1:12" ht="26.1" customHeight="1" thickBot="1">
      <c r="A40" s="1822" t="s">
        <v>1499</v>
      </c>
      <c r="B40" s="1823">
        <f>B22-B39</f>
        <v>0</v>
      </c>
      <c r="C40" s="1824">
        <f ca="1">C22-C39</f>
        <v>0</v>
      </c>
      <c r="D40" s="1825">
        <f>D22-D39</f>
        <v>0</v>
      </c>
      <c r="E40" s="1826" t="str">
        <f>IFERROR((D40-B40)*100/B40,"-")</f>
        <v>-</v>
      </c>
      <c r="F40" s="1826" t="str">
        <f ca="1">IFERROR(D40*100/C40,"-")</f>
        <v>-</v>
      </c>
      <c r="G40" s="2294">
        <f t="shared" ca="1" si="5"/>
        <v>500</v>
      </c>
      <c r="H40" s="1193" t="s">
        <v>206</v>
      </c>
      <c r="J40" s="86"/>
      <c r="K40" s="1191"/>
      <c r="L40" s="1191"/>
    </row>
    <row r="41" spans="1:12">
      <c r="A41" s="24"/>
      <c r="B41" s="24"/>
      <c r="C41" s="24"/>
      <c r="D41" s="24"/>
      <c r="E41" s="24"/>
      <c r="F41" s="24"/>
      <c r="H41" s="1193" t="s">
        <v>206</v>
      </c>
      <c r="J41" s="86"/>
      <c r="K41" s="1191"/>
      <c r="L41" s="1191"/>
    </row>
    <row r="42" spans="1:12">
      <c r="A42" s="8"/>
      <c r="B42" s="8"/>
      <c r="C42" s="8"/>
      <c r="D42" s="8"/>
      <c r="E42" s="8"/>
      <c r="H42" s="1" t="s">
        <v>206</v>
      </c>
    </row>
    <row r="43" spans="1:12">
      <c r="A43" s="44"/>
    </row>
  </sheetData>
  <mergeCells count="4">
    <mergeCell ref="A4:A5"/>
    <mergeCell ref="B4:B5"/>
    <mergeCell ref="A1:G1"/>
    <mergeCell ref="F5:G5"/>
  </mergeCells>
  <conditionalFormatting sqref="G7:G22 G24:G40">
    <cfRule type="iconSet" priority="7">
      <iconSet iconSet="3Symbols" showValue="0" reverse="1">
        <cfvo type="percent" val="0"/>
        <cfvo type="num" val="10" gte="0"/>
        <cfvo type="num" val="40"/>
      </iconSet>
    </cfRule>
  </conditionalFormatting>
  <conditionalFormatting sqref="D7:D40">
    <cfRule type="expression" dxfId="312" priority="4">
      <formula>$L7=TRUE</formula>
    </cfRule>
  </conditionalFormatting>
  <conditionalFormatting sqref="B7:B40">
    <cfRule type="expression" dxfId="311" priority="2">
      <formula>$K7=TRUE</formula>
    </cfRule>
  </conditionalFormatting>
  <conditionalFormatting sqref="A7:A38">
    <cfRule type="expression" dxfId="310" priority="1">
      <formula>AND($A7=0,OR($B7&lt;&gt;0,$D7&lt;&gt;0))</formula>
    </cfRule>
  </conditionalFormatting>
  <printOptions horizontalCentered="1"/>
  <pageMargins left="0.59055118110236227" right="0.59055118110236227" top="0.19685039370078741" bottom="0.78740157480314965" header="0.19685039370078741" footer="0.19685039370078741"/>
  <pageSetup paperSize="9" scale="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6" id="{1A14FFD1-1CC4-4876-B724-A09E28B1779F}">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1">
    <tabColor rgb="FFC00000"/>
    <pageSetUpPr fitToPage="1"/>
  </sheetPr>
  <dimension ref="A1:I68"/>
  <sheetViews>
    <sheetView rightToLeft="1" view="pageBreakPreview" zoomScaleNormal="100" zoomScaleSheetLayoutView="100" workbookViewId="0">
      <selection activeCell="N24" sqref="N24"/>
    </sheetView>
  </sheetViews>
  <sheetFormatPr defaultColWidth="9" defaultRowHeight="12.75"/>
  <cols>
    <col min="1" max="1" width="7.5703125" style="970" customWidth="1"/>
    <col min="2" max="2" width="39.85546875" style="970" bestFit="1" customWidth="1"/>
    <col min="3" max="8" width="12.5703125" style="970" customWidth="1"/>
    <col min="9" max="16384" width="9" style="970"/>
  </cols>
  <sheetData>
    <row r="1" spans="1:9" s="5" customFormat="1" ht="24" customHeight="1">
      <c r="A1" s="2685" t="str">
        <f>روکش!D4</f>
        <v>انبارهای عمومی و خدمات گمرکی ایران</v>
      </c>
      <c r="B1" s="2685"/>
      <c r="C1" s="2685"/>
      <c r="D1" s="2685"/>
      <c r="E1" s="2685"/>
      <c r="F1" s="2685"/>
      <c r="G1" s="2685"/>
      <c r="H1" s="2685"/>
    </row>
    <row r="2" spans="1:9" s="5" customFormat="1" ht="28.5" customHeight="1">
      <c r="A2" s="1206" t="str">
        <f>"گزارش مقایسه‌ای نرخ‌های فروش و بهای تمام شده خدمات ارائه شده در دوره " &amp; روکش!F9 &amp; " سال " &amp; روکش!D9</f>
        <v>گزارش مقایسه‌ای نرخ‌های فروش و بهای تمام شده خدمات ارائه شده در دوره شش ماهه سال 1405</v>
      </c>
      <c r="B2" s="1206"/>
      <c r="C2" s="1206"/>
      <c r="D2" s="1206"/>
      <c r="E2" s="1203"/>
      <c r="F2" s="1203"/>
      <c r="G2" s="1203"/>
      <c r="H2" s="1203"/>
      <c r="I2" s="251"/>
    </row>
    <row r="3" spans="1:9" ht="20.100000000000001" customHeight="1" thickBot="1">
      <c r="A3" s="1735"/>
      <c r="B3" s="1735"/>
      <c r="C3" s="1735"/>
      <c r="D3" s="570"/>
      <c r="E3" s="570"/>
      <c r="F3" s="568"/>
      <c r="G3" s="1736"/>
      <c r="H3" s="1737" t="s">
        <v>191</v>
      </c>
    </row>
    <row r="4" spans="1:9" ht="25.5" customHeight="1" thickBot="1">
      <c r="A4" s="3152" t="s">
        <v>72</v>
      </c>
      <c r="B4" s="3155" t="s">
        <v>190</v>
      </c>
      <c r="C4" s="1738" t="s">
        <v>683</v>
      </c>
      <c r="D4" s="1739"/>
      <c r="E4" s="1740"/>
      <c r="F4" s="1738" t="s">
        <v>642</v>
      </c>
      <c r="G4" s="1739"/>
      <c r="H4" s="1740"/>
    </row>
    <row r="5" spans="1:9" ht="21" customHeight="1">
      <c r="A5" s="3153"/>
      <c r="B5" s="3156"/>
      <c r="C5" s="1741" t="s">
        <v>1492</v>
      </c>
      <c r="D5" s="1742"/>
      <c r="E5" s="1743"/>
      <c r="F5" s="1741" t="s">
        <v>1492</v>
      </c>
      <c r="G5" s="1742"/>
      <c r="H5" s="1743"/>
    </row>
    <row r="6" spans="1:9" ht="43.5" customHeight="1" thickBot="1">
      <c r="A6" s="3154"/>
      <c r="B6" s="3157"/>
      <c r="C6" s="571" t="s">
        <v>1490</v>
      </c>
      <c r="D6" s="572" t="s">
        <v>74</v>
      </c>
      <c r="E6" s="573" t="s">
        <v>1488</v>
      </c>
      <c r="F6" s="571" t="s">
        <v>1490</v>
      </c>
      <c r="G6" s="572" t="s">
        <v>74</v>
      </c>
      <c r="H6" s="573" t="s">
        <v>1488</v>
      </c>
    </row>
    <row r="7" spans="1:9" ht="30" customHeight="1">
      <c r="A7" s="574">
        <v>1</v>
      </c>
      <c r="B7" s="1744" t="str">
        <f ca="1">'درآمد خدمات'!B7</f>
        <v>انبارداری واردات</v>
      </c>
      <c r="C7" s="1745">
        <f>'درآمد خدمات'!E7</f>
        <v>2917370.1241602474</v>
      </c>
      <c r="D7" s="1154"/>
      <c r="E7" s="1753">
        <f>IFERROR(C7-D7,"-")</f>
        <v>2917370.1241602474</v>
      </c>
      <c r="F7" s="1745">
        <f>'درآمد خدمات'!K7</f>
        <v>3627307.4125413448</v>
      </c>
      <c r="G7" s="262"/>
      <c r="H7" s="1753">
        <f>IFERROR(F7-G7,"-")</f>
        <v>3627307.4125413448</v>
      </c>
    </row>
    <row r="8" spans="1:9" ht="30" customHeight="1">
      <c r="A8" s="575">
        <v>2</v>
      </c>
      <c r="B8" s="1746" t="str">
        <f ca="1">'درآمد خدمات'!B8</f>
        <v>باربری واردات</v>
      </c>
      <c r="C8" s="1747">
        <f>'درآمد خدمات'!E8</f>
        <v>2048811.1568358482</v>
      </c>
      <c r="D8" s="263"/>
      <c r="E8" s="577">
        <f t="shared" ref="E8:E26" si="0">IFERROR(C8-D8,"-")</f>
        <v>2048811.1568358482</v>
      </c>
      <c r="F8" s="1745">
        <f>'درآمد خدمات'!K8</f>
        <v>2773262.8357328135</v>
      </c>
      <c r="G8" s="263"/>
      <c r="H8" s="577">
        <f t="shared" ref="H8:H26" si="1">IFERROR(F8-G8,"-")</f>
        <v>2773262.8357328135</v>
      </c>
    </row>
    <row r="9" spans="1:9" ht="30" customHeight="1">
      <c r="A9" s="575">
        <v>3</v>
      </c>
      <c r="B9" s="1746" t="str">
        <f ca="1">'درآمد خدمات'!B9</f>
        <v>حمل یکسره واردات</v>
      </c>
      <c r="C9" s="1747">
        <f>'درآمد خدمات'!E9</f>
        <v>38698.103536647875</v>
      </c>
      <c r="D9" s="263"/>
      <c r="E9" s="577">
        <f t="shared" si="0"/>
        <v>38698.103536647875</v>
      </c>
      <c r="F9" s="1745">
        <f>'درآمد خدمات'!K9</f>
        <v>729071.53729071538</v>
      </c>
      <c r="G9" s="263"/>
      <c r="H9" s="577">
        <f t="shared" si="1"/>
        <v>729071.53729071538</v>
      </c>
    </row>
    <row r="10" spans="1:9" ht="30" customHeight="1">
      <c r="A10" s="575">
        <v>4</v>
      </c>
      <c r="B10" s="1746" t="str">
        <f ca="1">'درآمد خدمات'!B10</f>
        <v>ترانشیپ واردات</v>
      </c>
      <c r="C10" s="1747">
        <f>'درآمد خدمات'!E10</f>
        <v>192322.20184369895</v>
      </c>
      <c r="D10" s="263"/>
      <c r="E10" s="577">
        <f t="shared" si="0"/>
        <v>192322.20184369895</v>
      </c>
      <c r="F10" s="1745">
        <f>'درآمد خدمات'!K10</f>
        <v>256439.09027671634</v>
      </c>
      <c r="G10" s="263"/>
      <c r="H10" s="577">
        <f t="shared" si="1"/>
        <v>256439.09027671634</v>
      </c>
    </row>
    <row r="11" spans="1:9" ht="30" customHeight="1">
      <c r="A11" s="575">
        <v>5</v>
      </c>
      <c r="B11" s="1746" t="str">
        <f ca="1">'درآمد خدمات'!B11</f>
        <v>خدمات باربری واردات</v>
      </c>
      <c r="C11" s="1747">
        <f>'درآمد خدمات'!E11</f>
        <v>1000000</v>
      </c>
      <c r="D11" s="263"/>
      <c r="E11" s="577">
        <f t="shared" si="0"/>
        <v>1000000</v>
      </c>
      <c r="F11" s="1745">
        <f>'درآمد خدمات'!K11</f>
        <v>1000000</v>
      </c>
      <c r="G11" s="263"/>
      <c r="H11" s="577">
        <f>IFERROR(F11-G11,"-")</f>
        <v>1000000</v>
      </c>
    </row>
    <row r="12" spans="1:9" ht="30" customHeight="1">
      <c r="A12" s="575">
        <v>6</v>
      </c>
      <c r="B12" s="1746" t="str">
        <f ca="1">'درآمد خدمات'!B12</f>
        <v>انبارداری صادرات</v>
      </c>
      <c r="C12" s="1747">
        <f>'درآمد خدمات'!E12</f>
        <v>1133517.984519654</v>
      </c>
      <c r="D12" s="263"/>
      <c r="E12" s="577">
        <f t="shared" si="0"/>
        <v>1133517.984519654</v>
      </c>
      <c r="F12" s="1745">
        <f>'درآمد خدمات'!K12</f>
        <v>1164761.0941130461</v>
      </c>
      <c r="G12" s="263"/>
      <c r="H12" s="577">
        <f t="shared" si="1"/>
        <v>1164761.0941130461</v>
      </c>
    </row>
    <row r="13" spans="1:9" ht="30" customHeight="1">
      <c r="A13" s="575">
        <v>7</v>
      </c>
      <c r="B13" s="1746" t="str">
        <f ca="1">'درآمد خدمات'!B13</f>
        <v>باربری صادرات</v>
      </c>
      <c r="C13" s="1747">
        <f>'درآمد خدمات'!E13</f>
        <v>634542.41918348765</v>
      </c>
      <c r="D13" s="263"/>
      <c r="E13" s="577">
        <f t="shared" si="0"/>
        <v>634542.41918348765</v>
      </c>
      <c r="F13" s="1745">
        <f>'درآمد خدمات'!K13</f>
        <v>509109.94041730888</v>
      </c>
      <c r="G13" s="263"/>
      <c r="H13" s="577">
        <f t="shared" si="1"/>
        <v>509109.94041730888</v>
      </c>
    </row>
    <row r="14" spans="1:9" ht="30" customHeight="1">
      <c r="A14" s="575">
        <v>8</v>
      </c>
      <c r="B14" s="1746" t="str">
        <f ca="1">'درآمد خدمات'!B14</f>
        <v>حمل یکسره صادرات</v>
      </c>
      <c r="C14" s="1747">
        <f>'درآمد خدمات'!E14</f>
        <v>0</v>
      </c>
      <c r="D14" s="263"/>
      <c r="E14" s="577">
        <f t="shared" si="0"/>
        <v>0</v>
      </c>
      <c r="F14" s="1745">
        <f>'درآمد خدمات'!K14</f>
        <v>0</v>
      </c>
      <c r="G14" s="263"/>
      <c r="H14" s="577">
        <f t="shared" si="1"/>
        <v>0</v>
      </c>
    </row>
    <row r="15" spans="1:9" ht="30" customHeight="1">
      <c r="A15" s="575">
        <v>9</v>
      </c>
      <c r="B15" s="1746" t="str">
        <f ca="1">'درآمد خدمات'!B15</f>
        <v>ترانشیپ صادرات</v>
      </c>
      <c r="C15" s="1747">
        <f>'درآمد خدمات'!E15</f>
        <v>14843.564356435643</v>
      </c>
      <c r="D15" s="263"/>
      <c r="E15" s="577">
        <f t="shared" si="0"/>
        <v>14843.564356435643</v>
      </c>
      <c r="F15" s="1745">
        <f>'درآمد خدمات'!K15</f>
        <v>2029977.350161372</v>
      </c>
      <c r="G15" s="263"/>
      <c r="H15" s="577">
        <f t="shared" si="1"/>
        <v>2029977.350161372</v>
      </c>
    </row>
    <row r="16" spans="1:9" ht="30" customHeight="1">
      <c r="A16" s="575">
        <v>10</v>
      </c>
      <c r="B16" s="1746" t="str">
        <f ca="1">'درآمد خدمات'!B16</f>
        <v>خدمات باربری صادرات</v>
      </c>
      <c r="C16" s="1747">
        <f>'درآمد خدمات'!E16</f>
        <v>1000000</v>
      </c>
      <c r="D16" s="263"/>
      <c r="E16" s="577">
        <f t="shared" si="0"/>
        <v>1000000</v>
      </c>
      <c r="F16" s="1745">
        <f>'درآمد خدمات'!K16</f>
        <v>1000000</v>
      </c>
      <c r="G16" s="263"/>
      <c r="H16" s="577">
        <f t="shared" si="1"/>
        <v>1000000</v>
      </c>
    </row>
    <row r="17" spans="1:8" ht="30" customHeight="1">
      <c r="A17" s="575">
        <v>11</v>
      </c>
      <c r="B17" s="1746" t="str">
        <f ca="1">'درآمد خدمات'!B17</f>
        <v>حمل‌ونقل داخلی</v>
      </c>
      <c r="C17" s="1747">
        <f>'درآمد خدمات'!E17</f>
        <v>0</v>
      </c>
      <c r="D17" s="263"/>
      <c r="E17" s="577">
        <f t="shared" si="0"/>
        <v>0</v>
      </c>
      <c r="F17" s="1745">
        <f>'درآمد خدمات'!K17</f>
        <v>0</v>
      </c>
      <c r="G17" s="263"/>
      <c r="H17" s="577">
        <f t="shared" si="1"/>
        <v>0</v>
      </c>
    </row>
    <row r="18" spans="1:8" ht="30" customHeight="1">
      <c r="A18" s="575">
        <v>12</v>
      </c>
      <c r="B18" s="1746" t="str">
        <f ca="1">'درآمد خدمات'!B18</f>
        <v>حمل‌ونقل داخلی</v>
      </c>
      <c r="C18" s="1747">
        <f>'درآمد خدمات'!E18</f>
        <v>0</v>
      </c>
      <c r="D18" s="263"/>
      <c r="E18" s="577">
        <f t="shared" si="0"/>
        <v>0</v>
      </c>
      <c r="F18" s="1745">
        <f>'درآمد خدمات'!K18</f>
        <v>509109.94041730888</v>
      </c>
      <c r="G18" s="263"/>
      <c r="H18" s="577">
        <f t="shared" si="1"/>
        <v>509109.94041730888</v>
      </c>
    </row>
    <row r="19" spans="1:8" ht="30" customHeight="1">
      <c r="A19" s="575">
        <v>13</v>
      </c>
      <c r="B19" s="1746">
        <f ca="1">'درآمد خدمات'!B19</f>
        <v>0</v>
      </c>
      <c r="C19" s="1747">
        <f>'درآمد خدمات'!E19</f>
        <v>0</v>
      </c>
      <c r="D19" s="263"/>
      <c r="E19" s="577">
        <f t="shared" si="0"/>
        <v>0</v>
      </c>
      <c r="F19" s="1745">
        <f>'درآمد خدمات'!K19</f>
        <v>0</v>
      </c>
      <c r="G19" s="263"/>
      <c r="H19" s="577">
        <f t="shared" si="1"/>
        <v>0</v>
      </c>
    </row>
    <row r="20" spans="1:8" ht="30" customHeight="1">
      <c r="A20" s="575">
        <v>14</v>
      </c>
      <c r="B20" s="1746">
        <f ca="1">'درآمد خدمات'!B20</f>
        <v>0</v>
      </c>
      <c r="C20" s="1747">
        <f>'درآمد خدمات'!E20</f>
        <v>14843.564356435643</v>
      </c>
      <c r="D20" s="263"/>
      <c r="E20" s="577">
        <f t="shared" si="0"/>
        <v>14843.564356435643</v>
      </c>
      <c r="F20" s="1745">
        <f>'درآمد خدمات'!K20</f>
        <v>0</v>
      </c>
      <c r="G20" s="263"/>
      <c r="H20" s="577">
        <f t="shared" si="1"/>
        <v>0</v>
      </c>
    </row>
    <row r="21" spans="1:8" ht="30" customHeight="1">
      <c r="A21" s="1748">
        <v>15</v>
      </c>
      <c r="B21" s="1749">
        <f ca="1">'درآمد خدمات'!B21</f>
        <v>0</v>
      </c>
      <c r="C21" s="1750">
        <f>'درآمد خدمات'!E21</f>
        <v>0</v>
      </c>
      <c r="D21" s="264"/>
      <c r="E21" s="577">
        <f t="shared" si="0"/>
        <v>0</v>
      </c>
      <c r="F21" s="1745">
        <f>'درآمد خدمات'!K21</f>
        <v>0</v>
      </c>
      <c r="G21" s="264"/>
      <c r="H21" s="577">
        <f t="shared" si="1"/>
        <v>0</v>
      </c>
    </row>
    <row r="22" spans="1:8" ht="30" customHeight="1">
      <c r="A22" s="1748">
        <v>16</v>
      </c>
      <c r="B22" s="1749">
        <f ca="1">'درآمد خدمات'!B22</f>
        <v>0</v>
      </c>
      <c r="C22" s="1750">
        <f>'درآمد خدمات'!E22</f>
        <v>0</v>
      </c>
      <c r="D22" s="264"/>
      <c r="E22" s="577">
        <f t="shared" si="0"/>
        <v>0</v>
      </c>
      <c r="F22" s="1745">
        <f>'درآمد خدمات'!K22</f>
        <v>0</v>
      </c>
      <c r="G22" s="264"/>
      <c r="H22" s="577">
        <f t="shared" si="1"/>
        <v>0</v>
      </c>
    </row>
    <row r="23" spans="1:8" ht="30" customHeight="1">
      <c r="A23" s="1748">
        <v>17</v>
      </c>
      <c r="B23" s="1749">
        <f ca="1">'درآمد خدمات'!B23</f>
        <v>0</v>
      </c>
      <c r="C23" s="1750">
        <f>'درآمد خدمات'!E23</f>
        <v>0</v>
      </c>
      <c r="D23" s="264"/>
      <c r="E23" s="577">
        <f t="shared" si="0"/>
        <v>0</v>
      </c>
      <c r="F23" s="1745">
        <f>'درآمد خدمات'!K23</f>
        <v>0</v>
      </c>
      <c r="G23" s="264"/>
      <c r="H23" s="577">
        <f t="shared" si="1"/>
        <v>0</v>
      </c>
    </row>
    <row r="24" spans="1:8" ht="30" customHeight="1">
      <c r="A24" s="1748">
        <v>18</v>
      </c>
      <c r="B24" s="1749">
        <f ca="1">'درآمد خدمات'!B24</f>
        <v>0</v>
      </c>
      <c r="C24" s="1750">
        <f>'درآمد خدمات'!E24</f>
        <v>0</v>
      </c>
      <c r="D24" s="264"/>
      <c r="E24" s="577">
        <f t="shared" si="0"/>
        <v>0</v>
      </c>
      <c r="F24" s="1745">
        <f>'درآمد خدمات'!K24</f>
        <v>0</v>
      </c>
      <c r="G24" s="264"/>
      <c r="H24" s="577">
        <f t="shared" si="1"/>
        <v>0</v>
      </c>
    </row>
    <row r="25" spans="1:8" ht="30" customHeight="1">
      <c r="A25" s="1748">
        <v>19</v>
      </c>
      <c r="B25" s="1749">
        <f ca="1">'درآمد خدمات'!B25</f>
        <v>0</v>
      </c>
      <c r="C25" s="1750">
        <f>'درآمد خدمات'!E25</f>
        <v>0</v>
      </c>
      <c r="D25" s="264"/>
      <c r="E25" s="577">
        <f t="shared" si="0"/>
        <v>0</v>
      </c>
      <c r="F25" s="1745">
        <f>'درآمد خدمات'!K25</f>
        <v>0</v>
      </c>
      <c r="G25" s="264"/>
      <c r="H25" s="577">
        <f t="shared" si="1"/>
        <v>0</v>
      </c>
    </row>
    <row r="26" spans="1:8" ht="30" customHeight="1" thickBot="1">
      <c r="A26" s="576">
        <v>20</v>
      </c>
      <c r="B26" s="1751">
        <f ca="1">'درآمد خدمات'!B26</f>
        <v>0</v>
      </c>
      <c r="C26" s="1752">
        <f>'درآمد خدمات'!E26</f>
        <v>0</v>
      </c>
      <c r="D26" s="265"/>
      <c r="E26" s="578">
        <f t="shared" si="0"/>
        <v>0</v>
      </c>
      <c r="F26" s="1752">
        <f>'درآمد خدمات'!K26</f>
        <v>0</v>
      </c>
      <c r="G26" s="265"/>
      <c r="H26" s="578">
        <f t="shared" si="1"/>
        <v>0</v>
      </c>
    </row>
    <row r="27" spans="1:8" ht="20.25" customHeight="1">
      <c r="A27" s="984"/>
      <c r="B27" s="984"/>
      <c r="C27" s="983"/>
      <c r="D27" s="983"/>
      <c r="E27" s="983"/>
      <c r="F27" s="971"/>
      <c r="G27" s="971"/>
      <c r="H27" s="971"/>
    </row>
    <row r="28" spans="1:8" ht="25.5" customHeight="1">
      <c r="A28" s="8"/>
      <c r="B28" s="8"/>
      <c r="C28" s="8"/>
      <c r="D28" s="8"/>
      <c r="F28" s="964"/>
      <c r="G28" s="8"/>
      <c r="H28" s="964"/>
    </row>
    <row r="29" spans="1:8" ht="17.25">
      <c r="A29" s="971"/>
      <c r="B29" s="971"/>
      <c r="C29" s="971"/>
      <c r="D29" s="971"/>
      <c r="E29" s="971"/>
      <c r="F29" s="971"/>
      <c r="G29" s="971"/>
      <c r="H29" s="971"/>
    </row>
    <row r="30" spans="1:8" ht="17.25">
      <c r="A30" s="971"/>
      <c r="B30" s="971"/>
      <c r="C30" s="971"/>
      <c r="D30" s="971"/>
      <c r="E30" s="971"/>
      <c r="F30" s="971"/>
      <c r="G30" s="971"/>
      <c r="H30" s="971"/>
    </row>
    <row r="31" spans="1:8" ht="17.25">
      <c r="A31" s="971"/>
      <c r="B31" s="971"/>
      <c r="C31" s="971"/>
      <c r="D31" s="971"/>
      <c r="E31" s="971"/>
      <c r="F31" s="971"/>
      <c r="G31" s="971"/>
      <c r="H31" s="971"/>
    </row>
    <row r="32" spans="1:8" ht="17.25">
      <c r="A32" s="971"/>
      <c r="B32" s="971"/>
      <c r="C32" s="971"/>
      <c r="D32" s="971"/>
      <c r="E32" s="971"/>
      <c r="F32" s="971"/>
      <c r="G32" s="971"/>
      <c r="H32" s="971"/>
    </row>
    <row r="33" spans="1:8" ht="18" thickBot="1">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row r="61" spans="1:8" ht="17.25">
      <c r="A61" s="971"/>
      <c r="B61" s="971"/>
      <c r="C61" s="971"/>
      <c r="D61" s="971"/>
      <c r="E61" s="971"/>
      <c r="F61" s="971"/>
      <c r="G61" s="971"/>
      <c r="H61" s="971"/>
    </row>
    <row r="62" spans="1:8" ht="17.25">
      <c r="A62" s="971"/>
      <c r="B62" s="971"/>
      <c r="C62" s="971"/>
      <c r="D62" s="971"/>
      <c r="E62" s="971"/>
      <c r="F62" s="971"/>
      <c r="G62" s="971"/>
      <c r="H62" s="971"/>
    </row>
    <row r="63" spans="1:8" ht="17.25">
      <c r="A63" s="971"/>
      <c r="B63" s="971"/>
      <c r="C63" s="971"/>
      <c r="D63" s="971"/>
      <c r="E63" s="971"/>
      <c r="F63" s="971"/>
      <c r="G63" s="971"/>
      <c r="H63" s="971"/>
    </row>
    <row r="64" spans="1:8" ht="17.25">
      <c r="A64" s="971"/>
      <c r="B64" s="971"/>
      <c r="C64" s="971"/>
      <c r="D64" s="971"/>
      <c r="E64" s="971"/>
      <c r="F64" s="971"/>
      <c r="G64" s="971"/>
      <c r="H64" s="971"/>
    </row>
    <row r="65" spans="1:8" ht="17.25">
      <c r="A65" s="971"/>
      <c r="B65" s="971"/>
      <c r="C65" s="971"/>
      <c r="D65" s="971"/>
      <c r="E65" s="971"/>
      <c r="F65" s="971"/>
      <c r="G65" s="971"/>
      <c r="H65" s="971"/>
    </row>
    <row r="66" spans="1:8" ht="17.25">
      <c r="A66" s="971"/>
      <c r="B66" s="971"/>
      <c r="C66" s="971"/>
      <c r="D66" s="971"/>
      <c r="E66" s="971"/>
      <c r="F66" s="971"/>
      <c r="G66" s="971"/>
      <c r="H66" s="971"/>
    </row>
    <row r="67" spans="1:8" ht="17.25">
      <c r="A67" s="971"/>
      <c r="B67" s="971"/>
      <c r="C67" s="971"/>
      <c r="D67" s="971"/>
      <c r="E67" s="971"/>
      <c r="F67" s="971"/>
      <c r="G67" s="971"/>
      <c r="H67" s="971"/>
    </row>
    <row r="68" spans="1:8" ht="17.25">
      <c r="A68" s="971"/>
      <c r="B68" s="971"/>
      <c r="C68" s="971"/>
      <c r="D68" s="971"/>
      <c r="E68" s="971"/>
      <c r="F68" s="971"/>
      <c r="G68" s="971"/>
      <c r="H68" s="971"/>
    </row>
  </sheetData>
  <mergeCells count="3">
    <mergeCell ref="A1:H1"/>
    <mergeCell ref="A4:A6"/>
    <mergeCell ref="B4:B6"/>
  </mergeCells>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89E21026-7160-4272-9F58-4AE30891BDE8}">
            <x14:iconSet iconSet="3Symbols" custom="1">
              <x14:cfvo type="percent">
                <xm:f>0</xm:f>
              </x14:cfvo>
              <x14:cfvo type="num">
                <xm:f>0</xm:f>
              </x14:cfvo>
              <x14:cfvo type="num">
                <xm:f>0</xm:f>
              </x14:cfvo>
              <x14:cfIcon iconSet="3Symbols" iconId="1"/>
              <x14:cfIcon iconSet="NoIcons" iconId="0"/>
              <x14:cfIcon iconSet="NoIcons" iconId="0"/>
            </x14:iconSet>
          </x14:cfRule>
          <xm:sqref>E7:E26</xm:sqref>
        </x14:conditionalFormatting>
        <x14:conditionalFormatting xmlns:xm="http://schemas.microsoft.com/office/excel/2006/main">
          <x14:cfRule type="iconSet" priority="1" id="{BCEA010D-3F60-4CC6-BC31-A7554F73FE55}">
            <x14:iconSet iconSet="3Symbols" custom="1">
              <x14:cfvo type="percent">
                <xm:f>0</xm:f>
              </x14:cfvo>
              <x14:cfvo type="num">
                <xm:f>0</xm:f>
              </x14:cfvo>
              <x14:cfvo type="num">
                <xm:f>0</xm:f>
              </x14:cfvo>
              <x14:cfIcon iconSet="3Symbols" iconId="1"/>
              <x14:cfIcon iconSet="NoIcons" iconId="0"/>
              <x14:cfIcon iconSet="NoIcons" iconId="0"/>
            </x14:iconSet>
          </x14:cfRule>
          <xm:sqref>H7:H26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30">
    <tabColor rgb="FFE60000"/>
    <pageSetUpPr fitToPage="1"/>
  </sheetPr>
  <dimension ref="A1:R33"/>
  <sheetViews>
    <sheetView rightToLeft="1" topLeftCell="A19" workbookViewId="0">
      <selection activeCell="B12" sqref="B12"/>
    </sheetView>
  </sheetViews>
  <sheetFormatPr defaultRowHeight="12.75"/>
  <cols>
    <col min="1" max="1" width="9" style="9"/>
    <col min="2" max="2" width="31" style="9" customWidth="1"/>
    <col min="3" max="14" width="10.5703125" style="9" customWidth="1"/>
    <col min="15" max="257" width="9" style="9"/>
    <col min="258" max="258" width="31" style="9" customWidth="1"/>
    <col min="259" max="259" width="7.42578125" style="9" customWidth="1"/>
    <col min="260" max="266" width="9" style="9"/>
    <col min="267" max="267" width="10.85546875" style="9" bestFit="1" customWidth="1"/>
    <col min="268" max="513" width="9" style="9"/>
    <col min="514" max="514" width="31" style="9" customWidth="1"/>
    <col min="515" max="515" width="7.42578125" style="9" customWidth="1"/>
    <col min="516" max="522" width="9" style="9"/>
    <col min="523" max="523" width="10.85546875" style="9" bestFit="1" customWidth="1"/>
    <col min="524" max="769" width="9" style="9"/>
    <col min="770" max="770" width="31" style="9" customWidth="1"/>
    <col min="771" max="771" width="7.42578125" style="9" customWidth="1"/>
    <col min="772" max="778" width="9" style="9"/>
    <col min="779" max="779" width="10.85546875" style="9" bestFit="1" customWidth="1"/>
    <col min="780" max="1025" width="9" style="9"/>
    <col min="1026" max="1026" width="31" style="9" customWidth="1"/>
    <col min="1027" max="1027" width="7.42578125" style="9" customWidth="1"/>
    <col min="1028" max="1034" width="9" style="9"/>
    <col min="1035" max="1035" width="10.85546875" style="9" bestFit="1" customWidth="1"/>
    <col min="1036" max="1281" width="9" style="9"/>
    <col min="1282" max="1282" width="31" style="9" customWidth="1"/>
    <col min="1283" max="1283" width="7.42578125" style="9" customWidth="1"/>
    <col min="1284" max="1290" width="9" style="9"/>
    <col min="1291" max="1291" width="10.85546875" style="9" bestFit="1" customWidth="1"/>
    <col min="1292" max="1537" width="9" style="9"/>
    <col min="1538" max="1538" width="31" style="9" customWidth="1"/>
    <col min="1539" max="1539" width="7.42578125" style="9" customWidth="1"/>
    <col min="1540" max="1546" width="9" style="9"/>
    <col min="1547" max="1547" width="10.85546875" style="9" bestFit="1" customWidth="1"/>
    <col min="1548" max="1793" width="9" style="9"/>
    <col min="1794" max="1794" width="31" style="9" customWidth="1"/>
    <col min="1795" max="1795" width="7.42578125" style="9" customWidth="1"/>
    <col min="1796" max="1802" width="9" style="9"/>
    <col min="1803" max="1803" width="10.85546875" style="9" bestFit="1" customWidth="1"/>
    <col min="1804" max="2049" width="9" style="9"/>
    <col min="2050" max="2050" width="31" style="9" customWidth="1"/>
    <col min="2051" max="2051" width="7.42578125" style="9" customWidth="1"/>
    <col min="2052" max="2058" width="9" style="9"/>
    <col min="2059" max="2059" width="10.85546875" style="9" bestFit="1" customWidth="1"/>
    <col min="2060" max="2305" width="9" style="9"/>
    <col min="2306" max="2306" width="31" style="9" customWidth="1"/>
    <col min="2307" max="2307" width="7.42578125" style="9" customWidth="1"/>
    <col min="2308" max="2314" width="9" style="9"/>
    <col min="2315" max="2315" width="10.85546875" style="9" bestFit="1" customWidth="1"/>
    <col min="2316" max="2561" width="9" style="9"/>
    <col min="2562" max="2562" width="31" style="9" customWidth="1"/>
    <col min="2563" max="2563" width="7.42578125" style="9" customWidth="1"/>
    <col min="2564" max="2570" width="9" style="9"/>
    <col min="2571" max="2571" width="10.85546875" style="9" bestFit="1" customWidth="1"/>
    <col min="2572" max="2817" width="9" style="9"/>
    <col min="2818" max="2818" width="31" style="9" customWidth="1"/>
    <col min="2819" max="2819" width="7.42578125" style="9" customWidth="1"/>
    <col min="2820" max="2826" width="9" style="9"/>
    <col min="2827" max="2827" width="10.85546875" style="9" bestFit="1" customWidth="1"/>
    <col min="2828" max="3073" width="9" style="9"/>
    <col min="3074" max="3074" width="31" style="9" customWidth="1"/>
    <col min="3075" max="3075" width="7.42578125" style="9" customWidth="1"/>
    <col min="3076" max="3082" width="9" style="9"/>
    <col min="3083" max="3083" width="10.85546875" style="9" bestFit="1" customWidth="1"/>
    <col min="3084" max="3329" width="9" style="9"/>
    <col min="3330" max="3330" width="31" style="9" customWidth="1"/>
    <col min="3331" max="3331" width="7.42578125" style="9" customWidth="1"/>
    <col min="3332" max="3338" width="9" style="9"/>
    <col min="3339" max="3339" width="10.85546875" style="9" bestFit="1" customWidth="1"/>
    <col min="3340" max="3585" width="9" style="9"/>
    <col min="3586" max="3586" width="31" style="9" customWidth="1"/>
    <col min="3587" max="3587" width="7.42578125" style="9" customWidth="1"/>
    <col min="3588" max="3594" width="9" style="9"/>
    <col min="3595" max="3595" width="10.85546875" style="9" bestFit="1" customWidth="1"/>
    <col min="3596" max="3841" width="9" style="9"/>
    <col min="3842" max="3842" width="31" style="9" customWidth="1"/>
    <col min="3843" max="3843" width="7.42578125" style="9" customWidth="1"/>
    <col min="3844" max="3850" width="9" style="9"/>
    <col min="3851" max="3851" width="10.85546875" style="9" bestFit="1" customWidth="1"/>
    <col min="3852" max="4097" width="9" style="9"/>
    <col min="4098" max="4098" width="31" style="9" customWidth="1"/>
    <col min="4099" max="4099" width="7.42578125" style="9" customWidth="1"/>
    <col min="4100" max="4106" width="9" style="9"/>
    <col min="4107" max="4107" width="10.85546875" style="9" bestFit="1" customWidth="1"/>
    <col min="4108" max="4353" width="9" style="9"/>
    <col min="4354" max="4354" width="31" style="9" customWidth="1"/>
    <col min="4355" max="4355" width="7.42578125" style="9" customWidth="1"/>
    <col min="4356" max="4362" width="9" style="9"/>
    <col min="4363" max="4363" width="10.85546875" style="9" bestFit="1" customWidth="1"/>
    <col min="4364" max="4609" width="9" style="9"/>
    <col min="4610" max="4610" width="31" style="9" customWidth="1"/>
    <col min="4611" max="4611" width="7.42578125" style="9" customWidth="1"/>
    <col min="4612" max="4618" width="9" style="9"/>
    <col min="4619" max="4619" width="10.85546875" style="9" bestFit="1" customWidth="1"/>
    <col min="4620" max="4865" width="9" style="9"/>
    <col min="4866" max="4866" width="31" style="9" customWidth="1"/>
    <col min="4867" max="4867" width="7.42578125" style="9" customWidth="1"/>
    <col min="4868" max="4874" width="9" style="9"/>
    <col min="4875" max="4875" width="10.85546875" style="9" bestFit="1" customWidth="1"/>
    <col min="4876" max="5121" width="9" style="9"/>
    <col min="5122" max="5122" width="31" style="9" customWidth="1"/>
    <col min="5123" max="5123" width="7.42578125" style="9" customWidth="1"/>
    <col min="5124" max="5130" width="9" style="9"/>
    <col min="5131" max="5131" width="10.85546875" style="9" bestFit="1" customWidth="1"/>
    <col min="5132" max="5377" width="9" style="9"/>
    <col min="5378" max="5378" width="31" style="9" customWidth="1"/>
    <col min="5379" max="5379" width="7.42578125" style="9" customWidth="1"/>
    <col min="5380" max="5386" width="9" style="9"/>
    <col min="5387" max="5387" width="10.85546875" style="9" bestFit="1" customWidth="1"/>
    <col min="5388" max="5633" width="9" style="9"/>
    <col min="5634" max="5634" width="31" style="9" customWidth="1"/>
    <col min="5635" max="5635" width="7.42578125" style="9" customWidth="1"/>
    <col min="5636" max="5642" width="9" style="9"/>
    <col min="5643" max="5643" width="10.85546875" style="9" bestFit="1" customWidth="1"/>
    <col min="5644" max="5889" width="9" style="9"/>
    <col min="5890" max="5890" width="31" style="9" customWidth="1"/>
    <col min="5891" max="5891" width="7.42578125" style="9" customWidth="1"/>
    <col min="5892" max="5898" width="9" style="9"/>
    <col min="5899" max="5899" width="10.85546875" style="9" bestFit="1" customWidth="1"/>
    <col min="5900" max="6145" width="9" style="9"/>
    <col min="6146" max="6146" width="31" style="9" customWidth="1"/>
    <col min="6147" max="6147" width="7.42578125" style="9" customWidth="1"/>
    <col min="6148" max="6154" width="9" style="9"/>
    <col min="6155" max="6155" width="10.85546875" style="9" bestFit="1" customWidth="1"/>
    <col min="6156" max="6401" width="9" style="9"/>
    <col min="6402" max="6402" width="31" style="9" customWidth="1"/>
    <col min="6403" max="6403" width="7.42578125" style="9" customWidth="1"/>
    <col min="6404" max="6410" width="9" style="9"/>
    <col min="6411" max="6411" width="10.85546875" style="9" bestFit="1" customWidth="1"/>
    <col min="6412" max="6657" width="9" style="9"/>
    <col min="6658" max="6658" width="31" style="9" customWidth="1"/>
    <col min="6659" max="6659" width="7.42578125" style="9" customWidth="1"/>
    <col min="6660" max="6666" width="9" style="9"/>
    <col min="6667" max="6667" width="10.85546875" style="9" bestFit="1" customWidth="1"/>
    <col min="6668" max="6913" width="9" style="9"/>
    <col min="6914" max="6914" width="31" style="9" customWidth="1"/>
    <col min="6915" max="6915" width="7.42578125" style="9" customWidth="1"/>
    <col min="6916" max="6922" width="9" style="9"/>
    <col min="6923" max="6923" width="10.85546875" style="9" bestFit="1" customWidth="1"/>
    <col min="6924" max="7169" width="9" style="9"/>
    <col min="7170" max="7170" width="31" style="9" customWidth="1"/>
    <col min="7171" max="7171" width="7.42578125" style="9" customWidth="1"/>
    <col min="7172" max="7178" width="9" style="9"/>
    <col min="7179" max="7179" width="10.85546875" style="9" bestFit="1" customWidth="1"/>
    <col min="7180" max="7425" width="9" style="9"/>
    <col min="7426" max="7426" width="31" style="9" customWidth="1"/>
    <col min="7427" max="7427" width="7.42578125" style="9" customWidth="1"/>
    <col min="7428" max="7434" width="9" style="9"/>
    <col min="7435" max="7435" width="10.85546875" style="9" bestFit="1" customWidth="1"/>
    <col min="7436" max="7681" width="9" style="9"/>
    <col min="7682" max="7682" width="31" style="9" customWidth="1"/>
    <col min="7683" max="7683" width="7.42578125" style="9" customWidth="1"/>
    <col min="7684" max="7690" width="9" style="9"/>
    <col min="7691" max="7691" width="10.85546875" style="9" bestFit="1" customWidth="1"/>
    <col min="7692" max="7937" width="9" style="9"/>
    <col min="7938" max="7938" width="31" style="9" customWidth="1"/>
    <col min="7939" max="7939" width="7.42578125" style="9" customWidth="1"/>
    <col min="7940" max="7946" width="9" style="9"/>
    <col min="7947" max="7947" width="10.85546875" style="9" bestFit="1" customWidth="1"/>
    <col min="7948" max="8193" width="9" style="9"/>
    <col min="8194" max="8194" width="31" style="9" customWidth="1"/>
    <col min="8195" max="8195" width="7.42578125" style="9" customWidth="1"/>
    <col min="8196" max="8202" width="9" style="9"/>
    <col min="8203" max="8203" width="10.85546875" style="9" bestFit="1" customWidth="1"/>
    <col min="8204" max="8449" width="9" style="9"/>
    <col min="8450" max="8450" width="31" style="9" customWidth="1"/>
    <col min="8451" max="8451" width="7.42578125" style="9" customWidth="1"/>
    <col min="8452" max="8458" width="9" style="9"/>
    <col min="8459" max="8459" width="10.85546875" style="9" bestFit="1" customWidth="1"/>
    <col min="8460" max="8705" width="9" style="9"/>
    <col min="8706" max="8706" width="31" style="9" customWidth="1"/>
    <col min="8707" max="8707" width="7.42578125" style="9" customWidth="1"/>
    <col min="8708" max="8714" width="9" style="9"/>
    <col min="8715" max="8715" width="10.85546875" style="9" bestFit="1" customWidth="1"/>
    <col min="8716" max="8961" width="9" style="9"/>
    <col min="8962" max="8962" width="31" style="9" customWidth="1"/>
    <col min="8963" max="8963" width="7.42578125" style="9" customWidth="1"/>
    <col min="8964" max="8970" width="9" style="9"/>
    <col min="8971" max="8971" width="10.85546875" style="9" bestFit="1" customWidth="1"/>
    <col min="8972" max="9217" width="9" style="9"/>
    <col min="9218" max="9218" width="31" style="9" customWidth="1"/>
    <col min="9219" max="9219" width="7.42578125" style="9" customWidth="1"/>
    <col min="9220" max="9226" width="9" style="9"/>
    <col min="9227" max="9227" width="10.85546875" style="9" bestFit="1" customWidth="1"/>
    <col min="9228" max="9473" width="9" style="9"/>
    <col min="9474" max="9474" width="31" style="9" customWidth="1"/>
    <col min="9475" max="9475" width="7.42578125" style="9" customWidth="1"/>
    <col min="9476" max="9482" width="9" style="9"/>
    <col min="9483" max="9483" width="10.85546875" style="9" bestFit="1" customWidth="1"/>
    <col min="9484" max="9729" width="9" style="9"/>
    <col min="9730" max="9730" width="31" style="9" customWidth="1"/>
    <col min="9731" max="9731" width="7.42578125" style="9" customWidth="1"/>
    <col min="9732" max="9738" width="9" style="9"/>
    <col min="9739" max="9739" width="10.85546875" style="9" bestFit="1" customWidth="1"/>
    <col min="9740" max="9985" width="9" style="9"/>
    <col min="9986" max="9986" width="31" style="9" customWidth="1"/>
    <col min="9987" max="9987" width="7.42578125" style="9" customWidth="1"/>
    <col min="9988" max="9994" width="9" style="9"/>
    <col min="9995" max="9995" width="10.85546875" style="9" bestFit="1" customWidth="1"/>
    <col min="9996" max="10241" width="9" style="9"/>
    <col min="10242" max="10242" width="31" style="9" customWidth="1"/>
    <col min="10243" max="10243" width="7.42578125" style="9" customWidth="1"/>
    <col min="10244" max="10250" width="9" style="9"/>
    <col min="10251" max="10251" width="10.85546875" style="9" bestFit="1" customWidth="1"/>
    <col min="10252" max="10497" width="9" style="9"/>
    <col min="10498" max="10498" width="31" style="9" customWidth="1"/>
    <col min="10499" max="10499" width="7.42578125" style="9" customWidth="1"/>
    <col min="10500" max="10506" width="9" style="9"/>
    <col min="10507" max="10507" width="10.85546875" style="9" bestFit="1" customWidth="1"/>
    <col min="10508" max="10753" width="9" style="9"/>
    <col min="10754" max="10754" width="31" style="9" customWidth="1"/>
    <col min="10755" max="10755" width="7.42578125" style="9" customWidth="1"/>
    <col min="10756" max="10762" width="9" style="9"/>
    <col min="10763" max="10763" width="10.85546875" style="9" bestFit="1" customWidth="1"/>
    <col min="10764" max="11009" width="9" style="9"/>
    <col min="11010" max="11010" width="31" style="9" customWidth="1"/>
    <col min="11011" max="11011" width="7.42578125" style="9" customWidth="1"/>
    <col min="11012" max="11018" width="9" style="9"/>
    <col min="11019" max="11019" width="10.85546875" style="9" bestFit="1" customWidth="1"/>
    <col min="11020" max="11265" width="9" style="9"/>
    <col min="11266" max="11266" width="31" style="9" customWidth="1"/>
    <col min="11267" max="11267" width="7.42578125" style="9" customWidth="1"/>
    <col min="11268" max="11274" width="9" style="9"/>
    <col min="11275" max="11275" width="10.85546875" style="9" bestFit="1" customWidth="1"/>
    <col min="11276" max="11521" width="9" style="9"/>
    <col min="11522" max="11522" width="31" style="9" customWidth="1"/>
    <col min="11523" max="11523" width="7.42578125" style="9" customWidth="1"/>
    <col min="11524" max="11530" width="9" style="9"/>
    <col min="11531" max="11531" width="10.85546875" style="9" bestFit="1" customWidth="1"/>
    <col min="11532" max="11777" width="9" style="9"/>
    <col min="11778" max="11778" width="31" style="9" customWidth="1"/>
    <col min="11779" max="11779" width="7.42578125" style="9" customWidth="1"/>
    <col min="11780" max="11786" width="9" style="9"/>
    <col min="11787" max="11787" width="10.85546875" style="9" bestFit="1" customWidth="1"/>
    <col min="11788" max="12033" width="9" style="9"/>
    <col min="12034" max="12034" width="31" style="9" customWidth="1"/>
    <col min="12035" max="12035" width="7.42578125" style="9" customWidth="1"/>
    <col min="12036" max="12042" width="9" style="9"/>
    <col min="12043" max="12043" width="10.85546875" style="9" bestFit="1" customWidth="1"/>
    <col min="12044" max="12289" width="9" style="9"/>
    <col min="12290" max="12290" width="31" style="9" customWidth="1"/>
    <col min="12291" max="12291" width="7.42578125" style="9" customWidth="1"/>
    <col min="12292" max="12298" width="9" style="9"/>
    <col min="12299" max="12299" width="10.85546875" style="9" bestFit="1" customWidth="1"/>
    <col min="12300" max="12545" width="9" style="9"/>
    <col min="12546" max="12546" width="31" style="9" customWidth="1"/>
    <col min="12547" max="12547" width="7.42578125" style="9" customWidth="1"/>
    <col min="12548" max="12554" width="9" style="9"/>
    <col min="12555" max="12555" width="10.85546875" style="9" bestFit="1" customWidth="1"/>
    <col min="12556" max="12801" width="9" style="9"/>
    <col min="12802" max="12802" width="31" style="9" customWidth="1"/>
    <col min="12803" max="12803" width="7.42578125" style="9" customWidth="1"/>
    <col min="12804" max="12810" width="9" style="9"/>
    <col min="12811" max="12811" width="10.85546875" style="9" bestFit="1" customWidth="1"/>
    <col min="12812" max="13057" width="9" style="9"/>
    <col min="13058" max="13058" width="31" style="9" customWidth="1"/>
    <col min="13059" max="13059" width="7.42578125" style="9" customWidth="1"/>
    <col min="13060" max="13066" width="9" style="9"/>
    <col min="13067" max="13067" width="10.85546875" style="9" bestFit="1" customWidth="1"/>
    <col min="13068" max="13313" width="9" style="9"/>
    <col min="13314" max="13314" width="31" style="9" customWidth="1"/>
    <col min="13315" max="13315" width="7.42578125" style="9" customWidth="1"/>
    <col min="13316" max="13322" width="9" style="9"/>
    <col min="13323" max="13323" width="10.85546875" style="9" bestFit="1" customWidth="1"/>
    <col min="13324" max="13569" width="9" style="9"/>
    <col min="13570" max="13570" width="31" style="9" customWidth="1"/>
    <col min="13571" max="13571" width="7.42578125" style="9" customWidth="1"/>
    <col min="13572" max="13578" width="9" style="9"/>
    <col min="13579" max="13579" width="10.85546875" style="9" bestFit="1" customWidth="1"/>
    <col min="13580" max="13825" width="9" style="9"/>
    <col min="13826" max="13826" width="31" style="9" customWidth="1"/>
    <col min="13827" max="13827" width="7.42578125" style="9" customWidth="1"/>
    <col min="13828" max="13834" width="9" style="9"/>
    <col min="13835" max="13835" width="10.85546875" style="9" bestFit="1" customWidth="1"/>
    <col min="13836" max="14081" width="9" style="9"/>
    <col min="14082" max="14082" width="31" style="9" customWidth="1"/>
    <col min="14083" max="14083" width="7.42578125" style="9" customWidth="1"/>
    <col min="14084" max="14090" width="9" style="9"/>
    <col min="14091" max="14091" width="10.85546875" style="9" bestFit="1" customWidth="1"/>
    <col min="14092" max="14337" width="9" style="9"/>
    <col min="14338" max="14338" width="31" style="9" customWidth="1"/>
    <col min="14339" max="14339" width="7.42578125" style="9" customWidth="1"/>
    <col min="14340" max="14346" width="9" style="9"/>
    <col min="14347" max="14347" width="10.85546875" style="9" bestFit="1" customWidth="1"/>
    <col min="14348" max="14593" width="9" style="9"/>
    <col min="14594" max="14594" width="31" style="9" customWidth="1"/>
    <col min="14595" max="14595" width="7.42578125" style="9" customWidth="1"/>
    <col min="14596" max="14602" width="9" style="9"/>
    <col min="14603" max="14603" width="10.85546875" style="9" bestFit="1" customWidth="1"/>
    <col min="14604" max="14849" width="9" style="9"/>
    <col min="14850" max="14850" width="31" style="9" customWidth="1"/>
    <col min="14851" max="14851" width="7.42578125" style="9" customWidth="1"/>
    <col min="14852" max="14858" width="9" style="9"/>
    <col min="14859" max="14859" width="10.85546875" style="9" bestFit="1" customWidth="1"/>
    <col min="14860" max="15105" width="9" style="9"/>
    <col min="15106" max="15106" width="31" style="9" customWidth="1"/>
    <col min="15107" max="15107" width="7.42578125" style="9" customWidth="1"/>
    <col min="15108" max="15114" width="9" style="9"/>
    <col min="15115" max="15115" width="10.85546875" style="9" bestFit="1" customWidth="1"/>
    <col min="15116" max="15361" width="9" style="9"/>
    <col min="15362" max="15362" width="31" style="9" customWidth="1"/>
    <col min="15363" max="15363" width="7.42578125" style="9" customWidth="1"/>
    <col min="15364" max="15370" width="9" style="9"/>
    <col min="15371" max="15371" width="10.85546875" style="9" bestFit="1" customWidth="1"/>
    <col min="15372" max="15617" width="9" style="9"/>
    <col min="15618" max="15618" width="31" style="9" customWidth="1"/>
    <col min="15619" max="15619" width="7.42578125" style="9" customWidth="1"/>
    <col min="15620" max="15626" width="9" style="9"/>
    <col min="15627" max="15627" width="10.85546875" style="9" bestFit="1" customWidth="1"/>
    <col min="15628" max="15873" width="9" style="9"/>
    <col min="15874" max="15874" width="31" style="9" customWidth="1"/>
    <col min="15875" max="15875" width="7.42578125" style="9" customWidth="1"/>
    <col min="15876" max="15882" width="9" style="9"/>
    <col min="15883" max="15883" width="10.85546875" style="9" bestFit="1" customWidth="1"/>
    <col min="15884" max="16129" width="9" style="9"/>
    <col min="16130" max="16130" width="31" style="9" customWidth="1"/>
    <col min="16131" max="16131" width="7.42578125" style="9" customWidth="1"/>
    <col min="16132" max="16138" width="9" style="9"/>
    <col min="16139" max="16139" width="10.85546875" style="9" bestFit="1" customWidth="1"/>
    <col min="16140" max="16384" width="9" style="9"/>
  </cols>
  <sheetData>
    <row r="1" spans="1:18" s="5"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54"/>
      <c r="P1" s="54"/>
      <c r="Q1" s="54"/>
      <c r="R1" s="54"/>
    </row>
    <row r="2" spans="1:18" s="83" customFormat="1" ht="28.5" customHeight="1">
      <c r="A2" s="1206" t="str">
        <f>"خلاصه وضعيت استفاده از اعتبارات و تسهيلات بانكي در دوره " &amp; روکش!F9 &amp; " سال " &amp; روکش!D9</f>
        <v>خلاصه وضعيت استفاده از اعتبارات و تسهيلات بانكي در دوره شش ماهه سال 1405</v>
      </c>
      <c r="B2" s="1206"/>
      <c r="C2" s="1206"/>
      <c r="D2" s="1206"/>
      <c r="E2" s="1206"/>
      <c r="F2" s="1206"/>
      <c r="G2" s="1206"/>
      <c r="H2" s="1206"/>
      <c r="I2" s="1206"/>
      <c r="J2" s="1206"/>
      <c r="K2" s="1203"/>
      <c r="L2" s="1203"/>
      <c r="M2" s="1203"/>
      <c r="N2" s="1203"/>
      <c r="O2" s="62"/>
      <c r="P2" s="62"/>
      <c r="Q2" s="62"/>
      <c r="R2" s="62"/>
    </row>
    <row r="3" spans="1:18" ht="20.100000000000001" customHeight="1" thickBot="1">
      <c r="A3" s="601"/>
      <c r="B3" s="602"/>
      <c r="C3" s="602"/>
      <c r="D3" s="602"/>
      <c r="E3" s="602"/>
      <c r="F3" s="602"/>
      <c r="G3" s="602"/>
      <c r="H3" s="602"/>
      <c r="I3" s="602"/>
      <c r="J3" s="602"/>
      <c r="K3" s="602"/>
      <c r="L3" s="1253"/>
      <c r="M3" s="1253"/>
      <c r="N3" s="1253" t="s">
        <v>30</v>
      </c>
      <c r="O3" s="55"/>
      <c r="P3" s="55"/>
      <c r="Q3" s="55"/>
      <c r="R3" s="55"/>
    </row>
    <row r="4" spans="1:18" ht="27.75" customHeight="1" thickBot="1">
      <c r="A4" s="2733" t="s">
        <v>85</v>
      </c>
      <c r="B4" s="2838" t="s">
        <v>21</v>
      </c>
      <c r="C4" s="3191" t="s">
        <v>860</v>
      </c>
      <c r="D4" s="3192"/>
      <c r="E4" s="3192"/>
      <c r="F4" s="3192"/>
      <c r="G4" s="3192"/>
      <c r="H4" s="3192"/>
      <c r="I4" s="3192"/>
      <c r="J4" s="3192"/>
      <c r="K4" s="3192"/>
      <c r="L4" s="3192"/>
      <c r="M4" s="3192"/>
      <c r="N4" s="3193"/>
      <c r="O4" s="55"/>
      <c r="P4" s="55"/>
      <c r="Q4" s="55"/>
      <c r="R4" s="55"/>
    </row>
    <row r="5" spans="1:18" ht="21.75" customHeight="1" thickBot="1">
      <c r="A5" s="2734"/>
      <c r="B5" s="3190"/>
      <c r="C5" s="3194" t="s">
        <v>86</v>
      </c>
      <c r="D5" s="3195"/>
      <c r="E5" s="3195"/>
      <c r="F5" s="3195"/>
      <c r="G5" s="3195"/>
      <c r="H5" s="3196"/>
      <c r="I5" s="3195" t="s">
        <v>776</v>
      </c>
      <c r="J5" s="3195"/>
      <c r="K5" s="3196"/>
      <c r="L5" s="3194" t="s">
        <v>777</v>
      </c>
      <c r="M5" s="3195"/>
      <c r="N5" s="3196"/>
      <c r="O5" s="55"/>
      <c r="P5" s="55"/>
      <c r="Q5" s="55"/>
      <c r="R5" s="55"/>
    </row>
    <row r="6" spans="1:18" ht="42">
      <c r="A6" s="3189"/>
      <c r="B6" s="2841"/>
      <c r="C6" s="603" t="s">
        <v>87</v>
      </c>
      <c r="D6" s="603" t="s">
        <v>88</v>
      </c>
      <c r="E6" s="898" t="s">
        <v>89</v>
      </c>
      <c r="F6" s="603" t="s">
        <v>90</v>
      </c>
      <c r="G6" s="603" t="s">
        <v>91</v>
      </c>
      <c r="H6" s="604" t="s">
        <v>92</v>
      </c>
      <c r="I6" s="899" t="s">
        <v>93</v>
      </c>
      <c r="J6" s="898" t="s">
        <v>94</v>
      </c>
      <c r="K6" s="898" t="s">
        <v>1</v>
      </c>
      <c r="L6" s="603" t="s">
        <v>95</v>
      </c>
      <c r="M6" s="898" t="s">
        <v>96</v>
      </c>
      <c r="N6" s="900" t="s">
        <v>24</v>
      </c>
      <c r="O6" s="55"/>
      <c r="P6" s="55"/>
      <c r="Q6" s="55"/>
      <c r="R6" s="55"/>
    </row>
    <row r="7" spans="1:18" ht="30" customHeight="1">
      <c r="A7" s="590">
        <v>1</v>
      </c>
      <c r="B7" s="1831"/>
      <c r="C7" s="1832"/>
      <c r="D7" s="1833"/>
      <c r="E7" s="1834"/>
      <c r="F7" s="1835"/>
      <c r="G7" s="1835"/>
      <c r="H7" s="1836"/>
      <c r="I7" s="276"/>
      <c r="J7" s="277"/>
      <c r="K7" s="605">
        <f>J7+I7</f>
        <v>0</v>
      </c>
      <c r="L7" s="278"/>
      <c r="M7" s="279"/>
      <c r="N7" s="599">
        <f>M7+L7</f>
        <v>0</v>
      </c>
      <c r="O7" s="55"/>
      <c r="P7" s="55"/>
      <c r="Q7" s="55"/>
      <c r="R7" s="55"/>
    </row>
    <row r="8" spans="1:18" ht="30" customHeight="1">
      <c r="A8" s="591">
        <v>2</v>
      </c>
      <c r="B8" s="1837"/>
      <c r="C8" s="1838"/>
      <c r="D8" s="1839"/>
      <c r="E8" s="1840"/>
      <c r="F8" s="1841"/>
      <c r="G8" s="1841"/>
      <c r="H8" s="1842"/>
      <c r="I8" s="280"/>
      <c r="J8" s="281"/>
      <c r="K8" s="606">
        <f t="shared" ref="K8:K15" si="0">J8+I8</f>
        <v>0</v>
      </c>
      <c r="L8" s="170"/>
      <c r="M8" s="246"/>
      <c r="N8" s="600">
        <f t="shared" ref="N8:N16" si="1">M8+L8</f>
        <v>0</v>
      </c>
      <c r="O8" s="55"/>
      <c r="P8" s="55"/>
      <c r="Q8" s="55"/>
      <c r="R8" s="55"/>
    </row>
    <row r="9" spans="1:18" ht="30" customHeight="1">
      <c r="A9" s="591">
        <v>3</v>
      </c>
      <c r="B9" s="1837"/>
      <c r="C9" s="1838"/>
      <c r="D9" s="1839"/>
      <c r="E9" s="1840"/>
      <c r="F9" s="1841"/>
      <c r="G9" s="1841"/>
      <c r="H9" s="1842"/>
      <c r="I9" s="280"/>
      <c r="J9" s="281"/>
      <c r="K9" s="606">
        <f t="shared" si="0"/>
        <v>0</v>
      </c>
      <c r="L9" s="170"/>
      <c r="M9" s="246"/>
      <c r="N9" s="600">
        <f t="shared" si="1"/>
        <v>0</v>
      </c>
      <c r="O9" s="55"/>
      <c r="P9" s="55"/>
      <c r="Q9" s="55"/>
      <c r="R9" s="55"/>
    </row>
    <row r="10" spans="1:18" ht="30" customHeight="1">
      <c r="A10" s="591">
        <v>4</v>
      </c>
      <c r="B10" s="1837"/>
      <c r="C10" s="1838"/>
      <c r="D10" s="1839"/>
      <c r="E10" s="1840"/>
      <c r="F10" s="1841"/>
      <c r="G10" s="1841"/>
      <c r="H10" s="1842"/>
      <c r="I10" s="280"/>
      <c r="J10" s="281"/>
      <c r="K10" s="606">
        <f t="shared" si="0"/>
        <v>0</v>
      </c>
      <c r="L10" s="170"/>
      <c r="M10" s="246"/>
      <c r="N10" s="600">
        <f t="shared" si="1"/>
        <v>0</v>
      </c>
      <c r="O10" s="55"/>
      <c r="P10" s="55"/>
      <c r="Q10" s="55"/>
      <c r="R10" s="55"/>
    </row>
    <row r="11" spans="1:18" ht="30" customHeight="1">
      <c r="A11" s="591">
        <v>5</v>
      </c>
      <c r="B11" s="1837"/>
      <c r="C11" s="1838"/>
      <c r="D11" s="1839"/>
      <c r="E11" s="1840"/>
      <c r="F11" s="1841"/>
      <c r="G11" s="1841"/>
      <c r="H11" s="1842"/>
      <c r="I11" s="280"/>
      <c r="J11" s="281"/>
      <c r="K11" s="606">
        <f t="shared" si="0"/>
        <v>0</v>
      </c>
      <c r="L11" s="170"/>
      <c r="M11" s="246"/>
      <c r="N11" s="600">
        <f t="shared" si="1"/>
        <v>0</v>
      </c>
      <c r="O11" s="55"/>
      <c r="P11" s="55"/>
      <c r="Q11" s="55"/>
      <c r="R11" s="55"/>
    </row>
    <row r="12" spans="1:18" ht="30" customHeight="1">
      <c r="A12" s="591">
        <v>6</v>
      </c>
      <c r="B12" s="1837"/>
      <c r="C12" s="1838"/>
      <c r="D12" s="1839"/>
      <c r="E12" s="1840"/>
      <c r="F12" s="1841"/>
      <c r="G12" s="1841"/>
      <c r="H12" s="1842"/>
      <c r="I12" s="280"/>
      <c r="J12" s="281"/>
      <c r="K12" s="606">
        <f>J12+I12</f>
        <v>0</v>
      </c>
      <c r="L12" s="170"/>
      <c r="M12" s="246"/>
      <c r="N12" s="600">
        <f>M12+L12</f>
        <v>0</v>
      </c>
      <c r="O12" s="55"/>
      <c r="P12" s="55"/>
      <c r="Q12" s="55"/>
      <c r="R12" s="55"/>
    </row>
    <row r="13" spans="1:18" ht="30" customHeight="1">
      <c r="A13" s="591">
        <v>7</v>
      </c>
      <c r="B13" s="1837"/>
      <c r="C13" s="1838"/>
      <c r="D13" s="1839"/>
      <c r="E13" s="1840"/>
      <c r="F13" s="1841"/>
      <c r="G13" s="1841"/>
      <c r="H13" s="1842"/>
      <c r="I13" s="280"/>
      <c r="J13" s="281"/>
      <c r="K13" s="606">
        <f>J13+I13</f>
        <v>0</v>
      </c>
      <c r="L13" s="170"/>
      <c r="M13" s="246"/>
      <c r="N13" s="600">
        <f>M13+L13</f>
        <v>0</v>
      </c>
      <c r="O13" s="55"/>
      <c r="P13" s="55"/>
      <c r="Q13" s="55"/>
      <c r="R13" s="55"/>
    </row>
    <row r="14" spans="1:18" ht="30" customHeight="1">
      <c r="A14" s="591">
        <v>8</v>
      </c>
      <c r="B14" s="1837"/>
      <c r="C14" s="1838"/>
      <c r="D14" s="1839"/>
      <c r="E14" s="1840"/>
      <c r="F14" s="1841"/>
      <c r="G14" s="1841"/>
      <c r="H14" s="1842"/>
      <c r="I14" s="280"/>
      <c r="J14" s="281"/>
      <c r="K14" s="606">
        <f>J14+I14</f>
        <v>0</v>
      </c>
      <c r="L14" s="170"/>
      <c r="M14" s="246"/>
      <c r="N14" s="600">
        <f>M14+L14</f>
        <v>0</v>
      </c>
      <c r="O14" s="55"/>
      <c r="P14" s="55"/>
      <c r="Q14" s="55"/>
      <c r="R14" s="55"/>
    </row>
    <row r="15" spans="1:18" ht="30" customHeight="1" thickBot="1">
      <c r="A15" s="591">
        <v>9</v>
      </c>
      <c r="B15" s="1837"/>
      <c r="C15" s="1838"/>
      <c r="D15" s="1839"/>
      <c r="E15" s="1840"/>
      <c r="F15" s="1841"/>
      <c r="G15" s="1841"/>
      <c r="H15" s="1842"/>
      <c r="I15" s="280"/>
      <c r="J15" s="281"/>
      <c r="K15" s="606">
        <f t="shared" si="0"/>
        <v>0</v>
      </c>
      <c r="L15" s="170"/>
      <c r="M15" s="246"/>
      <c r="N15" s="600">
        <f t="shared" si="1"/>
        <v>0</v>
      </c>
      <c r="O15" s="55"/>
      <c r="P15" s="55"/>
      <c r="Q15" s="55"/>
      <c r="R15" s="55"/>
    </row>
    <row r="16" spans="1:18" ht="30" customHeight="1" thickBot="1">
      <c r="A16" s="3197" t="s">
        <v>97</v>
      </c>
      <c r="B16" s="3198"/>
      <c r="C16" s="594"/>
      <c r="D16" s="595"/>
      <c r="E16" s="596"/>
      <c r="F16" s="595"/>
      <c r="G16" s="597"/>
      <c r="H16" s="595"/>
      <c r="I16" s="598">
        <f>SUM(I7:I15)</f>
        <v>0</v>
      </c>
      <c r="J16" s="598">
        <f>SUM(J7:J15)</f>
        <v>0</v>
      </c>
      <c r="K16" s="598">
        <f>SUM(K7:K15)</f>
        <v>0</v>
      </c>
      <c r="L16" s="547">
        <f>SUM(L7:L15)</f>
        <v>0</v>
      </c>
      <c r="M16" s="598">
        <f>SUM(M7:M15)</f>
        <v>0</v>
      </c>
      <c r="N16" s="550">
        <f t="shared" si="1"/>
        <v>0</v>
      </c>
      <c r="O16" s="55"/>
      <c r="P16" s="55"/>
      <c r="Q16" s="55"/>
      <c r="R16" s="55"/>
    </row>
    <row r="17" spans="1:18" ht="12" customHeight="1" thickTop="1">
      <c r="A17" s="55"/>
      <c r="B17" s="55"/>
      <c r="C17" s="55"/>
      <c r="D17" s="55"/>
      <c r="E17" s="55"/>
      <c r="F17" s="55"/>
      <c r="G17" s="55"/>
      <c r="H17" s="55"/>
      <c r="I17" s="55"/>
      <c r="J17" s="55"/>
      <c r="K17" s="55"/>
      <c r="L17" s="55"/>
      <c r="M17" s="55"/>
      <c r="N17" s="55"/>
      <c r="O17" s="55"/>
      <c r="P17" s="55"/>
      <c r="Q17" s="55"/>
      <c r="R17" s="55"/>
    </row>
    <row r="18" spans="1:18" ht="1.5" customHeight="1" thickBot="1">
      <c r="A18" s="55"/>
      <c r="B18" s="55"/>
      <c r="C18" s="55"/>
      <c r="D18" s="55"/>
      <c r="E18" s="55"/>
      <c r="F18" s="55"/>
      <c r="G18" s="55"/>
      <c r="H18" s="55"/>
      <c r="I18" s="55"/>
      <c r="J18" s="55"/>
      <c r="K18" s="55"/>
      <c r="L18" s="55"/>
      <c r="M18" s="55"/>
      <c r="N18" s="55"/>
      <c r="O18" s="55"/>
      <c r="P18" s="55"/>
      <c r="Q18" s="55"/>
      <c r="R18" s="55"/>
    </row>
    <row r="19" spans="1:18" ht="21.75" customHeight="1">
      <c r="A19" s="2733" t="s">
        <v>85</v>
      </c>
      <c r="B19" s="2731" t="s">
        <v>21</v>
      </c>
      <c r="C19" s="2754" t="s">
        <v>674</v>
      </c>
      <c r="D19" s="2754"/>
      <c r="E19" s="2754"/>
      <c r="F19" s="2755"/>
      <c r="G19" s="2762" t="s">
        <v>675</v>
      </c>
      <c r="H19" s="2754"/>
      <c r="I19" s="2754"/>
      <c r="J19" s="2755"/>
      <c r="K19" s="2762" t="s">
        <v>717</v>
      </c>
      <c r="L19" s="2754"/>
      <c r="M19" s="2754"/>
      <c r="N19" s="2755"/>
      <c r="O19" s="274"/>
      <c r="P19" s="274"/>
      <c r="Q19" s="274"/>
      <c r="R19" s="274"/>
    </row>
    <row r="20" spans="1:18" ht="21">
      <c r="A20" s="2734"/>
      <c r="B20" s="3199"/>
      <c r="C20" s="3205" t="s">
        <v>94</v>
      </c>
      <c r="D20" s="3201" t="s">
        <v>98</v>
      </c>
      <c r="E20" s="3201" t="s">
        <v>99</v>
      </c>
      <c r="F20" s="3202"/>
      <c r="G20" s="3203" t="s">
        <v>94</v>
      </c>
      <c r="H20" s="3201" t="s">
        <v>98</v>
      </c>
      <c r="I20" s="3201" t="s">
        <v>99</v>
      </c>
      <c r="J20" s="3202"/>
      <c r="K20" s="3203" t="s">
        <v>94</v>
      </c>
      <c r="L20" s="3201" t="s">
        <v>98</v>
      </c>
      <c r="M20" s="3201" t="s">
        <v>99</v>
      </c>
      <c r="N20" s="3202"/>
      <c r="O20" s="274"/>
      <c r="P20" s="274"/>
      <c r="Q20" s="274"/>
      <c r="R20" s="274"/>
    </row>
    <row r="21" spans="1:18" ht="21" customHeight="1">
      <c r="A21" s="3189"/>
      <c r="B21" s="3200"/>
      <c r="C21" s="2843"/>
      <c r="D21" s="2841"/>
      <c r="E21" s="592" t="s">
        <v>93</v>
      </c>
      <c r="F21" s="593" t="s">
        <v>94</v>
      </c>
      <c r="G21" s="3189"/>
      <c r="H21" s="2841"/>
      <c r="I21" s="592" t="s">
        <v>93</v>
      </c>
      <c r="J21" s="593" t="s">
        <v>94</v>
      </c>
      <c r="K21" s="3189"/>
      <c r="L21" s="2841"/>
      <c r="M21" s="592" t="s">
        <v>93</v>
      </c>
      <c r="N21" s="593" t="s">
        <v>94</v>
      </c>
      <c r="O21" s="274"/>
      <c r="P21" s="274"/>
      <c r="Q21" s="237"/>
      <c r="R21" s="237"/>
    </row>
    <row r="22" spans="1:18" ht="30" customHeight="1">
      <c r="A22" s="610">
        <v>1</v>
      </c>
      <c r="B22" s="1000">
        <f t="shared" ref="B22:B30" si="2">B7</f>
        <v>0</v>
      </c>
      <c r="C22" s="1160"/>
      <c r="D22" s="166"/>
      <c r="E22" s="166"/>
      <c r="F22" s="283"/>
      <c r="G22" s="282"/>
      <c r="H22" s="166"/>
      <c r="I22" s="166"/>
      <c r="J22" s="283"/>
      <c r="K22" s="607" t="str">
        <f>IFERROR(G22*100/C22,"-")</f>
        <v>-</v>
      </c>
      <c r="L22" s="608" t="str">
        <f t="shared" ref="L22:N31" si="3">IFERROR(H22*100/D22,"-")</f>
        <v>-</v>
      </c>
      <c r="M22" s="608" t="str">
        <f t="shared" si="3"/>
        <v>-</v>
      </c>
      <c r="N22" s="609" t="str">
        <f t="shared" si="3"/>
        <v>-</v>
      </c>
      <c r="O22" s="205"/>
      <c r="P22" s="205"/>
      <c r="Q22" s="205"/>
      <c r="R22" s="206"/>
    </row>
    <row r="23" spans="1:18" ht="30" customHeight="1">
      <c r="A23" s="610">
        <v>2</v>
      </c>
      <c r="B23" s="1000">
        <f t="shared" si="2"/>
        <v>0</v>
      </c>
      <c r="C23" s="131"/>
      <c r="D23" s="166"/>
      <c r="E23" s="166"/>
      <c r="F23" s="283"/>
      <c r="G23" s="166"/>
      <c r="H23" s="166"/>
      <c r="I23" s="166"/>
      <c r="J23" s="283"/>
      <c r="K23" s="608" t="str">
        <f t="shared" ref="K23:K31" si="4">IFERROR(G23*100/C23,"-")</f>
        <v>-</v>
      </c>
      <c r="L23" s="608" t="str">
        <f t="shared" si="3"/>
        <v>-</v>
      </c>
      <c r="M23" s="608" t="str">
        <f t="shared" si="3"/>
        <v>-</v>
      </c>
      <c r="N23" s="609" t="str">
        <f t="shared" si="3"/>
        <v>-</v>
      </c>
      <c r="O23" s="205"/>
      <c r="P23" s="205"/>
      <c r="Q23" s="205"/>
      <c r="R23" s="206"/>
    </row>
    <row r="24" spans="1:18" ht="30" customHeight="1">
      <c r="A24" s="610">
        <v>3</v>
      </c>
      <c r="B24" s="1000">
        <f t="shared" si="2"/>
        <v>0</v>
      </c>
      <c r="C24" s="131"/>
      <c r="D24" s="166"/>
      <c r="E24" s="166"/>
      <c r="F24" s="283"/>
      <c r="G24" s="166"/>
      <c r="H24" s="166"/>
      <c r="I24" s="166"/>
      <c r="J24" s="283"/>
      <c r="K24" s="608" t="str">
        <f t="shared" si="4"/>
        <v>-</v>
      </c>
      <c r="L24" s="608" t="str">
        <f t="shared" si="3"/>
        <v>-</v>
      </c>
      <c r="M24" s="608" t="str">
        <f t="shared" si="3"/>
        <v>-</v>
      </c>
      <c r="N24" s="609" t="str">
        <f t="shared" si="3"/>
        <v>-</v>
      </c>
      <c r="O24" s="205"/>
      <c r="P24" s="205"/>
      <c r="Q24" s="205"/>
      <c r="R24" s="206"/>
    </row>
    <row r="25" spans="1:18" ht="30" customHeight="1">
      <c r="A25" s="610">
        <v>4</v>
      </c>
      <c r="B25" s="1000">
        <f t="shared" si="2"/>
        <v>0</v>
      </c>
      <c r="C25" s="131"/>
      <c r="D25" s="166"/>
      <c r="E25" s="166"/>
      <c r="F25" s="283"/>
      <c r="G25" s="166"/>
      <c r="H25" s="166"/>
      <c r="I25" s="166"/>
      <c r="J25" s="283"/>
      <c r="K25" s="608" t="str">
        <f t="shared" si="4"/>
        <v>-</v>
      </c>
      <c r="L25" s="608" t="str">
        <f t="shared" si="3"/>
        <v>-</v>
      </c>
      <c r="M25" s="608" t="str">
        <f t="shared" si="3"/>
        <v>-</v>
      </c>
      <c r="N25" s="609" t="str">
        <f t="shared" si="3"/>
        <v>-</v>
      </c>
      <c r="O25" s="205"/>
      <c r="P25" s="205"/>
      <c r="Q25" s="205"/>
      <c r="R25" s="206"/>
    </row>
    <row r="26" spans="1:18" ht="30" customHeight="1">
      <c r="A26" s="610">
        <v>5</v>
      </c>
      <c r="B26" s="1000">
        <f t="shared" si="2"/>
        <v>0</v>
      </c>
      <c r="C26" s="131"/>
      <c r="D26" s="166"/>
      <c r="E26" s="166"/>
      <c r="F26" s="283"/>
      <c r="G26" s="166"/>
      <c r="H26" s="166"/>
      <c r="I26" s="166"/>
      <c r="J26" s="283"/>
      <c r="K26" s="608" t="str">
        <f t="shared" si="4"/>
        <v>-</v>
      </c>
      <c r="L26" s="608" t="str">
        <f t="shared" si="3"/>
        <v>-</v>
      </c>
      <c r="M26" s="608" t="str">
        <f t="shared" si="3"/>
        <v>-</v>
      </c>
      <c r="N26" s="609" t="str">
        <f t="shared" si="3"/>
        <v>-</v>
      </c>
      <c r="O26" s="205"/>
      <c r="P26" s="205"/>
      <c r="Q26" s="205"/>
      <c r="R26" s="206"/>
    </row>
    <row r="27" spans="1:18" ht="30" customHeight="1">
      <c r="A27" s="610">
        <v>6</v>
      </c>
      <c r="B27" s="1000">
        <f t="shared" si="2"/>
        <v>0</v>
      </c>
      <c r="C27" s="131"/>
      <c r="D27" s="166"/>
      <c r="E27" s="166"/>
      <c r="F27" s="283"/>
      <c r="G27" s="166"/>
      <c r="H27" s="166"/>
      <c r="I27" s="166"/>
      <c r="J27" s="283"/>
      <c r="K27" s="608" t="str">
        <f t="shared" si="4"/>
        <v>-</v>
      </c>
      <c r="L27" s="608" t="str">
        <f t="shared" si="3"/>
        <v>-</v>
      </c>
      <c r="M27" s="608" t="str">
        <f t="shared" si="3"/>
        <v>-</v>
      </c>
      <c r="N27" s="609" t="str">
        <f t="shared" si="3"/>
        <v>-</v>
      </c>
      <c r="O27" s="205"/>
      <c r="P27" s="205"/>
      <c r="Q27" s="205"/>
      <c r="R27" s="206"/>
    </row>
    <row r="28" spans="1:18" ht="30" customHeight="1">
      <c r="A28" s="610">
        <v>7</v>
      </c>
      <c r="B28" s="1000">
        <f t="shared" si="2"/>
        <v>0</v>
      </c>
      <c r="C28" s="131"/>
      <c r="D28" s="166"/>
      <c r="E28" s="166"/>
      <c r="F28" s="283"/>
      <c r="G28" s="166"/>
      <c r="H28" s="166"/>
      <c r="I28" s="166"/>
      <c r="J28" s="283"/>
      <c r="K28" s="608" t="str">
        <f t="shared" si="4"/>
        <v>-</v>
      </c>
      <c r="L28" s="608" t="str">
        <f t="shared" si="3"/>
        <v>-</v>
      </c>
      <c r="M28" s="608" t="str">
        <f t="shared" si="3"/>
        <v>-</v>
      </c>
      <c r="N28" s="609" t="str">
        <f t="shared" si="3"/>
        <v>-</v>
      </c>
      <c r="O28" s="205"/>
      <c r="P28" s="205"/>
      <c r="Q28" s="205"/>
      <c r="R28" s="206"/>
    </row>
    <row r="29" spans="1:18" ht="30" customHeight="1">
      <c r="A29" s="610">
        <v>8</v>
      </c>
      <c r="B29" s="1000">
        <f t="shared" si="2"/>
        <v>0</v>
      </c>
      <c r="C29" s="131"/>
      <c r="D29" s="166"/>
      <c r="E29" s="166"/>
      <c r="F29" s="283"/>
      <c r="G29" s="166"/>
      <c r="H29" s="166"/>
      <c r="I29" s="166"/>
      <c r="J29" s="283"/>
      <c r="K29" s="608" t="str">
        <f t="shared" si="4"/>
        <v>-</v>
      </c>
      <c r="L29" s="608" t="str">
        <f t="shared" si="3"/>
        <v>-</v>
      </c>
      <c r="M29" s="608" t="str">
        <f t="shared" si="3"/>
        <v>-</v>
      </c>
      <c r="N29" s="609" t="str">
        <f t="shared" si="3"/>
        <v>-</v>
      </c>
      <c r="O29" s="205"/>
      <c r="P29" s="205"/>
      <c r="Q29" s="205"/>
      <c r="R29" s="206"/>
    </row>
    <row r="30" spans="1:18" ht="30" customHeight="1" thickBot="1">
      <c r="A30" s="611">
        <v>9</v>
      </c>
      <c r="B30" s="1001">
        <f t="shared" si="2"/>
        <v>0</v>
      </c>
      <c r="C30" s="131"/>
      <c r="D30" s="166"/>
      <c r="E30" s="166"/>
      <c r="F30" s="283"/>
      <c r="G30" s="166"/>
      <c r="H30" s="166"/>
      <c r="I30" s="166"/>
      <c r="J30" s="283"/>
      <c r="K30" s="608" t="str">
        <f t="shared" si="4"/>
        <v>-</v>
      </c>
      <c r="L30" s="608" t="str">
        <f t="shared" si="3"/>
        <v>-</v>
      </c>
      <c r="M30" s="608" t="str">
        <f t="shared" si="3"/>
        <v>-</v>
      </c>
      <c r="N30" s="609" t="str">
        <f t="shared" si="3"/>
        <v>-</v>
      </c>
      <c r="O30" s="205"/>
      <c r="P30" s="205"/>
      <c r="Q30" s="205"/>
      <c r="R30" s="206"/>
    </row>
    <row r="31" spans="1:18" ht="30" customHeight="1" thickBot="1">
      <c r="A31" s="3197" t="s">
        <v>97</v>
      </c>
      <c r="B31" s="3204"/>
      <c r="C31" s="586">
        <f t="shared" ref="C31:J31" si="5">SUM(C22:C30)</f>
        <v>0</v>
      </c>
      <c r="D31" s="587">
        <f t="shared" si="5"/>
        <v>0</v>
      </c>
      <c r="E31" s="587">
        <f t="shared" si="5"/>
        <v>0</v>
      </c>
      <c r="F31" s="588">
        <f t="shared" si="5"/>
        <v>0</v>
      </c>
      <c r="G31" s="589">
        <f t="shared" si="5"/>
        <v>0</v>
      </c>
      <c r="H31" s="587">
        <f t="shared" si="5"/>
        <v>0</v>
      </c>
      <c r="I31" s="587">
        <f t="shared" si="5"/>
        <v>0</v>
      </c>
      <c r="J31" s="588">
        <f t="shared" si="5"/>
        <v>0</v>
      </c>
      <c r="K31" s="589" t="str">
        <f t="shared" si="4"/>
        <v>-</v>
      </c>
      <c r="L31" s="587" t="str">
        <f t="shared" si="3"/>
        <v>-</v>
      </c>
      <c r="M31" s="587" t="str">
        <f t="shared" si="3"/>
        <v>-</v>
      </c>
      <c r="N31" s="588" t="str">
        <f t="shared" si="3"/>
        <v>-</v>
      </c>
      <c r="O31" s="275"/>
      <c r="P31" s="275"/>
      <c r="Q31" s="275"/>
      <c r="R31" s="275"/>
    </row>
    <row r="32" spans="1:18" ht="16.5" thickTop="1">
      <c r="A32" s="55"/>
      <c r="B32" s="55"/>
      <c r="C32" s="55"/>
      <c r="D32" s="55"/>
      <c r="E32" s="55"/>
      <c r="F32" s="55"/>
      <c r="G32" s="55"/>
      <c r="H32" s="55"/>
      <c r="I32" s="55"/>
      <c r="J32" s="55"/>
      <c r="K32" s="55"/>
      <c r="L32" s="55"/>
      <c r="M32" s="55"/>
      <c r="N32" s="55"/>
      <c r="O32" s="55"/>
      <c r="P32" s="55"/>
      <c r="Q32" s="55"/>
      <c r="R32" s="55"/>
    </row>
    <row r="33" spans="1:12" ht="21">
      <c r="A33" s="8"/>
      <c r="B33" s="8"/>
      <c r="C33" s="8"/>
      <c r="D33" s="8"/>
      <c r="E33" s="8"/>
      <c r="F33" s="8"/>
      <c r="G33" s="8"/>
      <c r="H33" s="47"/>
      <c r="I33" s="47"/>
      <c r="K33" s="1"/>
      <c r="L33" s="8"/>
    </row>
  </sheetData>
  <mergeCells count="23">
    <mergeCell ref="A31:B31"/>
    <mergeCell ref="C20:C21"/>
    <mergeCell ref="D20:D21"/>
    <mergeCell ref="E20:F20"/>
    <mergeCell ref="G20:G21"/>
    <mergeCell ref="K19:N19"/>
    <mergeCell ref="A16:B16"/>
    <mergeCell ref="A19:A21"/>
    <mergeCell ref="B19:B21"/>
    <mergeCell ref="C19:F19"/>
    <mergeCell ref="G19:J19"/>
    <mergeCell ref="H20:H21"/>
    <mergeCell ref="I20:J20"/>
    <mergeCell ref="K20:K21"/>
    <mergeCell ref="L20:L21"/>
    <mergeCell ref="M20:N20"/>
    <mergeCell ref="A1:N1"/>
    <mergeCell ref="A4:A6"/>
    <mergeCell ref="B4:B6"/>
    <mergeCell ref="C4:N4"/>
    <mergeCell ref="C5:H5"/>
    <mergeCell ref="I5:K5"/>
    <mergeCell ref="L5:N5"/>
  </mergeCells>
  <printOptions horizontalCentered="1"/>
  <pageMargins left="0.19685039370078741" right="0.19685039370078741" top="0.59055118110236227" bottom="0.78740157480314965" header="0.19685039370078741" footer="0.19685039370078741"/>
  <pageSetup paperSize="9" scale="8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rowBreaks count="1" manualBreakCount="1">
    <brk id="16" max="13" man="1"/>
  </rowBreak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2">
    <tabColor rgb="FFE60000"/>
    <pageSetUpPr fitToPage="1"/>
  </sheetPr>
  <dimension ref="A1:N15"/>
  <sheetViews>
    <sheetView rightToLeft="1" topLeftCell="B1" workbookViewId="0">
      <selection activeCell="L11" sqref="L11"/>
    </sheetView>
  </sheetViews>
  <sheetFormatPr defaultColWidth="9" defaultRowHeight="15"/>
  <cols>
    <col min="1" max="1" width="5.5703125" style="5" hidden="1" customWidth="1"/>
    <col min="2" max="2" width="22.28515625" style="5" customWidth="1"/>
    <col min="3" max="3" width="32.28515625" style="5" customWidth="1"/>
    <col min="4" max="4" width="27.85546875" style="5" customWidth="1"/>
    <col min="5" max="5" width="15.85546875" style="5" customWidth="1"/>
    <col min="6" max="6" width="22.7109375" style="5" customWidth="1"/>
    <col min="7" max="7" width="13.5703125" style="5" customWidth="1"/>
    <col min="8" max="8" width="12.140625" style="5" customWidth="1"/>
    <col min="9" max="9" width="12.5703125" style="5" customWidth="1"/>
    <col min="10" max="10" width="15.140625" style="5" customWidth="1"/>
    <col min="11" max="11" width="17.28515625" style="5" customWidth="1"/>
    <col min="12" max="12" width="16.42578125" style="5" customWidth="1"/>
    <col min="13" max="13" width="14.7109375" style="5" customWidth="1"/>
    <col min="14" max="14" width="18.140625" style="5" customWidth="1"/>
    <col min="15" max="16384" width="9" style="5"/>
  </cols>
  <sheetData>
    <row r="1" spans="1:14" s="52" customFormat="1" ht="26.25" customHeight="1">
      <c r="B1" s="2685" t="str">
        <f>روکش!D4</f>
        <v>انبارهای عمومی و خدمات گمرکی ایران</v>
      </c>
      <c r="C1" s="2685"/>
      <c r="D1" s="2685"/>
      <c r="E1" s="2685"/>
      <c r="F1" s="2685"/>
      <c r="G1" s="2685"/>
      <c r="H1" s="2685"/>
      <c r="I1" s="2685"/>
      <c r="J1" s="2685"/>
      <c r="K1" s="2685"/>
      <c r="L1" s="2685"/>
      <c r="M1" s="2685"/>
      <c r="N1" s="2685"/>
    </row>
    <row r="2" spans="1:14" ht="28.5" customHeight="1" thickBot="1">
      <c r="B2" s="1206" t="str">
        <f>"گزارش عملکرد پیگیری پرونده‌های حقوقی در دوره  " &amp; روکش!F9 &amp; " سال " &amp; روکش!D9</f>
        <v>گزارش عملکرد پیگیری پرونده‌های حقوقی در دوره  شش ماهه سال 1405</v>
      </c>
      <c r="C2" s="1205"/>
      <c r="D2" s="1205"/>
      <c r="E2" s="1205"/>
      <c r="F2" s="1205"/>
      <c r="G2" s="1205"/>
      <c r="H2" s="1205"/>
      <c r="I2" s="1205"/>
      <c r="J2" s="1205"/>
      <c r="K2" s="1202"/>
      <c r="L2" s="1202"/>
      <c r="M2" s="1202"/>
      <c r="N2" s="1202"/>
    </row>
    <row r="3" spans="1:14" ht="45.75" customHeight="1" thickBot="1">
      <c r="B3" s="1254" t="s">
        <v>101</v>
      </c>
      <c r="C3" s="1255"/>
      <c r="D3" s="1255"/>
      <c r="E3" s="1255"/>
      <c r="F3" s="1255"/>
      <c r="G3" s="1255"/>
      <c r="H3" s="1255"/>
      <c r="I3" s="1255"/>
      <c r="J3" s="1255"/>
      <c r="K3" s="1255"/>
      <c r="L3" s="1255"/>
      <c r="M3" s="1255"/>
      <c r="N3" s="1256"/>
    </row>
    <row r="4" spans="1:14" ht="58.5">
      <c r="A4" s="56"/>
      <c r="B4" s="1003" t="s">
        <v>102</v>
      </c>
      <c r="C4" s="1004" t="s">
        <v>103</v>
      </c>
      <c r="D4" s="1004" t="s">
        <v>104</v>
      </c>
      <c r="E4" s="1005" t="s">
        <v>105</v>
      </c>
      <c r="F4" s="1005" t="s">
        <v>106</v>
      </c>
      <c r="G4" s="1004" t="s">
        <v>107</v>
      </c>
      <c r="H4" s="1005" t="s">
        <v>108</v>
      </c>
      <c r="I4" s="1004" t="s">
        <v>109</v>
      </c>
      <c r="J4" s="1004" t="s">
        <v>110</v>
      </c>
      <c r="K4" s="1004" t="s">
        <v>111</v>
      </c>
      <c r="L4" s="1004" t="s">
        <v>112</v>
      </c>
      <c r="M4" s="1005" t="s">
        <v>113</v>
      </c>
      <c r="N4" s="1006" t="s">
        <v>114</v>
      </c>
    </row>
    <row r="5" spans="1:14" ht="44.25" customHeight="1">
      <c r="B5" s="2654" t="s">
        <v>3251</v>
      </c>
      <c r="C5" s="12" t="s">
        <v>3267</v>
      </c>
      <c r="D5" s="2654" t="s">
        <v>3252</v>
      </c>
      <c r="E5" s="13"/>
      <c r="F5" s="2654" t="s">
        <v>3253</v>
      </c>
      <c r="G5" s="12"/>
      <c r="H5" s="2654" t="s">
        <v>3255</v>
      </c>
      <c r="I5" s="13"/>
      <c r="J5" s="57"/>
      <c r="K5" s="58"/>
      <c r="L5" s="12"/>
      <c r="M5" s="12"/>
      <c r="N5" s="2654" t="s">
        <v>3254</v>
      </c>
    </row>
    <row r="6" spans="1:14" ht="44.25" customHeight="1">
      <c r="B6" s="12" t="s">
        <v>3256</v>
      </c>
      <c r="C6" s="12" t="s">
        <v>3267</v>
      </c>
      <c r="D6" s="12" t="s">
        <v>3257</v>
      </c>
      <c r="E6" s="13"/>
      <c r="F6" s="12" t="s">
        <v>3258</v>
      </c>
      <c r="G6" s="12"/>
      <c r="H6" s="12" t="s">
        <v>3259</v>
      </c>
      <c r="I6" s="902"/>
      <c r="J6" s="57"/>
      <c r="K6" s="60"/>
      <c r="L6" s="12"/>
      <c r="M6" s="12"/>
      <c r="N6" s="12" t="s">
        <v>3254</v>
      </c>
    </row>
    <row r="7" spans="1:14" ht="44.25" customHeight="1">
      <c r="B7" s="12" t="s">
        <v>3260</v>
      </c>
      <c r="C7" s="12" t="s">
        <v>3267</v>
      </c>
      <c r="D7" s="12" t="s">
        <v>3261</v>
      </c>
      <c r="E7" s="13"/>
      <c r="F7" s="12" t="s">
        <v>3262</v>
      </c>
      <c r="G7" s="12"/>
      <c r="H7" s="12"/>
      <c r="I7" s="902"/>
      <c r="J7" s="57"/>
      <c r="K7" s="60"/>
      <c r="L7" s="12"/>
      <c r="M7" s="12"/>
      <c r="N7" s="12" t="s">
        <v>3254</v>
      </c>
    </row>
    <row r="8" spans="1:14" ht="44.25" customHeight="1">
      <c r="B8" s="12" t="s">
        <v>3263</v>
      </c>
      <c r="C8" s="12" t="s">
        <v>3268</v>
      </c>
      <c r="D8" s="12" t="s">
        <v>3264</v>
      </c>
      <c r="E8" s="13"/>
      <c r="F8" s="12" t="s">
        <v>3265</v>
      </c>
      <c r="G8" s="12"/>
      <c r="H8" s="12" t="s">
        <v>3266</v>
      </c>
      <c r="I8" s="902"/>
      <c r="J8" s="57"/>
      <c r="K8" s="60"/>
      <c r="L8" s="12"/>
      <c r="M8" s="12"/>
      <c r="N8" s="59"/>
    </row>
    <row r="9" spans="1:14" ht="44.25" customHeight="1">
      <c r="B9" s="14"/>
      <c r="C9" s="12"/>
      <c r="D9" s="13"/>
      <c r="E9" s="13"/>
      <c r="F9" s="13"/>
      <c r="G9" s="12"/>
      <c r="H9" s="13"/>
      <c r="I9" s="902"/>
      <c r="J9" s="57"/>
      <c r="K9" s="60"/>
      <c r="L9" s="12"/>
      <c r="M9" s="12"/>
      <c r="N9" s="59"/>
    </row>
    <row r="10" spans="1:14" ht="44.25" customHeight="1">
      <c r="B10" s="14"/>
      <c r="C10" s="12"/>
      <c r="D10" s="13"/>
      <c r="E10" s="13"/>
      <c r="F10" s="13"/>
      <c r="G10" s="12"/>
      <c r="H10" s="13"/>
      <c r="I10" s="902"/>
      <c r="J10" s="57"/>
      <c r="K10" s="60"/>
      <c r="L10" s="12"/>
      <c r="M10" s="12"/>
      <c r="N10" s="59"/>
    </row>
    <row r="11" spans="1:14" ht="44.25" customHeight="1">
      <c r="B11" s="14"/>
      <c r="C11" s="12"/>
      <c r="D11" s="13"/>
      <c r="E11" s="13"/>
      <c r="F11" s="13"/>
      <c r="G11" s="12"/>
      <c r="H11" s="13"/>
      <c r="I11" s="902"/>
      <c r="J11" s="57"/>
      <c r="K11" s="60"/>
      <c r="L11" s="12"/>
      <c r="M11" s="12"/>
      <c r="N11" s="59"/>
    </row>
    <row r="12" spans="1:14" ht="44.25" customHeight="1">
      <c r="B12" s="14"/>
      <c r="C12" s="12"/>
      <c r="D12" s="13"/>
      <c r="E12" s="13"/>
      <c r="F12" s="13"/>
      <c r="G12" s="12"/>
      <c r="H12" s="13"/>
      <c r="I12" s="902"/>
      <c r="J12" s="57"/>
      <c r="K12" s="60"/>
      <c r="L12" s="12"/>
      <c r="M12" s="12"/>
      <c r="N12" s="59"/>
    </row>
    <row r="13" spans="1:14" ht="44.25" customHeight="1">
      <c r="B13" s="14"/>
      <c r="C13" s="12"/>
      <c r="D13" s="13"/>
      <c r="E13" s="13"/>
      <c r="F13" s="13"/>
      <c r="G13" s="12"/>
      <c r="H13" s="13"/>
      <c r="I13" s="902"/>
      <c r="J13" s="57"/>
      <c r="K13" s="60"/>
      <c r="L13" s="12"/>
      <c r="M13" s="12"/>
      <c r="N13" s="59"/>
    </row>
    <row r="15" spans="1:14" ht="22.5">
      <c r="B15" s="8"/>
      <c r="C15" s="8"/>
      <c r="D15" s="9"/>
      <c r="E15" s="8"/>
      <c r="F15" s="9"/>
      <c r="G15" s="9"/>
      <c r="H15" s="10"/>
      <c r="I15" s="11"/>
      <c r="J15" s="11"/>
      <c r="K15" s="11"/>
      <c r="L15" s="11"/>
    </row>
  </sheetData>
  <mergeCells count="1">
    <mergeCell ref="B1:N1"/>
  </mergeCells>
  <printOptions horizontalCentered="1"/>
  <pageMargins left="0.19685039370078741" right="0.19685039370078741" top="0.59055118110236227" bottom="0.78740157480314965" header="0.19685039370078741" footer="0.19685039370078741"/>
  <pageSetup paperSize="9" scale="8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81">
    <tabColor rgb="FFE60000"/>
    <pageSetUpPr fitToPage="1"/>
  </sheetPr>
  <dimension ref="A1:E14"/>
  <sheetViews>
    <sheetView rightToLeft="1" topLeftCell="B1" workbookViewId="0"/>
  </sheetViews>
  <sheetFormatPr defaultColWidth="9" defaultRowHeight="15"/>
  <cols>
    <col min="1" max="1" width="5.5703125" style="5" hidden="1" customWidth="1"/>
    <col min="2" max="2" width="5.42578125" style="5" bestFit="1" customWidth="1"/>
    <col min="3" max="5" width="44.28515625" style="5" customWidth="1"/>
    <col min="6" max="16384" width="9" style="5"/>
  </cols>
  <sheetData>
    <row r="1" spans="1:5" s="52" customFormat="1" ht="24" customHeight="1">
      <c r="B1" s="2685" t="str">
        <f>روکش!D4</f>
        <v>انبارهای عمومی و خدمات گمرکی ایران</v>
      </c>
      <c r="C1" s="2685"/>
      <c r="D1" s="2685"/>
      <c r="E1" s="2685"/>
    </row>
    <row r="2" spans="1:5" ht="28.5" customHeight="1" thickBot="1">
      <c r="B2" s="1206" t="str">
        <f>"گزارش مزایده / مناقصه انجام شده و یا در حال انجام در دوره " &amp; روکش!F9 &amp; " سال " &amp; روکش!D9</f>
        <v>گزارش مزایده / مناقصه انجام شده و یا در حال انجام در دوره شش ماهه سال 1405</v>
      </c>
      <c r="C2" s="1205"/>
      <c r="D2" s="1205"/>
      <c r="E2" s="1202"/>
    </row>
    <row r="3" spans="1:5" ht="51" customHeight="1">
      <c r="A3" s="56"/>
      <c r="B3" s="1843" t="s">
        <v>5</v>
      </c>
      <c r="C3" s="1844" t="s">
        <v>444</v>
      </c>
      <c r="D3" s="1845" t="s">
        <v>445</v>
      </c>
      <c r="E3" s="1846" t="s">
        <v>446</v>
      </c>
    </row>
    <row r="4" spans="1:5" ht="44.25" customHeight="1">
      <c r="B4" s="14"/>
      <c r="C4" s="1250"/>
      <c r="D4" s="902"/>
      <c r="E4" s="1847"/>
    </row>
    <row r="5" spans="1:5" ht="44.25" customHeight="1">
      <c r="B5" s="14"/>
      <c r="C5" s="1250"/>
      <c r="D5" s="902"/>
      <c r="E5" s="1847"/>
    </row>
    <row r="6" spans="1:5" ht="44.25" customHeight="1">
      <c r="B6" s="14"/>
      <c r="C6" s="1250"/>
      <c r="D6" s="902"/>
      <c r="E6" s="1847"/>
    </row>
    <row r="7" spans="1:5" ht="44.25" customHeight="1">
      <c r="B7" s="14"/>
      <c r="C7" s="1250"/>
      <c r="D7" s="902"/>
      <c r="E7" s="1847"/>
    </row>
    <row r="8" spans="1:5" ht="44.25" customHeight="1">
      <c r="B8" s="14"/>
      <c r="C8" s="1250"/>
      <c r="D8" s="902"/>
      <c r="E8" s="1847"/>
    </row>
    <row r="9" spans="1:5" ht="44.25" customHeight="1">
      <c r="B9" s="14"/>
      <c r="C9" s="1250"/>
      <c r="D9" s="902"/>
      <c r="E9" s="1847"/>
    </row>
    <row r="10" spans="1:5" ht="44.25" customHeight="1">
      <c r="B10" s="14"/>
      <c r="C10" s="1250"/>
      <c r="D10" s="902"/>
      <c r="E10" s="1847"/>
    </row>
    <row r="11" spans="1:5" ht="44.25" customHeight="1">
      <c r="B11" s="14"/>
      <c r="C11" s="1250"/>
      <c r="D11" s="902"/>
      <c r="E11" s="1847"/>
    </row>
    <row r="12" spans="1:5" ht="44.25" customHeight="1" thickBot="1">
      <c r="B12" s="1848"/>
      <c r="C12" s="1849"/>
      <c r="D12" s="1850"/>
      <c r="E12" s="1851"/>
    </row>
    <row r="14" spans="1:5" ht="22.5">
      <c r="B14" s="8"/>
      <c r="C14" s="8"/>
      <c r="D14" s="9"/>
      <c r="E14" s="11"/>
    </row>
  </sheetData>
  <mergeCells count="1">
    <mergeCell ref="B1:E1"/>
  </mergeCells>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7">
    <tabColor rgb="FFFFA07A"/>
    <pageSetUpPr fitToPage="1"/>
  </sheetPr>
  <dimension ref="A1:Z60"/>
  <sheetViews>
    <sheetView rightToLeft="1" topLeftCell="B53" workbookViewId="0">
      <selection activeCell="N63" sqref="N63"/>
    </sheetView>
  </sheetViews>
  <sheetFormatPr defaultColWidth="9" defaultRowHeight="15"/>
  <cols>
    <col min="1" max="1" width="3.140625" style="5" hidden="1" customWidth="1"/>
    <col min="2" max="2" width="10.5703125" style="5" customWidth="1"/>
    <col min="3" max="3" width="15.5703125" style="5" customWidth="1"/>
    <col min="4" max="4" width="10.5703125" style="5" customWidth="1"/>
    <col min="5" max="16" width="15.5703125" style="5" customWidth="1"/>
    <col min="17" max="20" width="9" style="5"/>
    <col min="21" max="22" width="9" style="1007"/>
    <col min="23" max="23" width="9" style="93" hidden="1" customWidth="1"/>
    <col min="24" max="26" width="9" style="1007"/>
    <col min="27" max="16384" width="9" style="5"/>
  </cols>
  <sheetData>
    <row r="1" spans="1:26" s="52" customFormat="1" ht="24" customHeight="1">
      <c r="B1" s="2685" t="str">
        <f>روکش!D4</f>
        <v>انبارهای عمومی و خدمات گمرکی ایران</v>
      </c>
      <c r="C1" s="2685"/>
      <c r="D1" s="2685"/>
      <c r="E1" s="2685"/>
      <c r="F1" s="2685"/>
      <c r="G1" s="2685"/>
      <c r="H1" s="2685"/>
      <c r="I1" s="2685"/>
      <c r="J1" s="2685"/>
      <c r="K1" s="2685"/>
      <c r="L1" s="2685"/>
      <c r="M1" s="2685"/>
      <c r="N1" s="2685"/>
      <c r="O1" s="2685"/>
      <c r="P1" s="2685"/>
      <c r="U1" s="1008"/>
      <c r="V1" s="1008"/>
      <c r="W1" s="1852"/>
      <c r="X1" s="1008"/>
      <c r="Y1" s="1008"/>
      <c r="Z1" s="1008"/>
    </row>
    <row r="2" spans="1:26" ht="28.5" customHeight="1">
      <c r="B2" s="1206" t="s">
        <v>378</v>
      </c>
      <c r="C2" s="1206"/>
      <c r="D2" s="1206"/>
      <c r="E2" s="1206"/>
      <c r="F2" s="1206"/>
      <c r="G2" s="1206"/>
      <c r="H2" s="1206"/>
      <c r="I2" s="1206"/>
      <c r="J2" s="1206"/>
      <c r="K2" s="1206"/>
      <c r="L2" s="1206"/>
      <c r="M2" s="1203"/>
      <c r="N2" s="1203"/>
      <c r="O2" s="1203"/>
      <c r="P2" s="1203"/>
    </row>
    <row r="3" spans="1:26" ht="20.100000000000001" customHeight="1" thickBot="1">
      <c r="B3" s="1002"/>
      <c r="C3"/>
      <c r="D3"/>
      <c r="E3"/>
      <c r="F3"/>
      <c r="G3"/>
      <c r="H3"/>
      <c r="I3"/>
      <c r="J3"/>
      <c r="K3"/>
      <c r="L3"/>
      <c r="M3"/>
      <c r="N3"/>
      <c r="O3" s="1257" t="s">
        <v>1501</v>
      </c>
      <c r="P3" s="1257" t="s">
        <v>30</v>
      </c>
    </row>
    <row r="4" spans="1:26" ht="19.5" customHeight="1">
      <c r="A4" s="1009"/>
      <c r="B4" s="3208" t="s">
        <v>379</v>
      </c>
      <c r="C4" s="3210" t="s">
        <v>380</v>
      </c>
      <c r="D4" s="3211"/>
      <c r="E4" s="3211"/>
      <c r="F4" s="3212"/>
      <c r="G4" s="3206" t="s">
        <v>1502</v>
      </c>
      <c r="H4" s="3206" t="s">
        <v>1503</v>
      </c>
      <c r="I4" s="3206" t="s">
        <v>1504</v>
      </c>
      <c r="J4" s="3206" t="s">
        <v>1505</v>
      </c>
      <c r="K4" s="3206" t="s">
        <v>385</v>
      </c>
      <c r="L4" s="3206" t="s">
        <v>386</v>
      </c>
      <c r="M4" s="3206" t="s">
        <v>1506</v>
      </c>
      <c r="N4" s="3206" t="s">
        <v>387</v>
      </c>
      <c r="O4" s="3206" t="s">
        <v>388</v>
      </c>
      <c r="P4" s="3206" t="s">
        <v>389</v>
      </c>
    </row>
    <row r="5" spans="1:26" ht="45.75" customHeight="1">
      <c r="A5" s="1009"/>
      <c r="B5" s="3209"/>
      <c r="C5" s="102" t="s">
        <v>381</v>
      </c>
      <c r="D5" s="102" t="s">
        <v>382</v>
      </c>
      <c r="E5" s="904" t="s">
        <v>383</v>
      </c>
      <c r="F5" s="102" t="s">
        <v>390</v>
      </c>
      <c r="G5" s="3207"/>
      <c r="H5" s="3207"/>
      <c r="I5" s="3207"/>
      <c r="J5" s="3207"/>
      <c r="K5" s="3207"/>
      <c r="L5" s="3207"/>
      <c r="M5" s="3207"/>
      <c r="N5" s="3207"/>
      <c r="O5" s="3207"/>
      <c r="P5" s="3207"/>
    </row>
    <row r="6" spans="1:26" ht="24.95" customHeight="1">
      <c r="B6" s="103">
        <v>1369</v>
      </c>
      <c r="C6" s="76"/>
      <c r="D6" s="77"/>
      <c r="E6" s="105">
        <f>D6*C6/1000000</f>
        <v>0</v>
      </c>
      <c r="F6" s="77"/>
      <c r="G6" s="77"/>
      <c r="H6" s="76"/>
      <c r="I6" s="77"/>
      <c r="J6" s="105">
        <f>I6+H6+G6</f>
        <v>0</v>
      </c>
      <c r="K6" s="105">
        <f>E6-J6+F6</f>
        <v>0</v>
      </c>
      <c r="L6" s="77"/>
      <c r="M6" s="76"/>
      <c r="N6" s="109">
        <v>0</v>
      </c>
      <c r="O6" s="76"/>
      <c r="P6" s="111">
        <f>-L6+M6+N6+O6</f>
        <v>0</v>
      </c>
      <c r="W6" s="676">
        <f>P6+N6+J6+K6+F6+E6</f>
        <v>0</v>
      </c>
    </row>
    <row r="7" spans="1:26" ht="24.95" customHeight="1">
      <c r="B7" s="103">
        <v>1370</v>
      </c>
      <c r="C7" s="76"/>
      <c r="D7" s="77"/>
      <c r="E7" s="105">
        <f t="shared" ref="E7:E58" si="0">D7*C7/1000000</f>
        <v>0</v>
      </c>
      <c r="F7" s="77"/>
      <c r="G7" s="77"/>
      <c r="H7" s="76"/>
      <c r="I7" s="77"/>
      <c r="J7" s="107">
        <f t="shared" ref="J7:J48" si="1">I7+H7+G7</f>
        <v>0</v>
      </c>
      <c r="K7" s="105">
        <f t="shared" ref="K7:K48" si="2">E7-J7+F7</f>
        <v>0</v>
      </c>
      <c r="L7" s="78"/>
      <c r="M7" s="76"/>
      <c r="N7" s="109">
        <f>IF(P6&lt;0,0,P6)</f>
        <v>0</v>
      </c>
      <c r="O7" s="76"/>
      <c r="P7" s="111">
        <f t="shared" ref="P7:P48" si="3">-L7+M7+N7+O7</f>
        <v>0</v>
      </c>
      <c r="W7" s="93">
        <f t="shared" ref="W7:W58" si="4">P7+N7+J7+K7+F7+E7</f>
        <v>0</v>
      </c>
    </row>
    <row r="8" spans="1:26" ht="24.95" customHeight="1">
      <c r="B8" s="103">
        <v>1371</v>
      </c>
      <c r="C8" s="76"/>
      <c r="D8" s="77"/>
      <c r="E8" s="105">
        <f t="shared" si="0"/>
        <v>0</v>
      </c>
      <c r="F8" s="77"/>
      <c r="G8" s="77"/>
      <c r="H8" s="76"/>
      <c r="I8" s="77"/>
      <c r="J8" s="107">
        <f t="shared" si="1"/>
        <v>0</v>
      </c>
      <c r="K8" s="105">
        <f t="shared" si="2"/>
        <v>0</v>
      </c>
      <c r="L8" s="78"/>
      <c r="M8" s="76"/>
      <c r="N8" s="109">
        <f t="shared" ref="N8:N48" si="5">IF(P7&lt;0,0,P7)</f>
        <v>0</v>
      </c>
      <c r="O8" s="76"/>
      <c r="P8" s="111">
        <f t="shared" si="3"/>
        <v>0</v>
      </c>
      <c r="W8" s="93">
        <f t="shared" si="4"/>
        <v>0</v>
      </c>
    </row>
    <row r="9" spans="1:26" ht="24.95" customHeight="1">
      <c r="B9" s="103">
        <v>1372</v>
      </c>
      <c r="C9" s="76"/>
      <c r="D9" s="77"/>
      <c r="E9" s="105">
        <f t="shared" si="0"/>
        <v>0</v>
      </c>
      <c r="F9" s="77"/>
      <c r="G9" s="77"/>
      <c r="H9" s="76"/>
      <c r="I9" s="77"/>
      <c r="J9" s="107">
        <f t="shared" si="1"/>
        <v>0</v>
      </c>
      <c r="K9" s="105">
        <f t="shared" si="2"/>
        <v>0</v>
      </c>
      <c r="L9" s="78"/>
      <c r="M9" s="76"/>
      <c r="N9" s="109">
        <f t="shared" si="5"/>
        <v>0</v>
      </c>
      <c r="O9" s="76"/>
      <c r="P9" s="111">
        <f t="shared" si="3"/>
        <v>0</v>
      </c>
      <c r="W9" s="93">
        <f t="shared" si="4"/>
        <v>0</v>
      </c>
    </row>
    <row r="10" spans="1:26" ht="24.95" customHeight="1">
      <c r="B10" s="103">
        <v>1373</v>
      </c>
      <c r="C10" s="76"/>
      <c r="D10" s="77"/>
      <c r="E10" s="105">
        <f t="shared" si="0"/>
        <v>0</v>
      </c>
      <c r="F10" s="77"/>
      <c r="G10" s="77"/>
      <c r="H10" s="76"/>
      <c r="I10" s="77"/>
      <c r="J10" s="107">
        <f t="shared" si="1"/>
        <v>0</v>
      </c>
      <c r="K10" s="105">
        <f t="shared" si="2"/>
        <v>0</v>
      </c>
      <c r="L10" s="78"/>
      <c r="M10" s="76"/>
      <c r="N10" s="109">
        <f t="shared" si="5"/>
        <v>0</v>
      </c>
      <c r="O10" s="76"/>
      <c r="P10" s="111">
        <f t="shared" si="3"/>
        <v>0</v>
      </c>
      <c r="W10" s="93">
        <f t="shared" si="4"/>
        <v>0</v>
      </c>
    </row>
    <row r="11" spans="1:26" ht="24.95" customHeight="1">
      <c r="B11" s="103">
        <v>1374</v>
      </c>
      <c r="C11" s="76"/>
      <c r="D11" s="77"/>
      <c r="E11" s="105">
        <f t="shared" si="0"/>
        <v>0</v>
      </c>
      <c r="F11" s="77"/>
      <c r="G11" s="77"/>
      <c r="H11" s="76"/>
      <c r="I11" s="77"/>
      <c r="J11" s="107">
        <f t="shared" si="1"/>
        <v>0</v>
      </c>
      <c r="K11" s="105">
        <f t="shared" si="2"/>
        <v>0</v>
      </c>
      <c r="L11" s="78"/>
      <c r="M11" s="76"/>
      <c r="N11" s="109">
        <f t="shared" si="5"/>
        <v>0</v>
      </c>
      <c r="O11" s="76"/>
      <c r="P11" s="111">
        <f t="shared" si="3"/>
        <v>0</v>
      </c>
      <c r="W11" s="93">
        <f t="shared" si="4"/>
        <v>0</v>
      </c>
    </row>
    <row r="12" spans="1:26" ht="24.95" customHeight="1">
      <c r="B12" s="103">
        <v>1375</v>
      </c>
      <c r="C12" s="76"/>
      <c r="D12" s="77"/>
      <c r="E12" s="105">
        <f t="shared" si="0"/>
        <v>0</v>
      </c>
      <c r="F12" s="77"/>
      <c r="G12" s="77"/>
      <c r="H12" s="76"/>
      <c r="I12" s="77"/>
      <c r="J12" s="107">
        <f t="shared" si="1"/>
        <v>0</v>
      </c>
      <c r="K12" s="105">
        <f t="shared" si="2"/>
        <v>0</v>
      </c>
      <c r="L12" s="78"/>
      <c r="M12" s="76"/>
      <c r="N12" s="109">
        <f t="shared" si="5"/>
        <v>0</v>
      </c>
      <c r="O12" s="76"/>
      <c r="P12" s="111">
        <f t="shared" si="3"/>
        <v>0</v>
      </c>
      <c r="W12" s="93">
        <f t="shared" si="4"/>
        <v>0</v>
      </c>
    </row>
    <row r="13" spans="1:26" ht="24.95" customHeight="1">
      <c r="B13" s="103">
        <v>1376</v>
      </c>
      <c r="C13" s="76"/>
      <c r="D13" s="77"/>
      <c r="E13" s="105">
        <f t="shared" si="0"/>
        <v>0</v>
      </c>
      <c r="F13" s="77"/>
      <c r="G13" s="77"/>
      <c r="H13" s="76"/>
      <c r="I13" s="77"/>
      <c r="J13" s="107">
        <f t="shared" si="1"/>
        <v>0</v>
      </c>
      <c r="K13" s="105">
        <f t="shared" si="2"/>
        <v>0</v>
      </c>
      <c r="L13" s="78"/>
      <c r="M13" s="76"/>
      <c r="N13" s="109">
        <f t="shared" si="5"/>
        <v>0</v>
      </c>
      <c r="O13" s="76"/>
      <c r="P13" s="111">
        <f t="shared" si="3"/>
        <v>0</v>
      </c>
      <c r="W13" s="93">
        <f t="shared" si="4"/>
        <v>0</v>
      </c>
    </row>
    <row r="14" spans="1:26" ht="24.95" customHeight="1">
      <c r="B14" s="103">
        <v>1377</v>
      </c>
      <c r="C14" s="76"/>
      <c r="D14" s="77"/>
      <c r="E14" s="105">
        <f t="shared" si="0"/>
        <v>0</v>
      </c>
      <c r="F14" s="77"/>
      <c r="G14" s="77"/>
      <c r="H14" s="76"/>
      <c r="I14" s="77"/>
      <c r="J14" s="107">
        <f t="shared" si="1"/>
        <v>0</v>
      </c>
      <c r="K14" s="105">
        <f t="shared" si="2"/>
        <v>0</v>
      </c>
      <c r="L14" s="78"/>
      <c r="M14" s="76"/>
      <c r="N14" s="109">
        <f t="shared" si="5"/>
        <v>0</v>
      </c>
      <c r="O14" s="76"/>
      <c r="P14" s="111">
        <f t="shared" si="3"/>
        <v>0</v>
      </c>
      <c r="W14" s="93">
        <f t="shared" si="4"/>
        <v>0</v>
      </c>
    </row>
    <row r="15" spans="1:26" ht="24.95" customHeight="1">
      <c r="B15" s="103">
        <v>1378</v>
      </c>
      <c r="C15" s="76"/>
      <c r="D15" s="77"/>
      <c r="E15" s="105">
        <f t="shared" si="0"/>
        <v>0</v>
      </c>
      <c r="F15" s="77"/>
      <c r="G15" s="77"/>
      <c r="H15" s="76"/>
      <c r="I15" s="77"/>
      <c r="J15" s="107">
        <f t="shared" si="1"/>
        <v>0</v>
      </c>
      <c r="K15" s="105">
        <f t="shared" si="2"/>
        <v>0</v>
      </c>
      <c r="L15" s="78"/>
      <c r="M15" s="76"/>
      <c r="N15" s="109">
        <f t="shared" si="5"/>
        <v>0</v>
      </c>
      <c r="O15" s="76"/>
      <c r="P15" s="111">
        <f t="shared" si="3"/>
        <v>0</v>
      </c>
      <c r="W15" s="93">
        <f t="shared" si="4"/>
        <v>0</v>
      </c>
    </row>
    <row r="16" spans="1:26" ht="24.95" customHeight="1">
      <c r="B16" s="103">
        <v>1379</v>
      </c>
      <c r="C16" s="76"/>
      <c r="D16" s="77"/>
      <c r="E16" s="105">
        <f t="shared" si="0"/>
        <v>0</v>
      </c>
      <c r="F16" s="77"/>
      <c r="G16" s="77"/>
      <c r="H16" s="76"/>
      <c r="I16" s="77"/>
      <c r="J16" s="107">
        <f t="shared" si="1"/>
        <v>0</v>
      </c>
      <c r="K16" s="105">
        <f t="shared" si="2"/>
        <v>0</v>
      </c>
      <c r="L16" s="78"/>
      <c r="M16" s="76"/>
      <c r="N16" s="109">
        <f t="shared" si="5"/>
        <v>0</v>
      </c>
      <c r="O16" s="76"/>
      <c r="P16" s="111">
        <f t="shared" si="3"/>
        <v>0</v>
      </c>
      <c r="W16" s="93">
        <f t="shared" si="4"/>
        <v>0</v>
      </c>
    </row>
    <row r="17" spans="2:23" ht="24.95" customHeight="1">
      <c r="B17" s="103">
        <v>1380</v>
      </c>
      <c r="C17" s="76"/>
      <c r="D17" s="77"/>
      <c r="E17" s="105">
        <f t="shared" si="0"/>
        <v>0</v>
      </c>
      <c r="F17" s="77"/>
      <c r="G17" s="77"/>
      <c r="H17" s="76"/>
      <c r="I17" s="77"/>
      <c r="J17" s="107">
        <f t="shared" si="1"/>
        <v>0</v>
      </c>
      <c r="K17" s="105">
        <f t="shared" si="2"/>
        <v>0</v>
      </c>
      <c r="L17" s="78"/>
      <c r="M17" s="76"/>
      <c r="N17" s="109">
        <f t="shared" si="5"/>
        <v>0</v>
      </c>
      <c r="O17" s="76"/>
      <c r="P17" s="111">
        <f t="shared" si="3"/>
        <v>0</v>
      </c>
      <c r="W17" s="93">
        <f t="shared" si="4"/>
        <v>0</v>
      </c>
    </row>
    <row r="18" spans="2:23" ht="24.95" customHeight="1">
      <c r="B18" s="103">
        <v>1381</v>
      </c>
      <c r="C18" s="76"/>
      <c r="D18" s="77"/>
      <c r="E18" s="105">
        <f t="shared" si="0"/>
        <v>0</v>
      </c>
      <c r="F18" s="77"/>
      <c r="G18" s="77"/>
      <c r="H18" s="76"/>
      <c r="I18" s="77"/>
      <c r="J18" s="107">
        <f t="shared" si="1"/>
        <v>0</v>
      </c>
      <c r="K18" s="105">
        <f t="shared" si="2"/>
        <v>0</v>
      </c>
      <c r="L18" s="78"/>
      <c r="M18" s="76"/>
      <c r="N18" s="109">
        <f t="shared" si="5"/>
        <v>0</v>
      </c>
      <c r="O18" s="76"/>
      <c r="P18" s="111">
        <f t="shared" si="3"/>
        <v>0</v>
      </c>
      <c r="W18" s="93">
        <f t="shared" si="4"/>
        <v>0</v>
      </c>
    </row>
    <row r="19" spans="2:23" ht="24.95" customHeight="1">
      <c r="B19" s="103">
        <v>1382</v>
      </c>
      <c r="C19" s="76"/>
      <c r="D19" s="77"/>
      <c r="E19" s="105">
        <f t="shared" si="0"/>
        <v>0</v>
      </c>
      <c r="F19" s="77"/>
      <c r="G19" s="77"/>
      <c r="H19" s="76"/>
      <c r="I19" s="77"/>
      <c r="J19" s="107">
        <f t="shared" si="1"/>
        <v>0</v>
      </c>
      <c r="K19" s="105">
        <f t="shared" si="2"/>
        <v>0</v>
      </c>
      <c r="L19" s="78"/>
      <c r="M19" s="76"/>
      <c r="N19" s="109">
        <f t="shared" si="5"/>
        <v>0</v>
      </c>
      <c r="O19" s="76"/>
      <c r="P19" s="111">
        <f t="shared" si="3"/>
        <v>0</v>
      </c>
      <c r="W19" s="93">
        <f t="shared" si="4"/>
        <v>0</v>
      </c>
    </row>
    <row r="20" spans="2:23" ht="24.95" customHeight="1">
      <c r="B20" s="103">
        <v>1383</v>
      </c>
      <c r="C20" s="76"/>
      <c r="D20" s="77"/>
      <c r="E20" s="105">
        <f t="shared" si="0"/>
        <v>0</v>
      </c>
      <c r="F20" s="77"/>
      <c r="G20" s="77"/>
      <c r="H20" s="76"/>
      <c r="I20" s="77"/>
      <c r="J20" s="107">
        <f t="shared" si="1"/>
        <v>0</v>
      </c>
      <c r="K20" s="105">
        <f t="shared" si="2"/>
        <v>0</v>
      </c>
      <c r="L20" s="78"/>
      <c r="M20" s="76"/>
      <c r="N20" s="109">
        <f t="shared" si="5"/>
        <v>0</v>
      </c>
      <c r="O20" s="76"/>
      <c r="P20" s="111">
        <f t="shared" si="3"/>
        <v>0</v>
      </c>
      <c r="W20" s="93">
        <f t="shared" si="4"/>
        <v>0</v>
      </c>
    </row>
    <row r="21" spans="2:23" ht="24.95" customHeight="1">
      <c r="B21" s="103">
        <v>1384</v>
      </c>
      <c r="C21" s="76"/>
      <c r="D21" s="77"/>
      <c r="E21" s="105">
        <f t="shared" si="0"/>
        <v>0</v>
      </c>
      <c r="F21" s="77"/>
      <c r="G21" s="77"/>
      <c r="H21" s="76"/>
      <c r="I21" s="77"/>
      <c r="J21" s="107">
        <f t="shared" si="1"/>
        <v>0</v>
      </c>
      <c r="K21" s="105">
        <f t="shared" si="2"/>
        <v>0</v>
      </c>
      <c r="L21" s="78"/>
      <c r="M21" s="76"/>
      <c r="N21" s="109">
        <f t="shared" si="5"/>
        <v>0</v>
      </c>
      <c r="O21" s="76"/>
      <c r="P21" s="111">
        <f t="shared" si="3"/>
        <v>0</v>
      </c>
      <c r="W21" s="93">
        <f t="shared" si="4"/>
        <v>0</v>
      </c>
    </row>
    <row r="22" spans="2:23" ht="24.95" customHeight="1">
      <c r="B22" s="103">
        <v>1385</v>
      </c>
      <c r="C22" s="76"/>
      <c r="D22" s="77"/>
      <c r="E22" s="105">
        <f t="shared" si="0"/>
        <v>0</v>
      </c>
      <c r="F22" s="77"/>
      <c r="G22" s="77"/>
      <c r="H22" s="76"/>
      <c r="I22" s="77"/>
      <c r="J22" s="107">
        <f t="shared" si="1"/>
        <v>0</v>
      </c>
      <c r="K22" s="105">
        <f t="shared" si="2"/>
        <v>0</v>
      </c>
      <c r="L22" s="78"/>
      <c r="M22" s="76"/>
      <c r="N22" s="109">
        <f t="shared" si="5"/>
        <v>0</v>
      </c>
      <c r="O22" s="76"/>
      <c r="P22" s="111">
        <f t="shared" si="3"/>
        <v>0</v>
      </c>
      <c r="W22" s="93">
        <f t="shared" si="4"/>
        <v>0</v>
      </c>
    </row>
    <row r="23" spans="2:23" ht="24.95" customHeight="1">
      <c r="B23" s="103">
        <v>1386</v>
      </c>
      <c r="C23" s="76"/>
      <c r="D23" s="77"/>
      <c r="E23" s="105">
        <f t="shared" si="0"/>
        <v>0</v>
      </c>
      <c r="F23" s="77"/>
      <c r="G23" s="77"/>
      <c r="H23" s="76"/>
      <c r="I23" s="77"/>
      <c r="J23" s="107">
        <f t="shared" si="1"/>
        <v>0</v>
      </c>
      <c r="K23" s="105">
        <f t="shared" si="2"/>
        <v>0</v>
      </c>
      <c r="L23" s="78"/>
      <c r="M23" s="76"/>
      <c r="N23" s="109">
        <f t="shared" si="5"/>
        <v>0</v>
      </c>
      <c r="O23" s="76"/>
      <c r="P23" s="111">
        <f t="shared" si="3"/>
        <v>0</v>
      </c>
      <c r="W23" s="93">
        <f t="shared" si="4"/>
        <v>0</v>
      </c>
    </row>
    <row r="24" spans="2:23" ht="24.95" customHeight="1">
      <c r="B24" s="103">
        <v>1387</v>
      </c>
      <c r="C24" s="76"/>
      <c r="D24" s="77"/>
      <c r="E24" s="105">
        <f t="shared" si="0"/>
        <v>0</v>
      </c>
      <c r="F24" s="77"/>
      <c r="G24" s="77"/>
      <c r="H24" s="76"/>
      <c r="I24" s="77"/>
      <c r="J24" s="107">
        <f t="shared" si="1"/>
        <v>0</v>
      </c>
      <c r="K24" s="105">
        <f t="shared" si="2"/>
        <v>0</v>
      </c>
      <c r="L24" s="78"/>
      <c r="M24" s="76"/>
      <c r="N24" s="109">
        <f t="shared" si="5"/>
        <v>0</v>
      </c>
      <c r="O24" s="76"/>
      <c r="P24" s="111">
        <f t="shared" si="3"/>
        <v>0</v>
      </c>
      <c r="W24" s="93">
        <f t="shared" si="4"/>
        <v>0</v>
      </c>
    </row>
    <row r="25" spans="2:23" ht="24.95" customHeight="1">
      <c r="B25" s="103">
        <v>1388</v>
      </c>
      <c r="C25" s="76"/>
      <c r="D25" s="77"/>
      <c r="E25" s="105">
        <f t="shared" si="0"/>
        <v>0</v>
      </c>
      <c r="F25" s="77"/>
      <c r="G25" s="77"/>
      <c r="H25" s="76"/>
      <c r="I25" s="77"/>
      <c r="J25" s="107">
        <f t="shared" si="1"/>
        <v>0</v>
      </c>
      <c r="K25" s="105">
        <f t="shared" si="2"/>
        <v>0</v>
      </c>
      <c r="L25" s="78"/>
      <c r="M25" s="76"/>
      <c r="N25" s="109">
        <f t="shared" si="5"/>
        <v>0</v>
      </c>
      <c r="O25" s="76"/>
      <c r="P25" s="111">
        <f t="shared" si="3"/>
        <v>0</v>
      </c>
      <c r="W25" s="93">
        <f t="shared" si="4"/>
        <v>0</v>
      </c>
    </row>
    <row r="26" spans="2:23" ht="24.95" customHeight="1">
      <c r="B26" s="103">
        <v>1389</v>
      </c>
      <c r="C26" s="76"/>
      <c r="D26" s="77"/>
      <c r="E26" s="105">
        <f t="shared" si="0"/>
        <v>0</v>
      </c>
      <c r="F26" s="77"/>
      <c r="G26" s="77"/>
      <c r="H26" s="76"/>
      <c r="I26" s="77"/>
      <c r="J26" s="107">
        <f t="shared" si="1"/>
        <v>0</v>
      </c>
      <c r="K26" s="105">
        <f t="shared" si="2"/>
        <v>0</v>
      </c>
      <c r="L26" s="78"/>
      <c r="M26" s="76"/>
      <c r="N26" s="109">
        <f t="shared" si="5"/>
        <v>0</v>
      </c>
      <c r="O26" s="76"/>
      <c r="P26" s="111">
        <f t="shared" si="3"/>
        <v>0</v>
      </c>
      <c r="W26" s="93">
        <f t="shared" si="4"/>
        <v>0</v>
      </c>
    </row>
    <row r="27" spans="2:23" ht="24.95" customHeight="1">
      <c r="B27" s="103">
        <v>1390</v>
      </c>
      <c r="C27" s="76"/>
      <c r="D27" s="77"/>
      <c r="E27" s="105">
        <f t="shared" si="0"/>
        <v>0</v>
      </c>
      <c r="F27" s="77"/>
      <c r="G27" s="77"/>
      <c r="H27" s="76"/>
      <c r="I27" s="77"/>
      <c r="J27" s="107">
        <f t="shared" si="1"/>
        <v>0</v>
      </c>
      <c r="K27" s="105">
        <f t="shared" si="2"/>
        <v>0</v>
      </c>
      <c r="L27" s="78"/>
      <c r="M27" s="76"/>
      <c r="N27" s="109">
        <f t="shared" si="5"/>
        <v>0</v>
      </c>
      <c r="O27" s="76"/>
      <c r="P27" s="111">
        <f t="shared" si="3"/>
        <v>0</v>
      </c>
      <c r="W27" s="93">
        <f t="shared" si="4"/>
        <v>0</v>
      </c>
    </row>
    <row r="28" spans="2:23" ht="24.95" customHeight="1">
      <c r="B28" s="103">
        <v>1391</v>
      </c>
      <c r="C28" s="76"/>
      <c r="D28" s="77"/>
      <c r="E28" s="105">
        <f t="shared" si="0"/>
        <v>0</v>
      </c>
      <c r="F28" s="77"/>
      <c r="G28" s="77"/>
      <c r="H28" s="76"/>
      <c r="I28" s="77"/>
      <c r="J28" s="107">
        <f t="shared" si="1"/>
        <v>0</v>
      </c>
      <c r="K28" s="105">
        <f t="shared" si="2"/>
        <v>0</v>
      </c>
      <c r="L28" s="78"/>
      <c r="M28" s="76"/>
      <c r="N28" s="109">
        <f t="shared" si="5"/>
        <v>0</v>
      </c>
      <c r="O28" s="76"/>
      <c r="P28" s="111">
        <f t="shared" si="3"/>
        <v>0</v>
      </c>
      <c r="W28" s="93">
        <f t="shared" si="4"/>
        <v>0</v>
      </c>
    </row>
    <row r="29" spans="2:23" ht="24.95" customHeight="1">
      <c r="B29" s="103">
        <v>1392</v>
      </c>
      <c r="C29" s="76"/>
      <c r="D29" s="77"/>
      <c r="E29" s="105">
        <f t="shared" si="0"/>
        <v>0</v>
      </c>
      <c r="F29" s="77"/>
      <c r="G29" s="77"/>
      <c r="H29" s="76"/>
      <c r="I29" s="77"/>
      <c r="J29" s="107">
        <f t="shared" si="1"/>
        <v>0</v>
      </c>
      <c r="K29" s="105">
        <f t="shared" si="2"/>
        <v>0</v>
      </c>
      <c r="L29" s="78"/>
      <c r="M29" s="76"/>
      <c r="N29" s="109">
        <f t="shared" si="5"/>
        <v>0</v>
      </c>
      <c r="O29" s="76"/>
      <c r="P29" s="111">
        <f t="shared" si="3"/>
        <v>0</v>
      </c>
      <c r="W29" s="93">
        <f t="shared" si="4"/>
        <v>0</v>
      </c>
    </row>
    <row r="30" spans="2:23" ht="24.95" customHeight="1">
      <c r="B30" s="103">
        <v>1393</v>
      </c>
      <c r="C30" s="76"/>
      <c r="D30" s="77"/>
      <c r="E30" s="105">
        <f t="shared" si="0"/>
        <v>0</v>
      </c>
      <c r="F30" s="77"/>
      <c r="G30" s="77"/>
      <c r="H30" s="76"/>
      <c r="I30" s="77"/>
      <c r="J30" s="107">
        <f t="shared" si="1"/>
        <v>0</v>
      </c>
      <c r="K30" s="105">
        <f t="shared" si="2"/>
        <v>0</v>
      </c>
      <c r="L30" s="78"/>
      <c r="M30" s="76"/>
      <c r="N30" s="109">
        <f>IF(P29&lt;0,0,P29)</f>
        <v>0</v>
      </c>
      <c r="O30" s="76"/>
      <c r="P30" s="111">
        <f t="shared" si="3"/>
        <v>0</v>
      </c>
      <c r="W30" s="93">
        <f t="shared" si="4"/>
        <v>0</v>
      </c>
    </row>
    <row r="31" spans="2:23" ht="24.95" customHeight="1">
      <c r="B31" s="103">
        <v>1394</v>
      </c>
      <c r="C31" s="76"/>
      <c r="D31" s="77"/>
      <c r="E31" s="105">
        <f t="shared" si="0"/>
        <v>0</v>
      </c>
      <c r="F31" s="77"/>
      <c r="G31" s="77"/>
      <c r="H31" s="76"/>
      <c r="I31" s="77"/>
      <c r="J31" s="107">
        <f t="shared" si="1"/>
        <v>0</v>
      </c>
      <c r="K31" s="105">
        <f t="shared" si="2"/>
        <v>0</v>
      </c>
      <c r="L31" s="78"/>
      <c r="M31" s="76"/>
      <c r="N31" s="109">
        <f t="shared" si="5"/>
        <v>0</v>
      </c>
      <c r="O31" s="76"/>
      <c r="P31" s="111">
        <f t="shared" si="3"/>
        <v>0</v>
      </c>
      <c r="W31" s="93">
        <f t="shared" si="4"/>
        <v>0</v>
      </c>
    </row>
    <row r="32" spans="2:23" ht="24.95" customHeight="1">
      <c r="B32" s="103">
        <v>1395</v>
      </c>
      <c r="C32" s="76"/>
      <c r="D32" s="77"/>
      <c r="E32" s="105">
        <f t="shared" si="0"/>
        <v>0</v>
      </c>
      <c r="F32" s="77"/>
      <c r="G32" s="77"/>
      <c r="H32" s="76"/>
      <c r="I32" s="77"/>
      <c r="J32" s="107">
        <f t="shared" si="1"/>
        <v>0</v>
      </c>
      <c r="K32" s="105">
        <f t="shared" si="2"/>
        <v>0</v>
      </c>
      <c r="L32" s="78"/>
      <c r="M32" s="76"/>
      <c r="N32" s="109">
        <f t="shared" si="5"/>
        <v>0</v>
      </c>
      <c r="O32" s="76"/>
      <c r="P32" s="111">
        <f t="shared" si="3"/>
        <v>0</v>
      </c>
      <c r="W32" s="93">
        <f t="shared" si="4"/>
        <v>0</v>
      </c>
    </row>
    <row r="33" spans="2:23" ht="24.95" customHeight="1">
      <c r="B33" s="103">
        <v>1396</v>
      </c>
      <c r="C33" s="76"/>
      <c r="D33" s="77"/>
      <c r="E33" s="105">
        <f t="shared" si="0"/>
        <v>0</v>
      </c>
      <c r="F33" s="77"/>
      <c r="G33" s="77"/>
      <c r="H33" s="76"/>
      <c r="I33" s="77"/>
      <c r="J33" s="107">
        <f t="shared" si="1"/>
        <v>0</v>
      </c>
      <c r="K33" s="105">
        <f t="shared" si="2"/>
        <v>0</v>
      </c>
      <c r="L33" s="78"/>
      <c r="M33" s="76"/>
      <c r="N33" s="109">
        <f t="shared" si="5"/>
        <v>0</v>
      </c>
      <c r="O33" s="76"/>
      <c r="P33" s="111">
        <f t="shared" si="3"/>
        <v>0</v>
      </c>
      <c r="W33" s="93">
        <f t="shared" si="4"/>
        <v>0</v>
      </c>
    </row>
    <row r="34" spans="2:23" ht="24.95" customHeight="1">
      <c r="B34" s="103">
        <v>1397</v>
      </c>
      <c r="C34" s="76"/>
      <c r="D34" s="77"/>
      <c r="E34" s="105">
        <f t="shared" si="0"/>
        <v>0</v>
      </c>
      <c r="F34" s="77"/>
      <c r="G34" s="77"/>
      <c r="H34" s="76"/>
      <c r="I34" s="77"/>
      <c r="J34" s="107">
        <f t="shared" si="1"/>
        <v>0</v>
      </c>
      <c r="K34" s="105">
        <f t="shared" si="2"/>
        <v>0</v>
      </c>
      <c r="L34" s="78"/>
      <c r="M34" s="76"/>
      <c r="N34" s="109">
        <f t="shared" si="5"/>
        <v>0</v>
      </c>
      <c r="O34" s="76"/>
      <c r="P34" s="111">
        <f t="shared" si="3"/>
        <v>0</v>
      </c>
      <c r="W34" s="93">
        <f t="shared" si="4"/>
        <v>0</v>
      </c>
    </row>
    <row r="35" spans="2:23" ht="24.95" customHeight="1">
      <c r="B35" s="103">
        <v>1398</v>
      </c>
      <c r="C35" s="76"/>
      <c r="D35" s="77"/>
      <c r="E35" s="105">
        <f t="shared" si="0"/>
        <v>0</v>
      </c>
      <c r="F35" s="77"/>
      <c r="G35" s="77"/>
      <c r="H35" s="76"/>
      <c r="I35" s="77"/>
      <c r="J35" s="107">
        <f t="shared" si="1"/>
        <v>0</v>
      </c>
      <c r="K35" s="105">
        <f t="shared" si="2"/>
        <v>0</v>
      </c>
      <c r="L35" s="78"/>
      <c r="M35" s="76"/>
      <c r="N35" s="109">
        <f t="shared" si="5"/>
        <v>0</v>
      </c>
      <c r="O35" s="76"/>
      <c r="P35" s="111">
        <f t="shared" si="3"/>
        <v>0</v>
      </c>
      <c r="W35" s="93">
        <f t="shared" si="4"/>
        <v>0</v>
      </c>
    </row>
    <row r="36" spans="2:23" ht="24.95" customHeight="1">
      <c r="B36" s="103">
        <v>1399</v>
      </c>
      <c r="C36" s="76"/>
      <c r="D36" s="77"/>
      <c r="E36" s="105">
        <f t="shared" si="0"/>
        <v>0</v>
      </c>
      <c r="F36" s="77"/>
      <c r="G36" s="77"/>
      <c r="H36" s="76"/>
      <c r="I36" s="77"/>
      <c r="J36" s="107">
        <f t="shared" si="1"/>
        <v>0</v>
      </c>
      <c r="K36" s="105">
        <f t="shared" si="2"/>
        <v>0</v>
      </c>
      <c r="L36" s="78"/>
      <c r="M36" s="76"/>
      <c r="N36" s="109">
        <f t="shared" si="5"/>
        <v>0</v>
      </c>
      <c r="O36" s="76"/>
      <c r="P36" s="111">
        <f t="shared" si="3"/>
        <v>0</v>
      </c>
      <c r="W36" s="93">
        <f t="shared" si="4"/>
        <v>0</v>
      </c>
    </row>
    <row r="37" spans="2:23" ht="24.95" customHeight="1">
      <c r="B37" s="103">
        <v>1400</v>
      </c>
      <c r="C37" s="76"/>
      <c r="D37" s="77"/>
      <c r="E37" s="105">
        <f t="shared" si="0"/>
        <v>0</v>
      </c>
      <c r="F37" s="77"/>
      <c r="G37" s="77"/>
      <c r="H37" s="76"/>
      <c r="I37" s="77"/>
      <c r="J37" s="107">
        <f t="shared" si="1"/>
        <v>0</v>
      </c>
      <c r="K37" s="105">
        <f t="shared" si="2"/>
        <v>0</v>
      </c>
      <c r="L37" s="78"/>
      <c r="M37" s="76"/>
      <c r="N37" s="109">
        <f t="shared" si="5"/>
        <v>0</v>
      </c>
      <c r="O37" s="76"/>
      <c r="P37" s="111">
        <f t="shared" si="3"/>
        <v>0</v>
      </c>
      <c r="W37" s="93">
        <f t="shared" si="4"/>
        <v>0</v>
      </c>
    </row>
    <row r="38" spans="2:23" ht="24.95" customHeight="1">
      <c r="B38" s="103">
        <v>1401</v>
      </c>
      <c r="C38" s="76"/>
      <c r="D38" s="77"/>
      <c r="E38" s="105">
        <f>D38*C38/1000000</f>
        <v>0</v>
      </c>
      <c r="F38" s="77"/>
      <c r="G38" s="77"/>
      <c r="H38" s="76"/>
      <c r="I38" s="77"/>
      <c r="J38" s="107">
        <f>I38+H38+G38</f>
        <v>0</v>
      </c>
      <c r="K38" s="105">
        <f>E38-J38+F38</f>
        <v>0</v>
      </c>
      <c r="L38" s="78"/>
      <c r="M38" s="76"/>
      <c r="N38" s="109">
        <f>IF(P37&lt;0,0,P37)</f>
        <v>0</v>
      </c>
      <c r="O38" s="76"/>
      <c r="P38" s="111">
        <f>-L38+M38+N38+O38</f>
        <v>0</v>
      </c>
      <c r="W38" s="93">
        <f t="shared" si="4"/>
        <v>0</v>
      </c>
    </row>
    <row r="39" spans="2:23" ht="24.95" customHeight="1">
      <c r="B39" s="103">
        <v>1402</v>
      </c>
      <c r="C39" s="76"/>
      <c r="D39" s="77"/>
      <c r="E39" s="105">
        <f>D39*C39/1000000</f>
        <v>0</v>
      </c>
      <c r="F39" s="77"/>
      <c r="G39" s="77"/>
      <c r="H39" s="76"/>
      <c r="I39" s="77"/>
      <c r="J39" s="107">
        <f>I39+H39+G39</f>
        <v>0</v>
      </c>
      <c r="K39" s="105">
        <f>E39-J39+F39</f>
        <v>0</v>
      </c>
      <c r="L39" s="78"/>
      <c r="M39" s="76"/>
      <c r="N39" s="109">
        <f>IF(P38&lt;0,0,P38)</f>
        <v>0</v>
      </c>
      <c r="O39" s="76"/>
      <c r="P39" s="111">
        <f>-L39+M39+N39+O39</f>
        <v>0</v>
      </c>
      <c r="W39" s="93">
        <f t="shared" si="4"/>
        <v>0</v>
      </c>
    </row>
    <row r="40" spans="2:23" ht="21">
      <c r="B40" s="103">
        <v>1403</v>
      </c>
      <c r="C40" s="76"/>
      <c r="D40" s="77"/>
      <c r="E40" s="105">
        <f>D40*C40/1000000</f>
        <v>0</v>
      </c>
      <c r="F40" s="77"/>
      <c r="G40" s="77"/>
      <c r="H40" s="76"/>
      <c r="I40" s="77"/>
      <c r="J40" s="107">
        <f>I40+H40+G40</f>
        <v>0</v>
      </c>
      <c r="K40" s="105">
        <f>E40-J40+F40</f>
        <v>0</v>
      </c>
      <c r="L40" s="78"/>
      <c r="M40" s="76"/>
      <c r="N40" s="109">
        <f>IF(P39&lt;0,0,P39)</f>
        <v>0</v>
      </c>
      <c r="O40" s="76"/>
      <c r="P40" s="111">
        <f>-L40+M40+N40+O40</f>
        <v>0</v>
      </c>
      <c r="W40" s="93">
        <f t="shared" si="4"/>
        <v>0</v>
      </c>
    </row>
    <row r="41" spans="2:23" ht="24.95" customHeight="1">
      <c r="B41" s="103">
        <v>1404</v>
      </c>
      <c r="C41" s="76"/>
      <c r="D41" s="77"/>
      <c r="E41" s="105">
        <f t="shared" si="0"/>
        <v>0</v>
      </c>
      <c r="F41" s="77"/>
      <c r="G41" s="77"/>
      <c r="H41" s="76"/>
      <c r="I41" s="77"/>
      <c r="J41" s="107">
        <f t="shared" si="1"/>
        <v>0</v>
      </c>
      <c r="K41" s="105">
        <f t="shared" si="2"/>
        <v>0</v>
      </c>
      <c r="L41" s="78"/>
      <c r="M41" s="76"/>
      <c r="N41" s="109">
        <f>IF(P40&lt;0,0,P40)</f>
        <v>0</v>
      </c>
      <c r="O41" s="76"/>
      <c r="P41" s="111">
        <f>-L41+M41+N41+O41</f>
        <v>0</v>
      </c>
      <c r="W41" s="93">
        <f t="shared" si="4"/>
        <v>0</v>
      </c>
    </row>
    <row r="42" spans="2:23" ht="24.95" customHeight="1">
      <c r="B42" s="103">
        <v>1405</v>
      </c>
      <c r="C42" s="76"/>
      <c r="D42" s="77"/>
      <c r="E42" s="105">
        <f t="shared" si="0"/>
        <v>0</v>
      </c>
      <c r="F42" s="77"/>
      <c r="G42" s="77"/>
      <c r="H42" s="76"/>
      <c r="I42" s="77"/>
      <c r="J42" s="107">
        <f t="shared" si="1"/>
        <v>0</v>
      </c>
      <c r="K42" s="105">
        <f t="shared" si="2"/>
        <v>0</v>
      </c>
      <c r="L42" s="78"/>
      <c r="M42" s="76"/>
      <c r="N42" s="109">
        <f>IF(P41&lt;0,0,P41)</f>
        <v>0</v>
      </c>
      <c r="O42" s="76"/>
      <c r="P42" s="111">
        <f t="shared" si="3"/>
        <v>0</v>
      </c>
      <c r="W42" s="93">
        <f t="shared" si="4"/>
        <v>0</v>
      </c>
    </row>
    <row r="43" spans="2:23" ht="24.95" customHeight="1">
      <c r="B43" s="103">
        <v>1406</v>
      </c>
      <c r="C43" s="76"/>
      <c r="D43" s="77"/>
      <c r="E43" s="105">
        <f t="shared" si="0"/>
        <v>0</v>
      </c>
      <c r="F43" s="77"/>
      <c r="G43" s="77"/>
      <c r="H43" s="76"/>
      <c r="I43" s="77"/>
      <c r="J43" s="107">
        <f t="shared" si="1"/>
        <v>0</v>
      </c>
      <c r="K43" s="105">
        <f t="shared" si="2"/>
        <v>0</v>
      </c>
      <c r="L43" s="78"/>
      <c r="M43" s="76"/>
      <c r="N43" s="109">
        <f t="shared" si="5"/>
        <v>0</v>
      </c>
      <c r="O43" s="76"/>
      <c r="P43" s="111">
        <f t="shared" si="3"/>
        <v>0</v>
      </c>
      <c r="W43" s="93">
        <f t="shared" si="4"/>
        <v>0</v>
      </c>
    </row>
    <row r="44" spans="2:23" ht="24.95" customHeight="1">
      <c r="B44" s="103">
        <v>1407</v>
      </c>
      <c r="C44" s="76"/>
      <c r="D44" s="77"/>
      <c r="E44" s="105">
        <f t="shared" si="0"/>
        <v>0</v>
      </c>
      <c r="F44" s="77"/>
      <c r="G44" s="77"/>
      <c r="H44" s="76"/>
      <c r="I44" s="77"/>
      <c r="J44" s="107">
        <f t="shared" si="1"/>
        <v>0</v>
      </c>
      <c r="K44" s="105">
        <f t="shared" si="2"/>
        <v>0</v>
      </c>
      <c r="L44" s="78"/>
      <c r="M44" s="76"/>
      <c r="N44" s="109">
        <f t="shared" si="5"/>
        <v>0</v>
      </c>
      <c r="O44" s="76"/>
      <c r="P44" s="111">
        <f t="shared" si="3"/>
        <v>0</v>
      </c>
      <c r="W44" s="93">
        <f t="shared" si="4"/>
        <v>0</v>
      </c>
    </row>
    <row r="45" spans="2:23" ht="24.95" customHeight="1">
      <c r="B45" s="103">
        <v>1408</v>
      </c>
      <c r="C45" s="76"/>
      <c r="D45" s="77"/>
      <c r="E45" s="105">
        <f t="shared" si="0"/>
        <v>0</v>
      </c>
      <c r="F45" s="77"/>
      <c r="G45" s="77"/>
      <c r="H45" s="76"/>
      <c r="I45" s="77"/>
      <c r="J45" s="107">
        <f t="shared" si="1"/>
        <v>0</v>
      </c>
      <c r="K45" s="105">
        <f t="shared" si="2"/>
        <v>0</v>
      </c>
      <c r="L45" s="78"/>
      <c r="M45" s="76"/>
      <c r="N45" s="109">
        <f t="shared" si="5"/>
        <v>0</v>
      </c>
      <c r="O45" s="76"/>
      <c r="P45" s="111">
        <f t="shared" si="3"/>
        <v>0</v>
      </c>
      <c r="W45" s="93">
        <f t="shared" si="4"/>
        <v>0</v>
      </c>
    </row>
    <row r="46" spans="2:23" ht="24.95" customHeight="1">
      <c r="B46" s="103">
        <v>1409</v>
      </c>
      <c r="C46" s="76"/>
      <c r="D46" s="77"/>
      <c r="E46" s="105">
        <f t="shared" si="0"/>
        <v>0</v>
      </c>
      <c r="F46" s="77"/>
      <c r="G46" s="77"/>
      <c r="H46" s="76"/>
      <c r="I46" s="77"/>
      <c r="J46" s="107">
        <f t="shared" si="1"/>
        <v>0</v>
      </c>
      <c r="K46" s="105">
        <f t="shared" si="2"/>
        <v>0</v>
      </c>
      <c r="L46" s="78"/>
      <c r="M46" s="76"/>
      <c r="N46" s="109">
        <f t="shared" si="5"/>
        <v>0</v>
      </c>
      <c r="O46" s="76"/>
      <c r="P46" s="111">
        <f t="shared" si="3"/>
        <v>0</v>
      </c>
      <c r="W46" s="93">
        <f t="shared" si="4"/>
        <v>0</v>
      </c>
    </row>
    <row r="47" spans="2:23" ht="24.95" customHeight="1">
      <c r="B47" s="103">
        <v>1410</v>
      </c>
      <c r="C47" s="76"/>
      <c r="D47" s="77"/>
      <c r="E47" s="105">
        <f t="shared" si="0"/>
        <v>0</v>
      </c>
      <c r="F47" s="77"/>
      <c r="G47" s="77"/>
      <c r="H47" s="76"/>
      <c r="I47" s="77"/>
      <c r="J47" s="107">
        <f t="shared" si="1"/>
        <v>0</v>
      </c>
      <c r="K47" s="105">
        <f t="shared" si="2"/>
        <v>0</v>
      </c>
      <c r="L47" s="78"/>
      <c r="M47" s="76"/>
      <c r="N47" s="109">
        <f t="shared" si="5"/>
        <v>0</v>
      </c>
      <c r="O47" s="76"/>
      <c r="P47" s="111">
        <f t="shared" si="3"/>
        <v>0</v>
      </c>
      <c r="W47" s="93">
        <f t="shared" si="4"/>
        <v>0</v>
      </c>
    </row>
    <row r="48" spans="2:23" ht="24.95" customHeight="1">
      <c r="B48" s="103">
        <v>1411</v>
      </c>
      <c r="C48" s="76"/>
      <c r="D48" s="77"/>
      <c r="E48" s="105">
        <f t="shared" si="0"/>
        <v>0</v>
      </c>
      <c r="F48" s="77"/>
      <c r="G48" s="77"/>
      <c r="H48" s="76"/>
      <c r="I48" s="77"/>
      <c r="J48" s="107">
        <f t="shared" si="1"/>
        <v>0</v>
      </c>
      <c r="K48" s="105">
        <f t="shared" si="2"/>
        <v>0</v>
      </c>
      <c r="L48" s="78"/>
      <c r="M48" s="76"/>
      <c r="N48" s="109">
        <f t="shared" si="5"/>
        <v>0</v>
      </c>
      <c r="O48" s="76"/>
      <c r="P48" s="111">
        <f t="shared" si="3"/>
        <v>0</v>
      </c>
      <c r="W48" s="93">
        <f t="shared" si="4"/>
        <v>0</v>
      </c>
    </row>
    <row r="49" spans="2:26" ht="24.95" customHeight="1">
      <c r="B49" s="103">
        <v>1412</v>
      </c>
      <c r="C49" s="76"/>
      <c r="D49" s="77"/>
      <c r="E49" s="105">
        <f t="shared" si="0"/>
        <v>0</v>
      </c>
      <c r="F49" s="77"/>
      <c r="G49" s="77"/>
      <c r="H49" s="76"/>
      <c r="I49" s="77"/>
      <c r="J49" s="107">
        <f t="shared" ref="J49:J58" si="6">I49+H49+G49</f>
        <v>0</v>
      </c>
      <c r="K49" s="105">
        <f t="shared" ref="K49:K58" si="7">E49-J49+F49</f>
        <v>0</v>
      </c>
      <c r="L49" s="78"/>
      <c r="M49" s="76"/>
      <c r="N49" s="109">
        <f t="shared" ref="N49:N57" si="8">IF(P48&lt;0,0,P48)</f>
        <v>0</v>
      </c>
      <c r="O49" s="76"/>
      <c r="P49" s="111">
        <f t="shared" ref="P49:P58" si="9">-L49+M49+N49+O49</f>
        <v>0</v>
      </c>
      <c r="W49" s="93">
        <f t="shared" si="4"/>
        <v>0</v>
      </c>
    </row>
    <row r="50" spans="2:26" ht="24.95" customHeight="1">
      <c r="B50" s="103">
        <v>1413</v>
      </c>
      <c r="C50" s="76"/>
      <c r="D50" s="77"/>
      <c r="E50" s="105">
        <f t="shared" si="0"/>
        <v>0</v>
      </c>
      <c r="F50" s="77"/>
      <c r="G50" s="77"/>
      <c r="H50" s="76"/>
      <c r="I50" s="77"/>
      <c r="J50" s="107">
        <f t="shared" si="6"/>
        <v>0</v>
      </c>
      <c r="K50" s="105">
        <f t="shared" si="7"/>
        <v>0</v>
      </c>
      <c r="L50" s="78"/>
      <c r="M50" s="76"/>
      <c r="N50" s="109">
        <f t="shared" si="8"/>
        <v>0</v>
      </c>
      <c r="O50" s="76"/>
      <c r="P50" s="111">
        <f t="shared" si="9"/>
        <v>0</v>
      </c>
      <c r="W50" s="93">
        <f t="shared" si="4"/>
        <v>0</v>
      </c>
    </row>
    <row r="51" spans="2:26" ht="24.95" customHeight="1">
      <c r="B51" s="103">
        <v>1414</v>
      </c>
      <c r="C51" s="76"/>
      <c r="D51" s="77"/>
      <c r="E51" s="105">
        <f t="shared" si="0"/>
        <v>0</v>
      </c>
      <c r="F51" s="77"/>
      <c r="G51" s="77"/>
      <c r="H51" s="76"/>
      <c r="I51" s="77"/>
      <c r="J51" s="107">
        <f t="shared" si="6"/>
        <v>0</v>
      </c>
      <c r="K51" s="105">
        <f t="shared" si="7"/>
        <v>0</v>
      </c>
      <c r="L51" s="78"/>
      <c r="M51" s="76"/>
      <c r="N51" s="109">
        <f t="shared" si="8"/>
        <v>0</v>
      </c>
      <c r="O51" s="76"/>
      <c r="P51" s="111">
        <f t="shared" si="9"/>
        <v>0</v>
      </c>
      <c r="W51" s="93">
        <f t="shared" si="4"/>
        <v>0</v>
      </c>
    </row>
    <row r="52" spans="2:26" ht="24.95" customHeight="1">
      <c r="B52" s="103">
        <v>1415</v>
      </c>
      <c r="C52" s="76"/>
      <c r="D52" s="77"/>
      <c r="E52" s="105">
        <f t="shared" si="0"/>
        <v>0</v>
      </c>
      <c r="F52" s="77"/>
      <c r="G52" s="77"/>
      <c r="H52" s="76"/>
      <c r="I52" s="77"/>
      <c r="J52" s="107">
        <f t="shared" si="6"/>
        <v>0</v>
      </c>
      <c r="K52" s="105">
        <f t="shared" si="7"/>
        <v>0</v>
      </c>
      <c r="L52" s="78"/>
      <c r="M52" s="76"/>
      <c r="N52" s="109">
        <f t="shared" si="8"/>
        <v>0</v>
      </c>
      <c r="O52" s="76"/>
      <c r="P52" s="111">
        <f t="shared" si="9"/>
        <v>0</v>
      </c>
      <c r="W52" s="93">
        <f t="shared" si="4"/>
        <v>0</v>
      </c>
    </row>
    <row r="53" spans="2:26" ht="24.95" customHeight="1">
      <c r="B53" s="103">
        <v>1416</v>
      </c>
      <c r="C53" s="76"/>
      <c r="D53" s="77"/>
      <c r="E53" s="105">
        <f t="shared" si="0"/>
        <v>0</v>
      </c>
      <c r="F53" s="77"/>
      <c r="G53" s="77"/>
      <c r="H53" s="76"/>
      <c r="I53" s="77"/>
      <c r="J53" s="107">
        <f t="shared" si="6"/>
        <v>0</v>
      </c>
      <c r="K53" s="105">
        <f t="shared" si="7"/>
        <v>0</v>
      </c>
      <c r="L53" s="78"/>
      <c r="M53" s="76"/>
      <c r="N53" s="109">
        <f t="shared" si="8"/>
        <v>0</v>
      </c>
      <c r="O53" s="76"/>
      <c r="P53" s="111">
        <f t="shared" si="9"/>
        <v>0</v>
      </c>
      <c r="W53" s="93">
        <f t="shared" si="4"/>
        <v>0</v>
      </c>
    </row>
    <row r="54" spans="2:26" ht="24.95" customHeight="1">
      <c r="B54" s="103">
        <v>1417</v>
      </c>
      <c r="C54" s="76"/>
      <c r="D54" s="77"/>
      <c r="E54" s="105">
        <f t="shared" si="0"/>
        <v>0</v>
      </c>
      <c r="F54" s="77"/>
      <c r="G54" s="77"/>
      <c r="H54" s="76"/>
      <c r="I54" s="77"/>
      <c r="J54" s="107">
        <f t="shared" si="6"/>
        <v>0</v>
      </c>
      <c r="K54" s="105">
        <f t="shared" si="7"/>
        <v>0</v>
      </c>
      <c r="L54" s="78"/>
      <c r="M54" s="76"/>
      <c r="N54" s="109">
        <f t="shared" si="8"/>
        <v>0</v>
      </c>
      <c r="O54" s="76"/>
      <c r="P54" s="111">
        <f t="shared" si="9"/>
        <v>0</v>
      </c>
      <c r="W54" s="93">
        <f t="shared" si="4"/>
        <v>0</v>
      </c>
    </row>
    <row r="55" spans="2:26" ht="24.95" customHeight="1">
      <c r="B55" s="103">
        <v>1418</v>
      </c>
      <c r="C55" s="76"/>
      <c r="D55" s="77"/>
      <c r="E55" s="105">
        <f t="shared" si="0"/>
        <v>0</v>
      </c>
      <c r="F55" s="77"/>
      <c r="G55" s="77"/>
      <c r="H55" s="76"/>
      <c r="I55" s="77"/>
      <c r="J55" s="107">
        <f t="shared" si="6"/>
        <v>0</v>
      </c>
      <c r="K55" s="105">
        <f t="shared" si="7"/>
        <v>0</v>
      </c>
      <c r="L55" s="78"/>
      <c r="M55" s="76"/>
      <c r="N55" s="109">
        <f t="shared" si="8"/>
        <v>0</v>
      </c>
      <c r="O55" s="76"/>
      <c r="P55" s="111">
        <f t="shared" si="9"/>
        <v>0</v>
      </c>
      <c r="W55" s="93">
        <f t="shared" si="4"/>
        <v>0</v>
      </c>
    </row>
    <row r="56" spans="2:26" ht="24.95" customHeight="1">
      <c r="B56" s="103">
        <v>1419</v>
      </c>
      <c r="C56" s="76"/>
      <c r="D56" s="77"/>
      <c r="E56" s="105">
        <f t="shared" si="0"/>
        <v>0</v>
      </c>
      <c r="F56" s="77"/>
      <c r="G56" s="77"/>
      <c r="H56" s="76"/>
      <c r="I56" s="77"/>
      <c r="J56" s="107">
        <f t="shared" si="6"/>
        <v>0</v>
      </c>
      <c r="K56" s="105">
        <f t="shared" si="7"/>
        <v>0</v>
      </c>
      <c r="L56" s="78"/>
      <c r="M56" s="76"/>
      <c r="N56" s="109">
        <f t="shared" si="8"/>
        <v>0</v>
      </c>
      <c r="O56" s="76"/>
      <c r="P56" s="111">
        <f t="shared" si="9"/>
        <v>0</v>
      </c>
      <c r="W56" s="93">
        <f t="shared" si="4"/>
        <v>0</v>
      </c>
    </row>
    <row r="57" spans="2:26" ht="24.95" customHeight="1">
      <c r="B57" s="103">
        <v>1420</v>
      </c>
      <c r="C57" s="76"/>
      <c r="D57" s="77"/>
      <c r="E57" s="105">
        <f t="shared" si="0"/>
        <v>0</v>
      </c>
      <c r="F57" s="77"/>
      <c r="G57" s="77"/>
      <c r="H57" s="76"/>
      <c r="I57" s="77"/>
      <c r="J57" s="107">
        <f t="shared" si="6"/>
        <v>0</v>
      </c>
      <c r="K57" s="105">
        <f t="shared" si="7"/>
        <v>0</v>
      </c>
      <c r="L57" s="78"/>
      <c r="M57" s="76"/>
      <c r="N57" s="109">
        <f t="shared" si="8"/>
        <v>0</v>
      </c>
      <c r="O57" s="76"/>
      <c r="P57" s="111">
        <f t="shared" si="9"/>
        <v>0</v>
      </c>
      <c r="W57" s="93">
        <f t="shared" si="4"/>
        <v>0</v>
      </c>
    </row>
    <row r="58" spans="2:26" ht="24.95" customHeight="1">
      <c r="B58" s="103">
        <v>1421</v>
      </c>
      <c r="C58" s="76"/>
      <c r="D58" s="77"/>
      <c r="E58" s="105">
        <f t="shared" si="0"/>
        <v>0</v>
      </c>
      <c r="F58" s="77"/>
      <c r="G58" s="77"/>
      <c r="H58" s="76"/>
      <c r="I58" s="77"/>
      <c r="J58" s="107">
        <f t="shared" si="6"/>
        <v>0</v>
      </c>
      <c r="K58" s="105">
        <f t="shared" si="7"/>
        <v>0</v>
      </c>
      <c r="L58" s="78"/>
      <c r="M58" s="76"/>
      <c r="N58" s="109">
        <f>IF(P57&lt;0,0,P57)</f>
        <v>0</v>
      </c>
      <c r="O58" s="76"/>
      <c r="P58" s="111">
        <f t="shared" si="9"/>
        <v>0</v>
      </c>
      <c r="W58" s="93">
        <f t="shared" si="4"/>
        <v>0</v>
      </c>
    </row>
    <row r="59" spans="2:26" s="75" customFormat="1" ht="24.95" customHeight="1">
      <c r="B59" s="104" t="s">
        <v>100</v>
      </c>
      <c r="C59" s="110">
        <f>SUM(C40:C58)</f>
        <v>0</v>
      </c>
      <c r="D59" s="106" t="s">
        <v>206</v>
      </c>
      <c r="E59" s="106">
        <f t="shared" ref="E59:M59" si="10">SUM(E40:E58)</f>
        <v>0</v>
      </c>
      <c r="F59" s="106">
        <f t="shared" si="10"/>
        <v>0</v>
      </c>
      <c r="G59" s="106">
        <f t="shared" si="10"/>
        <v>0</v>
      </c>
      <c r="H59" s="110">
        <f t="shared" si="10"/>
        <v>0</v>
      </c>
      <c r="I59" s="106">
        <f t="shared" si="10"/>
        <v>0</v>
      </c>
      <c r="J59" s="108">
        <f t="shared" si="10"/>
        <v>0</v>
      </c>
      <c r="K59" s="106">
        <f t="shared" si="10"/>
        <v>0</v>
      </c>
      <c r="L59" s="113">
        <f t="shared" si="10"/>
        <v>0</v>
      </c>
      <c r="M59" s="110">
        <f t="shared" si="10"/>
        <v>0</v>
      </c>
      <c r="N59" s="110"/>
      <c r="O59" s="110">
        <f>SUM(O40:O58)</f>
        <v>0</v>
      </c>
      <c r="P59" s="112"/>
      <c r="U59" s="1010"/>
      <c r="V59" s="1010"/>
      <c r="W59" s="93" t="s">
        <v>206</v>
      </c>
      <c r="X59" s="1010"/>
      <c r="Y59" s="1010"/>
      <c r="Z59" s="1010"/>
    </row>
    <row r="60" spans="2:26">
      <c r="H60"/>
    </row>
  </sheetData>
  <mergeCells count="13">
    <mergeCell ref="O4:O5"/>
    <mergeCell ref="P4:P5"/>
    <mergeCell ref="N4:N5"/>
    <mergeCell ref="B1:P1"/>
    <mergeCell ref="B4:B5"/>
    <mergeCell ref="G4:G5"/>
    <mergeCell ref="H4:H5"/>
    <mergeCell ref="I4:I5"/>
    <mergeCell ref="C4:F4"/>
    <mergeCell ref="J4:J5"/>
    <mergeCell ref="K4:K5"/>
    <mergeCell ref="L4:L5"/>
    <mergeCell ref="M4:M5"/>
  </mergeCells>
  <printOptions horizontalCentered="1"/>
  <pageMargins left="0.19685039370078741" right="0.19685039370078741" top="0.59055118110236227" bottom="0.78740157480314965" header="0.19685039370078741" footer="0.19685039370078741"/>
  <pageSetup paperSize="9" scale="6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02">
    <tabColor rgb="FFE60000"/>
    <pageSetUpPr fitToPage="1"/>
  </sheetPr>
  <dimension ref="A1:M35"/>
  <sheetViews>
    <sheetView rightToLeft="1" topLeftCell="A4" workbookViewId="0">
      <selection activeCell="F19" sqref="F19"/>
    </sheetView>
  </sheetViews>
  <sheetFormatPr defaultRowHeight="21"/>
  <cols>
    <col min="1" max="1" width="5" style="154" customWidth="1"/>
    <col min="2" max="2" width="85.28515625" style="154" customWidth="1"/>
    <col min="3" max="5" width="13.5703125" style="154" customWidth="1"/>
    <col min="6" max="6" width="10.5703125" style="154" customWidth="1"/>
    <col min="7" max="245" width="9" style="154"/>
    <col min="246" max="246" width="7.140625" style="154" customWidth="1"/>
    <col min="247" max="247" width="5" style="154" customWidth="1"/>
    <col min="248" max="248" width="35.140625" style="154" customWidth="1"/>
    <col min="249" max="250" width="20.140625" style="154" customWidth="1"/>
    <col min="251" max="251" width="19.140625" style="154" customWidth="1"/>
    <col min="252" max="252" width="20.140625" style="154" customWidth="1"/>
    <col min="253" max="501" width="9" style="154"/>
    <col min="502" max="502" width="7.140625" style="154" customWidth="1"/>
    <col min="503" max="503" width="5" style="154" customWidth="1"/>
    <col min="504" max="504" width="35.140625" style="154" customWidth="1"/>
    <col min="505" max="506" width="20.140625" style="154" customWidth="1"/>
    <col min="507" max="507" width="19.140625" style="154" customWidth="1"/>
    <col min="508" max="508" width="20.140625" style="154" customWidth="1"/>
    <col min="509" max="757" width="9" style="154"/>
    <col min="758" max="758" width="7.140625" style="154" customWidth="1"/>
    <col min="759" max="759" width="5" style="154" customWidth="1"/>
    <col min="760" max="760" width="35.140625" style="154" customWidth="1"/>
    <col min="761" max="762" width="20.140625" style="154" customWidth="1"/>
    <col min="763" max="763" width="19.140625" style="154" customWidth="1"/>
    <col min="764" max="764" width="20.140625" style="154" customWidth="1"/>
    <col min="765" max="1013" width="9" style="154"/>
    <col min="1014" max="1014" width="7.140625" style="154" customWidth="1"/>
    <col min="1015" max="1015" width="5" style="154" customWidth="1"/>
    <col min="1016" max="1016" width="35.140625" style="154" customWidth="1"/>
    <col min="1017" max="1018" width="20.140625" style="154" customWidth="1"/>
    <col min="1019" max="1019" width="19.140625" style="154" customWidth="1"/>
    <col min="1020" max="1020" width="20.140625" style="154" customWidth="1"/>
    <col min="1021" max="1269" width="9" style="154"/>
    <col min="1270" max="1270" width="7.140625" style="154" customWidth="1"/>
    <col min="1271" max="1271" width="5" style="154" customWidth="1"/>
    <col min="1272" max="1272" width="35.140625" style="154" customWidth="1"/>
    <col min="1273" max="1274" width="20.140625" style="154" customWidth="1"/>
    <col min="1275" max="1275" width="19.140625" style="154" customWidth="1"/>
    <col min="1276" max="1276" width="20.140625" style="154" customWidth="1"/>
    <col min="1277" max="1525" width="9" style="154"/>
    <col min="1526" max="1526" width="7.140625" style="154" customWidth="1"/>
    <col min="1527" max="1527" width="5" style="154" customWidth="1"/>
    <col min="1528" max="1528" width="35.140625" style="154" customWidth="1"/>
    <col min="1529" max="1530" width="20.140625" style="154" customWidth="1"/>
    <col min="1531" max="1531" width="19.140625" style="154" customWidth="1"/>
    <col min="1532" max="1532" width="20.140625" style="154" customWidth="1"/>
    <col min="1533" max="1781" width="9" style="154"/>
    <col min="1782" max="1782" width="7.140625" style="154" customWidth="1"/>
    <col min="1783" max="1783" width="5" style="154" customWidth="1"/>
    <col min="1784" max="1784" width="35.140625" style="154" customWidth="1"/>
    <col min="1785" max="1786" width="20.140625" style="154" customWidth="1"/>
    <col min="1787" max="1787" width="19.140625" style="154" customWidth="1"/>
    <col min="1788" max="1788" width="20.140625" style="154" customWidth="1"/>
    <col min="1789" max="2037" width="9" style="154"/>
    <col min="2038" max="2038" width="7.140625" style="154" customWidth="1"/>
    <col min="2039" max="2039" width="5" style="154" customWidth="1"/>
    <col min="2040" max="2040" width="35.140625" style="154" customWidth="1"/>
    <col min="2041" max="2042" width="20.140625" style="154" customWidth="1"/>
    <col min="2043" max="2043" width="19.140625" style="154" customWidth="1"/>
    <col min="2044" max="2044" width="20.140625" style="154" customWidth="1"/>
    <col min="2045" max="2293" width="9" style="154"/>
    <col min="2294" max="2294" width="7.140625" style="154" customWidth="1"/>
    <col min="2295" max="2295" width="5" style="154" customWidth="1"/>
    <col min="2296" max="2296" width="35.140625" style="154" customWidth="1"/>
    <col min="2297" max="2298" width="20.140625" style="154" customWidth="1"/>
    <col min="2299" max="2299" width="19.140625" style="154" customWidth="1"/>
    <col min="2300" max="2300" width="20.140625" style="154" customWidth="1"/>
    <col min="2301" max="2549" width="9" style="154"/>
    <col min="2550" max="2550" width="7.140625" style="154" customWidth="1"/>
    <col min="2551" max="2551" width="5" style="154" customWidth="1"/>
    <col min="2552" max="2552" width="35.140625" style="154" customWidth="1"/>
    <col min="2553" max="2554" width="20.140625" style="154" customWidth="1"/>
    <col min="2555" max="2555" width="19.140625" style="154" customWidth="1"/>
    <col min="2556" max="2556" width="20.140625" style="154" customWidth="1"/>
    <col min="2557" max="2805" width="9" style="154"/>
    <col min="2806" max="2806" width="7.140625" style="154" customWidth="1"/>
    <col min="2807" max="2807" width="5" style="154" customWidth="1"/>
    <col min="2808" max="2808" width="35.140625" style="154" customWidth="1"/>
    <col min="2809" max="2810" width="20.140625" style="154" customWidth="1"/>
    <col min="2811" max="2811" width="19.140625" style="154" customWidth="1"/>
    <col min="2812" max="2812" width="20.140625" style="154" customWidth="1"/>
    <col min="2813" max="3061" width="9" style="154"/>
    <col min="3062" max="3062" width="7.140625" style="154" customWidth="1"/>
    <col min="3063" max="3063" width="5" style="154" customWidth="1"/>
    <col min="3064" max="3064" width="35.140625" style="154" customWidth="1"/>
    <col min="3065" max="3066" width="20.140625" style="154" customWidth="1"/>
    <col min="3067" max="3067" width="19.140625" style="154" customWidth="1"/>
    <col min="3068" max="3068" width="20.140625" style="154" customWidth="1"/>
    <col min="3069" max="3317" width="9" style="154"/>
    <col min="3318" max="3318" width="7.140625" style="154" customWidth="1"/>
    <col min="3319" max="3319" width="5" style="154" customWidth="1"/>
    <col min="3320" max="3320" width="35.140625" style="154" customWidth="1"/>
    <col min="3321" max="3322" width="20.140625" style="154" customWidth="1"/>
    <col min="3323" max="3323" width="19.140625" style="154" customWidth="1"/>
    <col min="3324" max="3324" width="20.140625" style="154" customWidth="1"/>
    <col min="3325" max="3573" width="9" style="154"/>
    <col min="3574" max="3574" width="7.140625" style="154" customWidth="1"/>
    <col min="3575" max="3575" width="5" style="154" customWidth="1"/>
    <col min="3576" max="3576" width="35.140625" style="154" customWidth="1"/>
    <col min="3577" max="3578" width="20.140625" style="154" customWidth="1"/>
    <col min="3579" max="3579" width="19.140625" style="154" customWidth="1"/>
    <col min="3580" max="3580" width="20.140625" style="154" customWidth="1"/>
    <col min="3581" max="3829" width="9" style="154"/>
    <col min="3830" max="3830" width="7.140625" style="154" customWidth="1"/>
    <col min="3831" max="3831" width="5" style="154" customWidth="1"/>
    <col min="3832" max="3832" width="35.140625" style="154" customWidth="1"/>
    <col min="3833" max="3834" width="20.140625" style="154" customWidth="1"/>
    <col min="3835" max="3835" width="19.140625" style="154" customWidth="1"/>
    <col min="3836" max="3836" width="20.140625" style="154" customWidth="1"/>
    <col min="3837" max="4085" width="9" style="154"/>
    <col min="4086" max="4086" width="7.140625" style="154" customWidth="1"/>
    <col min="4087" max="4087" width="5" style="154" customWidth="1"/>
    <col min="4088" max="4088" width="35.140625" style="154" customWidth="1"/>
    <col min="4089" max="4090" width="20.140625" style="154" customWidth="1"/>
    <col min="4091" max="4091" width="19.140625" style="154" customWidth="1"/>
    <col min="4092" max="4092" width="20.140625" style="154" customWidth="1"/>
    <col min="4093" max="4341" width="9" style="154"/>
    <col min="4342" max="4342" width="7.140625" style="154" customWidth="1"/>
    <col min="4343" max="4343" width="5" style="154" customWidth="1"/>
    <col min="4344" max="4344" width="35.140625" style="154" customWidth="1"/>
    <col min="4345" max="4346" width="20.140625" style="154" customWidth="1"/>
    <col min="4347" max="4347" width="19.140625" style="154" customWidth="1"/>
    <col min="4348" max="4348" width="20.140625" style="154" customWidth="1"/>
    <col min="4349" max="4597" width="9" style="154"/>
    <col min="4598" max="4598" width="7.140625" style="154" customWidth="1"/>
    <col min="4599" max="4599" width="5" style="154" customWidth="1"/>
    <col min="4600" max="4600" width="35.140625" style="154" customWidth="1"/>
    <col min="4601" max="4602" width="20.140625" style="154" customWidth="1"/>
    <col min="4603" max="4603" width="19.140625" style="154" customWidth="1"/>
    <col min="4604" max="4604" width="20.140625" style="154" customWidth="1"/>
    <col min="4605" max="4853" width="9" style="154"/>
    <col min="4854" max="4854" width="7.140625" style="154" customWidth="1"/>
    <col min="4855" max="4855" width="5" style="154" customWidth="1"/>
    <col min="4856" max="4856" width="35.140625" style="154" customWidth="1"/>
    <col min="4857" max="4858" width="20.140625" style="154" customWidth="1"/>
    <col min="4859" max="4859" width="19.140625" style="154" customWidth="1"/>
    <col min="4860" max="4860" width="20.140625" style="154" customWidth="1"/>
    <col min="4861" max="5109" width="9" style="154"/>
    <col min="5110" max="5110" width="7.140625" style="154" customWidth="1"/>
    <col min="5111" max="5111" width="5" style="154" customWidth="1"/>
    <col min="5112" max="5112" width="35.140625" style="154" customWidth="1"/>
    <col min="5113" max="5114" width="20.140625" style="154" customWidth="1"/>
    <col min="5115" max="5115" width="19.140625" style="154" customWidth="1"/>
    <col min="5116" max="5116" width="20.140625" style="154" customWidth="1"/>
    <col min="5117" max="5365" width="9" style="154"/>
    <col min="5366" max="5366" width="7.140625" style="154" customWidth="1"/>
    <col min="5367" max="5367" width="5" style="154" customWidth="1"/>
    <col min="5368" max="5368" width="35.140625" style="154" customWidth="1"/>
    <col min="5369" max="5370" width="20.140625" style="154" customWidth="1"/>
    <col min="5371" max="5371" width="19.140625" style="154" customWidth="1"/>
    <col min="5372" max="5372" width="20.140625" style="154" customWidth="1"/>
    <col min="5373" max="5621" width="9" style="154"/>
    <col min="5622" max="5622" width="7.140625" style="154" customWidth="1"/>
    <col min="5623" max="5623" width="5" style="154" customWidth="1"/>
    <col min="5624" max="5624" width="35.140625" style="154" customWidth="1"/>
    <col min="5625" max="5626" width="20.140625" style="154" customWidth="1"/>
    <col min="5627" max="5627" width="19.140625" style="154" customWidth="1"/>
    <col min="5628" max="5628" width="20.140625" style="154" customWidth="1"/>
    <col min="5629" max="5877" width="9" style="154"/>
    <col min="5878" max="5878" width="7.140625" style="154" customWidth="1"/>
    <col min="5879" max="5879" width="5" style="154" customWidth="1"/>
    <col min="5880" max="5880" width="35.140625" style="154" customWidth="1"/>
    <col min="5881" max="5882" width="20.140625" style="154" customWidth="1"/>
    <col min="5883" max="5883" width="19.140625" style="154" customWidth="1"/>
    <col min="5884" max="5884" width="20.140625" style="154" customWidth="1"/>
    <col min="5885" max="6133" width="9" style="154"/>
    <col min="6134" max="6134" width="7.140625" style="154" customWidth="1"/>
    <col min="6135" max="6135" width="5" style="154" customWidth="1"/>
    <col min="6136" max="6136" width="35.140625" style="154" customWidth="1"/>
    <col min="6137" max="6138" width="20.140625" style="154" customWidth="1"/>
    <col min="6139" max="6139" width="19.140625" style="154" customWidth="1"/>
    <col min="6140" max="6140" width="20.140625" style="154" customWidth="1"/>
    <col min="6141" max="6389" width="9" style="154"/>
    <col min="6390" max="6390" width="7.140625" style="154" customWidth="1"/>
    <col min="6391" max="6391" width="5" style="154" customWidth="1"/>
    <col min="6392" max="6392" width="35.140625" style="154" customWidth="1"/>
    <col min="6393" max="6394" width="20.140625" style="154" customWidth="1"/>
    <col min="6395" max="6395" width="19.140625" style="154" customWidth="1"/>
    <col min="6396" max="6396" width="20.140625" style="154" customWidth="1"/>
    <col min="6397" max="6645" width="9" style="154"/>
    <col min="6646" max="6646" width="7.140625" style="154" customWidth="1"/>
    <col min="6647" max="6647" width="5" style="154" customWidth="1"/>
    <col min="6648" max="6648" width="35.140625" style="154" customWidth="1"/>
    <col min="6649" max="6650" width="20.140625" style="154" customWidth="1"/>
    <col min="6651" max="6651" width="19.140625" style="154" customWidth="1"/>
    <col min="6652" max="6652" width="20.140625" style="154" customWidth="1"/>
    <col min="6653" max="6901" width="9" style="154"/>
    <col min="6902" max="6902" width="7.140625" style="154" customWidth="1"/>
    <col min="6903" max="6903" width="5" style="154" customWidth="1"/>
    <col min="6904" max="6904" width="35.140625" style="154" customWidth="1"/>
    <col min="6905" max="6906" width="20.140625" style="154" customWidth="1"/>
    <col min="6907" max="6907" width="19.140625" style="154" customWidth="1"/>
    <col min="6908" max="6908" width="20.140625" style="154" customWidth="1"/>
    <col min="6909" max="7157" width="9" style="154"/>
    <col min="7158" max="7158" width="7.140625" style="154" customWidth="1"/>
    <col min="7159" max="7159" width="5" style="154" customWidth="1"/>
    <col min="7160" max="7160" width="35.140625" style="154" customWidth="1"/>
    <col min="7161" max="7162" width="20.140625" style="154" customWidth="1"/>
    <col min="7163" max="7163" width="19.140625" style="154" customWidth="1"/>
    <col min="7164" max="7164" width="20.140625" style="154" customWidth="1"/>
    <col min="7165" max="7413" width="9" style="154"/>
    <col min="7414" max="7414" width="7.140625" style="154" customWidth="1"/>
    <col min="7415" max="7415" width="5" style="154" customWidth="1"/>
    <col min="7416" max="7416" width="35.140625" style="154" customWidth="1"/>
    <col min="7417" max="7418" width="20.140625" style="154" customWidth="1"/>
    <col min="7419" max="7419" width="19.140625" style="154" customWidth="1"/>
    <col min="7420" max="7420" width="20.140625" style="154" customWidth="1"/>
    <col min="7421" max="7669" width="9" style="154"/>
    <col min="7670" max="7670" width="7.140625" style="154" customWidth="1"/>
    <col min="7671" max="7671" width="5" style="154" customWidth="1"/>
    <col min="7672" max="7672" width="35.140625" style="154" customWidth="1"/>
    <col min="7673" max="7674" width="20.140625" style="154" customWidth="1"/>
    <col min="7675" max="7675" width="19.140625" style="154" customWidth="1"/>
    <col min="7676" max="7676" width="20.140625" style="154" customWidth="1"/>
    <col min="7677" max="7925" width="9" style="154"/>
    <col min="7926" max="7926" width="7.140625" style="154" customWidth="1"/>
    <col min="7927" max="7927" width="5" style="154" customWidth="1"/>
    <col min="7928" max="7928" width="35.140625" style="154" customWidth="1"/>
    <col min="7929" max="7930" width="20.140625" style="154" customWidth="1"/>
    <col min="7931" max="7931" width="19.140625" style="154" customWidth="1"/>
    <col min="7932" max="7932" width="20.140625" style="154" customWidth="1"/>
    <col min="7933" max="8181" width="9" style="154"/>
    <col min="8182" max="8182" width="7.140625" style="154" customWidth="1"/>
    <col min="8183" max="8183" width="5" style="154" customWidth="1"/>
    <col min="8184" max="8184" width="35.140625" style="154" customWidth="1"/>
    <col min="8185" max="8186" width="20.140625" style="154" customWidth="1"/>
    <col min="8187" max="8187" width="19.140625" style="154" customWidth="1"/>
    <col min="8188" max="8188" width="20.140625" style="154" customWidth="1"/>
    <col min="8189" max="8437" width="9" style="154"/>
    <col min="8438" max="8438" width="7.140625" style="154" customWidth="1"/>
    <col min="8439" max="8439" width="5" style="154" customWidth="1"/>
    <col min="8440" max="8440" width="35.140625" style="154" customWidth="1"/>
    <col min="8441" max="8442" width="20.140625" style="154" customWidth="1"/>
    <col min="8443" max="8443" width="19.140625" style="154" customWidth="1"/>
    <col min="8444" max="8444" width="20.140625" style="154" customWidth="1"/>
    <col min="8445" max="8693" width="9" style="154"/>
    <col min="8694" max="8694" width="7.140625" style="154" customWidth="1"/>
    <col min="8695" max="8695" width="5" style="154" customWidth="1"/>
    <col min="8696" max="8696" width="35.140625" style="154" customWidth="1"/>
    <col min="8697" max="8698" width="20.140625" style="154" customWidth="1"/>
    <col min="8699" max="8699" width="19.140625" style="154" customWidth="1"/>
    <col min="8700" max="8700" width="20.140625" style="154" customWidth="1"/>
    <col min="8701" max="8949" width="9" style="154"/>
    <col min="8950" max="8950" width="7.140625" style="154" customWidth="1"/>
    <col min="8951" max="8951" width="5" style="154" customWidth="1"/>
    <col min="8952" max="8952" width="35.140625" style="154" customWidth="1"/>
    <col min="8953" max="8954" width="20.140625" style="154" customWidth="1"/>
    <col min="8955" max="8955" width="19.140625" style="154" customWidth="1"/>
    <col min="8956" max="8956" width="20.140625" style="154" customWidth="1"/>
    <col min="8957" max="9205" width="9" style="154"/>
    <col min="9206" max="9206" width="7.140625" style="154" customWidth="1"/>
    <col min="9207" max="9207" width="5" style="154" customWidth="1"/>
    <col min="9208" max="9208" width="35.140625" style="154" customWidth="1"/>
    <col min="9209" max="9210" width="20.140625" style="154" customWidth="1"/>
    <col min="9211" max="9211" width="19.140625" style="154" customWidth="1"/>
    <col min="9212" max="9212" width="20.140625" style="154" customWidth="1"/>
    <col min="9213" max="9461" width="9" style="154"/>
    <col min="9462" max="9462" width="7.140625" style="154" customWidth="1"/>
    <col min="9463" max="9463" width="5" style="154" customWidth="1"/>
    <col min="9464" max="9464" width="35.140625" style="154" customWidth="1"/>
    <col min="9465" max="9466" width="20.140625" style="154" customWidth="1"/>
    <col min="9467" max="9467" width="19.140625" style="154" customWidth="1"/>
    <col min="9468" max="9468" width="20.140625" style="154" customWidth="1"/>
    <col min="9469" max="9717" width="9" style="154"/>
    <col min="9718" max="9718" width="7.140625" style="154" customWidth="1"/>
    <col min="9719" max="9719" width="5" style="154" customWidth="1"/>
    <col min="9720" max="9720" width="35.140625" style="154" customWidth="1"/>
    <col min="9721" max="9722" width="20.140625" style="154" customWidth="1"/>
    <col min="9723" max="9723" width="19.140625" style="154" customWidth="1"/>
    <col min="9724" max="9724" width="20.140625" style="154" customWidth="1"/>
    <col min="9725" max="9973" width="9" style="154"/>
    <col min="9974" max="9974" width="7.140625" style="154" customWidth="1"/>
    <col min="9975" max="9975" width="5" style="154" customWidth="1"/>
    <col min="9976" max="9976" width="35.140625" style="154" customWidth="1"/>
    <col min="9977" max="9978" width="20.140625" style="154" customWidth="1"/>
    <col min="9979" max="9979" width="19.140625" style="154" customWidth="1"/>
    <col min="9980" max="9980" width="20.140625" style="154" customWidth="1"/>
    <col min="9981" max="10229" width="9" style="154"/>
    <col min="10230" max="10230" width="7.140625" style="154" customWidth="1"/>
    <col min="10231" max="10231" width="5" style="154" customWidth="1"/>
    <col min="10232" max="10232" width="35.140625" style="154" customWidth="1"/>
    <col min="10233" max="10234" width="20.140625" style="154" customWidth="1"/>
    <col min="10235" max="10235" width="19.140625" style="154" customWidth="1"/>
    <col min="10236" max="10236" width="20.140625" style="154" customWidth="1"/>
    <col min="10237" max="10485" width="9" style="154"/>
    <col min="10486" max="10486" width="7.140625" style="154" customWidth="1"/>
    <col min="10487" max="10487" width="5" style="154" customWidth="1"/>
    <col min="10488" max="10488" width="35.140625" style="154" customWidth="1"/>
    <col min="10489" max="10490" width="20.140625" style="154" customWidth="1"/>
    <col min="10491" max="10491" width="19.140625" style="154" customWidth="1"/>
    <col min="10492" max="10492" width="20.140625" style="154" customWidth="1"/>
    <col min="10493" max="10741" width="9" style="154"/>
    <col min="10742" max="10742" width="7.140625" style="154" customWidth="1"/>
    <col min="10743" max="10743" width="5" style="154" customWidth="1"/>
    <col min="10744" max="10744" width="35.140625" style="154" customWidth="1"/>
    <col min="10745" max="10746" width="20.140625" style="154" customWidth="1"/>
    <col min="10747" max="10747" width="19.140625" style="154" customWidth="1"/>
    <col min="10748" max="10748" width="20.140625" style="154" customWidth="1"/>
    <col min="10749" max="10997" width="9" style="154"/>
    <col min="10998" max="10998" width="7.140625" style="154" customWidth="1"/>
    <col min="10999" max="10999" width="5" style="154" customWidth="1"/>
    <col min="11000" max="11000" width="35.140625" style="154" customWidth="1"/>
    <col min="11001" max="11002" width="20.140625" style="154" customWidth="1"/>
    <col min="11003" max="11003" width="19.140625" style="154" customWidth="1"/>
    <col min="11004" max="11004" width="20.140625" style="154" customWidth="1"/>
    <col min="11005" max="11253" width="9" style="154"/>
    <col min="11254" max="11254" width="7.140625" style="154" customWidth="1"/>
    <col min="11255" max="11255" width="5" style="154" customWidth="1"/>
    <col min="11256" max="11256" width="35.140625" style="154" customWidth="1"/>
    <col min="11257" max="11258" width="20.140625" style="154" customWidth="1"/>
    <col min="11259" max="11259" width="19.140625" style="154" customWidth="1"/>
    <col min="11260" max="11260" width="20.140625" style="154" customWidth="1"/>
    <col min="11261" max="11509" width="9" style="154"/>
    <col min="11510" max="11510" width="7.140625" style="154" customWidth="1"/>
    <col min="11511" max="11511" width="5" style="154" customWidth="1"/>
    <col min="11512" max="11512" width="35.140625" style="154" customWidth="1"/>
    <col min="11513" max="11514" width="20.140625" style="154" customWidth="1"/>
    <col min="11515" max="11515" width="19.140625" style="154" customWidth="1"/>
    <col min="11516" max="11516" width="20.140625" style="154" customWidth="1"/>
    <col min="11517" max="11765" width="9" style="154"/>
    <col min="11766" max="11766" width="7.140625" style="154" customWidth="1"/>
    <col min="11767" max="11767" width="5" style="154" customWidth="1"/>
    <col min="11768" max="11768" width="35.140625" style="154" customWidth="1"/>
    <col min="11769" max="11770" width="20.140625" style="154" customWidth="1"/>
    <col min="11771" max="11771" width="19.140625" style="154" customWidth="1"/>
    <col min="11772" max="11772" width="20.140625" style="154" customWidth="1"/>
    <col min="11773" max="12021" width="9" style="154"/>
    <col min="12022" max="12022" width="7.140625" style="154" customWidth="1"/>
    <col min="12023" max="12023" width="5" style="154" customWidth="1"/>
    <col min="12024" max="12024" width="35.140625" style="154" customWidth="1"/>
    <col min="12025" max="12026" width="20.140625" style="154" customWidth="1"/>
    <col min="12027" max="12027" width="19.140625" style="154" customWidth="1"/>
    <col min="12028" max="12028" width="20.140625" style="154" customWidth="1"/>
    <col min="12029" max="12277" width="9" style="154"/>
    <col min="12278" max="12278" width="7.140625" style="154" customWidth="1"/>
    <col min="12279" max="12279" width="5" style="154" customWidth="1"/>
    <col min="12280" max="12280" width="35.140625" style="154" customWidth="1"/>
    <col min="12281" max="12282" width="20.140625" style="154" customWidth="1"/>
    <col min="12283" max="12283" width="19.140625" style="154" customWidth="1"/>
    <col min="12284" max="12284" width="20.140625" style="154" customWidth="1"/>
    <col min="12285" max="12533" width="9" style="154"/>
    <col min="12534" max="12534" width="7.140625" style="154" customWidth="1"/>
    <col min="12535" max="12535" width="5" style="154" customWidth="1"/>
    <col min="12536" max="12536" width="35.140625" style="154" customWidth="1"/>
    <col min="12537" max="12538" width="20.140625" style="154" customWidth="1"/>
    <col min="12539" max="12539" width="19.140625" style="154" customWidth="1"/>
    <col min="12540" max="12540" width="20.140625" style="154" customWidth="1"/>
    <col min="12541" max="12789" width="9" style="154"/>
    <col min="12790" max="12790" width="7.140625" style="154" customWidth="1"/>
    <col min="12791" max="12791" width="5" style="154" customWidth="1"/>
    <col min="12792" max="12792" width="35.140625" style="154" customWidth="1"/>
    <col min="12793" max="12794" width="20.140625" style="154" customWidth="1"/>
    <col min="12795" max="12795" width="19.140625" style="154" customWidth="1"/>
    <col min="12796" max="12796" width="20.140625" style="154" customWidth="1"/>
    <col min="12797" max="13045" width="9" style="154"/>
    <col min="13046" max="13046" width="7.140625" style="154" customWidth="1"/>
    <col min="13047" max="13047" width="5" style="154" customWidth="1"/>
    <col min="13048" max="13048" width="35.140625" style="154" customWidth="1"/>
    <col min="13049" max="13050" width="20.140625" style="154" customWidth="1"/>
    <col min="13051" max="13051" width="19.140625" style="154" customWidth="1"/>
    <col min="13052" max="13052" width="20.140625" style="154" customWidth="1"/>
    <col min="13053" max="13301" width="9" style="154"/>
    <col min="13302" max="13302" width="7.140625" style="154" customWidth="1"/>
    <col min="13303" max="13303" width="5" style="154" customWidth="1"/>
    <col min="13304" max="13304" width="35.140625" style="154" customWidth="1"/>
    <col min="13305" max="13306" width="20.140625" style="154" customWidth="1"/>
    <col min="13307" max="13307" width="19.140625" style="154" customWidth="1"/>
    <col min="13308" max="13308" width="20.140625" style="154" customWidth="1"/>
    <col min="13309" max="13557" width="9" style="154"/>
    <col min="13558" max="13558" width="7.140625" style="154" customWidth="1"/>
    <col min="13559" max="13559" width="5" style="154" customWidth="1"/>
    <col min="13560" max="13560" width="35.140625" style="154" customWidth="1"/>
    <col min="13561" max="13562" width="20.140625" style="154" customWidth="1"/>
    <col min="13563" max="13563" width="19.140625" style="154" customWidth="1"/>
    <col min="13564" max="13564" width="20.140625" style="154" customWidth="1"/>
    <col min="13565" max="13813" width="9" style="154"/>
    <col min="13814" max="13814" width="7.140625" style="154" customWidth="1"/>
    <col min="13815" max="13815" width="5" style="154" customWidth="1"/>
    <col min="13816" max="13816" width="35.140625" style="154" customWidth="1"/>
    <col min="13817" max="13818" width="20.140625" style="154" customWidth="1"/>
    <col min="13819" max="13819" width="19.140625" style="154" customWidth="1"/>
    <col min="13820" max="13820" width="20.140625" style="154" customWidth="1"/>
    <col min="13821" max="14069" width="9" style="154"/>
    <col min="14070" max="14070" width="7.140625" style="154" customWidth="1"/>
    <col min="14071" max="14071" width="5" style="154" customWidth="1"/>
    <col min="14072" max="14072" width="35.140625" style="154" customWidth="1"/>
    <col min="14073" max="14074" width="20.140625" style="154" customWidth="1"/>
    <col min="14075" max="14075" width="19.140625" style="154" customWidth="1"/>
    <col min="14076" max="14076" width="20.140625" style="154" customWidth="1"/>
    <col min="14077" max="14325" width="9" style="154"/>
    <col min="14326" max="14326" width="7.140625" style="154" customWidth="1"/>
    <col min="14327" max="14327" width="5" style="154" customWidth="1"/>
    <col min="14328" max="14328" width="35.140625" style="154" customWidth="1"/>
    <col min="14329" max="14330" width="20.140625" style="154" customWidth="1"/>
    <col min="14331" max="14331" width="19.140625" style="154" customWidth="1"/>
    <col min="14332" max="14332" width="20.140625" style="154" customWidth="1"/>
    <col min="14333" max="14581" width="9" style="154"/>
    <col min="14582" max="14582" width="7.140625" style="154" customWidth="1"/>
    <col min="14583" max="14583" width="5" style="154" customWidth="1"/>
    <col min="14584" max="14584" width="35.140625" style="154" customWidth="1"/>
    <col min="14585" max="14586" width="20.140625" style="154" customWidth="1"/>
    <col min="14587" max="14587" width="19.140625" style="154" customWidth="1"/>
    <col min="14588" max="14588" width="20.140625" style="154" customWidth="1"/>
    <col min="14589" max="14837" width="9" style="154"/>
    <col min="14838" max="14838" width="7.140625" style="154" customWidth="1"/>
    <col min="14839" max="14839" width="5" style="154" customWidth="1"/>
    <col min="14840" max="14840" width="35.140625" style="154" customWidth="1"/>
    <col min="14841" max="14842" width="20.140625" style="154" customWidth="1"/>
    <col min="14843" max="14843" width="19.140625" style="154" customWidth="1"/>
    <col min="14844" max="14844" width="20.140625" style="154" customWidth="1"/>
    <col min="14845" max="15093" width="9" style="154"/>
    <col min="15094" max="15094" width="7.140625" style="154" customWidth="1"/>
    <col min="15095" max="15095" width="5" style="154" customWidth="1"/>
    <col min="15096" max="15096" width="35.140625" style="154" customWidth="1"/>
    <col min="15097" max="15098" width="20.140625" style="154" customWidth="1"/>
    <col min="15099" max="15099" width="19.140625" style="154" customWidth="1"/>
    <col min="15100" max="15100" width="20.140625" style="154" customWidth="1"/>
    <col min="15101" max="15349" width="9" style="154"/>
    <col min="15350" max="15350" width="7.140625" style="154" customWidth="1"/>
    <col min="15351" max="15351" width="5" style="154" customWidth="1"/>
    <col min="15352" max="15352" width="35.140625" style="154" customWidth="1"/>
    <col min="15353" max="15354" width="20.140625" style="154" customWidth="1"/>
    <col min="15355" max="15355" width="19.140625" style="154" customWidth="1"/>
    <col min="15356" max="15356" width="20.140625" style="154" customWidth="1"/>
    <col min="15357" max="15605" width="9" style="154"/>
    <col min="15606" max="15606" width="7.140625" style="154" customWidth="1"/>
    <col min="15607" max="15607" width="5" style="154" customWidth="1"/>
    <col min="15608" max="15608" width="35.140625" style="154" customWidth="1"/>
    <col min="15609" max="15610" width="20.140625" style="154" customWidth="1"/>
    <col min="15611" max="15611" width="19.140625" style="154" customWidth="1"/>
    <col min="15612" max="15612" width="20.140625" style="154" customWidth="1"/>
    <col min="15613" max="15861" width="9" style="154"/>
    <col min="15862" max="15862" width="7.140625" style="154" customWidth="1"/>
    <col min="15863" max="15863" width="5" style="154" customWidth="1"/>
    <col min="15864" max="15864" width="35.140625" style="154" customWidth="1"/>
    <col min="15865" max="15866" width="20.140625" style="154" customWidth="1"/>
    <col min="15867" max="15867" width="19.140625" style="154" customWidth="1"/>
    <col min="15868" max="15868" width="20.140625" style="154" customWidth="1"/>
    <col min="15869" max="16117" width="9" style="154"/>
    <col min="16118" max="16118" width="7.140625" style="154" customWidth="1"/>
    <col min="16119" max="16119" width="5" style="154" customWidth="1"/>
    <col min="16120" max="16120" width="35.140625" style="154" customWidth="1"/>
    <col min="16121" max="16122" width="20.140625" style="154" customWidth="1"/>
    <col min="16123" max="16123" width="19.140625" style="154" customWidth="1"/>
    <col min="16124" max="16124" width="20.140625" style="154" customWidth="1"/>
    <col min="16125" max="16384" width="9" style="154"/>
  </cols>
  <sheetData>
    <row r="1" spans="1:13" s="52" customFormat="1" ht="26.25" customHeight="1">
      <c r="A1" s="2685" t="str">
        <f>روکش!D4</f>
        <v>انبارهای عمومی و خدمات گمرکی ایران</v>
      </c>
      <c r="B1" s="2685"/>
      <c r="C1" s="2685"/>
      <c r="D1" s="2685"/>
      <c r="E1" s="2685"/>
      <c r="F1" s="2685"/>
      <c r="G1" s="54"/>
      <c r="H1" s="54"/>
      <c r="I1" s="54"/>
      <c r="J1" s="54"/>
      <c r="K1" s="54"/>
      <c r="L1" s="54"/>
      <c r="M1" s="54"/>
    </row>
    <row r="2" spans="1:13" s="5" customFormat="1" ht="28.5" customHeight="1">
      <c r="A2" s="1206" t="str">
        <f>"گزارش هزینه‌های روابط عمومی در دوره " &amp; روکش!F9 &amp; " سال " &amp; روکش!D9</f>
        <v>گزارش هزینه‌های روابط عمومی در دوره شش ماهه سال 1405</v>
      </c>
      <c r="B2" s="1205"/>
      <c r="C2" s="1202"/>
      <c r="D2" s="1202"/>
      <c r="E2" s="1202"/>
      <c r="F2" s="1202"/>
      <c r="G2" s="62"/>
      <c r="H2" s="62"/>
      <c r="I2" s="62"/>
      <c r="J2" s="62"/>
      <c r="K2" s="62"/>
      <c r="L2" s="62"/>
      <c r="M2" s="62"/>
    </row>
    <row r="3" spans="1:13" ht="20.100000000000001" customHeight="1" thickBot="1">
      <c r="A3" s="612"/>
      <c r="B3" s="613"/>
      <c r="C3" s="613"/>
      <c r="D3" s="613"/>
      <c r="E3" s="1258"/>
      <c r="F3" s="1258" t="s">
        <v>623</v>
      </c>
    </row>
    <row r="4" spans="1:13" ht="30.75" customHeight="1">
      <c r="A4" s="3217" t="s">
        <v>72</v>
      </c>
      <c r="B4" s="3219" t="s">
        <v>309</v>
      </c>
      <c r="C4" s="2740" t="s">
        <v>193</v>
      </c>
      <c r="D4" s="3215" t="s">
        <v>779</v>
      </c>
      <c r="E4" s="3215" t="s">
        <v>675</v>
      </c>
      <c r="F4" s="3221" t="s">
        <v>780</v>
      </c>
    </row>
    <row r="5" spans="1:13" ht="59.25" customHeight="1" thickBot="1">
      <c r="A5" s="3218"/>
      <c r="B5" s="3220"/>
      <c r="C5" s="2742"/>
      <c r="D5" s="3216"/>
      <c r="E5" s="3216"/>
      <c r="F5" s="3222"/>
    </row>
    <row r="6" spans="1:13">
      <c r="A6" s="614">
        <v>1</v>
      </c>
      <c r="B6" s="1857" t="str" cm="1">
        <f t="array" aca="1" ref="B6" ca="1">IF(ROW()-ROW($A$6)&lt;'الف-ب-ج'!$L$9,INDIRECT("BudgetDB!IE"&amp;('الف-ب-ج'!$M$9+ROW()-ROW($A$6))),"")</f>
        <v>پایگاه اطلاع‌رسانی (سایت)</v>
      </c>
      <c r="C6" s="647">
        <v>0</v>
      </c>
      <c r="D6" s="1855">
        <v>0</v>
      </c>
      <c r="E6" s="155">
        <v>0</v>
      </c>
      <c r="F6" s="1853" t="str">
        <f>IFERROR(E6*100/D6,"-")</f>
        <v>-</v>
      </c>
    </row>
    <row r="7" spans="1:13">
      <c r="A7" s="615">
        <v>2</v>
      </c>
      <c r="B7" s="1858" t="str">
        <f ca="1">IF(ROW()-ROW($A$6)&lt;'الف-ب-ج'!$L$9,INDIRECT("BudgetDB!IE"&amp;('الف-ب-ج'!$M$9+ROW()-ROW($A$6))),"")</f>
        <v>سامانه‌های ارتباطاتی (پیام کوتاه، تلفن گویا، صندوق صوتی، پست الکترونیکی، رسانه‌های اجتماعی و...)</v>
      </c>
      <c r="C7" s="166">
        <v>0</v>
      </c>
      <c r="D7" s="1856">
        <v>0</v>
      </c>
      <c r="E7" s="156">
        <v>0</v>
      </c>
      <c r="F7" s="1854" t="str">
        <f t="shared" ref="F7:F17" si="0">IFERROR(E7*100/D7,"-")</f>
        <v>-</v>
      </c>
    </row>
    <row r="8" spans="1:13">
      <c r="A8" s="615">
        <v>3</v>
      </c>
      <c r="B8" s="1858" t="str">
        <f ca="1">IF(ROW()-ROW($A$6)&lt;'الف-ب-ج'!$L$9,INDIRECT("BudgetDB!IE"&amp;('الف-ب-ج'!$M$9+ROW()-ROW($A$6))),"")</f>
        <v>تابلوهای سردرب ورودی و اطلاع رسانی</v>
      </c>
      <c r="C8" s="166">
        <v>0</v>
      </c>
      <c r="D8" s="1856">
        <v>500</v>
      </c>
      <c r="E8" s="156">
        <v>0</v>
      </c>
      <c r="F8" s="1854">
        <f t="shared" si="0"/>
        <v>0</v>
      </c>
    </row>
    <row r="9" spans="1:13">
      <c r="A9" s="615">
        <v>4</v>
      </c>
      <c r="B9" s="1858" t="str">
        <f ca="1">IF(ROW()-ROW($A$6)&lt;'الف-ب-ج'!$L$9,INDIRECT("BudgetDB!IE"&amp;('الف-ب-ج'!$M$9+ROW()-ROW($A$6))),"")</f>
        <v>ارتباطات رسانه‌ای (پوشش خبری و اطلاع‌رسانی، مصاحبه، برگزاری نشست‌ها و کنفرانس‌های خبری و...)</v>
      </c>
      <c r="C9" s="166">
        <v>0</v>
      </c>
      <c r="D9" s="1856">
        <v>500</v>
      </c>
      <c r="E9" s="156">
        <v>0</v>
      </c>
      <c r="F9" s="1854">
        <f t="shared" si="0"/>
        <v>0</v>
      </c>
    </row>
    <row r="10" spans="1:13">
      <c r="A10" s="615">
        <v>5</v>
      </c>
      <c r="B10" s="1858" t="str">
        <f ca="1">IF(ROW()-ROW($A$6)&lt;'الف-ب-ج'!$L$9,INDIRECT("BudgetDB!IE"&amp;('الف-ب-ج'!$M$9+ROW()-ROW($A$6))),"")</f>
        <v>افکارسنجی و نظرسنجی</v>
      </c>
      <c r="C10" s="166">
        <v>0</v>
      </c>
      <c r="D10" s="1856">
        <v>0</v>
      </c>
      <c r="E10" s="156">
        <v>0</v>
      </c>
      <c r="F10" s="1854" t="str">
        <f t="shared" si="0"/>
        <v>-</v>
      </c>
    </row>
    <row r="11" spans="1:13">
      <c r="A11" s="615">
        <v>6</v>
      </c>
      <c r="B11" s="1858" t="str">
        <f ca="1">IF(ROW()-ROW($A$6)&lt;'الف-ب-ج'!$L$9,INDIRECT("BudgetDB!IE"&amp;('الف-ب-ج'!$M$9+ROW()-ROW($A$6))),"")</f>
        <v>چاپ اوراق مصرفی اداری (سربرگ، پاکت نامه، یادداشت اداری)</v>
      </c>
      <c r="C11" s="166">
        <v>0</v>
      </c>
      <c r="D11" s="1856">
        <v>500</v>
      </c>
      <c r="E11" s="157">
        <v>0</v>
      </c>
      <c r="F11" s="1854">
        <f t="shared" si="0"/>
        <v>0</v>
      </c>
    </row>
    <row r="12" spans="1:13">
      <c r="A12" s="615">
        <v>7</v>
      </c>
      <c r="B12" s="1858" t="str">
        <f ca="1">IF(ROW()-ROW($A$6)&lt;'الف-ب-ج'!$L$9,INDIRECT("BudgetDB!IE"&amp;('الف-ب-ج'!$M$9+ROW()-ROW($A$6))),"")</f>
        <v>چاپ آگهی مطبوعاتی (مناقصه / مزایده / فراخوان)</v>
      </c>
      <c r="C12" s="166">
        <v>1</v>
      </c>
      <c r="D12" s="1856">
        <v>1000</v>
      </c>
      <c r="E12" s="157">
        <v>40</v>
      </c>
      <c r="F12" s="1854">
        <f t="shared" si="0"/>
        <v>4</v>
      </c>
    </row>
    <row r="13" spans="1:13">
      <c r="A13" s="615">
        <v>8</v>
      </c>
      <c r="B13" s="1858" t="str">
        <f ca="1">IF(ROW()-ROW($A$6)&lt;'الف-ب-ج'!$L$9,INDIRECT("BudgetDB!IE"&amp;('الف-ب-ج'!$M$9+ROW()-ROW($A$6))),"")</f>
        <v>خرید، چاپ و انتشار کتب و مجلات</v>
      </c>
      <c r="C13" s="166">
        <v>0</v>
      </c>
      <c r="D13" s="1856">
        <v>0</v>
      </c>
      <c r="E13" s="157">
        <v>0</v>
      </c>
      <c r="F13" s="1854" t="str">
        <f t="shared" si="0"/>
        <v>-</v>
      </c>
    </row>
    <row r="14" spans="1:13">
      <c r="A14" s="615">
        <v>9</v>
      </c>
      <c r="B14" s="1858" t="str">
        <f ca="1">IF(ROW()-ROW($A$6)&lt;'الف-ب-ج'!$L$9,INDIRECT("BudgetDB!IE"&amp;('الف-ب-ج'!$M$9+ROW()-ROW($A$6))),"")</f>
        <v>اقلام تبلیغاتی مصرفی (بروشور، کاتولوگ، فولدر، ساک دستی و...)</v>
      </c>
      <c r="C14" s="166">
        <v>0</v>
      </c>
      <c r="D14" s="1856">
        <v>2000</v>
      </c>
      <c r="E14" s="157">
        <v>0</v>
      </c>
      <c r="F14" s="1854">
        <f t="shared" si="0"/>
        <v>0</v>
      </c>
    </row>
    <row r="15" spans="1:13">
      <c r="A15" s="615">
        <v>10</v>
      </c>
      <c r="B15" s="1858" t="str">
        <f ca="1">IF(ROW()-ROW($A$6)&lt;'الف-ب-ج'!$L$9,INDIRECT("BudgetDB!IE"&amp;('الف-ب-ج'!$M$9+ROW()-ROW($A$6))),"")</f>
        <v>تبلیغات در رسانه‌ها (محیطی، چاپی، الکترونیکی، فضای مجازی، رسانه ملی)</v>
      </c>
      <c r="C15" s="166">
        <v>0</v>
      </c>
      <c r="D15" s="1856">
        <v>0</v>
      </c>
      <c r="E15" s="157">
        <v>0</v>
      </c>
      <c r="F15" s="1854" t="str">
        <f t="shared" si="0"/>
        <v>-</v>
      </c>
    </row>
    <row r="16" spans="1:13">
      <c r="A16" s="615">
        <v>11</v>
      </c>
      <c r="B16" s="1858" t="str">
        <f ca="1">IF(ROW()-ROW($A$6)&lt;'الف-ب-ج'!$L$9,INDIRECT("BudgetDB!IE"&amp;('الف-ب-ج'!$M$9+ROW()-ROW($A$6))),"")</f>
        <v>انواع هداياي تبلیغاتي</v>
      </c>
      <c r="C16" s="166">
        <v>18</v>
      </c>
      <c r="D16" s="1856">
        <v>4000</v>
      </c>
      <c r="E16" s="157">
        <v>0</v>
      </c>
      <c r="F16" s="1854">
        <f t="shared" si="0"/>
        <v>0</v>
      </c>
    </row>
    <row r="17" spans="1:8">
      <c r="A17" s="615">
        <v>12</v>
      </c>
      <c r="B17" s="1858" t="str">
        <f ca="1">IF(ROW()-ROW($A$6)&lt;'الف-ب-ج'!$L$9,INDIRECT("BudgetDB!IE"&amp;('الف-ب-ج'!$M$9+ROW()-ROW($A$6))),"")</f>
        <v>تولید محتوای چندرسانه‌ای (تیزر، موشن گرافی، کلیپ، پوستر، پاکدست، و...)</v>
      </c>
      <c r="C17" s="166">
        <v>150</v>
      </c>
      <c r="D17" s="1856">
        <v>1000</v>
      </c>
      <c r="E17" s="157">
        <v>120</v>
      </c>
      <c r="F17" s="1854">
        <f t="shared" si="0"/>
        <v>12</v>
      </c>
    </row>
    <row r="18" spans="1:8">
      <c r="A18" s="615">
        <v>13</v>
      </c>
      <c r="B18" s="1858" t="str">
        <f ca="1">IF(ROW()-ROW($A$6)&lt;'الف-ب-ج'!$L$9,INDIRECT("BudgetDB!IE"&amp;('الف-ب-ج'!$M$9+ROW()-ROW($A$6))),"")</f>
        <v>حضور در همایش‌ها، نمایشگاه‌ها و جشنواره‌ها</v>
      </c>
      <c r="C18" s="166">
        <v>0</v>
      </c>
      <c r="D18" s="1856">
        <v>0</v>
      </c>
      <c r="E18" s="157">
        <v>0</v>
      </c>
      <c r="F18" s="1854" t="str">
        <f t="shared" ref="F18:F23" si="1">IFERROR(E18*100/D18,"-")</f>
        <v>-</v>
      </c>
    </row>
    <row r="19" spans="1:8">
      <c r="A19" s="615">
        <v>14</v>
      </c>
      <c r="B19" s="1858" t="str">
        <f ca="1">IF(ROW()-ROW($A$6)&lt;'الف-ب-ج'!$L$9,INDIRECT("BudgetDB!IE"&amp;('الف-ب-ج'!$M$9+ROW()-ROW($A$6))),"")</f>
        <v>برگزاری مراسم فرهنگی، مذهبی و ملی (برگزاری مراسم،آذین‌بندی، پذیرایی، هدایای مسابقات و ....)</v>
      </c>
      <c r="C19" s="166">
        <v>220</v>
      </c>
      <c r="D19" s="1856">
        <v>1500</v>
      </c>
      <c r="E19" s="157">
        <v>4753</v>
      </c>
      <c r="F19" s="1854">
        <f t="shared" si="1"/>
        <v>316.86666666666667</v>
      </c>
    </row>
    <row r="20" spans="1:8">
      <c r="A20" s="615">
        <v>15</v>
      </c>
      <c r="B20" s="1858" t="s">
        <v>3215</v>
      </c>
      <c r="C20" s="166">
        <v>0</v>
      </c>
      <c r="D20" s="1856">
        <v>0</v>
      </c>
      <c r="E20" s="157">
        <v>0</v>
      </c>
      <c r="F20" s="1854" t="str">
        <f t="shared" si="1"/>
        <v>-</v>
      </c>
    </row>
    <row r="21" spans="1:8" hidden="1">
      <c r="A21" s="615">
        <v>16</v>
      </c>
      <c r="B21" s="616">
        <v>0</v>
      </c>
      <c r="C21" s="166"/>
      <c r="D21" s="1856"/>
      <c r="E21" s="157"/>
      <c r="F21" s="1854" t="str">
        <f t="shared" si="1"/>
        <v>-</v>
      </c>
    </row>
    <row r="22" spans="1:8" hidden="1">
      <c r="A22" s="615">
        <v>17</v>
      </c>
      <c r="B22" s="616">
        <f ca="1">IF(ROW()-ROW($A$6)&lt;'الف-ب-ج'!$L$9,INDIRECT("BudgetDB!IE"&amp;('الف-ب-ج'!$M$9+ROW()-ROW($A$6))),"")</f>
        <v>0</v>
      </c>
      <c r="C22" s="166"/>
      <c r="D22" s="1856"/>
      <c r="E22" s="157"/>
      <c r="F22" s="1854" t="str">
        <f t="shared" si="1"/>
        <v>-</v>
      </c>
    </row>
    <row r="23" spans="1:8" hidden="1">
      <c r="A23" s="615">
        <v>18</v>
      </c>
      <c r="B23" s="616">
        <f ca="1">IF(ROW()-ROW($A$6)&lt;'الف-ب-ج'!$L$9,INDIRECT("BudgetDB!IE"&amp;('الف-ب-ج'!$M$9+ROW()-ROW($A$6))),"")</f>
        <v>0</v>
      </c>
      <c r="C23" s="166"/>
      <c r="D23" s="1856"/>
      <c r="E23" s="166"/>
      <c r="F23" s="1854" t="str">
        <f t="shared" si="1"/>
        <v>-</v>
      </c>
    </row>
    <row r="24" spans="1:8" ht="33" customHeight="1" thickBot="1">
      <c r="A24" s="3213" t="s">
        <v>624</v>
      </c>
      <c r="B24" s="3214"/>
      <c r="C24" s="167">
        <f>SUM(C6:C23)</f>
        <v>389</v>
      </c>
      <c r="D24" s="167">
        <f>SUM(D6:D23)</f>
        <v>11000</v>
      </c>
      <c r="E24" s="167">
        <f>SUM(E6:E23)</f>
        <v>4913</v>
      </c>
      <c r="F24" s="168">
        <f>IFERROR(E24*100/D24,"-")</f>
        <v>44.663636363636364</v>
      </c>
    </row>
    <row r="25" spans="1:8">
      <c r="A25" s="158"/>
      <c r="B25" s="158"/>
      <c r="C25" s="158"/>
      <c r="D25" s="158"/>
      <c r="E25" s="159"/>
      <c r="F25" s="159"/>
    </row>
    <row r="26" spans="1:8">
      <c r="A26" s="8"/>
      <c r="B26" s="8"/>
      <c r="C26" s="8"/>
      <c r="E26" s="8"/>
      <c r="F26" s="8"/>
      <c r="G26" s="1"/>
      <c r="H26" s="1"/>
    </row>
    <row r="27" spans="1:8" ht="23.25" customHeight="1">
      <c r="B27" s="160"/>
      <c r="C27" s="160"/>
      <c r="D27" s="160"/>
      <c r="E27" s="161"/>
      <c r="F27" s="162"/>
    </row>
    <row r="28" spans="1:8">
      <c r="A28" s="163"/>
      <c r="B28" s="26"/>
      <c r="C28" s="26"/>
      <c r="D28" s="26"/>
    </row>
    <row r="29" spans="1:8">
      <c r="A29" s="163"/>
      <c r="B29" s="26"/>
      <c r="C29" s="26"/>
      <c r="D29" s="26"/>
      <c r="E29" s="164"/>
      <c r="F29" s="164"/>
    </row>
    <row r="30" spans="1:8">
      <c r="A30" s="163"/>
      <c r="B30" s="26"/>
      <c r="C30" s="26"/>
      <c r="D30" s="26"/>
      <c r="E30" s="164"/>
      <c r="F30" s="164"/>
    </row>
    <row r="31" spans="1:8">
      <c r="A31" s="163"/>
      <c r="B31" s="26"/>
      <c r="C31" s="26"/>
      <c r="D31" s="26"/>
      <c r="E31" s="165"/>
      <c r="F31" s="165"/>
    </row>
    <row r="32" spans="1:8">
      <c r="A32" s="163"/>
      <c r="B32" s="26"/>
      <c r="C32" s="26"/>
      <c r="D32" s="26"/>
    </row>
    <row r="33" spans="1:6">
      <c r="A33" s="163"/>
      <c r="B33" s="26"/>
      <c r="C33" s="26"/>
      <c r="D33" s="26"/>
      <c r="E33" s="165"/>
      <c r="F33" s="165"/>
    </row>
    <row r="34" spans="1:6">
      <c r="A34" s="85"/>
      <c r="B34" s="26"/>
      <c r="C34" s="26"/>
      <c r="D34" s="26"/>
      <c r="E34" s="165"/>
      <c r="F34" s="165"/>
    </row>
    <row r="35" spans="1:6">
      <c r="A35" s="38"/>
      <c r="B35" s="38"/>
      <c r="C35" s="38"/>
      <c r="D35" s="38"/>
      <c r="E35" s="28"/>
      <c r="F35" s="28"/>
    </row>
  </sheetData>
  <mergeCells count="8">
    <mergeCell ref="A24:B24"/>
    <mergeCell ref="A1:F1"/>
    <mergeCell ref="C4:C5"/>
    <mergeCell ref="E4:E5"/>
    <mergeCell ref="A4:A5"/>
    <mergeCell ref="B4:B5"/>
    <mergeCell ref="F4:F5"/>
    <mergeCell ref="D4:D5"/>
  </mergeCells>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8">
    <tabColor rgb="FFE60000"/>
    <pageSetUpPr fitToPage="1"/>
  </sheetPr>
  <dimension ref="A1:Y42"/>
  <sheetViews>
    <sheetView rightToLeft="1" view="pageBreakPreview" zoomScale="80" zoomScaleNormal="80" zoomScaleSheetLayoutView="80" workbookViewId="0">
      <selection activeCell="X6" sqref="X6"/>
    </sheetView>
  </sheetViews>
  <sheetFormatPr defaultColWidth="9" defaultRowHeight="18.75"/>
  <cols>
    <col min="1" max="1" width="28.5703125" style="119" customWidth="1"/>
    <col min="2" max="2" width="89.140625" style="83" customWidth="1"/>
    <col min="3" max="3" width="17.28515625" style="83" bestFit="1" customWidth="1"/>
    <col min="4" max="8" width="3.5703125" style="1051" customWidth="1"/>
    <col min="9" max="9" width="10.5703125" style="83" customWidth="1"/>
    <col min="10" max="10" width="13.140625" style="83" customWidth="1"/>
    <col min="11" max="11" width="15.7109375" style="83" customWidth="1"/>
    <col min="12" max="13" width="10.5703125" style="83" customWidth="1"/>
    <col min="14" max="14" width="13.42578125" style="83" customWidth="1"/>
    <col min="15" max="15" width="10.5703125" style="83" customWidth="1"/>
    <col min="16" max="18" width="12.5703125" style="83" customWidth="1"/>
    <col min="19" max="19" width="16.5703125" style="83" customWidth="1"/>
    <col min="20" max="20" width="9" style="83" bestFit="1" customWidth="1"/>
    <col min="21" max="23" width="5.5703125" style="83" customWidth="1"/>
    <col min="24" max="24" width="188.5703125" style="120" bestFit="1" customWidth="1"/>
    <col min="25" max="25" width="5" style="114" customWidth="1"/>
    <col min="26" max="16384" width="9" style="83"/>
  </cols>
  <sheetData>
    <row r="1" spans="1:25" s="114" customFormat="1" ht="26.25" customHeight="1">
      <c r="A1" s="3223" t="str">
        <f>روکش!D4</f>
        <v>انبارهای عمومی و خدمات گمرکی ایران</v>
      </c>
      <c r="B1" s="3223"/>
      <c r="C1" s="3223"/>
      <c r="D1" s="3223"/>
      <c r="E1" s="3223"/>
      <c r="F1" s="3223"/>
      <c r="G1" s="3223"/>
      <c r="H1" s="3223"/>
      <c r="I1" s="3223"/>
      <c r="J1" s="3223"/>
      <c r="K1" s="3223"/>
      <c r="L1" s="3223"/>
      <c r="M1" s="3223"/>
      <c r="N1" s="3223"/>
      <c r="O1" s="3223"/>
      <c r="P1" s="3223"/>
      <c r="Q1" s="3223"/>
      <c r="R1" s="3223"/>
      <c r="S1" s="3223"/>
      <c r="T1" s="3223"/>
      <c r="U1" s="3223"/>
      <c r="V1" s="3223"/>
      <c r="W1" s="3223"/>
      <c r="X1" s="3223"/>
    </row>
    <row r="2" spans="1:25" ht="24" customHeight="1">
      <c r="A2" s="1260" t="str">
        <f>"گزارش پروژه‌های سرمایه‌ای به تفکیک شرکت‌ها و شعب تابعه در دوره " &amp; روکش!F9 &amp; " سال " &amp; روکش!D9</f>
        <v>گزارش پروژه‌های سرمایه‌ای به تفکیک شرکت‌ها و شعب تابعه در دوره شش ماهه سال 1405</v>
      </c>
      <c r="B2" s="1260"/>
      <c r="C2" s="1260"/>
      <c r="D2" s="2330"/>
      <c r="E2" s="2330"/>
      <c r="F2" s="2330"/>
      <c r="G2" s="2330"/>
      <c r="H2" s="2330"/>
      <c r="I2" s="1260"/>
      <c r="J2" s="1260"/>
      <c r="K2" s="1260"/>
      <c r="L2" s="1260"/>
      <c r="M2" s="1260"/>
      <c r="N2" s="1260"/>
      <c r="O2" s="1260"/>
      <c r="P2" s="1202"/>
      <c r="Q2" s="1202"/>
      <c r="R2" s="1202"/>
      <c r="S2" s="1202"/>
      <c r="T2" s="1202"/>
      <c r="U2" s="1260"/>
      <c r="V2" s="1260"/>
      <c r="W2" s="1260"/>
      <c r="X2" s="1260"/>
    </row>
    <row r="3" spans="1:25" ht="15.75" customHeight="1" thickBot="1">
      <c r="A3" s="906"/>
      <c r="B3" s="906"/>
      <c r="C3" s="906"/>
      <c r="D3" s="2331"/>
      <c r="E3" s="2331"/>
      <c r="F3" s="2331"/>
      <c r="G3" s="2331"/>
      <c r="H3" s="2331"/>
      <c r="I3" s="906"/>
      <c r="J3" s="906"/>
      <c r="K3" s="906"/>
      <c r="L3" s="906"/>
      <c r="M3" s="906"/>
      <c r="N3" s="906"/>
      <c r="O3" s="906"/>
      <c r="P3" s="906"/>
      <c r="Q3" s="906"/>
      <c r="R3" s="906"/>
      <c r="S3" s="906"/>
      <c r="T3" s="906"/>
      <c r="U3" s="906"/>
      <c r="V3" s="906"/>
      <c r="W3" s="906"/>
      <c r="X3" s="1259" t="s">
        <v>30</v>
      </c>
    </row>
    <row r="4" spans="1:25" ht="24" customHeight="1">
      <c r="A4" s="3230" t="s">
        <v>340</v>
      </c>
      <c r="B4" s="3232" t="s">
        <v>442</v>
      </c>
      <c r="C4" s="3239" t="s">
        <v>3198</v>
      </c>
      <c r="D4" s="3236" t="s">
        <v>3193</v>
      </c>
      <c r="E4" s="3237"/>
      <c r="F4" s="3237"/>
      <c r="G4" s="3237"/>
      <c r="H4" s="3238"/>
      <c r="I4" s="3224" t="s">
        <v>345</v>
      </c>
      <c r="J4" s="3225"/>
      <c r="K4" s="3226"/>
      <c r="L4" s="3224" t="s">
        <v>443</v>
      </c>
      <c r="M4" s="3225"/>
      <c r="N4" s="3225"/>
      <c r="O4" s="3226"/>
      <c r="P4" s="3234" t="s">
        <v>441</v>
      </c>
      <c r="Q4" s="3241" t="s">
        <v>350</v>
      </c>
      <c r="R4" s="3242"/>
      <c r="S4" s="3242"/>
      <c r="T4" s="3243"/>
      <c r="U4" s="3227" t="s">
        <v>351</v>
      </c>
      <c r="V4" s="3228"/>
      <c r="W4" s="3229"/>
      <c r="X4" s="3234" t="s">
        <v>344</v>
      </c>
      <c r="Y4" s="114" t="s">
        <v>341</v>
      </c>
    </row>
    <row r="5" spans="1:25" ht="97.5" customHeight="1" thickBot="1">
      <c r="A5" s="3231"/>
      <c r="B5" s="3233"/>
      <c r="C5" s="3240"/>
      <c r="D5" s="2326" t="s">
        <v>3194</v>
      </c>
      <c r="E5" s="2327" t="s">
        <v>3195</v>
      </c>
      <c r="F5" s="2327" t="s">
        <v>3196</v>
      </c>
      <c r="G5" s="2328" t="s">
        <v>3197</v>
      </c>
      <c r="H5" s="2329" t="s">
        <v>333</v>
      </c>
      <c r="I5" s="617" t="s">
        <v>346</v>
      </c>
      <c r="J5" s="618" t="s">
        <v>347</v>
      </c>
      <c r="K5" s="619" t="s">
        <v>348</v>
      </c>
      <c r="L5" s="620" t="s">
        <v>349</v>
      </c>
      <c r="M5" s="621" t="s">
        <v>779</v>
      </c>
      <c r="N5" s="621" t="s">
        <v>675</v>
      </c>
      <c r="O5" s="619" t="s">
        <v>1</v>
      </c>
      <c r="P5" s="3235"/>
      <c r="Q5" s="620" t="s">
        <v>349</v>
      </c>
      <c r="R5" s="621" t="s">
        <v>781</v>
      </c>
      <c r="S5" s="621" t="s">
        <v>675</v>
      </c>
      <c r="T5" s="2384" t="s">
        <v>641</v>
      </c>
      <c r="U5" s="622" t="s">
        <v>342</v>
      </c>
      <c r="V5" s="623" t="s">
        <v>310</v>
      </c>
      <c r="W5" s="624" t="s">
        <v>343</v>
      </c>
      <c r="X5" s="3235"/>
    </row>
    <row r="6" spans="1:25" ht="21">
      <c r="A6" s="118" t="s">
        <v>3200</v>
      </c>
      <c r="B6" s="118" t="s">
        <v>2377</v>
      </c>
      <c r="C6" s="118">
        <v>22140501</v>
      </c>
      <c r="D6" s="118"/>
      <c r="E6" s="118"/>
      <c r="F6" s="118" t="s">
        <v>3199</v>
      </c>
      <c r="G6" s="118"/>
      <c r="H6" s="118"/>
      <c r="I6" s="118">
        <v>6</v>
      </c>
      <c r="J6" s="118" t="s">
        <v>2114</v>
      </c>
      <c r="K6" s="118" t="s">
        <v>2115</v>
      </c>
      <c r="L6" s="1859">
        <v>0</v>
      </c>
      <c r="M6" s="1860">
        <v>100</v>
      </c>
      <c r="N6" s="1860">
        <v>0</v>
      </c>
      <c r="O6" s="1861">
        <f t="shared" ref="O6:O11" si="0">N6+L6</f>
        <v>0</v>
      </c>
      <c r="P6" s="2332">
        <v>20000</v>
      </c>
      <c r="Q6" s="1862">
        <v>0</v>
      </c>
      <c r="R6" s="2332">
        <v>0</v>
      </c>
      <c r="S6" s="1863">
        <v>0</v>
      </c>
      <c r="T6" s="2383" t="e">
        <f t="shared" ref="T6:T10" si="1">S6/R6*100</f>
        <v>#DIV/0!</v>
      </c>
      <c r="U6" s="115"/>
      <c r="V6" s="116"/>
      <c r="W6" s="117"/>
      <c r="X6" s="117" t="s">
        <v>3307</v>
      </c>
    </row>
    <row r="7" spans="1:25" ht="42">
      <c r="A7" s="3244" t="s">
        <v>2277</v>
      </c>
      <c r="B7" s="118" t="s">
        <v>2318</v>
      </c>
      <c r="C7" s="118">
        <v>22140502</v>
      </c>
      <c r="D7" s="118"/>
      <c r="E7" s="118"/>
      <c r="F7" s="118"/>
      <c r="G7" s="118" t="s">
        <v>3199</v>
      </c>
      <c r="H7" s="118"/>
      <c r="I7" s="118">
        <v>12</v>
      </c>
      <c r="J7" s="118" t="s">
        <v>2140</v>
      </c>
      <c r="K7" s="118" t="s">
        <v>2041</v>
      </c>
      <c r="L7" s="1859">
        <v>0</v>
      </c>
      <c r="M7" s="1860">
        <v>100</v>
      </c>
      <c r="N7" s="1860">
        <v>25</v>
      </c>
      <c r="O7" s="1861">
        <f t="shared" si="0"/>
        <v>25</v>
      </c>
      <c r="P7" s="2332">
        <v>110000</v>
      </c>
      <c r="Q7" s="1862">
        <v>0</v>
      </c>
      <c r="R7" s="2332">
        <v>20000</v>
      </c>
      <c r="S7" s="1863">
        <v>0</v>
      </c>
      <c r="T7" s="2383">
        <f t="shared" si="1"/>
        <v>0</v>
      </c>
      <c r="U7" s="115"/>
      <c r="V7" s="116"/>
      <c r="W7" s="117"/>
      <c r="X7" s="2490" t="s">
        <v>3224</v>
      </c>
    </row>
    <row r="8" spans="1:25" ht="42">
      <c r="A8" s="3245"/>
      <c r="B8" s="118" t="s">
        <v>2378</v>
      </c>
      <c r="C8" s="118">
        <v>22140503</v>
      </c>
      <c r="D8" s="118"/>
      <c r="E8" s="118" t="s">
        <v>3199</v>
      </c>
      <c r="F8" s="118"/>
      <c r="G8" s="118"/>
      <c r="H8" s="118"/>
      <c r="I8" s="118">
        <v>12</v>
      </c>
      <c r="J8" s="118" t="s">
        <v>2140</v>
      </c>
      <c r="K8" s="118" t="s">
        <v>2115</v>
      </c>
      <c r="L8" s="1859">
        <v>0</v>
      </c>
      <c r="M8" s="1860">
        <v>100</v>
      </c>
      <c r="N8" s="1860">
        <v>10</v>
      </c>
      <c r="O8" s="1861">
        <f t="shared" si="0"/>
        <v>10</v>
      </c>
      <c r="P8" s="2332">
        <v>25000</v>
      </c>
      <c r="Q8" s="1862">
        <v>0</v>
      </c>
      <c r="R8" s="2332">
        <v>0</v>
      </c>
      <c r="S8" s="1863">
        <v>0</v>
      </c>
      <c r="T8" s="2383" t="e">
        <f t="shared" si="1"/>
        <v>#DIV/0!</v>
      </c>
      <c r="U8" s="115"/>
      <c r="V8" s="116"/>
      <c r="W8" s="117"/>
      <c r="X8" s="2605" t="s">
        <v>3272</v>
      </c>
    </row>
    <row r="9" spans="1:25" ht="42">
      <c r="A9" s="3245"/>
      <c r="B9" s="118" t="s">
        <v>2379</v>
      </c>
      <c r="C9" s="118">
        <v>22140504</v>
      </c>
      <c r="D9" s="118"/>
      <c r="E9" s="118" t="s">
        <v>3199</v>
      </c>
      <c r="F9" s="118"/>
      <c r="G9" s="118"/>
      <c r="H9" s="118"/>
      <c r="I9" s="118">
        <v>6</v>
      </c>
      <c r="J9" s="118" t="s">
        <v>2114</v>
      </c>
      <c r="K9" s="118" t="s">
        <v>2115</v>
      </c>
      <c r="L9" s="1859">
        <v>0</v>
      </c>
      <c r="M9" s="1860">
        <v>100</v>
      </c>
      <c r="N9" s="1860">
        <v>10</v>
      </c>
      <c r="O9" s="1861">
        <f t="shared" si="0"/>
        <v>10</v>
      </c>
      <c r="P9" s="2332">
        <v>8000</v>
      </c>
      <c r="Q9" s="1862">
        <v>0</v>
      </c>
      <c r="R9" s="2332">
        <v>0</v>
      </c>
      <c r="S9" s="1863">
        <v>0</v>
      </c>
      <c r="T9" s="2383" t="e">
        <f t="shared" si="1"/>
        <v>#DIV/0!</v>
      </c>
      <c r="U9" s="115"/>
      <c r="V9" s="116"/>
      <c r="W9" s="117"/>
      <c r="X9" s="2605" t="s">
        <v>3271</v>
      </c>
    </row>
    <row r="10" spans="1:25" ht="42">
      <c r="A10" s="3245"/>
      <c r="B10" s="118" t="s">
        <v>2380</v>
      </c>
      <c r="C10" s="118">
        <v>22140505</v>
      </c>
      <c r="D10" s="118"/>
      <c r="E10" s="118" t="s">
        <v>3199</v>
      </c>
      <c r="F10" s="118"/>
      <c r="G10" s="118"/>
      <c r="H10" s="118"/>
      <c r="I10" s="118">
        <v>12</v>
      </c>
      <c r="J10" s="118" t="s">
        <v>2140</v>
      </c>
      <c r="K10" s="118" t="s">
        <v>2115</v>
      </c>
      <c r="L10" s="1859">
        <v>0</v>
      </c>
      <c r="M10" s="1860">
        <v>100</v>
      </c>
      <c r="N10" s="1860">
        <v>10</v>
      </c>
      <c r="O10" s="1861">
        <f t="shared" si="0"/>
        <v>10</v>
      </c>
      <c r="P10" s="2332">
        <v>25000</v>
      </c>
      <c r="Q10" s="1862">
        <v>0</v>
      </c>
      <c r="R10" s="2332">
        <v>0</v>
      </c>
      <c r="S10" s="1863">
        <v>0</v>
      </c>
      <c r="T10" s="2383" t="e">
        <f t="shared" si="1"/>
        <v>#DIV/0!</v>
      </c>
      <c r="U10" s="115"/>
      <c r="V10" s="116"/>
      <c r="W10" s="117"/>
      <c r="X10" s="2605" t="s">
        <v>3270</v>
      </c>
    </row>
    <row r="11" spans="1:25" ht="42">
      <c r="A11" s="3246"/>
      <c r="B11" s="118" t="s">
        <v>2381</v>
      </c>
      <c r="C11" s="118">
        <v>22140506</v>
      </c>
      <c r="D11" s="118"/>
      <c r="E11" s="118" t="s">
        <v>3199</v>
      </c>
      <c r="F11" s="118"/>
      <c r="G11" s="118"/>
      <c r="H11" s="118"/>
      <c r="I11" s="118">
        <v>12</v>
      </c>
      <c r="J11" s="118" t="s">
        <v>2140</v>
      </c>
      <c r="K11" s="118" t="s">
        <v>2115</v>
      </c>
      <c r="L11" s="1859">
        <v>0</v>
      </c>
      <c r="M11" s="1860">
        <v>100</v>
      </c>
      <c r="N11" s="1860">
        <v>10</v>
      </c>
      <c r="O11" s="1861">
        <f t="shared" si="0"/>
        <v>10</v>
      </c>
      <c r="P11" s="2332">
        <v>1000000</v>
      </c>
      <c r="Q11" s="1862">
        <v>0</v>
      </c>
      <c r="R11" s="2332">
        <v>0</v>
      </c>
      <c r="S11" s="1863">
        <v>0</v>
      </c>
      <c r="T11" s="2383" t="e">
        <f t="shared" ref="T11:T35" si="2">S11/R11*100</f>
        <v>#DIV/0!</v>
      </c>
      <c r="U11" s="115"/>
      <c r="V11" s="116"/>
      <c r="W11" s="117"/>
      <c r="X11" s="2605" t="s">
        <v>3225</v>
      </c>
    </row>
    <row r="12" spans="1:25" ht="21">
      <c r="A12" s="118" t="s">
        <v>2278</v>
      </c>
      <c r="B12" s="118" t="s">
        <v>2319</v>
      </c>
      <c r="C12" s="118">
        <v>22140507</v>
      </c>
      <c r="D12" s="118"/>
      <c r="E12" s="118"/>
      <c r="F12" s="118" t="s">
        <v>3199</v>
      </c>
      <c r="G12" s="118"/>
      <c r="H12" s="118"/>
      <c r="I12" s="118">
        <v>6</v>
      </c>
      <c r="J12" s="118" t="s">
        <v>2140</v>
      </c>
      <c r="K12" s="118" t="s">
        <v>2041</v>
      </c>
      <c r="L12" s="1859">
        <v>0</v>
      </c>
      <c r="M12" s="1860">
        <v>100</v>
      </c>
      <c r="N12" s="1860">
        <v>10</v>
      </c>
      <c r="O12" s="1861">
        <f t="shared" ref="O12:O33" si="3">N12+L12</f>
        <v>10</v>
      </c>
      <c r="P12" s="2332">
        <v>5000</v>
      </c>
      <c r="Q12" s="1862">
        <v>0</v>
      </c>
      <c r="R12" s="2332">
        <v>5000</v>
      </c>
      <c r="S12" s="1863">
        <v>0</v>
      </c>
      <c r="T12" s="2383">
        <f t="shared" si="2"/>
        <v>0</v>
      </c>
      <c r="U12" s="115"/>
      <c r="V12" s="116"/>
      <c r="W12" s="117"/>
      <c r="X12" s="117" t="s">
        <v>3237</v>
      </c>
    </row>
    <row r="13" spans="1:25" ht="42">
      <c r="A13" s="3244" t="s">
        <v>2279</v>
      </c>
      <c r="B13" s="118" t="s">
        <v>2382</v>
      </c>
      <c r="C13" s="118">
        <v>22140508</v>
      </c>
      <c r="D13" s="118"/>
      <c r="E13" s="118" t="s">
        <v>3199</v>
      </c>
      <c r="F13" s="118"/>
      <c r="G13" s="118"/>
      <c r="H13" s="118"/>
      <c r="I13" s="118">
        <v>12</v>
      </c>
      <c r="J13" s="118" t="s">
        <v>2140</v>
      </c>
      <c r="K13" s="118" t="s">
        <v>2115</v>
      </c>
      <c r="L13" s="1859">
        <v>0</v>
      </c>
      <c r="M13" s="1860">
        <v>100</v>
      </c>
      <c r="N13" s="1860">
        <v>10</v>
      </c>
      <c r="O13" s="1861">
        <f t="shared" si="3"/>
        <v>10</v>
      </c>
      <c r="P13" s="2332">
        <v>1500000</v>
      </c>
      <c r="Q13" s="1862">
        <v>0</v>
      </c>
      <c r="R13" s="2332">
        <v>0</v>
      </c>
      <c r="S13" s="1863">
        <v>0</v>
      </c>
      <c r="T13" s="2383" t="e">
        <f t="shared" si="2"/>
        <v>#DIV/0!</v>
      </c>
      <c r="U13" s="115"/>
      <c r="V13" s="116"/>
      <c r="W13" s="117"/>
      <c r="X13" s="2605" t="s">
        <v>3225</v>
      </c>
    </row>
    <row r="14" spans="1:25" ht="42">
      <c r="A14" s="3245"/>
      <c r="B14" s="118" t="s">
        <v>2383</v>
      </c>
      <c r="C14" s="118">
        <v>22140509</v>
      </c>
      <c r="D14" s="118"/>
      <c r="E14" s="118" t="s">
        <v>3199</v>
      </c>
      <c r="F14" s="118"/>
      <c r="G14" s="118"/>
      <c r="H14" s="118"/>
      <c r="I14" s="118">
        <v>6</v>
      </c>
      <c r="J14" s="118" t="s">
        <v>2114</v>
      </c>
      <c r="K14" s="118" t="s">
        <v>2115</v>
      </c>
      <c r="L14" s="1859">
        <v>0</v>
      </c>
      <c r="M14" s="1860">
        <v>100</v>
      </c>
      <c r="N14" s="1860">
        <v>10</v>
      </c>
      <c r="O14" s="1861">
        <f t="shared" si="3"/>
        <v>10</v>
      </c>
      <c r="P14" s="2332">
        <v>25000</v>
      </c>
      <c r="Q14" s="1862">
        <v>0</v>
      </c>
      <c r="R14" s="2332">
        <v>0</v>
      </c>
      <c r="S14" s="1863">
        <v>0</v>
      </c>
      <c r="T14" s="2383" t="e">
        <f t="shared" si="2"/>
        <v>#DIV/0!</v>
      </c>
      <c r="U14" s="115"/>
      <c r="V14" s="116"/>
      <c r="W14" s="117"/>
      <c r="X14" s="117" t="s">
        <v>3227</v>
      </c>
    </row>
    <row r="15" spans="1:25" ht="42">
      <c r="A15" s="3245"/>
      <c r="B15" s="118" t="s">
        <v>2384</v>
      </c>
      <c r="C15" s="118">
        <v>22140510</v>
      </c>
      <c r="D15" s="118"/>
      <c r="E15" s="118" t="s">
        <v>3199</v>
      </c>
      <c r="F15" s="118"/>
      <c r="G15" s="118"/>
      <c r="H15" s="118"/>
      <c r="I15" s="118">
        <v>6</v>
      </c>
      <c r="J15" s="118" t="s">
        <v>2114</v>
      </c>
      <c r="K15" s="118" t="s">
        <v>2115</v>
      </c>
      <c r="L15" s="1859">
        <v>0</v>
      </c>
      <c r="M15" s="1860">
        <v>100</v>
      </c>
      <c r="N15" s="1860">
        <v>10</v>
      </c>
      <c r="O15" s="1861">
        <f t="shared" si="3"/>
        <v>10</v>
      </c>
      <c r="P15" s="2332">
        <v>65000</v>
      </c>
      <c r="Q15" s="1862">
        <v>0</v>
      </c>
      <c r="R15" s="2332">
        <v>0</v>
      </c>
      <c r="S15" s="1863">
        <v>0</v>
      </c>
      <c r="T15" s="2383" t="e">
        <f t="shared" si="2"/>
        <v>#DIV/0!</v>
      </c>
      <c r="U15" s="115"/>
      <c r="V15" s="116"/>
      <c r="W15" s="117"/>
      <c r="X15" s="117" t="s">
        <v>3227</v>
      </c>
    </row>
    <row r="16" spans="1:25" ht="42">
      <c r="A16" s="3245"/>
      <c r="B16" s="118" t="s">
        <v>2385</v>
      </c>
      <c r="C16" s="118">
        <v>22140511</v>
      </c>
      <c r="D16" s="118"/>
      <c r="E16" s="118" t="s">
        <v>3199</v>
      </c>
      <c r="F16" s="118"/>
      <c r="G16" s="118"/>
      <c r="H16" s="118"/>
      <c r="I16" s="118">
        <v>6</v>
      </c>
      <c r="J16" s="118" t="s">
        <v>2114</v>
      </c>
      <c r="K16" s="118" t="s">
        <v>2115</v>
      </c>
      <c r="L16" s="1859">
        <v>0</v>
      </c>
      <c r="M16" s="1860">
        <v>100</v>
      </c>
      <c r="N16" s="1860">
        <v>10</v>
      </c>
      <c r="O16" s="1861">
        <f t="shared" si="3"/>
        <v>10</v>
      </c>
      <c r="P16" s="2332">
        <v>80000</v>
      </c>
      <c r="Q16" s="1862">
        <v>0</v>
      </c>
      <c r="R16" s="2332">
        <v>0</v>
      </c>
      <c r="S16" s="1863">
        <v>0</v>
      </c>
      <c r="T16" s="2383" t="e">
        <f t="shared" si="2"/>
        <v>#DIV/0!</v>
      </c>
      <c r="U16" s="115"/>
      <c r="V16" s="116"/>
      <c r="W16" s="117"/>
      <c r="X16" s="117" t="s">
        <v>3227</v>
      </c>
    </row>
    <row r="17" spans="1:24" ht="24.95" customHeight="1">
      <c r="A17" s="3245"/>
      <c r="B17" s="118" t="s">
        <v>2386</v>
      </c>
      <c r="C17" s="118">
        <v>22140512</v>
      </c>
      <c r="D17" s="118"/>
      <c r="E17" s="118"/>
      <c r="F17" s="118" t="s">
        <v>3199</v>
      </c>
      <c r="G17" s="118"/>
      <c r="H17" s="118"/>
      <c r="I17" s="118">
        <v>6</v>
      </c>
      <c r="J17" s="118" t="s">
        <v>2140</v>
      </c>
      <c r="K17" s="118" t="s">
        <v>2041</v>
      </c>
      <c r="L17" s="1859">
        <v>0</v>
      </c>
      <c r="M17" s="1860">
        <v>100</v>
      </c>
      <c r="N17" s="1860">
        <v>10</v>
      </c>
      <c r="O17" s="1861">
        <f t="shared" si="3"/>
        <v>10</v>
      </c>
      <c r="P17" s="2332">
        <v>10000</v>
      </c>
      <c r="Q17" s="1862">
        <v>0</v>
      </c>
      <c r="R17" s="2332">
        <v>10000</v>
      </c>
      <c r="S17" s="1863">
        <v>0</v>
      </c>
      <c r="T17" s="2383">
        <f t="shared" si="2"/>
        <v>0</v>
      </c>
      <c r="U17" s="115"/>
      <c r="V17" s="116"/>
      <c r="W17" s="117"/>
      <c r="X17" s="117" t="s">
        <v>3237</v>
      </c>
    </row>
    <row r="18" spans="1:24" ht="24.95" customHeight="1">
      <c r="A18" s="3245"/>
      <c r="B18" s="118" t="s">
        <v>2387</v>
      </c>
      <c r="C18" s="118">
        <v>22140513</v>
      </c>
      <c r="D18" s="118" t="s">
        <v>3199</v>
      </c>
      <c r="E18" s="118"/>
      <c r="F18" s="118"/>
      <c r="G18" s="118"/>
      <c r="H18" s="118"/>
      <c r="I18" s="118">
        <v>12</v>
      </c>
      <c r="J18" s="118" t="s">
        <v>2140</v>
      </c>
      <c r="K18" s="118" t="s">
        <v>2115</v>
      </c>
      <c r="L18" s="1859">
        <v>0</v>
      </c>
      <c r="M18" s="1860">
        <v>100</v>
      </c>
      <c r="N18" s="1860">
        <v>5</v>
      </c>
      <c r="O18" s="1861">
        <f t="shared" si="3"/>
        <v>5</v>
      </c>
      <c r="P18" s="2332">
        <v>700000</v>
      </c>
      <c r="Q18" s="1862">
        <v>0</v>
      </c>
      <c r="R18" s="2332">
        <v>350000</v>
      </c>
      <c r="S18" s="1863">
        <v>0</v>
      </c>
      <c r="T18" s="2383">
        <f t="shared" si="2"/>
        <v>0</v>
      </c>
      <c r="U18" s="115"/>
      <c r="V18" s="116"/>
      <c r="W18" s="117"/>
      <c r="X18" s="2606" t="s">
        <v>3228</v>
      </c>
    </row>
    <row r="19" spans="1:24" ht="24.95" customHeight="1">
      <c r="A19" s="3245"/>
      <c r="B19" s="118" t="s">
        <v>2388</v>
      </c>
      <c r="C19" s="118">
        <v>22140514</v>
      </c>
      <c r="D19" s="118" t="s">
        <v>3199</v>
      </c>
      <c r="E19" s="118"/>
      <c r="F19" s="118"/>
      <c r="G19" s="118"/>
      <c r="H19" s="118"/>
      <c r="I19" s="118">
        <v>6</v>
      </c>
      <c r="J19" s="118" t="s">
        <v>2114</v>
      </c>
      <c r="K19" s="118" t="s">
        <v>2115</v>
      </c>
      <c r="L19" s="1859">
        <v>0</v>
      </c>
      <c r="M19" s="1860">
        <v>100</v>
      </c>
      <c r="N19" s="1860">
        <v>5</v>
      </c>
      <c r="O19" s="1861">
        <f t="shared" si="3"/>
        <v>5</v>
      </c>
      <c r="P19" s="2332">
        <v>20000</v>
      </c>
      <c r="Q19" s="1862">
        <v>0</v>
      </c>
      <c r="R19" s="2332">
        <v>0</v>
      </c>
      <c r="S19" s="1863">
        <v>0</v>
      </c>
      <c r="T19" s="2383" t="e">
        <f t="shared" si="2"/>
        <v>#DIV/0!</v>
      </c>
      <c r="U19" s="115"/>
      <c r="V19" s="116"/>
      <c r="W19" s="117"/>
      <c r="X19" s="2606" t="s">
        <v>3228</v>
      </c>
    </row>
    <row r="20" spans="1:24" ht="24.95" customHeight="1">
      <c r="A20" s="3245"/>
      <c r="B20" s="118" t="s">
        <v>2321</v>
      </c>
      <c r="C20" s="118">
        <v>22140515</v>
      </c>
      <c r="D20" s="118"/>
      <c r="E20" s="118"/>
      <c r="F20" s="118"/>
      <c r="G20" s="118"/>
      <c r="H20" s="118" t="s">
        <v>3199</v>
      </c>
      <c r="I20" s="118">
        <v>9</v>
      </c>
      <c r="J20" s="118" t="s">
        <v>2043</v>
      </c>
      <c r="K20" s="118" t="s">
        <v>2115</v>
      </c>
      <c r="L20" s="1859">
        <v>0</v>
      </c>
      <c r="M20" s="1860">
        <v>100</v>
      </c>
      <c r="N20" s="1860">
        <v>5</v>
      </c>
      <c r="O20" s="1861">
        <f t="shared" si="3"/>
        <v>5</v>
      </c>
      <c r="P20" s="2332">
        <v>40000</v>
      </c>
      <c r="Q20" s="1862">
        <v>0</v>
      </c>
      <c r="R20" s="2332">
        <v>20000</v>
      </c>
      <c r="S20" s="1863">
        <v>0</v>
      </c>
      <c r="T20" s="2383">
        <f t="shared" si="2"/>
        <v>0</v>
      </c>
      <c r="U20" s="115"/>
      <c r="V20" s="116"/>
      <c r="W20" s="117"/>
      <c r="X20" s="2606" t="s">
        <v>3229</v>
      </c>
    </row>
    <row r="21" spans="1:24" ht="24.95" customHeight="1">
      <c r="A21" s="3245"/>
      <c r="B21" s="118" t="s">
        <v>2389</v>
      </c>
      <c r="C21" s="118">
        <v>22140516</v>
      </c>
      <c r="D21" s="118" t="s">
        <v>3199</v>
      </c>
      <c r="E21" s="118"/>
      <c r="F21" s="118"/>
      <c r="G21" s="118"/>
      <c r="H21" s="118"/>
      <c r="I21" s="118">
        <v>12</v>
      </c>
      <c r="J21" s="118" t="s">
        <v>2140</v>
      </c>
      <c r="K21" s="118" t="s">
        <v>2115</v>
      </c>
      <c r="L21" s="1859">
        <v>0</v>
      </c>
      <c r="M21" s="1860">
        <v>100</v>
      </c>
      <c r="N21" s="1860">
        <v>5</v>
      </c>
      <c r="O21" s="1861">
        <f t="shared" si="3"/>
        <v>5</v>
      </c>
      <c r="P21" s="2332">
        <v>120000</v>
      </c>
      <c r="Q21" s="1862">
        <v>14873</v>
      </c>
      <c r="R21" s="2332">
        <v>60000</v>
      </c>
      <c r="S21" s="1863">
        <v>0</v>
      </c>
      <c r="T21" s="2383">
        <f t="shared" si="2"/>
        <v>0</v>
      </c>
      <c r="U21" s="115"/>
      <c r="V21" s="116"/>
      <c r="W21" s="117"/>
      <c r="X21" s="2606" t="s">
        <v>3230</v>
      </c>
    </row>
    <row r="22" spans="1:24" ht="27.75" customHeight="1">
      <c r="A22" s="3246"/>
      <c r="B22" s="118" t="s">
        <v>2390</v>
      </c>
      <c r="C22" s="118">
        <v>22140517</v>
      </c>
      <c r="D22" s="118" t="s">
        <v>3199</v>
      </c>
      <c r="E22" s="118"/>
      <c r="F22" s="118"/>
      <c r="G22" s="118"/>
      <c r="H22" s="118"/>
      <c r="I22" s="118">
        <v>12</v>
      </c>
      <c r="J22" s="118" t="s">
        <v>2140</v>
      </c>
      <c r="K22" s="118" t="s">
        <v>2115</v>
      </c>
      <c r="L22" s="1859">
        <v>0</v>
      </c>
      <c r="M22" s="1860">
        <v>100</v>
      </c>
      <c r="N22" s="1860">
        <v>20</v>
      </c>
      <c r="O22" s="1861">
        <f t="shared" si="3"/>
        <v>20</v>
      </c>
      <c r="P22" s="2332">
        <v>150000</v>
      </c>
      <c r="Q22" s="2657">
        <v>23416</v>
      </c>
      <c r="R22" s="2332">
        <v>50000</v>
      </c>
      <c r="S22" s="1863">
        <v>78362</v>
      </c>
      <c r="T22" s="2383">
        <f t="shared" si="2"/>
        <v>156.72399999999999</v>
      </c>
      <c r="U22" s="115"/>
      <c r="V22" s="116"/>
      <c r="W22" s="117"/>
      <c r="X22" s="2606" t="s">
        <v>3231</v>
      </c>
    </row>
    <row r="23" spans="1:24" ht="42">
      <c r="A23" s="3244" t="s">
        <v>2280</v>
      </c>
      <c r="B23" s="118" t="s">
        <v>2391</v>
      </c>
      <c r="C23" s="118">
        <v>22140518</v>
      </c>
      <c r="D23" s="118" t="s">
        <v>3199</v>
      </c>
      <c r="E23" s="118"/>
      <c r="F23" s="118"/>
      <c r="G23" s="118"/>
      <c r="H23" s="118"/>
      <c r="I23" s="118">
        <v>12</v>
      </c>
      <c r="J23" s="118" t="s">
        <v>1283</v>
      </c>
      <c r="K23" s="118" t="s">
        <v>1284</v>
      </c>
      <c r="L23" s="1859">
        <v>0</v>
      </c>
      <c r="M23" s="1860">
        <v>100</v>
      </c>
      <c r="N23" s="1860">
        <v>98</v>
      </c>
      <c r="O23" s="1861">
        <f t="shared" si="3"/>
        <v>98</v>
      </c>
      <c r="P23" s="2332">
        <v>428687</v>
      </c>
      <c r="Q23" s="2657">
        <v>0</v>
      </c>
      <c r="R23" s="2332">
        <v>0</v>
      </c>
      <c r="S23" s="1863">
        <v>355314</v>
      </c>
      <c r="T23" s="2383" t="e">
        <f t="shared" si="2"/>
        <v>#DIV/0!</v>
      </c>
      <c r="U23" s="115"/>
      <c r="V23" s="116"/>
      <c r="W23" s="117"/>
      <c r="X23" s="2606" t="s">
        <v>3269</v>
      </c>
    </row>
    <row r="24" spans="1:24" ht="24.95" customHeight="1">
      <c r="A24" s="3245"/>
      <c r="B24" s="118" t="s">
        <v>2392</v>
      </c>
      <c r="C24" s="118">
        <v>22140519</v>
      </c>
      <c r="D24" s="118"/>
      <c r="E24" s="118"/>
      <c r="F24" s="118" t="s">
        <v>3199</v>
      </c>
      <c r="G24" s="118"/>
      <c r="H24" s="118"/>
      <c r="I24" s="118">
        <v>6</v>
      </c>
      <c r="J24" s="118" t="s">
        <v>2114</v>
      </c>
      <c r="K24" s="118" t="s">
        <v>2115</v>
      </c>
      <c r="L24" s="1859">
        <v>0</v>
      </c>
      <c r="M24" s="1860">
        <v>100</v>
      </c>
      <c r="N24" s="1860">
        <v>10</v>
      </c>
      <c r="O24" s="1861">
        <f t="shared" si="3"/>
        <v>10</v>
      </c>
      <c r="P24" s="2332">
        <v>30000</v>
      </c>
      <c r="Q24" s="1862">
        <v>0</v>
      </c>
      <c r="R24" s="2664">
        <v>0</v>
      </c>
      <c r="S24" s="1863">
        <v>19500</v>
      </c>
      <c r="T24" s="2383" t="e">
        <f t="shared" si="2"/>
        <v>#DIV/0!</v>
      </c>
      <c r="U24" s="115"/>
      <c r="V24" s="116"/>
      <c r="W24" s="117"/>
      <c r="X24" s="117" t="s">
        <v>3232</v>
      </c>
    </row>
    <row r="25" spans="1:24" ht="24.95" customHeight="1">
      <c r="A25" s="3245"/>
      <c r="B25" s="118" t="s">
        <v>2317</v>
      </c>
      <c r="C25" s="118">
        <v>22140520</v>
      </c>
      <c r="D25" s="118"/>
      <c r="E25" s="118"/>
      <c r="F25" s="118"/>
      <c r="G25" s="118" t="s">
        <v>3199</v>
      </c>
      <c r="H25" s="118"/>
      <c r="I25" s="118">
        <v>12</v>
      </c>
      <c r="J25" s="118" t="s">
        <v>2140</v>
      </c>
      <c r="K25" s="118" t="s">
        <v>2115</v>
      </c>
      <c r="L25" s="1859">
        <v>0</v>
      </c>
      <c r="M25" s="1860">
        <v>100</v>
      </c>
      <c r="N25" s="1860">
        <v>10</v>
      </c>
      <c r="O25" s="1861">
        <f t="shared" si="3"/>
        <v>10</v>
      </c>
      <c r="P25" s="2332">
        <v>15000</v>
      </c>
      <c r="Q25" s="1862">
        <v>0</v>
      </c>
      <c r="R25" s="2332">
        <v>15000</v>
      </c>
      <c r="S25" s="1863">
        <v>0</v>
      </c>
      <c r="T25" s="2383">
        <f t="shared" si="2"/>
        <v>0</v>
      </c>
      <c r="U25" s="115"/>
      <c r="V25" s="116"/>
      <c r="W25" s="117"/>
      <c r="X25" s="117" t="s">
        <v>3233</v>
      </c>
    </row>
    <row r="26" spans="1:24" ht="24.95" customHeight="1">
      <c r="A26" s="3245"/>
      <c r="B26" s="118" t="s">
        <v>2393</v>
      </c>
      <c r="C26" s="118">
        <v>22140521</v>
      </c>
      <c r="D26" s="118"/>
      <c r="E26" s="118"/>
      <c r="F26" s="118"/>
      <c r="G26" s="118"/>
      <c r="H26" s="118"/>
      <c r="I26" s="118">
        <v>12</v>
      </c>
      <c r="J26" s="118" t="s">
        <v>2140</v>
      </c>
      <c r="K26" s="118" t="s">
        <v>2115</v>
      </c>
      <c r="L26" s="1859">
        <v>0</v>
      </c>
      <c r="M26" s="1860">
        <v>100</v>
      </c>
      <c r="N26" s="1860">
        <v>10</v>
      </c>
      <c r="O26" s="1861">
        <f t="shared" si="3"/>
        <v>10</v>
      </c>
      <c r="P26" s="2332">
        <v>110000</v>
      </c>
      <c r="Q26" s="1862">
        <v>0</v>
      </c>
      <c r="R26" s="2332">
        <v>20000</v>
      </c>
      <c r="S26" s="1863">
        <v>0</v>
      </c>
      <c r="T26" s="2383">
        <f t="shared" si="2"/>
        <v>0</v>
      </c>
      <c r="U26" s="115"/>
      <c r="V26" s="116"/>
      <c r="W26" s="117"/>
      <c r="X26" s="2490" t="s">
        <v>3234</v>
      </c>
    </row>
    <row r="27" spans="1:24" ht="24.95" customHeight="1">
      <c r="A27" s="3245"/>
      <c r="B27" s="118" t="s">
        <v>2319</v>
      </c>
      <c r="C27" s="118">
        <v>22140522</v>
      </c>
      <c r="D27" s="118"/>
      <c r="E27" s="118"/>
      <c r="F27" s="118" t="s">
        <v>3199</v>
      </c>
      <c r="G27" s="118"/>
      <c r="H27" s="118"/>
      <c r="I27" s="118">
        <v>6</v>
      </c>
      <c r="J27" s="118" t="s">
        <v>2140</v>
      </c>
      <c r="K27" s="118" t="s">
        <v>2041</v>
      </c>
      <c r="L27" s="1859">
        <v>0</v>
      </c>
      <c r="M27" s="1860">
        <v>100</v>
      </c>
      <c r="N27" s="1860">
        <v>10</v>
      </c>
      <c r="O27" s="1861">
        <f t="shared" si="3"/>
        <v>10</v>
      </c>
      <c r="P27" s="2332">
        <v>5000</v>
      </c>
      <c r="Q27" s="1862">
        <v>0</v>
      </c>
      <c r="R27" s="2332">
        <v>5000</v>
      </c>
      <c r="S27" s="1863">
        <v>0</v>
      </c>
      <c r="T27" s="2383">
        <f t="shared" si="2"/>
        <v>0</v>
      </c>
      <c r="U27" s="115"/>
      <c r="V27" s="116"/>
      <c r="W27" s="117"/>
      <c r="X27" s="117" t="s">
        <v>3237</v>
      </c>
    </row>
    <row r="28" spans="1:24" ht="42">
      <c r="A28" s="3246"/>
      <c r="B28" s="118" t="s">
        <v>2394</v>
      </c>
      <c r="C28" s="118">
        <v>22140523</v>
      </c>
      <c r="D28" s="118"/>
      <c r="E28" s="118" t="s">
        <v>3199</v>
      </c>
      <c r="F28" s="118"/>
      <c r="G28" s="118"/>
      <c r="H28" s="118"/>
      <c r="I28" s="118">
        <v>12</v>
      </c>
      <c r="J28" s="118" t="s">
        <v>2140</v>
      </c>
      <c r="K28" s="118" t="s">
        <v>2115</v>
      </c>
      <c r="L28" s="1859">
        <v>0</v>
      </c>
      <c r="M28" s="1860">
        <v>100</v>
      </c>
      <c r="N28" s="1860">
        <v>10</v>
      </c>
      <c r="O28" s="1861">
        <f t="shared" si="3"/>
        <v>10</v>
      </c>
      <c r="P28" s="2332">
        <v>500000</v>
      </c>
      <c r="Q28" s="1862">
        <v>0</v>
      </c>
      <c r="R28" s="2332">
        <v>0</v>
      </c>
      <c r="S28" s="1863">
        <v>0</v>
      </c>
      <c r="T28" s="2383" t="e">
        <f t="shared" si="2"/>
        <v>#DIV/0!</v>
      </c>
      <c r="U28" s="115"/>
      <c r="V28" s="116"/>
      <c r="W28" s="117"/>
      <c r="X28" s="2605" t="s">
        <v>3225</v>
      </c>
    </row>
    <row r="29" spans="1:24" ht="24.95" customHeight="1">
      <c r="A29" s="3244" t="s">
        <v>2281</v>
      </c>
      <c r="B29" s="118" t="s">
        <v>2395</v>
      </c>
      <c r="C29" s="118">
        <v>22140524</v>
      </c>
      <c r="D29" s="118"/>
      <c r="E29" s="118"/>
      <c r="F29" s="118" t="s">
        <v>3199</v>
      </c>
      <c r="G29" s="118"/>
      <c r="H29" s="118"/>
      <c r="I29" s="118">
        <v>6</v>
      </c>
      <c r="J29" s="118" t="s">
        <v>2114</v>
      </c>
      <c r="K29" s="118" t="s">
        <v>2115</v>
      </c>
      <c r="L29" s="1859">
        <v>0</v>
      </c>
      <c r="M29" s="1860">
        <v>100</v>
      </c>
      <c r="N29" s="1860">
        <v>10</v>
      </c>
      <c r="O29" s="1861">
        <f t="shared" si="3"/>
        <v>10</v>
      </c>
      <c r="P29" s="2332">
        <v>20000</v>
      </c>
      <c r="Q29" s="1862">
        <v>0</v>
      </c>
      <c r="R29" s="2332">
        <v>0</v>
      </c>
      <c r="S29" s="1863">
        <v>0</v>
      </c>
      <c r="T29" s="2383" t="e">
        <f t="shared" si="2"/>
        <v>#DIV/0!</v>
      </c>
      <c r="U29" s="115"/>
      <c r="V29" s="116"/>
      <c r="W29" s="117"/>
      <c r="X29" s="117" t="s">
        <v>3223</v>
      </c>
    </row>
    <row r="30" spans="1:24" ht="24.95" customHeight="1">
      <c r="A30" s="3245"/>
      <c r="B30" s="118" t="s">
        <v>2396</v>
      </c>
      <c r="C30" s="118">
        <v>22140525</v>
      </c>
      <c r="D30" s="118"/>
      <c r="E30" s="118"/>
      <c r="F30" s="118" t="s">
        <v>3199</v>
      </c>
      <c r="G30" s="118"/>
      <c r="H30" s="118"/>
      <c r="I30" s="118">
        <v>6</v>
      </c>
      <c r="J30" s="118" t="s">
        <v>2114</v>
      </c>
      <c r="K30" s="118" t="s">
        <v>2115</v>
      </c>
      <c r="L30" s="1859">
        <v>0</v>
      </c>
      <c r="M30" s="1860">
        <v>100</v>
      </c>
      <c r="N30" s="1860">
        <v>10</v>
      </c>
      <c r="O30" s="1861">
        <f t="shared" si="3"/>
        <v>10</v>
      </c>
      <c r="P30" s="2332">
        <v>2000</v>
      </c>
      <c r="Q30" s="1862">
        <v>0</v>
      </c>
      <c r="R30" s="2332">
        <v>0</v>
      </c>
      <c r="S30" s="1863">
        <v>0</v>
      </c>
      <c r="T30" s="2383" t="e">
        <f t="shared" si="2"/>
        <v>#DIV/0!</v>
      </c>
      <c r="U30" s="115"/>
      <c r="V30" s="116"/>
      <c r="W30" s="117"/>
      <c r="X30" s="117" t="s">
        <v>3237</v>
      </c>
    </row>
    <row r="31" spans="1:24" ht="24.95" customHeight="1">
      <c r="A31" s="3245"/>
      <c r="B31" s="118" t="s">
        <v>2397</v>
      </c>
      <c r="C31" s="118">
        <v>22140526</v>
      </c>
      <c r="D31" s="118"/>
      <c r="E31" s="118"/>
      <c r="F31" s="118"/>
      <c r="G31" s="118"/>
      <c r="H31" s="118"/>
      <c r="I31" s="118">
        <v>12</v>
      </c>
      <c r="J31" s="118" t="s">
        <v>2140</v>
      </c>
      <c r="K31" s="118" t="s">
        <v>2115</v>
      </c>
      <c r="L31" s="1859">
        <v>0</v>
      </c>
      <c r="M31" s="1860">
        <v>100</v>
      </c>
      <c r="N31" s="1860">
        <v>0</v>
      </c>
      <c r="O31" s="1861">
        <f t="shared" si="3"/>
        <v>0</v>
      </c>
      <c r="P31" s="2332">
        <v>1000000</v>
      </c>
      <c r="Q31" s="1862">
        <v>0</v>
      </c>
      <c r="R31" s="2332">
        <v>500000</v>
      </c>
      <c r="S31" s="1863">
        <v>0</v>
      </c>
      <c r="T31" s="2383">
        <f t="shared" si="2"/>
        <v>0</v>
      </c>
      <c r="U31" s="115"/>
      <c r="V31" s="116"/>
      <c r="W31" s="117"/>
      <c r="X31" s="117" t="s">
        <v>3235</v>
      </c>
    </row>
    <row r="32" spans="1:24" ht="24.95" customHeight="1">
      <c r="A32" s="3245"/>
      <c r="B32" s="118" t="s">
        <v>2319</v>
      </c>
      <c r="C32" s="118">
        <v>22140527</v>
      </c>
      <c r="D32" s="118"/>
      <c r="E32" s="118"/>
      <c r="F32" s="118" t="s">
        <v>3199</v>
      </c>
      <c r="G32" s="118"/>
      <c r="H32" s="118"/>
      <c r="I32" s="118">
        <v>6</v>
      </c>
      <c r="J32" s="118" t="s">
        <v>2140</v>
      </c>
      <c r="K32" s="118" t="s">
        <v>2041</v>
      </c>
      <c r="L32" s="1859">
        <v>0</v>
      </c>
      <c r="M32" s="1860">
        <v>100</v>
      </c>
      <c r="N32" s="1860">
        <v>10</v>
      </c>
      <c r="O32" s="1861">
        <f t="shared" si="3"/>
        <v>10</v>
      </c>
      <c r="P32" s="2332">
        <v>5000</v>
      </c>
      <c r="Q32" s="1862">
        <v>0</v>
      </c>
      <c r="R32" s="2332">
        <v>5000</v>
      </c>
      <c r="S32" s="1863">
        <v>0</v>
      </c>
      <c r="T32" s="2383">
        <f t="shared" si="2"/>
        <v>0</v>
      </c>
      <c r="U32" s="115"/>
      <c r="V32" s="116"/>
      <c r="W32" s="117"/>
      <c r="X32" s="117" t="s">
        <v>3226</v>
      </c>
    </row>
    <row r="33" spans="1:24" ht="24.95" customHeight="1">
      <c r="A33" s="3246"/>
      <c r="B33" s="118" t="s">
        <v>2317</v>
      </c>
      <c r="C33" s="118">
        <v>22140528</v>
      </c>
      <c r="D33" s="118"/>
      <c r="E33" s="118"/>
      <c r="F33" s="118"/>
      <c r="G33" s="118" t="s">
        <v>3199</v>
      </c>
      <c r="H33" s="118"/>
      <c r="I33" s="118">
        <v>12</v>
      </c>
      <c r="J33" s="118" t="s">
        <v>2140</v>
      </c>
      <c r="K33" s="118" t="s">
        <v>2115</v>
      </c>
      <c r="L33" s="1859">
        <v>0</v>
      </c>
      <c r="M33" s="1860">
        <v>100</v>
      </c>
      <c r="N33" s="1860">
        <v>10</v>
      </c>
      <c r="O33" s="1861">
        <f t="shared" si="3"/>
        <v>10</v>
      </c>
      <c r="P33" s="2332">
        <v>10000</v>
      </c>
      <c r="Q33" s="1862">
        <v>0</v>
      </c>
      <c r="R33" s="2332">
        <v>10000</v>
      </c>
      <c r="S33" s="1863">
        <v>0</v>
      </c>
      <c r="T33" s="2383">
        <f t="shared" si="2"/>
        <v>0</v>
      </c>
      <c r="U33" s="115"/>
      <c r="V33" s="116"/>
      <c r="W33" s="117"/>
      <c r="X33" s="117" t="s">
        <v>3236</v>
      </c>
    </row>
    <row r="34" spans="1:24" ht="24.95" customHeight="1">
      <c r="A34" s="118" t="s">
        <v>2282</v>
      </c>
      <c r="B34" s="118" t="s">
        <v>2319</v>
      </c>
      <c r="C34" s="118">
        <v>22140529</v>
      </c>
      <c r="D34" s="118"/>
      <c r="E34" s="118"/>
      <c r="F34" s="118" t="s">
        <v>3199</v>
      </c>
      <c r="G34" s="118"/>
      <c r="H34" s="118"/>
      <c r="I34" s="118">
        <v>6</v>
      </c>
      <c r="J34" s="118" t="s">
        <v>2140</v>
      </c>
      <c r="K34" s="118" t="s">
        <v>2041</v>
      </c>
      <c r="L34" s="1859">
        <v>0</v>
      </c>
      <c r="M34" s="1860">
        <v>100</v>
      </c>
      <c r="N34" s="1860">
        <v>0</v>
      </c>
      <c r="O34" s="1861">
        <f t="shared" ref="O34:O42" si="4">N34+L34</f>
        <v>0</v>
      </c>
      <c r="P34" s="2332">
        <v>5000</v>
      </c>
      <c r="Q34" s="1862">
        <v>0</v>
      </c>
      <c r="R34" s="2332">
        <v>5000</v>
      </c>
      <c r="S34" s="1863">
        <v>0</v>
      </c>
      <c r="T34" s="2383">
        <f t="shared" si="2"/>
        <v>0</v>
      </c>
      <c r="U34" s="115"/>
      <c r="V34" s="116"/>
      <c r="W34" s="117"/>
      <c r="X34" s="117" t="s">
        <v>3223</v>
      </c>
    </row>
    <row r="35" spans="1:24" ht="24.95" customHeight="1" thickBot="1">
      <c r="A35" s="118" t="s">
        <v>2283</v>
      </c>
      <c r="B35" s="118" t="s">
        <v>2319</v>
      </c>
      <c r="C35" s="118">
        <v>22140530</v>
      </c>
      <c r="D35" s="118"/>
      <c r="E35" s="118"/>
      <c r="F35" s="118" t="s">
        <v>3199</v>
      </c>
      <c r="G35" s="118"/>
      <c r="H35" s="118"/>
      <c r="I35" s="118">
        <v>6</v>
      </c>
      <c r="J35" s="118" t="s">
        <v>2140</v>
      </c>
      <c r="K35" s="118" t="s">
        <v>2041</v>
      </c>
      <c r="L35" s="1859">
        <v>0</v>
      </c>
      <c r="M35" s="1860">
        <v>100</v>
      </c>
      <c r="N35" s="1860">
        <v>0</v>
      </c>
      <c r="O35" s="1861">
        <f t="shared" si="4"/>
        <v>0</v>
      </c>
      <c r="P35" s="2332">
        <v>4000</v>
      </c>
      <c r="Q35" s="1862">
        <v>0</v>
      </c>
      <c r="R35" s="2332">
        <v>5000</v>
      </c>
      <c r="S35" s="1863">
        <v>0</v>
      </c>
      <c r="T35" s="2383">
        <f t="shared" si="2"/>
        <v>0</v>
      </c>
      <c r="U35" s="115"/>
      <c r="V35" s="116"/>
      <c r="W35" s="117"/>
      <c r="X35" s="117" t="s">
        <v>3223</v>
      </c>
    </row>
    <row r="36" spans="1:24" ht="60" customHeight="1" thickBot="1">
      <c r="O36" s="83">
        <f t="shared" si="4"/>
        <v>0</v>
      </c>
      <c r="P36" s="2390">
        <f>SUM(P6:P35)</f>
        <v>6037687</v>
      </c>
      <c r="Q36" s="2390">
        <f>SUM(Q6:Q35)</f>
        <v>38289</v>
      </c>
      <c r="R36" s="2391">
        <f>SUM(R6:R35)</f>
        <v>1080000</v>
      </c>
      <c r="S36" s="2392">
        <f>SUM(S6:S35)</f>
        <v>453176</v>
      </c>
      <c r="T36" s="2393">
        <f t="shared" ref="T36" si="5">S36/R36*100</f>
        <v>41.960740740740746</v>
      </c>
    </row>
    <row r="37" spans="1:24" ht="60" customHeight="1">
      <c r="O37" s="83">
        <f t="shared" si="4"/>
        <v>0</v>
      </c>
    </row>
    <row r="38" spans="1:24" ht="60" customHeight="1">
      <c r="O38" s="83">
        <f t="shared" si="4"/>
        <v>0</v>
      </c>
    </row>
    <row r="39" spans="1:24" s="114" customFormat="1" ht="102.75" customHeight="1">
      <c r="A39" s="119"/>
      <c r="B39" s="83"/>
      <c r="C39" s="83"/>
      <c r="D39" s="1051"/>
      <c r="E39" s="1051"/>
      <c r="F39" s="1051"/>
      <c r="G39" s="1051"/>
      <c r="H39" s="1051"/>
      <c r="I39" s="83"/>
      <c r="J39" s="83"/>
      <c r="K39" s="83"/>
      <c r="L39" s="83"/>
      <c r="M39" s="83"/>
      <c r="N39" s="83"/>
      <c r="O39" s="83">
        <f t="shared" si="4"/>
        <v>0</v>
      </c>
      <c r="P39" s="83"/>
      <c r="Q39" s="83"/>
      <c r="R39" s="83"/>
      <c r="S39" s="83"/>
      <c r="T39" s="83"/>
      <c r="U39" s="83"/>
      <c r="V39" s="83"/>
      <c r="W39" s="83"/>
      <c r="X39" s="120"/>
    </row>
    <row r="40" spans="1:24" s="114" customFormat="1">
      <c r="A40" s="119"/>
      <c r="B40" s="83"/>
      <c r="C40" s="83"/>
      <c r="D40" s="1051"/>
      <c r="E40" s="1051"/>
      <c r="F40" s="1051"/>
      <c r="G40" s="1051"/>
      <c r="H40" s="1051"/>
      <c r="I40" s="83"/>
      <c r="J40" s="83"/>
      <c r="K40" s="83"/>
      <c r="L40" s="83"/>
      <c r="M40" s="83"/>
      <c r="N40" s="83"/>
      <c r="O40" s="83">
        <f t="shared" si="4"/>
        <v>0</v>
      </c>
      <c r="P40" s="83"/>
      <c r="Q40" s="83"/>
      <c r="R40" s="83"/>
      <c r="S40" s="83"/>
      <c r="T40" s="83"/>
      <c r="U40" s="83"/>
      <c r="V40" s="83"/>
      <c r="W40" s="83"/>
      <c r="X40" s="120"/>
    </row>
    <row r="41" spans="1:24">
      <c r="O41" s="83">
        <f t="shared" si="4"/>
        <v>0</v>
      </c>
    </row>
    <row r="42" spans="1:24">
      <c r="O42" s="83">
        <f t="shared" si="4"/>
        <v>0</v>
      </c>
    </row>
  </sheetData>
  <mergeCells count="15">
    <mergeCell ref="A7:A11"/>
    <mergeCell ref="A13:A22"/>
    <mergeCell ref="A23:A28"/>
    <mergeCell ref="A29:A33"/>
    <mergeCell ref="X4:X5"/>
    <mergeCell ref="A1:X1"/>
    <mergeCell ref="L4:O4"/>
    <mergeCell ref="U4:W4"/>
    <mergeCell ref="A4:A5"/>
    <mergeCell ref="B4:B5"/>
    <mergeCell ref="I4:K4"/>
    <mergeCell ref="P4:P5"/>
    <mergeCell ref="D4:H4"/>
    <mergeCell ref="C4:C5"/>
    <mergeCell ref="Q4:T4"/>
  </mergeCells>
  <printOptions horizontalCentered="1"/>
  <pageMargins left="0.19685039370078741" right="0.19685039370078741" top="0.59055118110236227" bottom="0.78740157480314965" header="0.19685039370078741" footer="0.19685039370078741"/>
  <pageSetup paperSize="9" scale="2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5">
    <tabColor rgb="FF458B74"/>
    <pageSetUpPr fitToPage="1"/>
  </sheetPr>
  <dimension ref="A1:M27"/>
  <sheetViews>
    <sheetView rightToLeft="1" workbookViewId="0">
      <selection activeCell="H6" sqref="H6"/>
    </sheetView>
  </sheetViews>
  <sheetFormatPr defaultColWidth="9.140625" defaultRowHeight="15"/>
  <cols>
    <col min="1" max="1" width="50.5703125" style="5" customWidth="1"/>
    <col min="2" max="10" width="14.5703125" style="5" customWidth="1"/>
    <col min="11" max="16384" width="9.140625" style="5"/>
  </cols>
  <sheetData>
    <row r="1" spans="1:13" ht="24" customHeight="1">
      <c r="A1" s="3094" t="str">
        <f>روکش!D4</f>
        <v>انبارهای عمومی و خدمات گمرکی ایران</v>
      </c>
      <c r="B1" s="3094"/>
      <c r="C1" s="3094"/>
      <c r="D1" s="3094"/>
      <c r="E1" s="3094"/>
      <c r="F1" s="3094"/>
      <c r="G1" s="3094"/>
      <c r="H1" s="3094"/>
      <c r="I1" s="3094"/>
      <c r="J1" s="3094"/>
      <c r="K1" s="54"/>
      <c r="L1" s="54"/>
      <c r="M1" s="54"/>
    </row>
    <row r="2" spans="1:13" ht="28.5" customHeight="1">
      <c r="A2" s="1355" t="str">
        <f>"سود و زیان شرکت / شعب زیرمجموعه در دوره " &amp; روکش!F9 &amp; " سال " &amp; روکش!D9</f>
        <v>سود و زیان شرکت / شعب زیرمجموعه در دوره شش ماهه سال 1405</v>
      </c>
      <c r="B2" s="1758"/>
      <c r="C2" s="1758"/>
      <c r="D2" s="1758"/>
      <c r="E2" s="1758"/>
      <c r="F2" s="1758"/>
      <c r="G2" s="1300"/>
      <c r="H2" s="1300"/>
      <c r="I2" s="1300"/>
      <c r="J2" s="1300"/>
      <c r="K2" s="62"/>
      <c r="L2" s="62"/>
      <c r="M2" s="62"/>
    </row>
    <row r="3" spans="1:13" ht="20.100000000000001" customHeight="1" thickBot="1">
      <c r="B3" s="1796"/>
      <c r="C3" s="943"/>
      <c r="E3" s="1796"/>
      <c r="F3" s="943"/>
      <c r="G3" s="2955"/>
      <c r="H3" s="2955"/>
      <c r="I3" s="1864"/>
      <c r="J3" s="1865" t="s">
        <v>339</v>
      </c>
    </row>
    <row r="4" spans="1:13" ht="26.25" customHeight="1">
      <c r="A4" s="3250" t="s">
        <v>21</v>
      </c>
      <c r="B4" s="3247" t="s">
        <v>674</v>
      </c>
      <c r="C4" s="3248"/>
      <c r="D4" s="3249"/>
      <c r="E4" s="3247" t="s">
        <v>675</v>
      </c>
      <c r="F4" s="3248"/>
      <c r="G4" s="3249"/>
      <c r="H4" s="3247" t="s">
        <v>717</v>
      </c>
      <c r="I4" s="3248"/>
      <c r="J4" s="3249"/>
    </row>
    <row r="5" spans="1:13" ht="42.75" thickBot="1">
      <c r="A5" s="3251"/>
      <c r="B5" s="1632" t="s">
        <v>336</v>
      </c>
      <c r="C5" s="1633" t="s">
        <v>337</v>
      </c>
      <c r="D5" s="1866" t="s">
        <v>338</v>
      </c>
      <c r="E5" s="1632" t="s">
        <v>336</v>
      </c>
      <c r="F5" s="1633" t="s">
        <v>337</v>
      </c>
      <c r="G5" s="1866" t="s">
        <v>338</v>
      </c>
      <c r="H5" s="1867" t="s">
        <v>336</v>
      </c>
      <c r="I5" s="1868" t="s">
        <v>337</v>
      </c>
      <c r="J5" s="1866" t="s">
        <v>338</v>
      </c>
    </row>
    <row r="6" spans="1:13" ht="24.95" customHeight="1">
      <c r="A6" s="1011"/>
      <c r="B6" s="1012"/>
      <c r="C6" s="1013"/>
      <c r="D6" s="1869">
        <f t="shared" ref="D6:D25" si="0">C6+B6</f>
        <v>0</v>
      </c>
      <c r="E6" s="1012"/>
      <c r="F6" s="1013"/>
      <c r="G6" s="1869">
        <f>F6+E6</f>
        <v>0</v>
      </c>
      <c r="H6" s="1870" t="str">
        <f>IFERROR(E6*100/B6,"-")</f>
        <v>-</v>
      </c>
      <c r="I6" s="1871" t="str">
        <f>IFERROR(F6*100/C6,"-")</f>
        <v>-</v>
      </c>
      <c r="J6" s="1869" t="str">
        <f>IFERROR(G6*100/D6,"-")</f>
        <v>-</v>
      </c>
    </row>
    <row r="7" spans="1:13" ht="24.95" customHeight="1">
      <c r="A7" s="1014"/>
      <c r="B7" s="903"/>
      <c r="C7" s="13"/>
      <c r="D7" s="1872">
        <f t="shared" si="0"/>
        <v>0</v>
      </c>
      <c r="E7" s="903"/>
      <c r="F7" s="13"/>
      <c r="G7" s="1872">
        <f t="shared" ref="G7:G25" si="1">F7+E7</f>
        <v>0</v>
      </c>
      <c r="H7" s="1873" t="str">
        <f t="shared" ref="H7:H25" si="2">IFERROR(E7*100/B7,"-")</f>
        <v>-</v>
      </c>
      <c r="I7" s="1874" t="str">
        <f t="shared" ref="I7:I25" si="3">IFERROR(F7*100/C7,"-")</f>
        <v>-</v>
      </c>
      <c r="J7" s="1872" t="str">
        <f t="shared" ref="J7:J25" si="4">IFERROR(G7*100/D7,"-")</f>
        <v>-</v>
      </c>
    </row>
    <row r="8" spans="1:13" ht="24.95" customHeight="1">
      <c r="A8" s="1014"/>
      <c r="B8" s="903"/>
      <c r="C8" s="13"/>
      <c r="D8" s="1872">
        <f t="shared" si="0"/>
        <v>0</v>
      </c>
      <c r="E8" s="903"/>
      <c r="F8" s="13"/>
      <c r="G8" s="1872">
        <f t="shared" si="1"/>
        <v>0</v>
      </c>
      <c r="H8" s="1873" t="str">
        <f t="shared" si="2"/>
        <v>-</v>
      </c>
      <c r="I8" s="1874" t="str">
        <f t="shared" si="3"/>
        <v>-</v>
      </c>
      <c r="J8" s="1872" t="str">
        <f t="shared" si="4"/>
        <v>-</v>
      </c>
    </row>
    <row r="9" spans="1:13" ht="24.95" customHeight="1">
      <c r="A9" s="1014"/>
      <c r="B9" s="903"/>
      <c r="C9" s="13"/>
      <c r="D9" s="1872">
        <f t="shared" si="0"/>
        <v>0</v>
      </c>
      <c r="E9" s="903"/>
      <c r="F9" s="13"/>
      <c r="G9" s="1872">
        <f t="shared" si="1"/>
        <v>0</v>
      </c>
      <c r="H9" s="1873" t="str">
        <f t="shared" si="2"/>
        <v>-</v>
      </c>
      <c r="I9" s="1874" t="str">
        <f t="shared" si="3"/>
        <v>-</v>
      </c>
      <c r="J9" s="1872" t="str">
        <f t="shared" si="4"/>
        <v>-</v>
      </c>
    </row>
    <row r="10" spans="1:13" ht="24.95" customHeight="1">
      <c r="A10" s="1014"/>
      <c r="B10" s="903"/>
      <c r="C10" s="13"/>
      <c r="D10" s="1872">
        <f t="shared" si="0"/>
        <v>0</v>
      </c>
      <c r="E10" s="903"/>
      <c r="F10" s="13"/>
      <c r="G10" s="1872">
        <f t="shared" si="1"/>
        <v>0</v>
      </c>
      <c r="H10" s="1873" t="str">
        <f t="shared" si="2"/>
        <v>-</v>
      </c>
      <c r="I10" s="1874" t="str">
        <f t="shared" si="3"/>
        <v>-</v>
      </c>
      <c r="J10" s="1872" t="str">
        <f t="shared" si="4"/>
        <v>-</v>
      </c>
    </row>
    <row r="11" spans="1:13" ht="24.95" customHeight="1">
      <c r="A11" s="1014"/>
      <c r="B11" s="903"/>
      <c r="C11" s="13"/>
      <c r="D11" s="1872">
        <f t="shared" si="0"/>
        <v>0</v>
      </c>
      <c r="E11" s="903"/>
      <c r="F11" s="13"/>
      <c r="G11" s="1872">
        <f t="shared" si="1"/>
        <v>0</v>
      </c>
      <c r="H11" s="1873" t="str">
        <f t="shared" si="2"/>
        <v>-</v>
      </c>
      <c r="I11" s="1874" t="str">
        <f t="shared" si="3"/>
        <v>-</v>
      </c>
      <c r="J11" s="1872" t="str">
        <f t="shared" si="4"/>
        <v>-</v>
      </c>
    </row>
    <row r="12" spans="1:13" ht="24.95" customHeight="1">
      <c r="A12" s="1014"/>
      <c r="B12" s="903"/>
      <c r="C12" s="13"/>
      <c r="D12" s="1872">
        <f t="shared" si="0"/>
        <v>0</v>
      </c>
      <c r="E12" s="903"/>
      <c r="F12" s="13"/>
      <c r="G12" s="1872">
        <f t="shared" si="1"/>
        <v>0</v>
      </c>
      <c r="H12" s="1873" t="str">
        <f t="shared" si="2"/>
        <v>-</v>
      </c>
      <c r="I12" s="1874" t="str">
        <f t="shared" si="3"/>
        <v>-</v>
      </c>
      <c r="J12" s="1872" t="str">
        <f t="shared" si="4"/>
        <v>-</v>
      </c>
    </row>
    <row r="13" spans="1:13" ht="24.95" customHeight="1">
      <c r="A13" s="1014"/>
      <c r="B13" s="903"/>
      <c r="C13" s="13"/>
      <c r="D13" s="1872">
        <f t="shared" si="0"/>
        <v>0</v>
      </c>
      <c r="E13" s="903"/>
      <c r="F13" s="13"/>
      <c r="G13" s="1872">
        <f t="shared" si="1"/>
        <v>0</v>
      </c>
      <c r="H13" s="1873" t="str">
        <f t="shared" si="2"/>
        <v>-</v>
      </c>
      <c r="I13" s="1874" t="str">
        <f t="shared" si="3"/>
        <v>-</v>
      </c>
      <c r="J13" s="1872" t="str">
        <f t="shared" si="4"/>
        <v>-</v>
      </c>
    </row>
    <row r="14" spans="1:13" ht="24.95" customHeight="1">
      <c r="A14" s="1014"/>
      <c r="B14" s="903"/>
      <c r="C14" s="13"/>
      <c r="D14" s="1872">
        <f t="shared" si="0"/>
        <v>0</v>
      </c>
      <c r="E14" s="903"/>
      <c r="F14" s="13"/>
      <c r="G14" s="1872">
        <f t="shared" si="1"/>
        <v>0</v>
      </c>
      <c r="H14" s="1873" t="str">
        <f t="shared" si="2"/>
        <v>-</v>
      </c>
      <c r="I14" s="1874" t="str">
        <f t="shared" si="3"/>
        <v>-</v>
      </c>
      <c r="J14" s="1872" t="str">
        <f t="shared" si="4"/>
        <v>-</v>
      </c>
    </row>
    <row r="15" spans="1:13" ht="24.95" customHeight="1">
      <c r="A15" s="1014"/>
      <c r="B15" s="903"/>
      <c r="C15" s="13"/>
      <c r="D15" s="1872">
        <f t="shared" si="0"/>
        <v>0</v>
      </c>
      <c r="E15" s="903"/>
      <c r="F15" s="13"/>
      <c r="G15" s="1872">
        <f t="shared" si="1"/>
        <v>0</v>
      </c>
      <c r="H15" s="1873" t="str">
        <f t="shared" si="2"/>
        <v>-</v>
      </c>
      <c r="I15" s="1874" t="str">
        <f t="shared" si="3"/>
        <v>-</v>
      </c>
      <c r="J15" s="1872" t="str">
        <f t="shared" si="4"/>
        <v>-</v>
      </c>
    </row>
    <row r="16" spans="1:13" ht="24.95" customHeight="1">
      <c r="A16" s="1014"/>
      <c r="B16" s="903"/>
      <c r="C16" s="13"/>
      <c r="D16" s="1872">
        <f t="shared" si="0"/>
        <v>0</v>
      </c>
      <c r="E16" s="903"/>
      <c r="F16" s="13"/>
      <c r="G16" s="1872">
        <f t="shared" si="1"/>
        <v>0</v>
      </c>
      <c r="H16" s="1873" t="str">
        <f t="shared" si="2"/>
        <v>-</v>
      </c>
      <c r="I16" s="1874" t="str">
        <f t="shared" si="3"/>
        <v>-</v>
      </c>
      <c r="J16" s="1872" t="str">
        <f t="shared" si="4"/>
        <v>-</v>
      </c>
    </row>
    <row r="17" spans="1:10" ht="24.95" customHeight="1">
      <c r="A17" s="1014"/>
      <c r="B17" s="903"/>
      <c r="C17" s="13"/>
      <c r="D17" s="1872">
        <f t="shared" si="0"/>
        <v>0</v>
      </c>
      <c r="E17" s="903"/>
      <c r="F17" s="13"/>
      <c r="G17" s="1872">
        <f t="shared" si="1"/>
        <v>0</v>
      </c>
      <c r="H17" s="1873" t="str">
        <f t="shared" si="2"/>
        <v>-</v>
      </c>
      <c r="I17" s="1874" t="str">
        <f t="shared" si="3"/>
        <v>-</v>
      </c>
      <c r="J17" s="1872" t="str">
        <f t="shared" si="4"/>
        <v>-</v>
      </c>
    </row>
    <row r="18" spans="1:10" ht="24.95" customHeight="1">
      <c r="A18" s="1014"/>
      <c r="B18" s="903"/>
      <c r="C18" s="13"/>
      <c r="D18" s="1872">
        <f t="shared" si="0"/>
        <v>0</v>
      </c>
      <c r="E18" s="903"/>
      <c r="F18" s="13"/>
      <c r="G18" s="1872">
        <f t="shared" si="1"/>
        <v>0</v>
      </c>
      <c r="H18" s="1873" t="str">
        <f t="shared" si="2"/>
        <v>-</v>
      </c>
      <c r="I18" s="1874" t="str">
        <f t="shared" si="3"/>
        <v>-</v>
      </c>
      <c r="J18" s="1872" t="str">
        <f t="shared" si="4"/>
        <v>-</v>
      </c>
    </row>
    <row r="19" spans="1:10" ht="24.95" customHeight="1">
      <c r="A19" s="1014"/>
      <c r="B19" s="903"/>
      <c r="C19" s="13"/>
      <c r="D19" s="1872">
        <f t="shared" si="0"/>
        <v>0</v>
      </c>
      <c r="E19" s="903"/>
      <c r="F19" s="13"/>
      <c r="G19" s="1872">
        <f t="shared" si="1"/>
        <v>0</v>
      </c>
      <c r="H19" s="1873" t="str">
        <f t="shared" si="2"/>
        <v>-</v>
      </c>
      <c r="I19" s="1874" t="str">
        <f t="shared" si="3"/>
        <v>-</v>
      </c>
      <c r="J19" s="1872" t="str">
        <f t="shared" si="4"/>
        <v>-</v>
      </c>
    </row>
    <row r="20" spans="1:10" ht="24.95" customHeight="1">
      <c r="A20" s="1014"/>
      <c r="B20" s="903"/>
      <c r="C20" s="13"/>
      <c r="D20" s="1872">
        <f t="shared" si="0"/>
        <v>0</v>
      </c>
      <c r="E20" s="903"/>
      <c r="F20" s="13"/>
      <c r="G20" s="1872">
        <f t="shared" si="1"/>
        <v>0</v>
      </c>
      <c r="H20" s="1873" t="str">
        <f t="shared" si="2"/>
        <v>-</v>
      </c>
      <c r="I20" s="1874" t="str">
        <f t="shared" si="3"/>
        <v>-</v>
      </c>
      <c r="J20" s="1872" t="str">
        <f t="shared" si="4"/>
        <v>-</v>
      </c>
    </row>
    <row r="21" spans="1:10" ht="24.95" customHeight="1">
      <c r="A21" s="1014"/>
      <c r="B21" s="903"/>
      <c r="C21" s="13"/>
      <c r="D21" s="1872">
        <f t="shared" si="0"/>
        <v>0</v>
      </c>
      <c r="E21" s="903"/>
      <c r="F21" s="13"/>
      <c r="G21" s="1872">
        <f t="shared" si="1"/>
        <v>0</v>
      </c>
      <c r="H21" s="1873" t="str">
        <f t="shared" si="2"/>
        <v>-</v>
      </c>
      <c r="I21" s="1874" t="str">
        <f t="shared" si="3"/>
        <v>-</v>
      </c>
      <c r="J21" s="1872" t="str">
        <f t="shared" si="4"/>
        <v>-</v>
      </c>
    </row>
    <row r="22" spans="1:10" ht="24.95" customHeight="1">
      <c r="A22" s="1014"/>
      <c r="B22" s="903"/>
      <c r="C22" s="13"/>
      <c r="D22" s="1872">
        <f t="shared" si="0"/>
        <v>0</v>
      </c>
      <c r="E22" s="903"/>
      <c r="F22" s="13"/>
      <c r="G22" s="1872">
        <f t="shared" si="1"/>
        <v>0</v>
      </c>
      <c r="H22" s="1873" t="str">
        <f t="shared" si="2"/>
        <v>-</v>
      </c>
      <c r="I22" s="1874" t="str">
        <f t="shared" si="3"/>
        <v>-</v>
      </c>
      <c r="J22" s="1872" t="str">
        <f t="shared" si="4"/>
        <v>-</v>
      </c>
    </row>
    <row r="23" spans="1:10" ht="24.95" customHeight="1">
      <c r="A23" s="1014"/>
      <c r="B23" s="903"/>
      <c r="C23" s="13"/>
      <c r="D23" s="1872">
        <f t="shared" si="0"/>
        <v>0</v>
      </c>
      <c r="E23" s="903"/>
      <c r="F23" s="13"/>
      <c r="G23" s="1872">
        <f t="shared" si="1"/>
        <v>0</v>
      </c>
      <c r="H23" s="1873" t="str">
        <f t="shared" si="2"/>
        <v>-</v>
      </c>
      <c r="I23" s="1874" t="str">
        <f t="shared" si="3"/>
        <v>-</v>
      </c>
      <c r="J23" s="1872" t="str">
        <f t="shared" si="4"/>
        <v>-</v>
      </c>
    </row>
    <row r="24" spans="1:10" ht="24.95" customHeight="1">
      <c r="A24" s="1014"/>
      <c r="B24" s="903"/>
      <c r="C24" s="13"/>
      <c r="D24" s="1872">
        <f t="shared" si="0"/>
        <v>0</v>
      </c>
      <c r="E24" s="903"/>
      <c r="F24" s="13"/>
      <c r="G24" s="1872">
        <f t="shared" si="1"/>
        <v>0</v>
      </c>
      <c r="H24" s="1873" t="str">
        <f t="shared" si="2"/>
        <v>-</v>
      </c>
      <c r="I24" s="1874" t="str">
        <f t="shared" si="3"/>
        <v>-</v>
      </c>
      <c r="J24" s="1872" t="str">
        <f t="shared" si="4"/>
        <v>-</v>
      </c>
    </row>
    <row r="25" spans="1:10" ht="24.95" customHeight="1" thickBot="1">
      <c r="A25" s="1875" t="s">
        <v>100</v>
      </c>
      <c r="B25" s="1876">
        <f>SUM(B6:B24)</f>
        <v>0</v>
      </c>
      <c r="C25" s="1876">
        <f>SUM(C6:C24)</f>
        <v>0</v>
      </c>
      <c r="D25" s="1877">
        <f t="shared" si="0"/>
        <v>0</v>
      </c>
      <c r="E25" s="1876">
        <f>SUM(E6:E24)</f>
        <v>0</v>
      </c>
      <c r="F25" s="1876">
        <f>SUM(F6:F24)</f>
        <v>0</v>
      </c>
      <c r="G25" s="1877">
        <f t="shared" si="1"/>
        <v>0</v>
      </c>
      <c r="H25" s="1876" t="str">
        <f t="shared" si="2"/>
        <v>-</v>
      </c>
      <c r="I25" s="1876" t="str">
        <f t="shared" si="3"/>
        <v>-</v>
      </c>
      <c r="J25" s="1877" t="str">
        <f t="shared" si="4"/>
        <v>-</v>
      </c>
    </row>
    <row r="27" spans="1:10" ht="19.5">
      <c r="A27" s="63"/>
      <c r="B27" s="63"/>
      <c r="C27" s="64"/>
      <c r="E27" s="63"/>
      <c r="F27" s="64"/>
      <c r="H27" s="63"/>
      <c r="I27" s="65"/>
    </row>
  </sheetData>
  <mergeCells count="6">
    <mergeCell ref="G3:H3"/>
    <mergeCell ref="A1:J1"/>
    <mergeCell ref="E4:G4"/>
    <mergeCell ref="H4:J4"/>
    <mergeCell ref="A4:A5"/>
    <mergeCell ref="B4:D4"/>
  </mergeCells>
  <printOptions horizontalCentered="1"/>
  <pageMargins left="0.19685039370078741" right="0.19685039370078741" top="0.59055118110236227" bottom="0.78740157480314965" header="0.19685039370078741" footer="0.19685039370078741"/>
  <pageSetup paperSize="9" scale="7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83">
    <tabColor rgb="FF458B74"/>
    <pageSetUpPr fitToPage="1"/>
  </sheetPr>
  <dimension ref="A1:BV19"/>
  <sheetViews>
    <sheetView rightToLeft="1" topLeftCell="R1" zoomScale="85" zoomScaleNormal="85" workbookViewId="0">
      <selection activeCell="AU9" sqref="AU9"/>
    </sheetView>
  </sheetViews>
  <sheetFormatPr defaultColWidth="9.140625" defaultRowHeight="15"/>
  <cols>
    <col min="1" max="1" width="30.5703125" style="5" customWidth="1"/>
    <col min="2" max="31" width="5.5703125" style="5" customWidth="1"/>
    <col min="32" max="58" width="5.5703125" style="121" customWidth="1"/>
    <col min="59" max="59" width="10.5703125" style="121" customWidth="1"/>
    <col min="60" max="60" width="4" style="121" customWidth="1"/>
    <col min="61" max="63" width="9.140625" style="121" customWidth="1"/>
    <col min="64" max="16384" width="9.140625" style="5"/>
  </cols>
  <sheetData>
    <row r="1" spans="1:73" s="114" customFormat="1" ht="24" customHeight="1">
      <c r="A1" s="3252" t="str">
        <f>روکش!D4</f>
        <v>انبارهای عمومی و خدمات گمرکی ایران</v>
      </c>
      <c r="B1" s="3252"/>
      <c r="C1" s="3252"/>
      <c r="D1" s="3252"/>
      <c r="E1" s="3252"/>
      <c r="F1" s="3252"/>
      <c r="G1" s="3252"/>
      <c r="H1" s="3252"/>
      <c r="I1" s="3252"/>
      <c r="J1" s="3252"/>
      <c r="K1" s="3252"/>
      <c r="L1" s="3252"/>
      <c r="M1" s="3252"/>
      <c r="N1" s="3252"/>
      <c r="O1" s="3252"/>
      <c r="P1" s="3252"/>
      <c r="Q1" s="3252"/>
      <c r="R1" s="3252"/>
      <c r="S1" s="3252"/>
      <c r="T1" s="3252"/>
      <c r="U1" s="3252"/>
      <c r="V1" s="3252"/>
      <c r="W1" s="3252"/>
      <c r="X1" s="3252"/>
      <c r="Y1" s="3252"/>
      <c r="Z1" s="3252"/>
      <c r="AA1" s="3252"/>
      <c r="AB1" s="3252"/>
      <c r="AC1" s="3252"/>
      <c r="AD1" s="3252"/>
      <c r="AE1" s="3252"/>
      <c r="AF1" s="3252"/>
      <c r="AG1" s="3252"/>
      <c r="AH1" s="3252"/>
      <c r="AI1" s="3252"/>
      <c r="AJ1" s="3252"/>
      <c r="AK1" s="3252"/>
      <c r="AL1" s="3252"/>
      <c r="AM1" s="3252"/>
      <c r="AN1" s="3252"/>
      <c r="AO1" s="3252"/>
      <c r="AP1" s="3252"/>
      <c r="AQ1" s="3252"/>
      <c r="AR1" s="3252"/>
      <c r="AS1" s="3252"/>
      <c r="AT1" s="3252"/>
      <c r="AU1" s="3252"/>
      <c r="AV1" s="3252"/>
      <c r="AW1" s="3252"/>
      <c r="AX1" s="3252"/>
      <c r="AY1" s="3252"/>
      <c r="AZ1" s="3252"/>
      <c r="BA1" s="3252"/>
      <c r="BB1" s="3252"/>
      <c r="BC1" s="3252"/>
      <c r="BD1" s="3252"/>
      <c r="BE1" s="3252"/>
      <c r="BF1" s="3252"/>
      <c r="BG1" s="3252"/>
    </row>
    <row r="2" spans="1:73" s="52" customFormat="1" ht="28.5" customHeight="1" thickBot="1">
      <c r="A2" s="1878" t="str">
        <f>"اطلاعات آماری نوع تجهیزات و ماشین‌آلات عملیاتی شرکت‌ها و شعب تابعه در دوره " &amp; روکش!F9 &amp; " سال " &amp; روکش!D9</f>
        <v>اطلاعات آماری نوع تجهیزات و ماشین‌آلات عملیاتی شرکت‌ها و شعب تابعه در دوره شش ماهه سال 1405</v>
      </c>
      <c r="B2" s="1878"/>
      <c r="C2" s="1878"/>
      <c r="D2" s="1878"/>
      <c r="E2" s="1878"/>
      <c r="F2" s="1878"/>
      <c r="G2" s="1878"/>
      <c r="H2" s="1878"/>
      <c r="I2" s="1878"/>
      <c r="J2" s="1878"/>
      <c r="K2" s="1878"/>
      <c r="L2" s="1878"/>
      <c r="M2" s="1878"/>
      <c r="N2" s="1878"/>
      <c r="O2" s="1878"/>
      <c r="P2" s="1878"/>
      <c r="Q2" s="1878"/>
      <c r="R2" s="1878"/>
      <c r="S2" s="1878"/>
      <c r="T2" s="1878"/>
      <c r="U2" s="1878"/>
      <c r="V2" s="1878"/>
      <c r="W2" s="1878"/>
      <c r="X2" s="1878"/>
      <c r="Y2" s="1878"/>
      <c r="Z2" s="1878"/>
      <c r="AA2" s="1878"/>
      <c r="AB2" s="1878"/>
      <c r="AC2" s="1878"/>
      <c r="AD2" s="1878"/>
      <c r="AE2" s="1878"/>
      <c r="AF2" s="1878"/>
      <c r="AG2" s="1878"/>
      <c r="AH2" s="1878"/>
      <c r="AI2" s="1878"/>
      <c r="AJ2" s="1878"/>
      <c r="AK2" s="1878"/>
      <c r="AL2" s="1878"/>
      <c r="AM2" s="1878"/>
      <c r="AN2" s="1878"/>
      <c r="AO2" s="1878"/>
      <c r="AP2" s="1878"/>
      <c r="AQ2" s="1878"/>
      <c r="AR2" s="1878"/>
      <c r="AS2" s="1878"/>
      <c r="AT2" s="1878"/>
      <c r="AU2" s="1878"/>
      <c r="AV2" s="1878"/>
      <c r="AW2" s="1878"/>
      <c r="AX2" s="1878"/>
      <c r="AY2" s="1878"/>
      <c r="AZ2" s="1878"/>
      <c r="BA2" s="1878"/>
      <c r="BB2" s="1878"/>
      <c r="BC2" s="1878"/>
      <c r="BD2" s="1878"/>
      <c r="BE2" s="1878"/>
      <c r="BF2" s="1878"/>
      <c r="BG2" s="1878"/>
    </row>
    <row r="3" spans="1:73" ht="24.75" thickBot="1">
      <c r="A3" s="3253" t="s">
        <v>340</v>
      </c>
      <c r="B3" s="3253" t="s">
        <v>495</v>
      </c>
      <c r="C3" s="3256"/>
      <c r="D3" s="3256"/>
      <c r="E3" s="3256"/>
      <c r="F3" s="3256"/>
      <c r="G3" s="3256"/>
      <c r="H3" s="3256"/>
      <c r="I3" s="3256"/>
      <c r="J3" s="3256"/>
      <c r="K3" s="3256"/>
      <c r="L3" s="3256"/>
      <c r="M3" s="3256"/>
      <c r="N3" s="3256"/>
      <c r="O3" s="3256"/>
      <c r="P3" s="3256"/>
      <c r="Q3" s="3256"/>
      <c r="R3" s="3256"/>
      <c r="S3" s="3256"/>
      <c r="T3" s="3256"/>
      <c r="U3" s="3256"/>
      <c r="V3" s="3256"/>
      <c r="W3" s="3256"/>
      <c r="X3" s="3256"/>
      <c r="Y3" s="3256"/>
      <c r="Z3" s="3256"/>
      <c r="AA3" s="3256"/>
      <c r="AB3" s="3256"/>
      <c r="AC3" s="3256"/>
      <c r="AD3" s="3256"/>
      <c r="AE3" s="3256"/>
      <c r="AF3" s="3256"/>
      <c r="AG3" s="3256"/>
      <c r="AH3" s="3256"/>
      <c r="AI3" s="3256"/>
      <c r="AJ3" s="3256"/>
      <c r="AK3" s="3256"/>
      <c r="AL3" s="3256"/>
      <c r="AM3" s="3256"/>
      <c r="AN3" s="3256"/>
      <c r="AO3" s="3256"/>
      <c r="AP3" s="3256"/>
      <c r="AQ3" s="3256"/>
      <c r="AR3" s="3256"/>
      <c r="AS3" s="3256"/>
      <c r="AT3" s="3256"/>
      <c r="AU3" s="3256"/>
      <c r="AV3" s="3256"/>
      <c r="AW3" s="3256"/>
      <c r="AX3" s="3256"/>
      <c r="AY3" s="3256"/>
      <c r="AZ3" s="3256"/>
      <c r="BA3" s="3256"/>
      <c r="BB3" s="3256"/>
      <c r="BC3" s="3256"/>
      <c r="BD3" s="3256"/>
      <c r="BE3" s="3256"/>
      <c r="BF3" s="3256"/>
      <c r="BG3" s="3257"/>
    </row>
    <row r="4" spans="1:73" ht="21" customHeight="1">
      <c r="A4" s="3254"/>
      <c r="B4" s="3258" t="s">
        <v>496</v>
      </c>
      <c r="C4" s="3259"/>
      <c r="D4" s="3259"/>
      <c r="E4" s="3259"/>
      <c r="F4" s="3259"/>
      <c r="G4" s="3259"/>
      <c r="H4" s="3259"/>
      <c r="I4" s="3259"/>
      <c r="J4" s="3259"/>
      <c r="K4" s="3259"/>
      <c r="L4" s="3259"/>
      <c r="M4" s="3259"/>
      <c r="N4" s="3259"/>
      <c r="O4" s="3259"/>
      <c r="P4" s="3259"/>
      <c r="Q4" s="3259"/>
      <c r="R4" s="3259"/>
      <c r="S4" s="3260"/>
      <c r="T4" s="3258" t="s">
        <v>497</v>
      </c>
      <c r="U4" s="3259"/>
      <c r="V4" s="3259"/>
      <c r="W4" s="3259"/>
      <c r="X4" s="3259"/>
      <c r="Y4" s="3259"/>
      <c r="Z4" s="3259"/>
      <c r="AA4" s="3259"/>
      <c r="AB4" s="3259"/>
      <c r="AC4" s="3259"/>
      <c r="AD4" s="3259"/>
      <c r="AE4" s="3260"/>
      <c r="AF4" s="3258" t="s">
        <v>498</v>
      </c>
      <c r="AG4" s="3259"/>
      <c r="AH4" s="3259"/>
      <c r="AI4" s="3260"/>
      <c r="AJ4" s="3258" t="s">
        <v>499</v>
      </c>
      <c r="AK4" s="3260"/>
      <c r="AL4" s="3258" t="s">
        <v>500</v>
      </c>
      <c r="AM4" s="3260"/>
      <c r="AN4" s="3261" t="s">
        <v>501</v>
      </c>
      <c r="AO4" s="3261" t="s">
        <v>502</v>
      </c>
      <c r="AP4" s="3261" t="s">
        <v>503</v>
      </c>
      <c r="AQ4" s="3263" t="s">
        <v>3207</v>
      </c>
      <c r="AR4" s="3263" t="s">
        <v>3208</v>
      </c>
      <c r="AS4" s="3263" t="s">
        <v>3209</v>
      </c>
      <c r="AT4" s="3263" t="s">
        <v>3210</v>
      </c>
      <c r="AU4" s="3263" t="s">
        <v>505</v>
      </c>
      <c r="AV4" s="3263" t="s">
        <v>506</v>
      </c>
      <c r="AW4" s="3263" t="s">
        <v>507</v>
      </c>
      <c r="AX4" s="3263" t="s">
        <v>508</v>
      </c>
      <c r="AY4" s="3263" t="s">
        <v>509</v>
      </c>
      <c r="AZ4" s="3263" t="s">
        <v>510</v>
      </c>
      <c r="BA4" s="3263" t="s">
        <v>511</v>
      </c>
      <c r="BB4" s="3263" t="s">
        <v>3211</v>
      </c>
      <c r="BC4" s="3263" t="s">
        <v>3212</v>
      </c>
      <c r="BD4" s="3263" t="s">
        <v>3213</v>
      </c>
      <c r="BE4" s="3263" t="s">
        <v>3214</v>
      </c>
      <c r="BF4" s="3266" t="s">
        <v>333</v>
      </c>
      <c r="BG4" s="3268" t="s">
        <v>100</v>
      </c>
    </row>
    <row r="5" spans="1:73" ht="67.5" thickBot="1">
      <c r="A5" s="3255"/>
      <c r="B5" s="1879" t="s">
        <v>512</v>
      </c>
      <c r="C5" s="1880" t="s">
        <v>513</v>
      </c>
      <c r="D5" s="1880" t="s">
        <v>514</v>
      </c>
      <c r="E5" s="1880" t="s">
        <v>515</v>
      </c>
      <c r="F5" s="1880" t="s">
        <v>516</v>
      </c>
      <c r="G5" s="1880" t="s">
        <v>517</v>
      </c>
      <c r="H5" s="1880" t="s">
        <v>518</v>
      </c>
      <c r="I5" s="1880" t="s">
        <v>519</v>
      </c>
      <c r="J5" s="1880" t="s">
        <v>520</v>
      </c>
      <c r="K5" s="1880" t="s">
        <v>521</v>
      </c>
      <c r="L5" s="1880" t="s">
        <v>522</v>
      </c>
      <c r="M5" s="1880" t="s">
        <v>523</v>
      </c>
      <c r="N5" s="1880" t="s">
        <v>524</v>
      </c>
      <c r="O5" s="1880" t="s">
        <v>3205</v>
      </c>
      <c r="P5" s="1880" t="s">
        <v>3206</v>
      </c>
      <c r="Q5" s="1880" t="s">
        <v>525</v>
      </c>
      <c r="R5" s="2385" t="s">
        <v>526</v>
      </c>
      <c r="S5" s="1881" t="s">
        <v>3204</v>
      </c>
      <c r="T5" s="1882" t="s">
        <v>527</v>
      </c>
      <c r="U5" s="1880" t="s">
        <v>528</v>
      </c>
      <c r="V5" s="2608" t="s">
        <v>529</v>
      </c>
      <c r="W5" s="1880" t="s">
        <v>530</v>
      </c>
      <c r="X5" s="1880" t="s">
        <v>531</v>
      </c>
      <c r="Y5" s="1880" t="s">
        <v>532</v>
      </c>
      <c r="Z5" s="1880" t="s">
        <v>514</v>
      </c>
      <c r="AA5" s="1880" t="s">
        <v>533</v>
      </c>
      <c r="AB5" s="1880" t="s">
        <v>517</v>
      </c>
      <c r="AC5" s="1880" t="s">
        <v>534</v>
      </c>
      <c r="AD5" s="1880" t="s">
        <v>522</v>
      </c>
      <c r="AE5" s="1881" t="s">
        <v>523</v>
      </c>
      <c r="AF5" s="1882" t="s">
        <v>535</v>
      </c>
      <c r="AG5" s="1880" t="s">
        <v>527</v>
      </c>
      <c r="AH5" s="2385" t="s">
        <v>528</v>
      </c>
      <c r="AI5" s="1881" t="s">
        <v>530</v>
      </c>
      <c r="AJ5" s="1882" t="s">
        <v>527</v>
      </c>
      <c r="AK5" s="1881" t="s">
        <v>536</v>
      </c>
      <c r="AL5" s="1882" t="s">
        <v>527</v>
      </c>
      <c r="AM5" s="1881" t="s">
        <v>519</v>
      </c>
      <c r="AN5" s="3262"/>
      <c r="AO5" s="3262"/>
      <c r="AP5" s="3262"/>
      <c r="AQ5" s="3264"/>
      <c r="AR5" s="3264"/>
      <c r="AS5" s="3264"/>
      <c r="AT5" s="3264"/>
      <c r="AU5" s="3264"/>
      <c r="AV5" s="3264"/>
      <c r="AW5" s="3264"/>
      <c r="AX5" s="3264"/>
      <c r="AY5" s="3264"/>
      <c r="AZ5" s="3264"/>
      <c r="BA5" s="3264"/>
      <c r="BB5" s="3264"/>
      <c r="BC5" s="3264"/>
      <c r="BD5" s="3264"/>
      <c r="BE5" s="3264"/>
      <c r="BF5" s="3267"/>
      <c r="BG5" s="3269"/>
    </row>
    <row r="6" spans="1:73" ht="33.75" customHeight="1">
      <c r="A6" s="1019" t="s">
        <v>3216</v>
      </c>
      <c r="B6" s="2386"/>
      <c r="C6" s="2387"/>
      <c r="D6" s="2387"/>
      <c r="E6" s="2387"/>
      <c r="F6" s="2387"/>
      <c r="G6" s="2607">
        <v>1</v>
      </c>
      <c r="H6" s="2387"/>
      <c r="I6" s="2387">
        <v>1</v>
      </c>
      <c r="J6" s="2387"/>
      <c r="K6" s="2387"/>
      <c r="L6" s="2387"/>
      <c r="M6" s="2387"/>
      <c r="N6" s="2387"/>
      <c r="O6" s="2387"/>
      <c r="P6" s="2387"/>
      <c r="Q6" s="2387"/>
      <c r="R6" s="2388"/>
      <c r="S6" s="2389"/>
      <c r="T6" s="2386"/>
      <c r="U6" s="2387">
        <v>2</v>
      </c>
      <c r="V6" s="2609"/>
      <c r="W6" s="2387">
        <v>1</v>
      </c>
      <c r="X6" s="2387"/>
      <c r="Y6" s="2387"/>
      <c r="Z6" s="2387">
        <v>1</v>
      </c>
      <c r="AA6" s="2387"/>
      <c r="AB6" s="2387"/>
      <c r="AC6" s="2387"/>
      <c r="AD6" s="2387"/>
      <c r="AE6" s="2389"/>
      <c r="AF6" s="2386"/>
      <c r="AG6" s="2387"/>
      <c r="AH6" s="2388"/>
      <c r="AI6" s="2389"/>
      <c r="AJ6" s="2386"/>
      <c r="AK6" s="2389"/>
      <c r="AL6" s="2386"/>
      <c r="AM6" s="2388"/>
      <c r="AN6" s="2387"/>
      <c r="AO6" s="2387"/>
      <c r="AP6" s="2387"/>
      <c r="AQ6" s="2387"/>
      <c r="AR6" s="2387"/>
      <c r="AS6" s="2387"/>
      <c r="AT6" s="2387"/>
      <c r="AU6" s="2387"/>
      <c r="AV6" s="2387"/>
      <c r="AW6" s="2387"/>
      <c r="AX6" s="2387"/>
      <c r="AY6" s="2387"/>
      <c r="AZ6" s="2387"/>
      <c r="BA6" s="2388"/>
      <c r="BB6" s="2388"/>
      <c r="BC6" s="2388"/>
      <c r="BD6" s="2388"/>
      <c r="BE6" s="2388"/>
      <c r="BF6" s="2388">
        <v>1</v>
      </c>
      <c r="BG6" s="1883">
        <f>SUM(B6:BF6)</f>
        <v>7</v>
      </c>
    </row>
    <row r="7" spans="1:73" ht="33.950000000000003" customHeight="1">
      <c r="A7" s="1020" t="s">
        <v>2277</v>
      </c>
      <c r="B7" s="135"/>
      <c r="C7" s="136"/>
      <c r="D7" s="136"/>
      <c r="E7" s="136"/>
      <c r="F7" s="136"/>
      <c r="G7" s="136">
        <v>1</v>
      </c>
      <c r="H7" s="136"/>
      <c r="I7" s="136"/>
      <c r="J7" s="136">
        <v>1</v>
      </c>
      <c r="K7" s="136"/>
      <c r="L7" s="136"/>
      <c r="M7" s="136"/>
      <c r="N7" s="136"/>
      <c r="O7" s="136">
        <v>1</v>
      </c>
      <c r="P7" s="136"/>
      <c r="Q7" s="136"/>
      <c r="R7" s="138"/>
      <c r="S7" s="137"/>
      <c r="T7" s="135"/>
      <c r="U7" s="136">
        <v>7</v>
      </c>
      <c r="V7" s="2609"/>
      <c r="W7" s="136"/>
      <c r="X7" s="136">
        <v>2</v>
      </c>
      <c r="Y7" s="136"/>
      <c r="Z7" s="136">
        <v>1</v>
      </c>
      <c r="AA7" s="136"/>
      <c r="AB7" s="136"/>
      <c r="AC7" s="136"/>
      <c r="AD7" s="136"/>
      <c r="AE7" s="137"/>
      <c r="AF7" s="135"/>
      <c r="AG7" s="136"/>
      <c r="AH7" s="138"/>
      <c r="AI7" s="137"/>
      <c r="AJ7" s="135"/>
      <c r="AK7" s="137"/>
      <c r="AL7" s="135"/>
      <c r="AM7" s="138"/>
      <c r="AN7" s="136"/>
      <c r="AO7" s="136"/>
      <c r="AP7" s="136"/>
      <c r="AQ7" s="136"/>
      <c r="AR7" s="136"/>
      <c r="AS7" s="136"/>
      <c r="AT7" s="136"/>
      <c r="AU7" s="136">
        <v>2</v>
      </c>
      <c r="AV7" s="136"/>
      <c r="AW7" s="136"/>
      <c r="AX7" s="136"/>
      <c r="AY7" s="136"/>
      <c r="AZ7" s="136"/>
      <c r="BA7" s="138">
        <v>3</v>
      </c>
      <c r="BB7" s="138"/>
      <c r="BC7" s="138"/>
      <c r="BD7" s="138"/>
      <c r="BE7" s="138"/>
      <c r="BF7" s="138">
        <v>21</v>
      </c>
      <c r="BG7" s="1884">
        <f t="shared" ref="BG7:BG15" si="0">SUM(B7:BF7)</f>
        <v>39</v>
      </c>
    </row>
    <row r="8" spans="1:73" ht="33.950000000000003" customHeight="1">
      <c r="A8" s="1020" t="s">
        <v>2280</v>
      </c>
      <c r="B8" s="135"/>
      <c r="C8" s="136"/>
      <c r="D8" s="136"/>
      <c r="E8" s="136"/>
      <c r="F8" s="136"/>
      <c r="G8" s="136"/>
      <c r="H8" s="136"/>
      <c r="I8" s="136"/>
      <c r="J8" s="136"/>
      <c r="K8" s="136"/>
      <c r="L8" s="136"/>
      <c r="M8" s="136">
        <v>1</v>
      </c>
      <c r="N8" s="136"/>
      <c r="O8" s="136"/>
      <c r="P8" s="136"/>
      <c r="Q8" s="136"/>
      <c r="R8" s="138"/>
      <c r="S8" s="137"/>
      <c r="T8" s="135"/>
      <c r="U8" s="136">
        <v>6</v>
      </c>
      <c r="V8" s="2609"/>
      <c r="W8" s="136">
        <v>1</v>
      </c>
      <c r="X8" s="136">
        <v>1</v>
      </c>
      <c r="Y8" s="136"/>
      <c r="Z8" s="136"/>
      <c r="AA8" s="136"/>
      <c r="AB8" s="136"/>
      <c r="AC8" s="136"/>
      <c r="AD8" s="136"/>
      <c r="AE8" s="137"/>
      <c r="AF8" s="135"/>
      <c r="AG8" s="136"/>
      <c r="AH8" s="138"/>
      <c r="AI8" s="137"/>
      <c r="AJ8" s="135"/>
      <c r="AK8" s="137"/>
      <c r="AL8" s="135"/>
      <c r="AM8" s="138"/>
      <c r="AN8" s="136"/>
      <c r="AO8" s="136"/>
      <c r="AP8" s="136"/>
      <c r="AQ8" s="136"/>
      <c r="AR8" s="136"/>
      <c r="AS8" s="136"/>
      <c r="AT8" s="136"/>
      <c r="AU8" s="136"/>
      <c r="AV8" s="136"/>
      <c r="AW8" s="136"/>
      <c r="AX8" s="136"/>
      <c r="AY8" s="136"/>
      <c r="AZ8" s="136"/>
      <c r="BA8" s="138"/>
      <c r="BB8" s="138"/>
      <c r="BC8" s="138"/>
      <c r="BD8" s="138"/>
      <c r="BE8" s="138"/>
      <c r="BF8" s="138">
        <v>4</v>
      </c>
      <c r="BG8" s="1884">
        <f t="shared" si="0"/>
        <v>13</v>
      </c>
    </row>
    <row r="9" spans="1:73" ht="33.950000000000003" customHeight="1">
      <c r="A9" s="1020" t="s">
        <v>2279</v>
      </c>
      <c r="B9" s="135"/>
      <c r="C9" s="136"/>
      <c r="D9" s="136"/>
      <c r="E9" s="136"/>
      <c r="F9" s="136"/>
      <c r="G9" s="136"/>
      <c r="H9" s="136"/>
      <c r="I9" s="136"/>
      <c r="J9" s="136"/>
      <c r="K9" s="136"/>
      <c r="L9" s="136"/>
      <c r="M9" s="136"/>
      <c r="N9" s="136"/>
      <c r="O9" s="136">
        <v>2</v>
      </c>
      <c r="P9" s="136"/>
      <c r="Q9" s="136"/>
      <c r="R9" s="138"/>
      <c r="S9" s="137"/>
      <c r="T9" s="135"/>
      <c r="U9" s="136">
        <v>6</v>
      </c>
      <c r="V9" s="2609"/>
      <c r="W9" s="136">
        <v>2</v>
      </c>
      <c r="X9" s="136"/>
      <c r="Y9" s="136"/>
      <c r="Z9" s="136"/>
      <c r="AA9" s="136"/>
      <c r="AB9" s="136"/>
      <c r="AC9" s="136"/>
      <c r="AD9" s="136"/>
      <c r="AE9" s="137"/>
      <c r="AF9" s="135"/>
      <c r="AG9" s="136"/>
      <c r="AH9" s="138"/>
      <c r="AI9" s="137"/>
      <c r="AJ9" s="135"/>
      <c r="AK9" s="137"/>
      <c r="AL9" s="135"/>
      <c r="AM9" s="138"/>
      <c r="AN9" s="136"/>
      <c r="AO9" s="136"/>
      <c r="AP9" s="136"/>
      <c r="AQ9" s="136"/>
      <c r="AR9" s="136"/>
      <c r="AS9" s="136"/>
      <c r="AT9" s="136"/>
      <c r="AU9" s="136">
        <v>1</v>
      </c>
      <c r="AV9" s="136"/>
      <c r="AW9" s="136"/>
      <c r="AX9" s="136"/>
      <c r="AY9" s="136"/>
      <c r="AZ9" s="136"/>
      <c r="BA9" s="138"/>
      <c r="BB9" s="138"/>
      <c r="BC9" s="138"/>
      <c r="BD9" s="138"/>
      <c r="BE9" s="138"/>
      <c r="BF9" s="138">
        <v>18</v>
      </c>
      <c r="BG9" s="1884">
        <f t="shared" si="0"/>
        <v>29</v>
      </c>
    </row>
    <row r="10" spans="1:73" ht="33.950000000000003" customHeight="1">
      <c r="A10" s="1020" t="s">
        <v>3217</v>
      </c>
      <c r="B10" s="135"/>
      <c r="C10" s="136"/>
      <c r="D10" s="136"/>
      <c r="E10" s="136"/>
      <c r="F10" s="136"/>
      <c r="G10" s="136"/>
      <c r="H10" s="136"/>
      <c r="I10" s="136"/>
      <c r="J10" s="136"/>
      <c r="K10" s="136"/>
      <c r="L10" s="136"/>
      <c r="M10" s="136"/>
      <c r="N10" s="136"/>
      <c r="O10" s="136"/>
      <c r="P10" s="136"/>
      <c r="Q10" s="136"/>
      <c r="R10" s="138"/>
      <c r="S10" s="137"/>
      <c r="T10" s="135"/>
      <c r="U10" s="136">
        <v>2</v>
      </c>
      <c r="V10" s="2609"/>
      <c r="W10" s="136">
        <v>1</v>
      </c>
      <c r="X10" s="136"/>
      <c r="Y10" s="136"/>
      <c r="Z10" s="136"/>
      <c r="AA10" s="136"/>
      <c r="AB10" s="136"/>
      <c r="AC10" s="136"/>
      <c r="AD10" s="136"/>
      <c r="AE10" s="137"/>
      <c r="AF10" s="135"/>
      <c r="AG10" s="136"/>
      <c r="AH10" s="138"/>
      <c r="AI10" s="137"/>
      <c r="AJ10" s="135"/>
      <c r="AK10" s="137"/>
      <c r="AL10" s="135"/>
      <c r="AM10" s="138"/>
      <c r="AN10" s="136"/>
      <c r="AO10" s="136"/>
      <c r="AP10" s="136"/>
      <c r="AQ10" s="136"/>
      <c r="AR10" s="136"/>
      <c r="AS10" s="136"/>
      <c r="AT10" s="136"/>
      <c r="AU10" s="136"/>
      <c r="AV10" s="136"/>
      <c r="AW10" s="136"/>
      <c r="AX10" s="136"/>
      <c r="AY10" s="136"/>
      <c r="AZ10" s="136"/>
      <c r="BA10" s="138">
        <v>1</v>
      </c>
      <c r="BB10" s="138"/>
      <c r="BC10" s="138"/>
      <c r="BD10" s="138"/>
      <c r="BE10" s="138"/>
      <c r="BF10" s="138">
        <v>2</v>
      </c>
      <c r="BG10" s="1884">
        <f t="shared" si="0"/>
        <v>6</v>
      </c>
    </row>
    <row r="11" spans="1:73" ht="33.950000000000003" customHeight="1">
      <c r="A11" s="1020" t="s">
        <v>2278</v>
      </c>
      <c r="B11" s="135"/>
      <c r="C11" s="136"/>
      <c r="D11" s="136"/>
      <c r="E11" s="136"/>
      <c r="F11" s="136"/>
      <c r="G11" s="136"/>
      <c r="H11" s="136"/>
      <c r="I11" s="136"/>
      <c r="J11" s="136"/>
      <c r="K11" s="136"/>
      <c r="L11" s="136"/>
      <c r="M11" s="136"/>
      <c r="N11" s="136"/>
      <c r="O11" s="136"/>
      <c r="P11" s="136"/>
      <c r="Q11" s="136"/>
      <c r="R11" s="138"/>
      <c r="S11" s="137"/>
      <c r="T11" s="135"/>
      <c r="U11" s="136">
        <v>1</v>
      </c>
      <c r="V11" s="2609"/>
      <c r="W11" s="136"/>
      <c r="X11" s="136"/>
      <c r="Y11" s="136"/>
      <c r="Z11" s="136"/>
      <c r="AA11" s="136"/>
      <c r="AB11" s="136"/>
      <c r="AC11" s="136"/>
      <c r="AD11" s="136"/>
      <c r="AE11" s="137"/>
      <c r="AF11" s="135"/>
      <c r="AG11" s="136"/>
      <c r="AH11" s="138"/>
      <c r="AI11" s="137"/>
      <c r="AJ11" s="135"/>
      <c r="AK11" s="137"/>
      <c r="AL11" s="135"/>
      <c r="AM11" s="138"/>
      <c r="AN11" s="136"/>
      <c r="AO11" s="136"/>
      <c r="AP11" s="136"/>
      <c r="AQ11" s="136"/>
      <c r="AR11" s="136"/>
      <c r="AS11" s="136"/>
      <c r="AT11" s="136"/>
      <c r="AU11" s="136"/>
      <c r="AV11" s="136"/>
      <c r="AW11" s="136"/>
      <c r="AX11" s="136"/>
      <c r="AY11" s="136"/>
      <c r="AZ11" s="136"/>
      <c r="BA11" s="138"/>
      <c r="BB11" s="138"/>
      <c r="BC11" s="138"/>
      <c r="BD11" s="138"/>
      <c r="BE11" s="138"/>
      <c r="BF11" s="138"/>
      <c r="BG11" s="1884">
        <f t="shared" si="0"/>
        <v>1</v>
      </c>
    </row>
    <row r="12" spans="1:73" s="121" customFormat="1" ht="33.950000000000003" customHeight="1">
      <c r="A12" s="1020" t="s">
        <v>2281</v>
      </c>
      <c r="B12" s="135"/>
      <c r="C12" s="136"/>
      <c r="D12" s="136"/>
      <c r="E12" s="136"/>
      <c r="F12" s="136"/>
      <c r="G12" s="136"/>
      <c r="H12" s="136"/>
      <c r="I12" s="136"/>
      <c r="J12" s="136"/>
      <c r="K12" s="136"/>
      <c r="L12" s="136"/>
      <c r="M12" s="136"/>
      <c r="N12" s="136"/>
      <c r="O12" s="136"/>
      <c r="P12" s="136"/>
      <c r="Q12" s="136"/>
      <c r="R12" s="138"/>
      <c r="S12" s="137"/>
      <c r="T12" s="135"/>
      <c r="U12" s="136">
        <v>5</v>
      </c>
      <c r="V12" s="2610"/>
      <c r="W12" s="136">
        <v>2</v>
      </c>
      <c r="X12" s="136"/>
      <c r="Y12" s="136"/>
      <c r="Z12" s="136"/>
      <c r="AA12" s="136"/>
      <c r="AB12" s="136"/>
      <c r="AC12" s="136"/>
      <c r="AD12" s="136"/>
      <c r="AE12" s="137"/>
      <c r="AF12" s="135"/>
      <c r="AG12" s="136"/>
      <c r="AH12" s="138"/>
      <c r="AI12" s="137"/>
      <c r="AJ12" s="135"/>
      <c r="AK12" s="137"/>
      <c r="AL12" s="135"/>
      <c r="AM12" s="138"/>
      <c r="AN12" s="136"/>
      <c r="AO12" s="136"/>
      <c r="AP12" s="136"/>
      <c r="AQ12" s="136"/>
      <c r="AR12" s="136"/>
      <c r="AS12" s="136"/>
      <c r="AT12" s="136"/>
      <c r="AU12" s="136"/>
      <c r="AV12" s="136"/>
      <c r="AW12" s="136"/>
      <c r="AX12" s="136"/>
      <c r="AY12" s="136"/>
      <c r="AZ12" s="136"/>
      <c r="BA12" s="138"/>
      <c r="BB12" s="138"/>
      <c r="BC12" s="138"/>
      <c r="BD12" s="138"/>
      <c r="BE12" s="138"/>
      <c r="BF12" s="138">
        <v>11</v>
      </c>
      <c r="BG12" s="1884">
        <f t="shared" si="0"/>
        <v>18</v>
      </c>
      <c r="BL12" s="5"/>
      <c r="BM12" s="5"/>
      <c r="BN12" s="5"/>
      <c r="BO12" s="5"/>
      <c r="BP12" s="5"/>
      <c r="BQ12" s="5"/>
    </row>
    <row r="13" spans="1:73" s="121" customFormat="1" ht="33.950000000000003" customHeight="1">
      <c r="A13" s="1020" t="s">
        <v>2283</v>
      </c>
      <c r="B13" s="135"/>
      <c r="C13" s="136"/>
      <c r="D13" s="136"/>
      <c r="E13" s="136"/>
      <c r="F13" s="136"/>
      <c r="G13" s="136"/>
      <c r="H13" s="136"/>
      <c r="I13" s="136"/>
      <c r="J13" s="136"/>
      <c r="K13" s="136"/>
      <c r="L13" s="136"/>
      <c r="M13" s="136"/>
      <c r="N13" s="136"/>
      <c r="O13" s="136"/>
      <c r="P13" s="136"/>
      <c r="Q13" s="136"/>
      <c r="R13" s="138"/>
      <c r="S13" s="137"/>
      <c r="T13" s="135"/>
      <c r="U13" s="136"/>
      <c r="V13" s="136"/>
      <c r="W13" s="136"/>
      <c r="X13" s="136"/>
      <c r="Y13" s="136"/>
      <c r="Z13" s="136"/>
      <c r="AA13" s="136"/>
      <c r="AB13" s="136"/>
      <c r="AC13" s="136"/>
      <c r="AD13" s="136"/>
      <c r="AE13" s="137"/>
      <c r="AF13" s="135"/>
      <c r="AG13" s="136"/>
      <c r="AH13" s="138"/>
      <c r="AI13" s="137"/>
      <c r="AJ13" s="135"/>
      <c r="AK13" s="137"/>
      <c r="AL13" s="135"/>
      <c r="AM13" s="138"/>
      <c r="AN13" s="136"/>
      <c r="AO13" s="136"/>
      <c r="AP13" s="136"/>
      <c r="AQ13" s="136"/>
      <c r="AR13" s="136"/>
      <c r="AS13" s="136"/>
      <c r="AT13" s="136"/>
      <c r="AU13" s="136"/>
      <c r="AV13" s="136"/>
      <c r="AW13" s="136"/>
      <c r="AX13" s="136"/>
      <c r="AY13" s="136"/>
      <c r="AZ13" s="136"/>
      <c r="BA13" s="138"/>
      <c r="BB13" s="138"/>
      <c r="BC13" s="138"/>
      <c r="BD13" s="138"/>
      <c r="BE13" s="138"/>
      <c r="BF13" s="138"/>
      <c r="BG13" s="1884">
        <f t="shared" si="0"/>
        <v>0</v>
      </c>
    </row>
    <row r="14" spans="1:73" ht="33.950000000000003" customHeight="1">
      <c r="A14" s="1020" t="s">
        <v>2282</v>
      </c>
      <c r="B14" s="135"/>
      <c r="C14" s="136"/>
      <c r="D14" s="136"/>
      <c r="E14" s="136"/>
      <c r="F14" s="136"/>
      <c r="G14" s="136"/>
      <c r="H14" s="136"/>
      <c r="I14" s="136"/>
      <c r="J14" s="136"/>
      <c r="K14" s="136"/>
      <c r="L14" s="136"/>
      <c r="M14" s="136"/>
      <c r="N14" s="136"/>
      <c r="O14" s="136"/>
      <c r="P14" s="136"/>
      <c r="Q14" s="136"/>
      <c r="R14" s="138"/>
      <c r="S14" s="137"/>
      <c r="T14" s="135"/>
      <c r="U14" s="136">
        <v>1</v>
      </c>
      <c r="V14" s="136"/>
      <c r="W14" s="136"/>
      <c r="X14" s="136"/>
      <c r="Y14" s="136"/>
      <c r="Z14" s="136"/>
      <c r="AA14" s="136"/>
      <c r="AB14" s="136"/>
      <c r="AC14" s="136"/>
      <c r="AD14" s="136"/>
      <c r="AE14" s="137"/>
      <c r="AF14" s="135"/>
      <c r="AG14" s="136"/>
      <c r="AH14" s="138"/>
      <c r="AI14" s="137"/>
      <c r="AJ14" s="135"/>
      <c r="AK14" s="137"/>
      <c r="AL14" s="135"/>
      <c r="AM14" s="138"/>
      <c r="AN14" s="136"/>
      <c r="AO14" s="136"/>
      <c r="AP14" s="136"/>
      <c r="AQ14" s="136"/>
      <c r="AR14" s="136"/>
      <c r="AS14" s="136"/>
      <c r="AT14" s="136"/>
      <c r="AU14" s="136"/>
      <c r="AV14" s="136"/>
      <c r="AW14" s="136"/>
      <c r="AX14" s="136"/>
      <c r="AY14" s="136"/>
      <c r="AZ14" s="136"/>
      <c r="BA14" s="138"/>
      <c r="BB14" s="138"/>
      <c r="BC14" s="138"/>
      <c r="BD14" s="138"/>
      <c r="BE14" s="138"/>
      <c r="BF14" s="138">
        <v>1</v>
      </c>
      <c r="BG14" s="1884">
        <f t="shared" si="0"/>
        <v>2</v>
      </c>
    </row>
    <row r="15" spans="1:73" ht="33.950000000000003" customHeight="1" thickBot="1">
      <c r="A15" s="1020" t="s">
        <v>3218</v>
      </c>
      <c r="B15" s="135"/>
      <c r="C15" s="136"/>
      <c r="D15" s="136"/>
      <c r="E15" s="136"/>
      <c r="F15" s="136"/>
      <c r="G15" s="136"/>
      <c r="H15" s="136"/>
      <c r="I15" s="136"/>
      <c r="J15" s="136"/>
      <c r="K15" s="136"/>
      <c r="L15" s="136"/>
      <c r="M15" s="136"/>
      <c r="N15" s="136"/>
      <c r="O15" s="136"/>
      <c r="P15" s="136"/>
      <c r="Q15" s="136"/>
      <c r="R15" s="138"/>
      <c r="S15" s="137"/>
      <c r="T15" s="135"/>
      <c r="U15" s="136"/>
      <c r="V15" s="136"/>
      <c r="W15" s="136"/>
      <c r="X15" s="136"/>
      <c r="Y15" s="136"/>
      <c r="Z15" s="136"/>
      <c r="AA15" s="136"/>
      <c r="AB15" s="136"/>
      <c r="AC15" s="136"/>
      <c r="AD15" s="136"/>
      <c r="AE15" s="137"/>
      <c r="AF15" s="135"/>
      <c r="AG15" s="136"/>
      <c r="AH15" s="138"/>
      <c r="AI15" s="137"/>
      <c r="AJ15" s="135"/>
      <c r="AK15" s="137"/>
      <c r="AL15" s="135"/>
      <c r="AM15" s="138"/>
      <c r="AN15" s="136"/>
      <c r="AO15" s="136"/>
      <c r="AP15" s="136"/>
      <c r="AQ15" s="136"/>
      <c r="AR15" s="136"/>
      <c r="AS15" s="136"/>
      <c r="AT15" s="136"/>
      <c r="AU15" s="136"/>
      <c r="AV15" s="136"/>
      <c r="AW15" s="136"/>
      <c r="AX15" s="136"/>
      <c r="AY15" s="136"/>
      <c r="AZ15" s="136"/>
      <c r="BA15" s="138"/>
      <c r="BB15" s="138"/>
      <c r="BC15" s="138"/>
      <c r="BD15" s="138"/>
      <c r="BE15" s="138"/>
      <c r="BF15" s="138"/>
      <c r="BG15" s="1884">
        <f t="shared" si="0"/>
        <v>0</v>
      </c>
    </row>
    <row r="16" spans="1:73" s="121" customFormat="1" ht="33.950000000000003" customHeight="1" thickBot="1">
      <c r="A16" s="1885" t="s">
        <v>100</v>
      </c>
      <c r="B16" s="1886">
        <f t="shared" ref="B16:AG16" si="1">SUM(B6:B15)</f>
        <v>0</v>
      </c>
      <c r="C16" s="1887">
        <f t="shared" si="1"/>
        <v>0</v>
      </c>
      <c r="D16" s="1887">
        <f t="shared" si="1"/>
        <v>0</v>
      </c>
      <c r="E16" s="1887">
        <f t="shared" si="1"/>
        <v>0</v>
      </c>
      <c r="F16" s="1887">
        <f t="shared" si="1"/>
        <v>0</v>
      </c>
      <c r="G16" s="1887">
        <f t="shared" si="1"/>
        <v>2</v>
      </c>
      <c r="H16" s="1887">
        <f t="shared" si="1"/>
        <v>0</v>
      </c>
      <c r="I16" s="1887">
        <f t="shared" si="1"/>
        <v>1</v>
      </c>
      <c r="J16" s="1887">
        <f t="shared" si="1"/>
        <v>1</v>
      </c>
      <c r="K16" s="1887">
        <f t="shared" si="1"/>
        <v>0</v>
      </c>
      <c r="L16" s="1887">
        <f t="shared" si="1"/>
        <v>0</v>
      </c>
      <c r="M16" s="1887">
        <f t="shared" si="1"/>
        <v>1</v>
      </c>
      <c r="N16" s="1887">
        <f t="shared" si="1"/>
        <v>0</v>
      </c>
      <c r="O16" s="1887">
        <f t="shared" si="1"/>
        <v>3</v>
      </c>
      <c r="P16" s="1887">
        <f t="shared" si="1"/>
        <v>0</v>
      </c>
      <c r="Q16" s="1887">
        <f t="shared" si="1"/>
        <v>0</v>
      </c>
      <c r="R16" s="1890">
        <f t="shared" si="1"/>
        <v>0</v>
      </c>
      <c r="S16" s="1888">
        <f t="shared" si="1"/>
        <v>0</v>
      </c>
      <c r="T16" s="1886">
        <f t="shared" si="1"/>
        <v>0</v>
      </c>
      <c r="U16" s="1887">
        <f t="shared" si="1"/>
        <v>30</v>
      </c>
      <c r="V16" s="1887">
        <f t="shared" si="1"/>
        <v>0</v>
      </c>
      <c r="W16" s="1887">
        <f t="shared" si="1"/>
        <v>7</v>
      </c>
      <c r="X16" s="1887">
        <f t="shared" si="1"/>
        <v>3</v>
      </c>
      <c r="Y16" s="1887">
        <f t="shared" si="1"/>
        <v>0</v>
      </c>
      <c r="Z16" s="1887">
        <f t="shared" si="1"/>
        <v>2</v>
      </c>
      <c r="AA16" s="1887">
        <f t="shared" si="1"/>
        <v>0</v>
      </c>
      <c r="AB16" s="1887">
        <f t="shared" si="1"/>
        <v>0</v>
      </c>
      <c r="AC16" s="1887">
        <f t="shared" si="1"/>
        <v>0</v>
      </c>
      <c r="AD16" s="1887">
        <f t="shared" si="1"/>
        <v>0</v>
      </c>
      <c r="AE16" s="1888">
        <f t="shared" si="1"/>
        <v>0</v>
      </c>
      <c r="AF16" s="1886">
        <f t="shared" si="1"/>
        <v>0</v>
      </c>
      <c r="AG16" s="1887">
        <f t="shared" si="1"/>
        <v>0</v>
      </c>
      <c r="AH16" s="1890">
        <f t="shared" ref="AH16:BG16" si="2">SUM(AH6:AH15)</f>
        <v>0</v>
      </c>
      <c r="AI16" s="1888">
        <f t="shared" si="2"/>
        <v>0</v>
      </c>
      <c r="AJ16" s="1886">
        <f t="shared" si="2"/>
        <v>0</v>
      </c>
      <c r="AK16" s="1888">
        <f t="shared" si="2"/>
        <v>0</v>
      </c>
      <c r="AL16" s="1886">
        <f t="shared" si="2"/>
        <v>0</v>
      </c>
      <c r="AM16" s="1890">
        <f t="shared" si="2"/>
        <v>0</v>
      </c>
      <c r="AN16" s="1887">
        <f t="shared" si="2"/>
        <v>0</v>
      </c>
      <c r="AO16" s="1887">
        <f t="shared" si="2"/>
        <v>0</v>
      </c>
      <c r="AP16" s="1887">
        <f t="shared" si="2"/>
        <v>0</v>
      </c>
      <c r="AQ16" s="1887">
        <f t="shared" si="2"/>
        <v>0</v>
      </c>
      <c r="AR16" s="1887">
        <f t="shared" si="2"/>
        <v>0</v>
      </c>
      <c r="AS16" s="1887">
        <f t="shared" si="2"/>
        <v>0</v>
      </c>
      <c r="AT16" s="1887">
        <f t="shared" si="2"/>
        <v>0</v>
      </c>
      <c r="AU16" s="1887">
        <f t="shared" si="2"/>
        <v>3</v>
      </c>
      <c r="AV16" s="1887">
        <f t="shared" si="2"/>
        <v>0</v>
      </c>
      <c r="AW16" s="1887">
        <f t="shared" si="2"/>
        <v>0</v>
      </c>
      <c r="AX16" s="1887">
        <f t="shared" si="2"/>
        <v>0</v>
      </c>
      <c r="AY16" s="1887">
        <f t="shared" si="2"/>
        <v>0</v>
      </c>
      <c r="AZ16" s="1887">
        <f t="shared" si="2"/>
        <v>0</v>
      </c>
      <c r="BA16" s="1890">
        <f t="shared" si="2"/>
        <v>4</v>
      </c>
      <c r="BB16" s="1890">
        <f t="shared" si="2"/>
        <v>0</v>
      </c>
      <c r="BC16" s="1890">
        <f t="shared" si="2"/>
        <v>0</v>
      </c>
      <c r="BD16" s="1890">
        <f t="shared" si="2"/>
        <v>0</v>
      </c>
      <c r="BE16" s="1890">
        <f t="shared" si="2"/>
        <v>0</v>
      </c>
      <c r="BF16" s="1890">
        <f t="shared" si="2"/>
        <v>58</v>
      </c>
      <c r="BG16" s="1889">
        <f t="shared" si="2"/>
        <v>115</v>
      </c>
      <c r="BL16" s="5"/>
      <c r="BM16" s="5"/>
      <c r="BN16" s="5"/>
      <c r="BO16" s="5"/>
      <c r="BP16" s="5"/>
      <c r="BQ16" s="5"/>
      <c r="BR16" s="5"/>
      <c r="BS16" s="5"/>
      <c r="BT16" s="5"/>
      <c r="BU16" s="5"/>
    </row>
    <row r="18" spans="1:74" s="121" customFormat="1">
      <c r="A18" s="3265"/>
      <c r="B18" s="3265"/>
      <c r="C18" s="3265"/>
      <c r="D18" s="3265"/>
      <c r="E18" s="3265"/>
      <c r="F18" s="3265"/>
      <c r="G18" s="3265"/>
      <c r="H18" s="3265"/>
      <c r="I18" s="3265"/>
      <c r="J18" s="3265"/>
      <c r="K18" s="3265"/>
      <c r="L18" s="3265"/>
      <c r="M18" s="3265"/>
      <c r="N18" s="3265"/>
      <c r="O18" s="3265"/>
      <c r="P18" s="3265"/>
      <c r="Q18" s="3265"/>
      <c r="R18" s="3265"/>
      <c r="S18" s="3265"/>
      <c r="T18" s="3265"/>
      <c r="U18" s="3265"/>
      <c r="V18" s="3265"/>
      <c r="W18" s="3265"/>
      <c r="X18" s="3265"/>
      <c r="Y18" s="3265"/>
      <c r="Z18" s="3265"/>
      <c r="AA18" s="3265"/>
      <c r="AB18" s="3265"/>
      <c r="AC18" s="3265"/>
      <c r="AD18" s="3265"/>
      <c r="AE18" s="3265"/>
      <c r="AF18" s="3265"/>
      <c r="AG18" s="3265"/>
      <c r="AH18" s="3265"/>
      <c r="AI18" s="3265"/>
      <c r="AJ18" s="3265"/>
      <c r="AK18" s="3265"/>
      <c r="AL18" s="3265"/>
      <c r="AM18" s="3265"/>
      <c r="AN18" s="3265"/>
      <c r="AO18" s="3265"/>
      <c r="AP18" s="3265"/>
      <c r="AQ18" s="3265"/>
      <c r="AR18" s="3265"/>
      <c r="AS18" s="3265"/>
      <c r="AT18" s="3265"/>
      <c r="AU18" s="3265"/>
      <c r="AV18" s="3265"/>
      <c r="AW18" s="3265"/>
      <c r="AX18" s="3265"/>
      <c r="AY18" s="3265"/>
      <c r="AZ18" s="3265"/>
      <c r="BA18" s="3265"/>
      <c r="BB18" s="3265"/>
      <c r="BC18" s="3265"/>
      <c r="BD18" s="3265"/>
      <c r="BE18" s="3265"/>
      <c r="BF18" s="3265"/>
      <c r="BG18" s="3265"/>
      <c r="BL18" s="5"/>
      <c r="BM18" s="5"/>
      <c r="BN18" s="5"/>
      <c r="BO18" s="5"/>
      <c r="BP18" s="5"/>
      <c r="BQ18" s="5"/>
      <c r="BR18" s="5"/>
      <c r="BS18" s="5"/>
      <c r="BT18" s="5"/>
      <c r="BU18" s="5"/>
      <c r="BV18" s="5"/>
    </row>
    <row r="19" spans="1:74" s="121" customFormat="1">
      <c r="A19" s="3265"/>
      <c r="B19" s="3265"/>
      <c r="C19" s="3265"/>
      <c r="D19" s="3265"/>
      <c r="E19" s="3265"/>
      <c r="F19" s="3265"/>
      <c r="G19" s="3265"/>
      <c r="H19" s="3265"/>
      <c r="I19" s="3265"/>
      <c r="J19" s="3265"/>
      <c r="K19" s="3265"/>
      <c r="L19" s="3265"/>
      <c r="M19" s="3265"/>
      <c r="N19" s="3265"/>
      <c r="O19" s="3265"/>
      <c r="P19" s="3265"/>
      <c r="Q19" s="3265"/>
      <c r="R19" s="3265"/>
      <c r="S19" s="3265"/>
      <c r="T19" s="3265"/>
      <c r="U19" s="3265"/>
      <c r="V19" s="3265"/>
      <c r="W19" s="3265"/>
      <c r="X19" s="3265"/>
      <c r="Y19" s="3265"/>
      <c r="Z19" s="3265"/>
      <c r="AA19" s="3265"/>
      <c r="AB19" s="3265"/>
      <c r="AC19" s="3265"/>
      <c r="AD19" s="3265"/>
      <c r="AE19" s="3265"/>
      <c r="AF19" s="3265"/>
      <c r="AG19" s="3265"/>
      <c r="AH19" s="3265"/>
      <c r="AI19" s="3265"/>
      <c r="AJ19" s="3265"/>
      <c r="AK19" s="3265"/>
      <c r="AL19" s="3265"/>
      <c r="AM19" s="3265"/>
      <c r="AN19" s="3265"/>
      <c r="AO19" s="3265"/>
      <c r="AP19" s="3265"/>
      <c r="AQ19" s="3265"/>
      <c r="AR19" s="3265"/>
      <c r="AS19" s="3265"/>
      <c r="AT19" s="3265"/>
      <c r="AU19" s="3265"/>
      <c r="AV19" s="3265"/>
      <c r="AW19" s="3265"/>
      <c r="AX19" s="3265"/>
      <c r="AY19" s="3265"/>
      <c r="AZ19" s="3265"/>
      <c r="BA19" s="3265"/>
      <c r="BB19" s="3265"/>
      <c r="BC19" s="3265"/>
      <c r="BD19" s="3265"/>
      <c r="BE19" s="3265"/>
      <c r="BF19" s="3265"/>
      <c r="BG19" s="3265"/>
      <c r="BL19" s="5"/>
      <c r="BM19" s="5"/>
      <c r="BN19" s="5"/>
      <c r="BO19" s="5"/>
      <c r="BP19" s="5"/>
      <c r="BQ19" s="5"/>
      <c r="BR19" s="5"/>
      <c r="BS19" s="5"/>
      <c r="BT19" s="5"/>
      <c r="BU19" s="5"/>
      <c r="BV19" s="5"/>
    </row>
  </sheetData>
  <mergeCells count="29">
    <mergeCell ref="A18:BG19"/>
    <mergeCell ref="AX4:AX5"/>
    <mergeCell ref="AY4:AY5"/>
    <mergeCell ref="AZ4:AZ5"/>
    <mergeCell ref="BD4:BD5"/>
    <mergeCell ref="BF4:BF5"/>
    <mergeCell ref="BG4:BG5"/>
    <mergeCell ref="AO4:AO5"/>
    <mergeCell ref="AP4:AP5"/>
    <mergeCell ref="AT4:AT5"/>
    <mergeCell ref="AU4:AU5"/>
    <mergeCell ref="AV4:AV5"/>
    <mergeCell ref="AW4:AW5"/>
    <mergeCell ref="B4:S4"/>
    <mergeCell ref="AR4:AR5"/>
    <mergeCell ref="AQ4:AQ5"/>
    <mergeCell ref="A1:BG1"/>
    <mergeCell ref="A3:A5"/>
    <mergeCell ref="B3:BG3"/>
    <mergeCell ref="T4:AE4"/>
    <mergeCell ref="AF4:AI4"/>
    <mergeCell ref="AJ4:AK4"/>
    <mergeCell ref="AL4:AM4"/>
    <mergeCell ref="AN4:AN5"/>
    <mergeCell ref="AS4:AS5"/>
    <mergeCell ref="BA4:BA5"/>
    <mergeCell ref="BB4:BB5"/>
    <mergeCell ref="BC4:BC5"/>
    <mergeCell ref="BE4:BE5"/>
  </mergeCells>
  <printOptions horizontalCentered="1"/>
  <pageMargins left="0.19685039370078741" right="0.19685039370078741" top="0.59055118110236227" bottom="0.78740157480314965" header="0.19685039370078741" footer="0.19685039370078741"/>
  <pageSetup paperSize="9" scale="4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6">
    <tabColor rgb="FF458B74"/>
    <pageSetUpPr fitToPage="1"/>
  </sheetPr>
  <dimension ref="A1:AV64"/>
  <sheetViews>
    <sheetView rightToLeft="1" zoomScale="60" zoomScaleNormal="60" workbookViewId="0">
      <selection activeCell="X21" sqref="X21"/>
    </sheetView>
  </sheetViews>
  <sheetFormatPr defaultColWidth="9.140625" defaultRowHeight="24.75"/>
  <cols>
    <col min="1" max="1" width="20.5703125" style="1023" customWidth="1"/>
    <col min="2" max="2" width="14.42578125" style="1023" customWidth="1"/>
    <col min="3" max="3" width="9.7109375" style="1023" bestFit="1" customWidth="1"/>
    <col min="4" max="9" width="12.5703125" style="1023" customWidth="1"/>
    <col min="10" max="11" width="10.5703125" style="1023" customWidth="1"/>
    <col min="12" max="12" width="9.28515625" style="1023" bestFit="1" customWidth="1"/>
    <col min="13" max="18" width="12.5703125" style="1023" customWidth="1"/>
    <col min="19" max="20" width="10.5703125" style="1023" customWidth="1"/>
    <col min="21" max="21" width="7.28515625" style="1023" customWidth="1"/>
    <col min="22" max="27" width="12.5703125" style="1023" customWidth="1"/>
    <col min="28" max="29" width="10.5703125" style="1023" customWidth="1"/>
    <col min="30" max="16384" width="9.140625" style="1023"/>
  </cols>
  <sheetData>
    <row r="1" spans="1:48" s="114" customFormat="1" ht="24" customHeight="1">
      <c r="A1" s="3252" t="str">
        <f>روکش!D4</f>
        <v>انبارهای عمومی و خدمات گمرکی ایران</v>
      </c>
      <c r="B1" s="3252"/>
      <c r="C1" s="3252"/>
      <c r="D1" s="3252"/>
      <c r="E1" s="3252"/>
      <c r="F1" s="3252"/>
      <c r="G1" s="3252"/>
      <c r="H1" s="3252"/>
      <c r="I1" s="3252"/>
      <c r="J1" s="3252"/>
      <c r="K1" s="3252"/>
      <c r="L1" s="3252"/>
      <c r="M1" s="3252"/>
      <c r="N1" s="3252"/>
      <c r="O1" s="3252"/>
      <c r="P1" s="3252"/>
      <c r="Q1" s="3252"/>
      <c r="R1" s="3252"/>
      <c r="S1" s="3252"/>
      <c r="T1" s="3252"/>
      <c r="U1" s="3252"/>
      <c r="V1" s="3252"/>
      <c r="W1" s="3252"/>
      <c r="X1" s="3252"/>
      <c r="Y1" s="3252"/>
      <c r="Z1" s="3252"/>
      <c r="AA1" s="3252"/>
      <c r="AB1" s="3252"/>
      <c r="AC1" s="3252"/>
      <c r="AD1" s="1021"/>
      <c r="AE1" s="1021"/>
      <c r="AF1" s="1021"/>
      <c r="AG1" s="1021"/>
      <c r="AH1" s="1021"/>
      <c r="AI1" s="1021"/>
      <c r="AJ1" s="1021"/>
      <c r="AK1" s="1021"/>
      <c r="AL1" s="1021"/>
      <c r="AM1" s="1021"/>
      <c r="AN1" s="1021"/>
      <c r="AO1" s="1021"/>
      <c r="AP1" s="1021"/>
      <c r="AQ1" s="1021"/>
      <c r="AR1" s="1021"/>
      <c r="AS1" s="1021"/>
      <c r="AT1" s="1021"/>
      <c r="AU1" s="1021"/>
      <c r="AV1" s="1021"/>
    </row>
    <row r="2" spans="1:48" s="83" customFormat="1" ht="28.5" customHeight="1" thickBot="1">
      <c r="A2" s="1878" t="str">
        <f>"تعداد و متراژ (متر مربع) و تناژ تخلیه و بارگیری انبارهای عملیاتی در دوره " &amp; روکش!F9 &amp; " سال " &amp; روکش!D9</f>
        <v>تعداد و متراژ (متر مربع) و تناژ تخلیه و بارگیری انبارهای عملیاتی در دوره شش ماهه سال 1405</v>
      </c>
      <c r="B2" s="1878"/>
      <c r="C2" s="1878"/>
      <c r="D2" s="1878"/>
      <c r="E2" s="1878"/>
      <c r="F2" s="1878"/>
      <c r="G2" s="1878"/>
      <c r="H2" s="1878"/>
      <c r="I2" s="1878"/>
      <c r="J2" s="1878"/>
      <c r="K2" s="1878"/>
      <c r="L2" s="1878"/>
      <c r="M2" s="1878"/>
      <c r="N2" s="1878"/>
      <c r="O2" s="1878"/>
      <c r="P2" s="1878"/>
      <c r="Q2" s="1878"/>
      <c r="R2" s="1878"/>
      <c r="S2" s="1878"/>
      <c r="T2" s="1878"/>
      <c r="U2" s="1878"/>
      <c r="V2" s="1878"/>
      <c r="W2" s="1878"/>
      <c r="X2" s="1878"/>
      <c r="Y2" s="1878"/>
      <c r="Z2" s="1878"/>
      <c r="AA2" s="1878"/>
      <c r="AB2" s="1878"/>
      <c r="AC2" s="1878"/>
      <c r="AD2" s="1022"/>
      <c r="AE2" s="1022"/>
      <c r="AF2" s="1022"/>
      <c r="AG2" s="1022"/>
      <c r="AH2" s="1022"/>
      <c r="AI2" s="1022"/>
      <c r="AJ2" s="1022"/>
      <c r="AK2" s="1022"/>
      <c r="AL2" s="1022"/>
      <c r="AM2" s="1022"/>
      <c r="AN2" s="1022"/>
      <c r="AO2" s="1022"/>
      <c r="AP2" s="1022"/>
      <c r="AQ2" s="1022"/>
      <c r="AR2" s="1022"/>
      <c r="AS2" s="1022"/>
      <c r="AT2" s="1022"/>
      <c r="AU2" s="1022"/>
      <c r="AV2" s="1022"/>
    </row>
    <row r="3" spans="1:48" ht="25.5" thickBot="1">
      <c r="A3" s="3272" t="s">
        <v>537</v>
      </c>
      <c r="B3" s="3274" t="s">
        <v>538</v>
      </c>
      <c r="C3" s="3276" t="s">
        <v>539</v>
      </c>
      <c r="D3" s="3277"/>
      <c r="E3" s="3277"/>
      <c r="F3" s="3277"/>
      <c r="G3" s="3277"/>
      <c r="H3" s="3277"/>
      <c r="I3" s="3277"/>
      <c r="J3" s="3277"/>
      <c r="K3" s="3278"/>
      <c r="L3" s="3276" t="s">
        <v>540</v>
      </c>
      <c r="M3" s="3277"/>
      <c r="N3" s="3277"/>
      <c r="O3" s="3277"/>
      <c r="P3" s="3277"/>
      <c r="Q3" s="3277"/>
      <c r="R3" s="3277"/>
      <c r="S3" s="3277"/>
      <c r="T3" s="3278"/>
      <c r="U3" s="3276" t="s">
        <v>541</v>
      </c>
      <c r="V3" s="3277"/>
      <c r="W3" s="3277"/>
      <c r="X3" s="3277"/>
      <c r="Y3" s="3277"/>
      <c r="Z3" s="3277"/>
      <c r="AA3" s="3277"/>
      <c r="AB3" s="3277"/>
      <c r="AC3" s="3278"/>
    </row>
    <row r="4" spans="1:48" ht="84.75" thickBot="1">
      <c r="A4" s="3273"/>
      <c r="B4" s="3275"/>
      <c r="C4" s="1891" t="s">
        <v>200</v>
      </c>
      <c r="D4" s="1892" t="s">
        <v>542</v>
      </c>
      <c r="E4" s="1892" t="s">
        <v>543</v>
      </c>
      <c r="F4" s="1892" t="s">
        <v>544</v>
      </c>
      <c r="G4" s="1893" t="s">
        <v>545</v>
      </c>
      <c r="H4" s="1894" t="s">
        <v>546</v>
      </c>
      <c r="I4" s="1894" t="s">
        <v>547</v>
      </c>
      <c r="J4" s="1894" t="s">
        <v>548</v>
      </c>
      <c r="K4" s="1894" t="s">
        <v>549</v>
      </c>
      <c r="L4" s="1891" t="s">
        <v>200</v>
      </c>
      <c r="M4" s="1892" t="s">
        <v>542</v>
      </c>
      <c r="N4" s="1892" t="s">
        <v>543</v>
      </c>
      <c r="O4" s="1892" t="s">
        <v>544</v>
      </c>
      <c r="P4" s="1895" t="s">
        <v>545</v>
      </c>
      <c r="Q4" s="1894" t="s">
        <v>546</v>
      </c>
      <c r="R4" s="1894" t="s">
        <v>547</v>
      </c>
      <c r="S4" s="1896" t="s">
        <v>548</v>
      </c>
      <c r="T4" s="1894" t="s">
        <v>549</v>
      </c>
      <c r="U4" s="1891" t="s">
        <v>200</v>
      </c>
      <c r="V4" s="1892" t="s">
        <v>542</v>
      </c>
      <c r="W4" s="1892" t="s">
        <v>543</v>
      </c>
      <c r="X4" s="1892" t="s">
        <v>544</v>
      </c>
      <c r="Y4" s="1895" t="s">
        <v>545</v>
      </c>
      <c r="Z4" s="1894" t="s">
        <v>546</v>
      </c>
      <c r="AA4" s="1894" t="s">
        <v>547</v>
      </c>
      <c r="AB4" s="1896" t="s">
        <v>548</v>
      </c>
      <c r="AC4" s="1894" t="s">
        <v>549</v>
      </c>
    </row>
    <row r="5" spans="1:48">
      <c r="A5" s="3270" t="s">
        <v>3216</v>
      </c>
      <c r="B5" s="1897" t="s">
        <v>550</v>
      </c>
      <c r="C5" s="1024">
        <v>1</v>
      </c>
      <c r="D5" s="1025">
        <v>1600</v>
      </c>
      <c r="E5" s="1025">
        <v>468</v>
      </c>
      <c r="F5" s="1025">
        <v>1618</v>
      </c>
      <c r="G5" s="1026">
        <v>1312</v>
      </c>
      <c r="H5" s="1898">
        <f>(D5*0.65*0.5*2*6)</f>
        <v>6240</v>
      </c>
      <c r="I5" s="1899">
        <f>H5-(F5+E5)</f>
        <v>4154</v>
      </c>
      <c r="J5" s="1900">
        <f>IFERROR(I5*100/H5,"-")</f>
        <v>66.570512820512818</v>
      </c>
      <c r="K5" s="1901">
        <f>IFERROR(100-J5,"-")</f>
        <v>33.429487179487182</v>
      </c>
      <c r="L5" s="2625">
        <v>1</v>
      </c>
      <c r="M5" s="2611">
        <v>160</v>
      </c>
      <c r="N5" s="2611">
        <v>25</v>
      </c>
      <c r="O5" s="2611">
        <v>43</v>
      </c>
      <c r="P5" s="2612">
        <v>36</v>
      </c>
      <c r="Q5" s="1898">
        <f>(M5*0.68*0.6*2*6)</f>
        <v>783.36</v>
      </c>
      <c r="R5" s="1902">
        <f>Q5-O5</f>
        <v>740.36</v>
      </c>
      <c r="S5" s="1900">
        <f>IFERROR(R5*100/Q5,"-")</f>
        <v>94.510825163398692</v>
      </c>
      <c r="T5" s="1901">
        <f>IFERROR(100-S5,"-")</f>
        <v>5.4891748366013076</v>
      </c>
      <c r="U5" s="1024">
        <v>1</v>
      </c>
      <c r="V5" s="1025">
        <v>9000</v>
      </c>
      <c r="W5" s="1025">
        <v>1139</v>
      </c>
      <c r="X5" s="1025">
        <v>2069</v>
      </c>
      <c r="Y5" s="1026">
        <v>1544</v>
      </c>
      <c r="Z5" s="1898">
        <f>(V5*0.7*1.1*1*6)</f>
        <v>41580.000000000007</v>
      </c>
      <c r="AA5" s="1898">
        <f>Z5-(X5+W5)</f>
        <v>38372.000000000007</v>
      </c>
      <c r="AB5" s="1900">
        <f>IFERROR(AA5*100/Z5,"-")</f>
        <v>92.284752284752287</v>
      </c>
      <c r="AC5" s="1901">
        <f>IFERROR(100-AB5,"-")</f>
        <v>7.7152477152477132</v>
      </c>
      <c r="AD5" s="1023">
        <f>C5+L5+U5+V5+M5+D5</f>
        <v>10763</v>
      </c>
    </row>
    <row r="6" spans="1:48" ht="25.5" thickBot="1">
      <c r="A6" s="3271"/>
      <c r="B6" s="1903" t="s">
        <v>551</v>
      </c>
      <c r="C6" s="1027"/>
      <c r="D6" s="1028"/>
      <c r="E6" s="1028"/>
      <c r="F6" s="1028"/>
      <c r="G6" s="1029"/>
      <c r="H6" s="1904">
        <f t="shared" ref="H6:H24" si="0">(D6*0.65*0.5*2*6)</f>
        <v>0</v>
      </c>
      <c r="I6" s="1905">
        <f t="shared" ref="I6:I24" si="1">H6-(F6+E6)</f>
        <v>0</v>
      </c>
      <c r="J6" s="1906" t="str">
        <f t="shared" ref="J6:J24" si="2">IFERROR(I6*100/H6,"-")</f>
        <v>-</v>
      </c>
      <c r="K6" s="1907" t="str">
        <f t="shared" ref="K6:K24" si="3">IFERROR(100-J6,"-")</f>
        <v>-</v>
      </c>
      <c r="L6" s="2626"/>
      <c r="M6" s="2613"/>
      <c r="N6" s="2613"/>
      <c r="O6" s="2613"/>
      <c r="P6" s="2614"/>
      <c r="Q6" s="1904">
        <f t="shared" ref="Q6:Q24" si="4">(M6*0.68*0.6*2*6)</f>
        <v>0</v>
      </c>
      <c r="R6" s="1908">
        <f t="shared" ref="R6:R24" si="5">Q6-O6</f>
        <v>0</v>
      </c>
      <c r="S6" s="1906" t="str">
        <f t="shared" ref="S6:S24" si="6">IFERROR(R6*100/Q6,"-")</f>
        <v>-</v>
      </c>
      <c r="T6" s="1907" t="str">
        <f t="shared" ref="T6:T24" si="7">IFERROR(100-S6,"-")</f>
        <v>-</v>
      </c>
      <c r="U6" s="1027"/>
      <c r="V6" s="1028"/>
      <c r="W6" s="1028"/>
      <c r="X6" s="1028"/>
      <c r="Y6" s="1029"/>
      <c r="Z6" s="1904">
        <f t="shared" ref="Z6:Z24" si="8">(V6*0.7*1.1*1*6)</f>
        <v>0</v>
      </c>
      <c r="AA6" s="1904">
        <f t="shared" ref="AA6:AA24" si="9">Z6-(X6+W6)</f>
        <v>0</v>
      </c>
      <c r="AB6" s="1906" t="str">
        <f t="shared" ref="AB6:AB24" si="10">IFERROR(AA6*100/Z6,"-")</f>
        <v>-</v>
      </c>
      <c r="AC6" s="1907" t="str">
        <f t="shared" ref="AC6:AC24" si="11">IFERROR(100-AB6,"-")</f>
        <v>-</v>
      </c>
      <c r="AD6" s="1023">
        <f t="shared" ref="AD6:AD24" si="12">C6+L6+U6+V6+M6+D6</f>
        <v>0</v>
      </c>
    </row>
    <row r="7" spans="1:48">
      <c r="A7" s="3270" t="s">
        <v>2277</v>
      </c>
      <c r="B7" s="1909" t="s">
        <v>550</v>
      </c>
      <c r="C7" s="1030">
        <v>3</v>
      </c>
      <c r="D7" s="1031">
        <v>5000</v>
      </c>
      <c r="E7" s="1031">
        <v>1797</v>
      </c>
      <c r="F7" s="1031">
        <v>3860</v>
      </c>
      <c r="G7" s="1032">
        <v>3949</v>
      </c>
      <c r="H7" s="1898">
        <f t="shared" si="0"/>
        <v>19500</v>
      </c>
      <c r="I7" s="1910">
        <f t="shared" si="1"/>
        <v>13843</v>
      </c>
      <c r="J7" s="1911">
        <f t="shared" si="2"/>
        <v>70.989743589743583</v>
      </c>
      <c r="K7" s="1912">
        <f t="shared" si="3"/>
        <v>29.010256410256417</v>
      </c>
      <c r="L7" s="2627">
        <v>1</v>
      </c>
      <c r="M7" s="2615">
        <v>2000</v>
      </c>
      <c r="N7" s="2615">
        <v>846</v>
      </c>
      <c r="O7" s="2615">
        <v>3456</v>
      </c>
      <c r="P7" s="2616">
        <v>2429</v>
      </c>
      <c r="Q7" s="1913">
        <f t="shared" si="4"/>
        <v>9792</v>
      </c>
      <c r="R7" s="1913">
        <f t="shared" si="5"/>
        <v>6336</v>
      </c>
      <c r="S7" s="1911">
        <f t="shared" si="6"/>
        <v>64.705882352941174</v>
      </c>
      <c r="T7" s="1912">
        <f t="shared" si="7"/>
        <v>35.294117647058826</v>
      </c>
      <c r="U7" s="1030">
        <v>1</v>
      </c>
      <c r="V7" s="1031">
        <v>50000</v>
      </c>
      <c r="W7" s="1031">
        <v>4626</v>
      </c>
      <c r="X7" s="1031">
        <v>31421</v>
      </c>
      <c r="Y7" s="1032">
        <v>29632</v>
      </c>
      <c r="Z7" s="1913">
        <f t="shared" si="8"/>
        <v>231000</v>
      </c>
      <c r="AA7" s="1913">
        <f t="shared" si="9"/>
        <v>194953</v>
      </c>
      <c r="AB7" s="1911">
        <f t="shared" si="10"/>
        <v>84.395238095238099</v>
      </c>
      <c r="AC7" s="1912">
        <f t="shared" si="11"/>
        <v>15.604761904761901</v>
      </c>
      <c r="AD7" s="1023">
        <f t="shared" si="12"/>
        <v>57005</v>
      </c>
    </row>
    <row r="8" spans="1:48" ht="25.5" thickBot="1">
      <c r="A8" s="3271"/>
      <c r="B8" s="1914" t="s">
        <v>551</v>
      </c>
      <c r="C8" s="1033"/>
      <c r="D8" s="1034"/>
      <c r="E8" s="1034"/>
      <c r="F8" s="1034"/>
      <c r="G8" s="1035"/>
      <c r="H8" s="1904">
        <f t="shared" si="0"/>
        <v>0</v>
      </c>
      <c r="I8" s="1905">
        <f t="shared" si="1"/>
        <v>0</v>
      </c>
      <c r="J8" s="1906" t="str">
        <f t="shared" si="2"/>
        <v>-</v>
      </c>
      <c r="K8" s="1907" t="str">
        <f t="shared" si="3"/>
        <v>-</v>
      </c>
      <c r="L8" s="2628"/>
      <c r="M8" s="2617"/>
      <c r="N8" s="2617"/>
      <c r="O8" s="2617"/>
      <c r="P8" s="2618"/>
      <c r="Q8" s="1904">
        <f t="shared" si="4"/>
        <v>0</v>
      </c>
      <c r="R8" s="1904">
        <f t="shared" si="5"/>
        <v>0</v>
      </c>
      <c r="S8" s="1906" t="str">
        <f t="shared" si="6"/>
        <v>-</v>
      </c>
      <c r="T8" s="1907" t="str">
        <f t="shared" si="7"/>
        <v>-</v>
      </c>
      <c r="U8" s="1033"/>
      <c r="V8" s="1034"/>
      <c r="W8" s="1034"/>
      <c r="X8" s="1034"/>
      <c r="Y8" s="1035"/>
      <c r="Z8" s="1904">
        <f t="shared" si="8"/>
        <v>0</v>
      </c>
      <c r="AA8" s="1904">
        <f t="shared" si="9"/>
        <v>0</v>
      </c>
      <c r="AB8" s="1906" t="str">
        <f t="shared" si="10"/>
        <v>-</v>
      </c>
      <c r="AC8" s="1907" t="str">
        <f t="shared" si="11"/>
        <v>-</v>
      </c>
      <c r="AD8" s="1023">
        <f t="shared" si="12"/>
        <v>0</v>
      </c>
    </row>
    <row r="9" spans="1:48">
      <c r="A9" s="3270" t="s">
        <v>2280</v>
      </c>
      <c r="B9" s="1909" t="s">
        <v>550</v>
      </c>
      <c r="C9" s="1030">
        <v>3</v>
      </c>
      <c r="D9" s="1031">
        <v>1600</v>
      </c>
      <c r="E9" s="1031">
        <v>722</v>
      </c>
      <c r="F9" s="1031">
        <v>3704</v>
      </c>
      <c r="G9" s="1032">
        <v>4500</v>
      </c>
      <c r="H9" s="1913">
        <f t="shared" si="0"/>
        <v>6240</v>
      </c>
      <c r="I9" s="1910">
        <f t="shared" si="1"/>
        <v>1814</v>
      </c>
      <c r="J9" s="1911">
        <f t="shared" si="2"/>
        <v>29.070512820512821</v>
      </c>
      <c r="K9" s="1912">
        <f t="shared" si="3"/>
        <v>70.929487179487182</v>
      </c>
      <c r="L9" s="2627">
        <v>1</v>
      </c>
      <c r="M9" s="2615">
        <v>600</v>
      </c>
      <c r="N9" s="2615">
        <v>303</v>
      </c>
      <c r="O9" s="2615">
        <v>4671</v>
      </c>
      <c r="P9" s="2616">
        <v>3625</v>
      </c>
      <c r="Q9" s="1913">
        <f t="shared" si="4"/>
        <v>2937.6000000000004</v>
      </c>
      <c r="R9" s="1913">
        <f t="shared" si="5"/>
        <v>-1733.3999999999996</v>
      </c>
      <c r="S9" s="1911">
        <f t="shared" si="6"/>
        <v>-59.007352941176457</v>
      </c>
      <c r="T9" s="1912">
        <f t="shared" si="7"/>
        <v>159.00735294117646</v>
      </c>
      <c r="U9" s="1036">
        <v>1</v>
      </c>
      <c r="V9" s="1037">
        <v>14200</v>
      </c>
      <c r="W9" s="1031">
        <v>1090</v>
      </c>
      <c r="X9" s="1031">
        <v>4656</v>
      </c>
      <c r="Y9" s="1032">
        <v>5703</v>
      </c>
      <c r="Z9" s="1913">
        <f t="shared" si="8"/>
        <v>65604</v>
      </c>
      <c r="AA9" s="1913">
        <f t="shared" si="9"/>
        <v>59858</v>
      </c>
      <c r="AB9" s="1911">
        <f t="shared" si="10"/>
        <v>91.24138772026096</v>
      </c>
      <c r="AC9" s="1912">
        <f t="shared" si="11"/>
        <v>8.7586122797390402</v>
      </c>
      <c r="AD9" s="1023">
        <f t="shared" si="12"/>
        <v>16405</v>
      </c>
    </row>
    <row r="10" spans="1:48" ht="25.5" thickBot="1">
      <c r="A10" s="3271"/>
      <c r="B10" s="1914" t="s">
        <v>551</v>
      </c>
      <c r="C10" s="1033"/>
      <c r="D10" s="1034"/>
      <c r="E10" s="1034"/>
      <c r="F10" s="1034"/>
      <c r="G10" s="1035"/>
      <c r="H10" s="1904">
        <f t="shared" si="0"/>
        <v>0</v>
      </c>
      <c r="I10" s="1905">
        <f t="shared" si="1"/>
        <v>0</v>
      </c>
      <c r="J10" s="1906" t="str">
        <f t="shared" si="2"/>
        <v>-</v>
      </c>
      <c r="K10" s="1907" t="str">
        <f t="shared" si="3"/>
        <v>-</v>
      </c>
      <c r="L10" s="2628"/>
      <c r="M10" s="2617"/>
      <c r="N10" s="2617"/>
      <c r="O10" s="2617"/>
      <c r="P10" s="2618"/>
      <c r="Q10" s="1904">
        <f t="shared" si="4"/>
        <v>0</v>
      </c>
      <c r="R10" s="1904">
        <f t="shared" si="5"/>
        <v>0</v>
      </c>
      <c r="S10" s="1906" t="str">
        <f t="shared" si="6"/>
        <v>-</v>
      </c>
      <c r="T10" s="1907" t="str">
        <f t="shared" si="7"/>
        <v>-</v>
      </c>
      <c r="U10" s="1033"/>
      <c r="V10" s="1034"/>
      <c r="W10" s="1034"/>
      <c r="X10" s="1034"/>
      <c r="Y10" s="1035"/>
      <c r="Z10" s="1904">
        <f t="shared" si="8"/>
        <v>0</v>
      </c>
      <c r="AA10" s="1904">
        <f t="shared" si="9"/>
        <v>0</v>
      </c>
      <c r="AB10" s="1906" t="str">
        <f t="shared" si="10"/>
        <v>-</v>
      </c>
      <c r="AC10" s="1907" t="str">
        <f t="shared" si="11"/>
        <v>-</v>
      </c>
      <c r="AD10" s="1023">
        <f t="shared" si="12"/>
        <v>0</v>
      </c>
    </row>
    <row r="11" spans="1:48">
      <c r="A11" s="3270" t="s">
        <v>2279</v>
      </c>
      <c r="B11" s="1909" t="s">
        <v>550</v>
      </c>
      <c r="C11" s="1030">
        <v>1</v>
      </c>
      <c r="D11" s="1031">
        <v>400</v>
      </c>
      <c r="E11" s="1031">
        <v>190</v>
      </c>
      <c r="F11" s="1031">
        <v>457</v>
      </c>
      <c r="G11" s="1032">
        <v>481</v>
      </c>
      <c r="H11" s="1913">
        <f t="shared" si="0"/>
        <v>1560</v>
      </c>
      <c r="I11" s="1910">
        <f t="shared" si="1"/>
        <v>913</v>
      </c>
      <c r="J11" s="1911">
        <f t="shared" si="2"/>
        <v>58.525641025641029</v>
      </c>
      <c r="K11" s="1912">
        <f t="shared" si="3"/>
        <v>41.474358974358971</v>
      </c>
      <c r="L11" s="2627"/>
      <c r="M11" s="2615"/>
      <c r="N11" s="2615"/>
      <c r="O11" s="2615"/>
      <c r="P11" s="2616"/>
      <c r="Q11" s="1913">
        <f t="shared" si="4"/>
        <v>0</v>
      </c>
      <c r="R11" s="1913">
        <f t="shared" si="5"/>
        <v>0</v>
      </c>
      <c r="S11" s="1911" t="str">
        <f t="shared" si="6"/>
        <v>-</v>
      </c>
      <c r="T11" s="1912" t="str">
        <f t="shared" si="7"/>
        <v>-</v>
      </c>
      <c r="U11" s="1030">
        <v>1</v>
      </c>
      <c r="V11" s="1031">
        <v>20000</v>
      </c>
      <c r="W11" s="1031">
        <v>1910</v>
      </c>
      <c r="X11" s="1031">
        <v>58802</v>
      </c>
      <c r="Y11" s="1032">
        <v>66938</v>
      </c>
      <c r="Z11" s="1913">
        <f t="shared" si="8"/>
        <v>92400.000000000015</v>
      </c>
      <c r="AA11" s="1913">
        <f t="shared" si="9"/>
        <v>31688.000000000015</v>
      </c>
      <c r="AB11" s="1911">
        <f t="shared" si="10"/>
        <v>34.294372294372302</v>
      </c>
      <c r="AC11" s="1912">
        <f t="shared" si="11"/>
        <v>65.705627705627705</v>
      </c>
      <c r="AD11" s="1023">
        <f t="shared" si="12"/>
        <v>20402</v>
      </c>
    </row>
    <row r="12" spans="1:48" ht="25.5" thickBot="1">
      <c r="A12" s="3271"/>
      <c r="B12" s="1914" t="s">
        <v>551</v>
      </c>
      <c r="C12" s="1033"/>
      <c r="D12" s="1034"/>
      <c r="E12" s="1034"/>
      <c r="F12" s="1034"/>
      <c r="G12" s="1035"/>
      <c r="H12" s="1904">
        <f t="shared" si="0"/>
        <v>0</v>
      </c>
      <c r="I12" s="1905">
        <f t="shared" si="1"/>
        <v>0</v>
      </c>
      <c r="J12" s="1906" t="str">
        <f t="shared" si="2"/>
        <v>-</v>
      </c>
      <c r="K12" s="1907" t="str">
        <f t="shared" si="3"/>
        <v>-</v>
      </c>
      <c r="L12" s="2628"/>
      <c r="M12" s="2617"/>
      <c r="N12" s="2617"/>
      <c r="O12" s="2617"/>
      <c r="P12" s="2618"/>
      <c r="Q12" s="1904">
        <f t="shared" si="4"/>
        <v>0</v>
      </c>
      <c r="R12" s="1904">
        <f t="shared" si="5"/>
        <v>0</v>
      </c>
      <c r="S12" s="1906" t="str">
        <f t="shared" si="6"/>
        <v>-</v>
      </c>
      <c r="T12" s="1907" t="str">
        <f t="shared" si="7"/>
        <v>-</v>
      </c>
      <c r="U12" s="1033">
        <v>1</v>
      </c>
      <c r="V12" s="1034">
        <v>250000</v>
      </c>
      <c r="W12" s="1034"/>
      <c r="X12" s="1034"/>
      <c r="Y12" s="1035"/>
      <c r="Z12" s="1904">
        <f t="shared" si="8"/>
        <v>1155000.0000000002</v>
      </c>
      <c r="AA12" s="1904">
        <f t="shared" si="9"/>
        <v>1155000.0000000002</v>
      </c>
      <c r="AB12" s="1906">
        <f t="shared" si="10"/>
        <v>100</v>
      </c>
      <c r="AC12" s="1907">
        <f t="shared" si="11"/>
        <v>0</v>
      </c>
      <c r="AD12" s="1023">
        <f t="shared" si="12"/>
        <v>250001</v>
      </c>
    </row>
    <row r="13" spans="1:48">
      <c r="A13" s="3270" t="s">
        <v>3217</v>
      </c>
      <c r="B13" s="1909" t="s">
        <v>550</v>
      </c>
      <c r="C13" s="1030">
        <v>18</v>
      </c>
      <c r="D13" s="1031">
        <v>5000</v>
      </c>
      <c r="E13" s="1031">
        <v>2753</v>
      </c>
      <c r="F13" s="1031">
        <v>4340</v>
      </c>
      <c r="G13" s="1032">
        <v>4254</v>
      </c>
      <c r="H13" s="1913">
        <f t="shared" si="0"/>
        <v>19500</v>
      </c>
      <c r="I13" s="1910">
        <f t="shared" si="1"/>
        <v>12407</v>
      </c>
      <c r="J13" s="1911">
        <f t="shared" si="2"/>
        <v>63.625641025641023</v>
      </c>
      <c r="K13" s="1912">
        <f t="shared" si="3"/>
        <v>36.374358974358977</v>
      </c>
      <c r="L13" s="2627"/>
      <c r="M13" s="2615"/>
      <c r="N13" s="2615"/>
      <c r="O13" s="2615"/>
      <c r="P13" s="2616"/>
      <c r="Q13" s="1913">
        <f t="shared" si="4"/>
        <v>0</v>
      </c>
      <c r="R13" s="1913">
        <f t="shared" si="5"/>
        <v>0</v>
      </c>
      <c r="S13" s="1911" t="str">
        <f t="shared" si="6"/>
        <v>-</v>
      </c>
      <c r="T13" s="1912" t="str">
        <f t="shared" si="7"/>
        <v>-</v>
      </c>
      <c r="U13" s="1030">
        <v>2</v>
      </c>
      <c r="V13" s="1031">
        <v>3000</v>
      </c>
      <c r="W13" s="1031">
        <v>881</v>
      </c>
      <c r="X13" s="1031">
        <v>793</v>
      </c>
      <c r="Y13" s="1032">
        <v>2147</v>
      </c>
      <c r="Z13" s="1913">
        <f t="shared" si="8"/>
        <v>13860</v>
      </c>
      <c r="AA13" s="1913">
        <f t="shared" si="9"/>
        <v>12186</v>
      </c>
      <c r="AB13" s="1911">
        <f t="shared" si="10"/>
        <v>87.922077922077918</v>
      </c>
      <c r="AC13" s="1912">
        <f t="shared" si="11"/>
        <v>12.077922077922082</v>
      </c>
      <c r="AD13" s="1023">
        <f t="shared" si="12"/>
        <v>8020</v>
      </c>
    </row>
    <row r="14" spans="1:48" ht="25.5" thickBot="1">
      <c r="A14" s="3271"/>
      <c r="B14" s="1903" t="s">
        <v>551</v>
      </c>
      <c r="C14" s="1027"/>
      <c r="D14" s="1028"/>
      <c r="E14" s="1028"/>
      <c r="F14" s="1028"/>
      <c r="G14" s="1038"/>
      <c r="H14" s="1904">
        <f t="shared" si="0"/>
        <v>0</v>
      </c>
      <c r="I14" s="1905">
        <f t="shared" si="1"/>
        <v>0</v>
      </c>
      <c r="J14" s="1906" t="str">
        <f t="shared" si="2"/>
        <v>-</v>
      </c>
      <c r="K14" s="1907" t="str">
        <f t="shared" si="3"/>
        <v>-</v>
      </c>
      <c r="L14" s="2626"/>
      <c r="M14" s="2613"/>
      <c r="N14" s="2613"/>
      <c r="O14" s="2613"/>
      <c r="P14" s="2619"/>
      <c r="Q14" s="1904">
        <f t="shared" si="4"/>
        <v>0</v>
      </c>
      <c r="R14" s="1904">
        <f t="shared" si="5"/>
        <v>0</v>
      </c>
      <c r="S14" s="1906" t="str">
        <f t="shared" si="6"/>
        <v>-</v>
      </c>
      <c r="T14" s="1907" t="str">
        <f t="shared" si="7"/>
        <v>-</v>
      </c>
      <c r="U14" s="1027"/>
      <c r="V14" s="1028"/>
      <c r="W14" s="1028"/>
      <c r="X14" s="1028"/>
      <c r="Y14" s="1038"/>
      <c r="Z14" s="1904">
        <f t="shared" si="8"/>
        <v>0</v>
      </c>
      <c r="AA14" s="1904">
        <f t="shared" si="9"/>
        <v>0</v>
      </c>
      <c r="AB14" s="1906" t="str">
        <f t="shared" si="10"/>
        <v>-</v>
      </c>
      <c r="AC14" s="1907" t="str">
        <f t="shared" si="11"/>
        <v>-</v>
      </c>
      <c r="AD14" s="1023">
        <f t="shared" si="12"/>
        <v>0</v>
      </c>
    </row>
    <row r="15" spans="1:48">
      <c r="A15" s="3270" t="s">
        <v>2278</v>
      </c>
      <c r="B15" s="1909" t="s">
        <v>550</v>
      </c>
      <c r="C15" s="1030">
        <v>1</v>
      </c>
      <c r="D15" s="1031">
        <v>1500</v>
      </c>
      <c r="E15" s="1031">
        <v>766</v>
      </c>
      <c r="F15" s="1031">
        <v>2123</v>
      </c>
      <c r="G15" s="1032">
        <v>2749</v>
      </c>
      <c r="H15" s="1913">
        <f t="shared" si="0"/>
        <v>5850</v>
      </c>
      <c r="I15" s="1910">
        <f t="shared" si="1"/>
        <v>2961</v>
      </c>
      <c r="J15" s="1911">
        <f t="shared" si="2"/>
        <v>50.615384615384613</v>
      </c>
      <c r="K15" s="1912">
        <f t="shared" si="3"/>
        <v>49.384615384615387</v>
      </c>
      <c r="L15" s="2627"/>
      <c r="M15" s="2615"/>
      <c r="N15" s="2615"/>
      <c r="O15" s="2615"/>
      <c r="P15" s="2616"/>
      <c r="Q15" s="1913">
        <f t="shared" si="4"/>
        <v>0</v>
      </c>
      <c r="R15" s="1913">
        <f t="shared" si="5"/>
        <v>0</v>
      </c>
      <c r="S15" s="1911" t="str">
        <f t="shared" si="6"/>
        <v>-</v>
      </c>
      <c r="T15" s="1912" t="str">
        <f t="shared" si="7"/>
        <v>-</v>
      </c>
      <c r="U15" s="1030">
        <v>3</v>
      </c>
      <c r="V15" s="1031">
        <v>9120</v>
      </c>
      <c r="W15" s="1031"/>
      <c r="X15" s="1031">
        <v>128</v>
      </c>
      <c r="Y15" s="1032">
        <v>127</v>
      </c>
      <c r="Z15" s="1913">
        <f t="shared" si="8"/>
        <v>42134.400000000001</v>
      </c>
      <c r="AA15" s="1913">
        <f t="shared" si="9"/>
        <v>42006.400000000001</v>
      </c>
      <c r="AB15" s="1911">
        <f t="shared" si="10"/>
        <v>99.696210222526005</v>
      </c>
      <c r="AC15" s="1912">
        <f t="shared" si="11"/>
        <v>0.3037897774739946</v>
      </c>
      <c r="AD15" s="1023">
        <f t="shared" si="12"/>
        <v>10624</v>
      </c>
    </row>
    <row r="16" spans="1:48" ht="25.5" thickBot="1">
      <c r="A16" s="3271"/>
      <c r="B16" s="1914" t="s">
        <v>551</v>
      </c>
      <c r="C16" s="1033"/>
      <c r="D16" s="1034"/>
      <c r="E16" s="1034"/>
      <c r="F16" s="1034"/>
      <c r="G16" s="1035"/>
      <c r="H16" s="1904">
        <f t="shared" si="0"/>
        <v>0</v>
      </c>
      <c r="I16" s="1905">
        <f t="shared" si="1"/>
        <v>0</v>
      </c>
      <c r="J16" s="1906" t="str">
        <f t="shared" si="2"/>
        <v>-</v>
      </c>
      <c r="K16" s="1907" t="str">
        <f t="shared" si="3"/>
        <v>-</v>
      </c>
      <c r="L16" s="2628"/>
      <c r="M16" s="2617"/>
      <c r="N16" s="2617"/>
      <c r="O16" s="2617"/>
      <c r="P16" s="2618"/>
      <c r="Q16" s="1904">
        <f t="shared" si="4"/>
        <v>0</v>
      </c>
      <c r="R16" s="1904">
        <f t="shared" si="5"/>
        <v>0</v>
      </c>
      <c r="S16" s="1906" t="str">
        <f t="shared" si="6"/>
        <v>-</v>
      </c>
      <c r="T16" s="1907" t="str">
        <f t="shared" si="7"/>
        <v>-</v>
      </c>
      <c r="U16" s="1033"/>
      <c r="V16" s="1034"/>
      <c r="W16" s="1034"/>
      <c r="X16" s="1034"/>
      <c r="Y16" s="1035"/>
      <c r="Z16" s="1904">
        <f t="shared" si="8"/>
        <v>0</v>
      </c>
      <c r="AA16" s="1904">
        <f t="shared" si="9"/>
        <v>0</v>
      </c>
      <c r="AB16" s="1906" t="str">
        <f t="shared" si="10"/>
        <v>-</v>
      </c>
      <c r="AC16" s="1907" t="str">
        <f t="shared" si="11"/>
        <v>-</v>
      </c>
      <c r="AD16" s="1023">
        <f t="shared" si="12"/>
        <v>0</v>
      </c>
    </row>
    <row r="17" spans="1:30">
      <c r="A17" s="3270" t="s">
        <v>2281</v>
      </c>
      <c r="B17" s="1909" t="s">
        <v>550</v>
      </c>
      <c r="C17" s="1030">
        <v>2</v>
      </c>
      <c r="D17" s="1031">
        <v>1200</v>
      </c>
      <c r="E17" s="1031">
        <v>884</v>
      </c>
      <c r="F17" s="1031">
        <v>3176</v>
      </c>
      <c r="G17" s="1032">
        <v>2819</v>
      </c>
      <c r="H17" s="1913">
        <f t="shared" si="0"/>
        <v>4680</v>
      </c>
      <c r="I17" s="1910">
        <f t="shared" si="1"/>
        <v>620</v>
      </c>
      <c r="J17" s="1911">
        <f t="shared" si="2"/>
        <v>13.247863247863247</v>
      </c>
      <c r="K17" s="1912">
        <f t="shared" si="3"/>
        <v>86.752136752136749</v>
      </c>
      <c r="L17" s="2627">
        <v>1</v>
      </c>
      <c r="M17" s="2615">
        <v>100</v>
      </c>
      <c r="N17" s="2615"/>
      <c r="O17" s="2615"/>
      <c r="P17" s="2616"/>
      <c r="Q17" s="1913">
        <f t="shared" si="4"/>
        <v>489.59999999999997</v>
      </c>
      <c r="R17" s="1913">
        <f t="shared" si="5"/>
        <v>489.59999999999997</v>
      </c>
      <c r="S17" s="1911">
        <f t="shared" si="6"/>
        <v>100</v>
      </c>
      <c r="T17" s="1912">
        <f t="shared" si="7"/>
        <v>0</v>
      </c>
      <c r="U17" s="1030">
        <v>1</v>
      </c>
      <c r="V17" s="1031">
        <v>4000</v>
      </c>
      <c r="W17" s="1031">
        <v>5255</v>
      </c>
      <c r="X17" s="1031">
        <v>49465</v>
      </c>
      <c r="Y17" s="1032">
        <v>49186</v>
      </c>
      <c r="Z17" s="1913">
        <f t="shared" si="8"/>
        <v>18480.000000000004</v>
      </c>
      <c r="AA17" s="1913">
        <f t="shared" si="9"/>
        <v>-36240</v>
      </c>
      <c r="AB17" s="1911">
        <f t="shared" si="10"/>
        <v>-196.10389610389606</v>
      </c>
      <c r="AC17" s="1912">
        <f t="shared" si="11"/>
        <v>296.10389610389609</v>
      </c>
      <c r="AD17" s="1023">
        <f t="shared" si="12"/>
        <v>5304</v>
      </c>
    </row>
    <row r="18" spans="1:30" ht="25.5" thickBot="1">
      <c r="A18" s="3271"/>
      <c r="B18" s="1914" t="s">
        <v>551</v>
      </c>
      <c r="C18" s="1033"/>
      <c r="D18" s="1034"/>
      <c r="E18" s="1034"/>
      <c r="F18" s="1034"/>
      <c r="G18" s="1035"/>
      <c r="H18" s="1904">
        <f t="shared" si="0"/>
        <v>0</v>
      </c>
      <c r="I18" s="1905">
        <f t="shared" si="1"/>
        <v>0</v>
      </c>
      <c r="J18" s="1906" t="str">
        <f t="shared" si="2"/>
        <v>-</v>
      </c>
      <c r="K18" s="1907" t="str">
        <f t="shared" si="3"/>
        <v>-</v>
      </c>
      <c r="L18" s="2628"/>
      <c r="M18" s="2617"/>
      <c r="N18" s="2617"/>
      <c r="O18" s="2617"/>
      <c r="P18" s="2618"/>
      <c r="Q18" s="1904">
        <f t="shared" si="4"/>
        <v>0</v>
      </c>
      <c r="R18" s="1904">
        <f t="shared" si="5"/>
        <v>0</v>
      </c>
      <c r="S18" s="1906" t="str">
        <f t="shared" si="6"/>
        <v>-</v>
      </c>
      <c r="T18" s="1907" t="str">
        <f t="shared" si="7"/>
        <v>-</v>
      </c>
      <c r="U18" s="1033"/>
      <c r="V18" s="1034"/>
      <c r="W18" s="1034"/>
      <c r="X18" s="1034"/>
      <c r="Y18" s="1035"/>
      <c r="Z18" s="1904">
        <f t="shared" si="8"/>
        <v>0</v>
      </c>
      <c r="AA18" s="1904">
        <f t="shared" si="9"/>
        <v>0</v>
      </c>
      <c r="AB18" s="1906" t="str">
        <f t="shared" si="10"/>
        <v>-</v>
      </c>
      <c r="AC18" s="1907" t="str">
        <f t="shared" si="11"/>
        <v>-</v>
      </c>
      <c r="AD18" s="1023">
        <f t="shared" si="12"/>
        <v>0</v>
      </c>
    </row>
    <row r="19" spans="1:30">
      <c r="A19" s="3270" t="s">
        <v>2283</v>
      </c>
      <c r="B19" s="1909" t="s">
        <v>550</v>
      </c>
      <c r="C19" s="1030">
        <v>1</v>
      </c>
      <c r="D19" s="1031">
        <v>1300</v>
      </c>
      <c r="E19" s="1031">
        <v>193</v>
      </c>
      <c r="F19" s="1031">
        <v>235</v>
      </c>
      <c r="G19" s="1032">
        <v>96</v>
      </c>
      <c r="H19" s="1913">
        <f t="shared" si="0"/>
        <v>5070</v>
      </c>
      <c r="I19" s="1910">
        <f t="shared" si="1"/>
        <v>4642</v>
      </c>
      <c r="J19" s="1911">
        <f t="shared" si="2"/>
        <v>91.558185404339255</v>
      </c>
      <c r="K19" s="1912">
        <f t="shared" si="3"/>
        <v>8.4418145956607447</v>
      </c>
      <c r="L19" s="2627"/>
      <c r="M19" s="2615"/>
      <c r="N19" s="2615"/>
      <c r="O19" s="2615"/>
      <c r="P19" s="2616"/>
      <c r="Q19" s="1913">
        <f t="shared" si="4"/>
        <v>0</v>
      </c>
      <c r="R19" s="1913">
        <f t="shared" si="5"/>
        <v>0</v>
      </c>
      <c r="S19" s="1911" t="str">
        <f t="shared" si="6"/>
        <v>-</v>
      </c>
      <c r="T19" s="1912" t="str">
        <f t="shared" si="7"/>
        <v>-</v>
      </c>
      <c r="U19" s="1030">
        <v>1</v>
      </c>
      <c r="V19" s="1031">
        <v>600</v>
      </c>
      <c r="W19" s="1031">
        <v>12</v>
      </c>
      <c r="X19" s="1031">
        <v>38</v>
      </c>
      <c r="Y19" s="1032">
        <v>38</v>
      </c>
      <c r="Z19" s="1913">
        <f t="shared" si="8"/>
        <v>2772.0000000000005</v>
      </c>
      <c r="AA19" s="1913">
        <f t="shared" si="9"/>
        <v>2722.0000000000005</v>
      </c>
      <c r="AB19" s="1911">
        <f t="shared" si="10"/>
        <v>98.196248196248206</v>
      </c>
      <c r="AC19" s="1912">
        <f t="shared" si="11"/>
        <v>1.8037518037517941</v>
      </c>
      <c r="AD19" s="1023">
        <f t="shared" si="12"/>
        <v>1902</v>
      </c>
    </row>
    <row r="20" spans="1:30" ht="25.5" thickBot="1">
      <c r="A20" s="3271"/>
      <c r="B20" s="1914" t="s">
        <v>551</v>
      </c>
      <c r="C20" s="1033"/>
      <c r="D20" s="1034"/>
      <c r="E20" s="1034"/>
      <c r="F20" s="1034"/>
      <c r="G20" s="1035"/>
      <c r="H20" s="1904">
        <f t="shared" si="0"/>
        <v>0</v>
      </c>
      <c r="I20" s="1905">
        <f t="shared" si="1"/>
        <v>0</v>
      </c>
      <c r="J20" s="1906" t="str">
        <f t="shared" si="2"/>
        <v>-</v>
      </c>
      <c r="K20" s="1907" t="str">
        <f t="shared" si="3"/>
        <v>-</v>
      </c>
      <c r="L20" s="2628"/>
      <c r="M20" s="2617"/>
      <c r="N20" s="2617"/>
      <c r="O20" s="2617"/>
      <c r="P20" s="2618"/>
      <c r="Q20" s="1904">
        <f t="shared" si="4"/>
        <v>0</v>
      </c>
      <c r="R20" s="1904">
        <f t="shared" si="5"/>
        <v>0</v>
      </c>
      <c r="S20" s="1906" t="str">
        <f t="shared" si="6"/>
        <v>-</v>
      </c>
      <c r="T20" s="1907" t="str">
        <f t="shared" si="7"/>
        <v>-</v>
      </c>
      <c r="U20" s="1033"/>
      <c r="V20" s="1034"/>
      <c r="W20" s="1034"/>
      <c r="X20" s="1034"/>
      <c r="Y20" s="1035"/>
      <c r="Z20" s="1904">
        <f t="shared" si="8"/>
        <v>0</v>
      </c>
      <c r="AA20" s="1904">
        <f t="shared" si="9"/>
        <v>0</v>
      </c>
      <c r="AB20" s="1906" t="str">
        <f t="shared" si="10"/>
        <v>-</v>
      </c>
      <c r="AC20" s="1907" t="str">
        <f t="shared" si="11"/>
        <v>-</v>
      </c>
      <c r="AD20" s="1023">
        <f t="shared" si="12"/>
        <v>0</v>
      </c>
    </row>
    <row r="21" spans="1:30">
      <c r="A21" s="3270" t="s">
        <v>2282</v>
      </c>
      <c r="B21" s="1909" t="s">
        <v>550</v>
      </c>
      <c r="C21" s="1030">
        <v>2</v>
      </c>
      <c r="D21" s="1031">
        <v>4000</v>
      </c>
      <c r="E21" s="1031">
        <v>899</v>
      </c>
      <c r="F21" s="1031">
        <v>6721</v>
      </c>
      <c r="G21" s="1032">
        <v>6588</v>
      </c>
      <c r="H21" s="1913">
        <f t="shared" si="0"/>
        <v>15600</v>
      </c>
      <c r="I21" s="1910">
        <f t="shared" si="1"/>
        <v>7980</v>
      </c>
      <c r="J21" s="1911">
        <f t="shared" si="2"/>
        <v>51.153846153846153</v>
      </c>
      <c r="K21" s="1912">
        <f t="shared" si="3"/>
        <v>48.846153846153847</v>
      </c>
      <c r="L21" s="2627">
        <v>2</v>
      </c>
      <c r="M21" s="2615">
        <v>4000</v>
      </c>
      <c r="N21" s="2615">
        <v>359</v>
      </c>
      <c r="O21" s="2615">
        <v>25</v>
      </c>
      <c r="P21" s="2616"/>
      <c r="Q21" s="1913">
        <f t="shared" si="4"/>
        <v>19584</v>
      </c>
      <c r="R21" s="1913">
        <f t="shared" si="5"/>
        <v>19559</v>
      </c>
      <c r="S21" s="1911">
        <f t="shared" si="6"/>
        <v>99.872344771241828</v>
      </c>
      <c r="T21" s="1912">
        <f t="shared" si="7"/>
        <v>0.12765522875817226</v>
      </c>
      <c r="U21" s="1030">
        <v>4</v>
      </c>
      <c r="V21" s="1031">
        <v>16950</v>
      </c>
      <c r="W21" s="1031">
        <v>575</v>
      </c>
      <c r="X21" s="1031">
        <v>333</v>
      </c>
      <c r="Y21" s="1032">
        <v>214</v>
      </c>
      <c r="Z21" s="1913">
        <f t="shared" si="8"/>
        <v>78309.000000000015</v>
      </c>
      <c r="AA21" s="1913">
        <f t="shared" si="9"/>
        <v>77401.000000000015</v>
      </c>
      <c r="AB21" s="1911">
        <f t="shared" si="10"/>
        <v>98.840490875889117</v>
      </c>
      <c r="AC21" s="1912">
        <f t="shared" si="11"/>
        <v>1.1595091241108832</v>
      </c>
      <c r="AD21" s="1023">
        <f t="shared" si="12"/>
        <v>24958</v>
      </c>
    </row>
    <row r="22" spans="1:30" ht="25.5" thickBot="1">
      <c r="A22" s="3271"/>
      <c r="B22" s="1914" t="s">
        <v>551</v>
      </c>
      <c r="C22" s="1033"/>
      <c r="D22" s="1034"/>
      <c r="E22" s="1034"/>
      <c r="F22" s="1034"/>
      <c r="G22" s="1035"/>
      <c r="H22" s="1904">
        <f t="shared" si="0"/>
        <v>0</v>
      </c>
      <c r="I22" s="1905">
        <f t="shared" si="1"/>
        <v>0</v>
      </c>
      <c r="J22" s="1906" t="str">
        <f t="shared" si="2"/>
        <v>-</v>
      </c>
      <c r="K22" s="1907" t="str">
        <f t="shared" si="3"/>
        <v>-</v>
      </c>
      <c r="L22" s="2628"/>
      <c r="M22" s="2617"/>
      <c r="N22" s="2617"/>
      <c r="O22" s="2617"/>
      <c r="P22" s="2618"/>
      <c r="Q22" s="1904">
        <f t="shared" si="4"/>
        <v>0</v>
      </c>
      <c r="R22" s="1904">
        <f t="shared" si="5"/>
        <v>0</v>
      </c>
      <c r="S22" s="1906" t="str">
        <f t="shared" si="6"/>
        <v>-</v>
      </c>
      <c r="T22" s="1907" t="str">
        <f t="shared" si="7"/>
        <v>-</v>
      </c>
      <c r="U22" s="1033"/>
      <c r="V22" s="1034"/>
      <c r="W22" s="1034"/>
      <c r="X22" s="1034"/>
      <c r="Y22" s="1035"/>
      <c r="Z22" s="1904">
        <f t="shared" si="8"/>
        <v>0</v>
      </c>
      <c r="AA22" s="1904">
        <f t="shared" si="9"/>
        <v>0</v>
      </c>
      <c r="AB22" s="1906" t="str">
        <f t="shared" si="10"/>
        <v>-</v>
      </c>
      <c r="AC22" s="1907" t="str">
        <f t="shared" si="11"/>
        <v>-</v>
      </c>
      <c r="AD22" s="1023">
        <f t="shared" si="12"/>
        <v>0</v>
      </c>
    </row>
    <row r="23" spans="1:30">
      <c r="A23" s="3270" t="s">
        <v>3218</v>
      </c>
      <c r="B23" s="1909" t="s">
        <v>550</v>
      </c>
      <c r="C23" s="1030">
        <v>3</v>
      </c>
      <c r="D23" s="1031">
        <v>1220</v>
      </c>
      <c r="E23" s="1031">
        <v>196</v>
      </c>
      <c r="F23" s="1031">
        <v>1204</v>
      </c>
      <c r="G23" s="1032">
        <v>953</v>
      </c>
      <c r="H23" s="1913">
        <f t="shared" si="0"/>
        <v>4758</v>
      </c>
      <c r="I23" s="1910">
        <f t="shared" si="1"/>
        <v>3358</v>
      </c>
      <c r="J23" s="1911">
        <f t="shared" si="2"/>
        <v>70.575872215216478</v>
      </c>
      <c r="K23" s="1912">
        <f t="shared" si="3"/>
        <v>29.424127784783522</v>
      </c>
      <c r="L23" s="2629"/>
      <c r="M23" s="2620"/>
      <c r="N23" s="2620"/>
      <c r="O23" s="2620"/>
      <c r="P23" s="2621"/>
      <c r="Q23" s="1913">
        <f t="shared" si="4"/>
        <v>0</v>
      </c>
      <c r="R23" s="1913">
        <f t="shared" si="5"/>
        <v>0</v>
      </c>
      <c r="S23" s="1911" t="str">
        <f t="shared" si="6"/>
        <v>-</v>
      </c>
      <c r="T23" s="1912" t="str">
        <f t="shared" si="7"/>
        <v>-</v>
      </c>
      <c r="U23" s="1030">
        <v>1</v>
      </c>
      <c r="V23" s="1031">
        <v>2000</v>
      </c>
      <c r="W23" s="1031"/>
      <c r="X23" s="1031"/>
      <c r="Y23" s="1032"/>
      <c r="Z23" s="1913">
        <f t="shared" si="8"/>
        <v>9240.0000000000018</v>
      </c>
      <c r="AA23" s="1913">
        <f t="shared" si="9"/>
        <v>9240.0000000000018</v>
      </c>
      <c r="AB23" s="1911">
        <f t="shared" si="10"/>
        <v>100</v>
      </c>
      <c r="AC23" s="1912">
        <f t="shared" si="11"/>
        <v>0</v>
      </c>
      <c r="AD23" s="1023">
        <f t="shared" si="12"/>
        <v>3224</v>
      </c>
    </row>
    <row r="24" spans="1:30" ht="25.5" thickBot="1">
      <c r="A24" s="3271"/>
      <c r="B24" s="1914" t="s">
        <v>551</v>
      </c>
      <c r="C24" s="1033"/>
      <c r="D24" s="1034"/>
      <c r="E24" s="1034"/>
      <c r="F24" s="1034"/>
      <c r="G24" s="1035"/>
      <c r="H24" s="1904">
        <f t="shared" si="0"/>
        <v>0</v>
      </c>
      <c r="I24" s="1905">
        <f t="shared" si="1"/>
        <v>0</v>
      </c>
      <c r="J24" s="1906" t="str">
        <f t="shared" si="2"/>
        <v>-</v>
      </c>
      <c r="K24" s="1907" t="str">
        <f t="shared" si="3"/>
        <v>-</v>
      </c>
      <c r="L24" s="2630"/>
      <c r="M24" s="2622"/>
      <c r="N24" s="2622"/>
      <c r="O24" s="2622"/>
      <c r="P24" s="2623"/>
      <c r="Q24" s="1904">
        <f t="shared" si="4"/>
        <v>0</v>
      </c>
      <c r="R24" s="1904">
        <f t="shared" si="5"/>
        <v>0</v>
      </c>
      <c r="S24" s="1906" t="str">
        <f t="shared" si="6"/>
        <v>-</v>
      </c>
      <c r="T24" s="1907" t="str">
        <f t="shared" si="7"/>
        <v>-</v>
      </c>
      <c r="U24" s="1033"/>
      <c r="V24" s="1034"/>
      <c r="W24" s="1034"/>
      <c r="X24" s="1034"/>
      <c r="Y24" s="1035"/>
      <c r="Z24" s="1904">
        <f t="shared" si="8"/>
        <v>0</v>
      </c>
      <c r="AA24" s="1904">
        <f t="shared" si="9"/>
        <v>0</v>
      </c>
      <c r="AB24" s="1906" t="str">
        <f t="shared" si="10"/>
        <v>-</v>
      </c>
      <c r="AC24" s="1907" t="str">
        <f t="shared" si="11"/>
        <v>-</v>
      </c>
      <c r="AD24" s="1023">
        <f t="shared" si="12"/>
        <v>0</v>
      </c>
    </row>
    <row r="25" spans="1:30" s="1039" customFormat="1" ht="26.25">
      <c r="A25" s="3280" t="s">
        <v>100</v>
      </c>
      <c r="B25" s="1915" t="s">
        <v>550</v>
      </c>
      <c r="C25" s="1916">
        <f>SUM(C5+C7+C9+C11+C13+C15+C17+C19+C21+C23)</f>
        <v>35</v>
      </c>
      <c r="D25" s="1916">
        <f t="shared" ref="D25:G25" si="13">SUM(D5+D7+D9+D11+D13+D15+D17+D19+D21+D23)</f>
        <v>22820</v>
      </c>
      <c r="E25" s="1916">
        <f t="shared" si="13"/>
        <v>8868</v>
      </c>
      <c r="F25" s="1916">
        <f t="shared" si="13"/>
        <v>27438</v>
      </c>
      <c r="G25" s="1916">
        <f t="shared" si="13"/>
        <v>27701</v>
      </c>
      <c r="H25" s="2624">
        <f>(D25*0.65*0.5*2*6)</f>
        <v>88998</v>
      </c>
      <c r="I25" s="1918">
        <f>H25-(F25+E25)</f>
        <v>52692</v>
      </c>
      <c r="J25" s="1919">
        <f t="shared" ref="J25:J27" si="14">IFERROR(I25*100/H25,"-")</f>
        <v>59.205824849996631</v>
      </c>
      <c r="K25" s="1920">
        <f t="shared" ref="K25:K27" si="15">IFERROR(100-J25,"-")</f>
        <v>40.794175150003369</v>
      </c>
      <c r="L25" s="1916">
        <f>SUM(L5+L7+L9+L11+L13+L15+L17+L19+L21+L23)</f>
        <v>6</v>
      </c>
      <c r="M25" s="1916">
        <f t="shared" ref="M25:P25" si="16">SUM(M5+M7+M9+M11+M13+M15+M17+M19+M21+M23)</f>
        <v>6860</v>
      </c>
      <c r="N25" s="1916">
        <f t="shared" si="16"/>
        <v>1533</v>
      </c>
      <c r="O25" s="1916">
        <f t="shared" si="16"/>
        <v>8195</v>
      </c>
      <c r="P25" s="1916">
        <f t="shared" si="16"/>
        <v>6090</v>
      </c>
      <c r="Q25" s="1917">
        <f t="shared" ref="Q25:Q27" si="17">(M25*0.68*0.6*2*6)</f>
        <v>33586.559999999998</v>
      </c>
      <c r="R25" s="1917">
        <f t="shared" ref="R25:R27" si="18">Q25-O25</f>
        <v>25391.559999999998</v>
      </c>
      <c r="S25" s="1919">
        <f t="shared" ref="S25:S27" si="19">IFERROR(R25*100/Q25,"-")</f>
        <v>75.600359191295567</v>
      </c>
      <c r="T25" s="1920">
        <f t="shared" ref="T25:T27" si="20">IFERROR(100-S25,"-")</f>
        <v>24.399640808704433</v>
      </c>
      <c r="U25" s="1916">
        <f>SUM(U5+U7+U9+U11+U13+U15+U17+U19+U21+U23)</f>
        <v>16</v>
      </c>
      <c r="V25" s="1916">
        <f t="shared" ref="V25:Y25" si="21">SUM(V5+V7+V9+V11+V13+V15+V17+V19+V21+V23)</f>
        <v>128870</v>
      </c>
      <c r="W25" s="1916">
        <f t="shared" si="21"/>
        <v>15488</v>
      </c>
      <c r="X25" s="1916">
        <f t="shared" si="21"/>
        <v>147705</v>
      </c>
      <c r="Y25" s="1916">
        <f t="shared" si="21"/>
        <v>155529</v>
      </c>
      <c r="Z25" s="1921">
        <f t="shared" ref="Z25:Z27" si="22">(V25*0.7*1.1*1*6)</f>
        <v>595379.4</v>
      </c>
      <c r="AA25" s="1921">
        <f t="shared" ref="AA25:AA27" si="23">Z25-(X25+W25)</f>
        <v>432186.4</v>
      </c>
      <c r="AB25" s="1919">
        <f t="shared" ref="AB25:AB27" si="24">IFERROR(AA25*100/Z25,"-")</f>
        <v>72.590082895041377</v>
      </c>
      <c r="AC25" s="1920">
        <f t="shared" ref="AC25:AC27" si="25">IFERROR(100-AB25,"-")</f>
        <v>27.409917104958623</v>
      </c>
    </row>
    <row r="26" spans="1:30" s="1039" customFormat="1" ht="26.25">
      <c r="A26" s="3281"/>
      <c r="B26" s="1922" t="s">
        <v>455</v>
      </c>
      <c r="C26" s="1923"/>
      <c r="D26" s="1924"/>
      <c r="E26" s="1925"/>
      <c r="F26" s="1926"/>
      <c r="G26" s="1927"/>
      <c r="H26" s="1928"/>
      <c r="I26" s="1929"/>
      <c r="J26" s="1930" t="str">
        <f t="shared" si="14"/>
        <v>-</v>
      </c>
      <c r="K26" s="1931" t="str">
        <f t="shared" si="15"/>
        <v>-</v>
      </c>
      <c r="L26" s="1932"/>
      <c r="M26" s="1924"/>
      <c r="N26" s="1924"/>
      <c r="O26" s="1924"/>
      <c r="P26" s="1925"/>
      <c r="Q26" s="1928">
        <f t="shared" si="17"/>
        <v>0</v>
      </c>
      <c r="R26" s="1928">
        <f t="shared" si="18"/>
        <v>0</v>
      </c>
      <c r="S26" s="1930" t="str">
        <f t="shared" si="19"/>
        <v>-</v>
      </c>
      <c r="T26" s="1931" t="str">
        <f t="shared" si="20"/>
        <v>-</v>
      </c>
      <c r="U26" s="1923"/>
      <c r="V26" s="1924"/>
      <c r="W26" s="1924"/>
      <c r="X26" s="1924"/>
      <c r="Y26" s="1925"/>
      <c r="Z26" s="1933">
        <f t="shared" si="22"/>
        <v>0</v>
      </c>
      <c r="AA26" s="1933">
        <f t="shared" si="23"/>
        <v>0</v>
      </c>
      <c r="AB26" s="1930" t="str">
        <f t="shared" si="24"/>
        <v>-</v>
      </c>
      <c r="AC26" s="1931" t="str">
        <f t="shared" si="25"/>
        <v>-</v>
      </c>
    </row>
    <row r="27" spans="1:30" s="1039" customFormat="1" ht="27" thickBot="1">
      <c r="A27" s="3282"/>
      <c r="B27" s="1934" t="s">
        <v>552</v>
      </c>
      <c r="C27" s="1935">
        <f>C6+C8+C10+C12+C14+C16+C18+C20+C22+C24</f>
        <v>0</v>
      </c>
      <c r="D27" s="1935">
        <f t="shared" ref="D27:G27" si="26">D6+D8+D10+D12+D14+D16+D18+D20+D22+D24</f>
        <v>0</v>
      </c>
      <c r="E27" s="1935">
        <f t="shared" si="26"/>
        <v>0</v>
      </c>
      <c r="F27" s="1935">
        <f t="shared" si="26"/>
        <v>0</v>
      </c>
      <c r="G27" s="1935">
        <f t="shared" si="26"/>
        <v>0</v>
      </c>
      <c r="H27" s="1936">
        <f>(D27*0.65*0.5*2*6)</f>
        <v>0</v>
      </c>
      <c r="I27" s="1937">
        <f>H27-(F27+E27)</f>
        <v>0</v>
      </c>
      <c r="J27" s="1938" t="str">
        <f t="shared" si="14"/>
        <v>-</v>
      </c>
      <c r="K27" s="1939" t="str">
        <f t="shared" si="15"/>
        <v>-</v>
      </c>
      <c r="L27" s="1935">
        <f>L6+L8+L10+L12+L14+L16+L18+L20+L22+L24</f>
        <v>0</v>
      </c>
      <c r="M27" s="1935">
        <f t="shared" ref="M27:P27" si="27">M6+M8+M10+M12+M14+M16+M18+M20+M22+M24</f>
        <v>0</v>
      </c>
      <c r="N27" s="1935">
        <f t="shared" si="27"/>
        <v>0</v>
      </c>
      <c r="O27" s="1935">
        <f t="shared" si="27"/>
        <v>0</v>
      </c>
      <c r="P27" s="1935">
        <f t="shared" si="27"/>
        <v>0</v>
      </c>
      <c r="Q27" s="1940">
        <f t="shared" si="17"/>
        <v>0</v>
      </c>
      <c r="R27" s="1940">
        <f t="shared" si="18"/>
        <v>0</v>
      </c>
      <c r="S27" s="1938" t="str">
        <f t="shared" si="19"/>
        <v>-</v>
      </c>
      <c r="T27" s="1939" t="str">
        <f t="shared" si="20"/>
        <v>-</v>
      </c>
      <c r="U27" s="1935">
        <f>U6+U8+U10+U12+U14+U16+U18+U20+U22+U24</f>
        <v>1</v>
      </c>
      <c r="V27" s="1935">
        <f t="shared" ref="V27:Y27" si="28">V6+V8+V10+V12+V14+V16+V18+V20+V22+V24</f>
        <v>250000</v>
      </c>
      <c r="W27" s="1935">
        <f t="shared" si="28"/>
        <v>0</v>
      </c>
      <c r="X27" s="1935">
        <f t="shared" si="28"/>
        <v>0</v>
      </c>
      <c r="Y27" s="1935">
        <f t="shared" si="28"/>
        <v>0</v>
      </c>
      <c r="Z27" s="1936">
        <f t="shared" si="22"/>
        <v>1155000.0000000002</v>
      </c>
      <c r="AA27" s="1936">
        <f t="shared" si="23"/>
        <v>1155000.0000000002</v>
      </c>
      <c r="AB27" s="1938">
        <f t="shared" si="24"/>
        <v>100</v>
      </c>
      <c r="AC27" s="1939">
        <f t="shared" si="25"/>
        <v>0</v>
      </c>
    </row>
    <row r="28" spans="1:30" ht="24.75" customHeight="1">
      <c r="A28" s="3283" t="s">
        <v>553</v>
      </c>
      <c r="B28" s="3283"/>
      <c r="C28" s="3283"/>
      <c r="D28" s="3283"/>
      <c r="E28" s="3283"/>
      <c r="F28" s="3283"/>
      <c r="G28" s="3283"/>
      <c r="H28" s="3283"/>
      <c r="I28" s="3283"/>
      <c r="J28" s="3283"/>
      <c r="K28" s="3283"/>
      <c r="L28" s="3283"/>
      <c r="M28" s="3283"/>
      <c r="N28" s="3283"/>
      <c r="O28" s="3283"/>
      <c r="P28" s="3283"/>
      <c r="Q28" s="3283"/>
      <c r="R28" s="3283"/>
      <c r="S28" s="3283"/>
      <c r="T28" s="3283"/>
      <c r="U28" s="3283"/>
      <c r="V28" s="3283"/>
      <c r="W28" s="3283"/>
      <c r="X28" s="3283"/>
      <c r="Y28" s="3283"/>
      <c r="Z28" s="3283"/>
      <c r="AA28" s="3283"/>
      <c r="AB28" s="3283"/>
      <c r="AC28" s="3283"/>
    </row>
    <row r="29" spans="1:30" ht="24.75" customHeight="1">
      <c r="A29" s="3283"/>
      <c r="B29" s="3283"/>
      <c r="C29" s="3283"/>
      <c r="D29" s="3283"/>
      <c r="E29" s="3283"/>
      <c r="F29" s="3283"/>
      <c r="G29" s="3283"/>
      <c r="H29" s="3283"/>
      <c r="I29" s="3283"/>
      <c r="J29" s="3283"/>
      <c r="K29" s="3283"/>
      <c r="L29" s="3283"/>
      <c r="M29" s="3283"/>
      <c r="N29" s="3283"/>
      <c r="O29" s="3283"/>
      <c r="P29" s="3283"/>
      <c r="Q29" s="3283"/>
      <c r="R29" s="3283"/>
      <c r="S29" s="3283"/>
      <c r="T29" s="3283"/>
      <c r="U29" s="3283"/>
      <c r="V29" s="3283"/>
      <c r="W29" s="3283"/>
      <c r="X29" s="3283"/>
      <c r="Y29" s="3283"/>
      <c r="Z29" s="3283"/>
      <c r="AA29" s="3283"/>
      <c r="AB29" s="3283"/>
      <c r="AC29" s="3283"/>
    </row>
    <row r="30" spans="1:30" ht="24.75" customHeight="1">
      <c r="A30" s="3279"/>
      <c r="B30" s="3279"/>
      <c r="C30" s="3279"/>
      <c r="D30" s="3279"/>
      <c r="E30" s="3279"/>
      <c r="F30" s="3279"/>
      <c r="G30" s="3279"/>
      <c r="H30" s="3279"/>
      <c r="I30" s="3279"/>
      <c r="J30" s="3279"/>
      <c r="K30" s="3279"/>
      <c r="L30" s="3279"/>
      <c r="M30" s="3279"/>
      <c r="N30" s="3279"/>
      <c r="O30" s="3279"/>
      <c r="P30" s="3279"/>
      <c r="Q30" s="3279"/>
      <c r="R30" s="3279"/>
      <c r="S30" s="3279"/>
      <c r="T30" s="3279"/>
      <c r="U30" s="3279"/>
      <c r="V30" s="3279"/>
      <c r="W30" s="3279"/>
      <c r="X30" s="3279"/>
      <c r="Y30" s="3279"/>
      <c r="Z30" s="3279"/>
      <c r="AA30" s="3279"/>
      <c r="AB30" s="3279"/>
      <c r="AC30" s="3279"/>
    </row>
    <row r="31" spans="1:30" ht="24.75" customHeight="1">
      <c r="A31" s="3279"/>
      <c r="B31" s="3279"/>
      <c r="C31" s="3279"/>
      <c r="D31" s="3279"/>
      <c r="E31" s="3279"/>
      <c r="F31" s="3279"/>
      <c r="G31" s="3279"/>
      <c r="H31" s="3279"/>
      <c r="I31" s="3279"/>
      <c r="J31" s="3279"/>
      <c r="K31" s="3279"/>
      <c r="L31" s="3279"/>
      <c r="M31" s="3279"/>
      <c r="N31" s="3279"/>
      <c r="O31" s="3279"/>
      <c r="P31" s="3279"/>
      <c r="Q31" s="3279"/>
      <c r="R31" s="3279"/>
      <c r="S31" s="3279"/>
      <c r="T31" s="3279"/>
      <c r="U31" s="3279"/>
      <c r="V31" s="3279"/>
      <c r="W31" s="3279"/>
      <c r="X31" s="3279"/>
      <c r="Y31" s="3279"/>
      <c r="Z31" s="3279"/>
      <c r="AA31" s="3279"/>
      <c r="AB31" s="3279"/>
      <c r="AC31" s="3279"/>
    </row>
    <row r="32" spans="1:30" s="1040" customFormat="1" ht="25.5">
      <c r="A32" s="3279"/>
      <c r="B32" s="3279"/>
      <c r="C32" s="3279"/>
      <c r="D32" s="3279"/>
      <c r="E32" s="3279"/>
      <c r="F32" s="3279"/>
      <c r="G32" s="3279"/>
      <c r="H32" s="3279"/>
      <c r="I32" s="3279"/>
      <c r="J32" s="3279"/>
      <c r="K32" s="3279"/>
      <c r="L32" s="3279"/>
      <c r="M32" s="3279"/>
      <c r="N32" s="3279"/>
      <c r="O32" s="3279"/>
      <c r="P32" s="3279"/>
      <c r="Q32" s="3279"/>
      <c r="R32" s="3279"/>
      <c r="S32" s="3279"/>
      <c r="T32" s="3279"/>
      <c r="U32" s="3279"/>
      <c r="V32" s="3279"/>
      <c r="W32" s="3279"/>
      <c r="X32" s="3279"/>
      <c r="Y32" s="3279"/>
      <c r="Z32" s="3279"/>
      <c r="AA32" s="3279"/>
      <c r="AB32" s="3279"/>
      <c r="AC32" s="3279"/>
    </row>
    <row r="33" spans="1:29" s="1040" customFormat="1" ht="25.5">
      <c r="A33" s="3279"/>
      <c r="B33" s="3279"/>
      <c r="C33" s="3279"/>
      <c r="D33" s="3279"/>
      <c r="E33" s="3279"/>
      <c r="F33" s="3279"/>
      <c r="G33" s="3279"/>
      <c r="H33" s="3279"/>
      <c r="I33" s="3279"/>
      <c r="J33" s="3279"/>
      <c r="K33" s="3279"/>
      <c r="L33" s="3279"/>
      <c r="M33" s="3279"/>
      <c r="N33" s="3279"/>
      <c r="O33" s="3279"/>
      <c r="P33" s="3279"/>
      <c r="Q33" s="3279"/>
      <c r="R33" s="3279"/>
      <c r="S33" s="3279"/>
      <c r="T33" s="3279"/>
      <c r="U33" s="3279"/>
      <c r="V33" s="3279"/>
      <c r="W33" s="3279"/>
      <c r="X33" s="3279"/>
      <c r="Y33" s="3279"/>
      <c r="Z33" s="3279"/>
      <c r="AA33" s="3279"/>
      <c r="AB33" s="3279"/>
      <c r="AC33" s="1041"/>
    </row>
    <row r="34" spans="1:29" s="1040" customFormat="1" ht="24.75" customHeight="1">
      <c r="A34" s="3284"/>
      <c r="B34" s="3284"/>
      <c r="C34" s="3284"/>
      <c r="D34" s="3284"/>
      <c r="E34" s="3284"/>
      <c r="F34" s="3284"/>
      <c r="G34" s="3284"/>
      <c r="H34" s="3284"/>
      <c r="I34" s="3284"/>
      <c r="J34" s="3284"/>
      <c r="K34" s="3284"/>
      <c r="L34" s="3284"/>
      <c r="M34" s="3284"/>
      <c r="N34" s="3284"/>
      <c r="O34" s="3284"/>
      <c r="P34" s="3284"/>
      <c r="Q34" s="3284"/>
      <c r="R34" s="3284"/>
      <c r="S34" s="3284"/>
      <c r="T34" s="3284"/>
      <c r="U34" s="3284"/>
      <c r="V34" s="3284"/>
      <c r="W34" s="3284"/>
      <c r="X34" s="3284"/>
      <c r="Y34" s="1042"/>
      <c r="Z34" s="1042"/>
      <c r="AA34" s="1042"/>
      <c r="AB34" s="1042"/>
      <c r="AC34" s="1043"/>
    </row>
    <row r="35" spans="1:29" s="1040" customFormat="1" ht="49.5" customHeight="1">
      <c r="A35" s="3285"/>
      <c r="B35" s="3285"/>
      <c r="C35" s="3285"/>
      <c r="D35" s="3285"/>
      <c r="E35" s="3285"/>
      <c r="F35" s="3285"/>
      <c r="G35" s="3285"/>
      <c r="H35" s="3285"/>
      <c r="I35" s="3285"/>
      <c r="J35" s="3285"/>
      <c r="K35" s="3285"/>
      <c r="L35" s="3285"/>
      <c r="M35" s="3285"/>
      <c r="N35" s="3285"/>
      <c r="O35" s="3285"/>
      <c r="P35" s="3285"/>
      <c r="Q35" s="3285"/>
      <c r="R35" s="3285"/>
      <c r="S35" s="3285"/>
      <c r="T35" s="3285"/>
      <c r="U35" s="3285"/>
      <c r="V35" s="3285"/>
      <c r="W35" s="3285"/>
      <c r="X35" s="3285"/>
      <c r="Y35" s="1042"/>
      <c r="Z35" s="1042"/>
      <c r="AA35" s="1042"/>
      <c r="AB35" s="1042"/>
    </row>
    <row r="36" spans="1:29" s="1040" customFormat="1">
      <c r="A36" s="3286"/>
    </row>
    <row r="37" spans="1:29" s="1040" customFormat="1" ht="49.5" customHeight="1">
      <c r="A37" s="3286"/>
    </row>
    <row r="38" spans="1:29" s="1040" customFormat="1">
      <c r="A38" s="3287"/>
    </row>
    <row r="39" spans="1:29">
      <c r="A39" s="3287"/>
    </row>
    <row r="40" spans="1:29">
      <c r="A40" s="3287"/>
    </row>
    <row r="41" spans="1:29">
      <c r="A41" s="3287"/>
      <c r="P41" s="121"/>
      <c r="Q41" s="121"/>
      <c r="R41" s="121"/>
      <c r="S41" s="121"/>
      <c r="T41" s="121"/>
      <c r="U41" s="121"/>
      <c r="V41" s="121"/>
      <c r="W41" s="121"/>
      <c r="X41" s="121"/>
      <c r="Y41" s="121"/>
      <c r="Z41" s="121"/>
    </row>
    <row r="42" spans="1:29" ht="26.25">
      <c r="A42" s="5"/>
      <c r="B42" s="5"/>
      <c r="C42" s="5"/>
      <c r="D42" s="5"/>
      <c r="E42" s="5"/>
      <c r="F42" s="5"/>
      <c r="G42" s="5"/>
      <c r="H42" s="5"/>
      <c r="I42" s="5"/>
      <c r="J42" s="1044"/>
      <c r="P42" s="121"/>
      <c r="Q42" s="5"/>
      <c r="R42" s="5"/>
      <c r="S42" s="5"/>
      <c r="T42" s="5"/>
      <c r="U42" s="5"/>
      <c r="V42" s="5"/>
      <c r="W42" s="5"/>
      <c r="X42" s="5"/>
      <c r="Y42" s="5"/>
      <c r="Z42" s="5"/>
    </row>
    <row r="43" spans="1:29" ht="24.75" customHeight="1">
      <c r="A43" s="5"/>
      <c r="B43" s="5"/>
      <c r="C43" s="5"/>
      <c r="D43" s="5"/>
      <c r="E43" s="5"/>
      <c r="F43" s="5"/>
      <c r="G43" s="5"/>
      <c r="H43" s="5"/>
      <c r="I43" s="5"/>
      <c r="J43" s="1045"/>
      <c r="P43" s="121"/>
    </row>
    <row r="44" spans="1:29">
      <c r="A44" s="5"/>
      <c r="B44" s="5"/>
      <c r="C44" s="5"/>
      <c r="D44" s="5"/>
      <c r="E44" s="5"/>
      <c r="F44" s="5"/>
      <c r="G44" s="5"/>
      <c r="H44" s="5"/>
      <c r="I44" s="5"/>
      <c r="J44" s="1045"/>
      <c r="P44" s="121"/>
    </row>
    <row r="45" spans="1:29">
      <c r="A45" s="5"/>
      <c r="B45" s="5"/>
      <c r="C45" s="5"/>
      <c r="D45" s="5"/>
      <c r="E45" s="5"/>
      <c r="F45" s="5"/>
      <c r="G45" s="5"/>
      <c r="H45" s="5"/>
      <c r="I45" s="5"/>
      <c r="J45" s="1045"/>
      <c r="P45" s="121"/>
    </row>
    <row r="46" spans="1:29">
      <c r="A46" s="5"/>
      <c r="B46" s="5"/>
      <c r="C46" s="5"/>
      <c r="D46" s="5"/>
      <c r="E46" s="5"/>
      <c r="F46" s="5"/>
      <c r="G46" s="5"/>
      <c r="H46" s="5"/>
      <c r="I46" s="5"/>
      <c r="J46" s="1045"/>
      <c r="P46" s="121"/>
    </row>
    <row r="47" spans="1:29">
      <c r="A47" s="5"/>
      <c r="B47" s="5"/>
      <c r="C47" s="5"/>
      <c r="D47" s="5"/>
      <c r="E47" s="5"/>
      <c r="F47" s="5"/>
      <c r="G47" s="5"/>
      <c r="H47" s="5"/>
      <c r="I47" s="5"/>
      <c r="J47" s="1045"/>
      <c r="P47" s="121"/>
    </row>
    <row r="48" spans="1:29" ht="24.75" customHeight="1">
      <c r="A48" s="5"/>
      <c r="B48" s="5"/>
      <c r="C48" s="5"/>
      <c r="D48" s="5"/>
      <c r="E48" s="5"/>
      <c r="F48" s="5"/>
      <c r="G48" s="5"/>
      <c r="H48" s="5"/>
      <c r="I48" s="5"/>
      <c r="J48" s="1045"/>
      <c r="P48" s="121"/>
    </row>
    <row r="49" spans="1:26" ht="26.25">
      <c r="A49" s="5"/>
      <c r="B49" s="5"/>
      <c r="C49" s="5"/>
      <c r="D49" s="5"/>
      <c r="E49" s="5"/>
      <c r="F49" s="5"/>
      <c r="G49" s="5"/>
      <c r="H49" s="5"/>
      <c r="I49" s="5"/>
      <c r="J49" s="1046"/>
      <c r="P49" s="121"/>
    </row>
    <row r="50" spans="1:26" ht="24.75" customHeight="1">
      <c r="A50" s="2688"/>
      <c r="B50" s="2688"/>
      <c r="C50" s="2688"/>
      <c r="D50" s="2688"/>
      <c r="E50" s="2688"/>
      <c r="F50" s="2688"/>
      <c r="G50" s="2688"/>
      <c r="H50" s="2688"/>
      <c r="I50" s="2688"/>
      <c r="J50" s="2688"/>
      <c r="P50" s="121"/>
    </row>
    <row r="51" spans="1:26" ht="24.75" customHeight="1">
      <c r="A51" s="2688"/>
      <c r="B51" s="2688"/>
      <c r="C51" s="2688"/>
      <c r="D51" s="2688"/>
      <c r="E51" s="2688"/>
      <c r="F51" s="2688"/>
      <c r="G51" s="2688"/>
      <c r="H51" s="2688"/>
      <c r="I51" s="2688"/>
      <c r="J51" s="2688"/>
      <c r="P51" s="121"/>
    </row>
    <row r="52" spans="1:26" ht="24.75" customHeight="1">
      <c r="A52" s="2688"/>
      <c r="B52" s="2688"/>
      <c r="C52" s="2688"/>
      <c r="D52" s="2688"/>
      <c r="E52" s="2688"/>
      <c r="F52" s="2688"/>
      <c r="G52" s="2688"/>
      <c r="H52" s="2688"/>
      <c r="I52" s="2688"/>
      <c r="J52" s="2688"/>
      <c r="P52" s="121"/>
    </row>
    <row r="53" spans="1:26" ht="24.75" customHeight="1">
      <c r="A53" s="2688"/>
      <c r="B53" s="2688"/>
      <c r="C53" s="2688"/>
      <c r="D53" s="2688"/>
      <c r="E53" s="2688"/>
      <c r="F53" s="2688"/>
      <c r="G53" s="2688"/>
      <c r="H53" s="2688"/>
      <c r="I53" s="2688"/>
      <c r="J53" s="2688"/>
      <c r="P53" s="121"/>
    </row>
    <row r="54" spans="1:26">
      <c r="P54" s="121"/>
    </row>
    <row r="55" spans="1:26">
      <c r="P55" s="121"/>
      <c r="Q55" s="5"/>
      <c r="R55" s="5"/>
      <c r="S55" s="5"/>
      <c r="T55" s="5"/>
      <c r="U55" s="5"/>
      <c r="V55" s="5"/>
      <c r="W55" s="5"/>
      <c r="X55" s="5"/>
      <c r="Y55" s="5"/>
      <c r="Z55" s="5"/>
    </row>
    <row r="56" spans="1:26">
      <c r="P56" s="121"/>
      <c r="Q56" s="5"/>
      <c r="R56" s="5"/>
      <c r="S56" s="5"/>
      <c r="T56" s="5"/>
      <c r="U56" s="5"/>
      <c r="V56" s="5"/>
      <c r="W56" s="5"/>
      <c r="X56" s="5"/>
      <c r="Y56" s="5"/>
      <c r="Z56" s="5"/>
    </row>
    <row r="57" spans="1:26">
      <c r="P57" s="121"/>
    </row>
    <row r="58" spans="1:26">
      <c r="P58" s="121"/>
    </row>
    <row r="59" spans="1:26">
      <c r="P59" s="121"/>
    </row>
    <row r="60" spans="1:26">
      <c r="P60" s="121"/>
    </row>
    <row r="61" spans="1:26">
      <c r="P61" s="121"/>
    </row>
    <row r="62" spans="1:26">
      <c r="P62" s="121"/>
    </row>
    <row r="63" spans="1:26">
      <c r="P63" s="121"/>
    </row>
    <row r="64" spans="1:26">
      <c r="P64" s="121"/>
    </row>
  </sheetData>
  <mergeCells count="32">
    <mergeCell ref="A51:J51"/>
    <mergeCell ref="A52:J52"/>
    <mergeCell ref="A53:J53"/>
    <mergeCell ref="A34:X34"/>
    <mergeCell ref="A35:X35"/>
    <mergeCell ref="A36:A37"/>
    <mergeCell ref="A38:A39"/>
    <mergeCell ref="A40:A41"/>
    <mergeCell ref="A50:J50"/>
    <mergeCell ref="A17:A18"/>
    <mergeCell ref="A19:A20"/>
    <mergeCell ref="A21:A22"/>
    <mergeCell ref="A23:A24"/>
    <mergeCell ref="A33:AB33"/>
    <mergeCell ref="A25:A27"/>
    <mergeCell ref="A28:AC28"/>
    <mergeCell ref="A29:AC29"/>
    <mergeCell ref="A30:AC30"/>
    <mergeCell ref="A31:AC31"/>
    <mergeCell ref="A32:AC32"/>
    <mergeCell ref="A15:A16"/>
    <mergeCell ref="A1:AC1"/>
    <mergeCell ref="A3:A4"/>
    <mergeCell ref="B3:B4"/>
    <mergeCell ref="C3:K3"/>
    <mergeCell ref="L3:T3"/>
    <mergeCell ref="U3:AC3"/>
    <mergeCell ref="A5:A6"/>
    <mergeCell ref="A7:A8"/>
    <mergeCell ref="A9:A10"/>
    <mergeCell ref="A11:A12"/>
    <mergeCell ref="A13:A14"/>
  </mergeCells>
  <conditionalFormatting sqref="L5:P24">
    <cfRule type="cellIs" dxfId="309" priority="1" operator="lessThan">
      <formula>0</formula>
    </cfRule>
    <cfRule type="cellIs" dxfId="308" priority="2" operator="equal">
      <formula>0</formula>
    </cfRule>
  </conditionalFormatting>
  <printOptions horizontalCentered="1"/>
  <pageMargins left="0.19685039370078741" right="0.19685039370078741" top="0.59055118110236227" bottom="0.78740157480314965" header="0.19685039370078741" footer="0.19685039370078741"/>
  <pageSetup paperSize="9" scale="4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96">
    <tabColor rgb="FF458B74"/>
    <pageSetUpPr fitToPage="1"/>
  </sheetPr>
  <dimension ref="A1:DF20"/>
  <sheetViews>
    <sheetView showGridLines="0" rightToLeft="1" topLeftCell="BC1" zoomScale="70" zoomScaleNormal="70" workbookViewId="0">
      <selection activeCell="BE20" sqref="BE20:BJ20"/>
    </sheetView>
  </sheetViews>
  <sheetFormatPr defaultColWidth="9.140625" defaultRowHeight="15"/>
  <cols>
    <col min="1" max="1" width="37.85546875" style="2575" bestFit="1" customWidth="1"/>
    <col min="2" max="6" width="20.5703125" style="2575" customWidth="1"/>
    <col min="7" max="7" width="12.28515625" style="2575" customWidth="1"/>
    <col min="8" max="8" width="37.85546875" style="2575" bestFit="1" customWidth="1"/>
    <col min="9" max="13" width="20.5703125" style="2575" customWidth="1"/>
    <col min="14" max="14" width="9.140625" style="2575" customWidth="1"/>
    <col min="15" max="15" width="37.85546875" style="2575" bestFit="1" customWidth="1"/>
    <col min="16" max="20" width="20.5703125" style="2575" customWidth="1"/>
    <col min="21" max="21" width="9.140625" style="2575" customWidth="1"/>
    <col min="22" max="22" width="37.85546875" style="2575" bestFit="1" customWidth="1"/>
    <col min="23" max="27" width="20.5703125" style="2575" customWidth="1"/>
    <col min="28" max="28" width="9.140625" style="2575" customWidth="1"/>
    <col min="29" max="29" width="37.85546875" style="2575" bestFit="1" customWidth="1"/>
    <col min="30" max="34" width="20.5703125" style="2575" customWidth="1"/>
    <col min="35" max="35" width="9.140625" style="2575" customWidth="1"/>
    <col min="36" max="36" width="37.85546875" style="2575" bestFit="1" customWidth="1"/>
    <col min="37" max="41" width="20.5703125" style="2575" customWidth="1"/>
    <col min="42" max="42" width="9.140625" style="2575" customWidth="1"/>
    <col min="43" max="43" width="37.85546875" style="2575" bestFit="1" customWidth="1"/>
    <col min="44" max="48" width="20.5703125" style="2575" customWidth="1"/>
    <col min="49" max="49" width="9.140625" style="2575" customWidth="1"/>
    <col min="50" max="50" width="37.85546875" style="2575" bestFit="1" customWidth="1"/>
    <col min="51" max="55" width="20.5703125" style="2575" customWidth="1"/>
    <col min="56" max="56" width="9.140625" style="2575" customWidth="1"/>
    <col min="57" max="57" width="37.85546875" style="2575" bestFit="1" customWidth="1"/>
    <col min="58" max="62" width="20.5703125" style="2575" customWidth="1"/>
    <col min="63" max="63" width="9.140625" style="2575" customWidth="1"/>
    <col min="64" max="64" width="37.85546875" style="2575" bestFit="1" customWidth="1"/>
    <col min="65" max="69" width="20.5703125" style="2575" customWidth="1"/>
    <col min="70" max="70" width="9.140625" style="2575" customWidth="1"/>
    <col min="71" max="71" width="37.85546875" style="2575" bestFit="1" customWidth="1"/>
    <col min="72" max="76" width="20.5703125" style="2575" customWidth="1"/>
    <col min="77" max="82" width="9.140625" style="2575" customWidth="1"/>
    <col min="83" max="16384" width="9.140625" style="2575"/>
  </cols>
  <sheetData>
    <row r="1" spans="1:110" s="2568" customFormat="1" ht="24" customHeight="1">
      <c r="A1" s="3292" t="str">
        <f>روکش!D4</f>
        <v>انبارهای عمومی و خدمات گمرکی ایران</v>
      </c>
      <c r="B1" s="3292"/>
      <c r="C1" s="3292"/>
      <c r="D1" s="3292"/>
      <c r="E1" s="3292"/>
      <c r="F1" s="3292"/>
      <c r="G1" s="2567"/>
      <c r="H1" s="3292">
        <f>روکش!K4</f>
        <v>0</v>
      </c>
      <c r="I1" s="3292"/>
      <c r="J1" s="3292"/>
      <c r="K1" s="3292"/>
      <c r="L1" s="3292"/>
      <c r="M1" s="3292"/>
      <c r="N1" s="2567"/>
      <c r="O1" s="3292">
        <f>روکش!R4</f>
        <v>0</v>
      </c>
      <c r="P1" s="3292"/>
      <c r="Q1" s="3292"/>
      <c r="R1" s="3292"/>
      <c r="S1" s="3292"/>
      <c r="T1" s="3292"/>
      <c r="U1" s="2567"/>
      <c r="V1" s="3292">
        <f>روکش!Y4</f>
        <v>0</v>
      </c>
      <c r="W1" s="3292"/>
      <c r="X1" s="3292"/>
      <c r="Y1" s="3292"/>
      <c r="Z1" s="3292"/>
      <c r="AA1" s="3292"/>
      <c r="AB1" s="2567"/>
      <c r="AC1" s="3292">
        <f>روکش!AF4</f>
        <v>0</v>
      </c>
      <c r="AD1" s="3292"/>
      <c r="AE1" s="3292"/>
      <c r="AF1" s="3292"/>
      <c r="AG1" s="3292"/>
      <c r="AH1" s="3292"/>
      <c r="AI1" s="2567"/>
      <c r="AJ1" s="3292">
        <f>روکش!AM4</f>
        <v>0</v>
      </c>
      <c r="AK1" s="3292"/>
      <c r="AL1" s="3292"/>
      <c r="AM1" s="3292"/>
      <c r="AN1" s="3292"/>
      <c r="AO1" s="3292"/>
      <c r="AP1" s="2567"/>
      <c r="AQ1" s="3292">
        <f>روکش!AT4</f>
        <v>0</v>
      </c>
      <c r="AR1" s="3292"/>
      <c r="AS1" s="3292"/>
      <c r="AT1" s="3292"/>
      <c r="AU1" s="3292"/>
      <c r="AV1" s="3292"/>
      <c r="AW1" s="2567"/>
      <c r="AX1" s="3292">
        <f>روکش!BA4</f>
        <v>0</v>
      </c>
      <c r="AY1" s="3292"/>
      <c r="AZ1" s="3292"/>
      <c r="BA1" s="3292"/>
      <c r="BB1" s="3292"/>
      <c r="BC1" s="3292"/>
      <c r="BD1" s="2567"/>
      <c r="BE1" s="3292">
        <f>روکش!BH4</f>
        <v>0</v>
      </c>
      <c r="BF1" s="3292"/>
      <c r="BG1" s="3292"/>
      <c r="BH1" s="3292"/>
      <c r="BI1" s="3292"/>
      <c r="BJ1" s="3292"/>
      <c r="BK1" s="2567"/>
      <c r="BL1" s="3292">
        <f>روکش!BO4</f>
        <v>0</v>
      </c>
      <c r="BM1" s="3292"/>
      <c r="BN1" s="3292"/>
      <c r="BO1" s="3292"/>
      <c r="BP1" s="3292"/>
      <c r="BQ1" s="3292"/>
      <c r="BR1" s="2567"/>
      <c r="BS1" s="3292">
        <f>روکش!BV4</f>
        <v>0</v>
      </c>
      <c r="BT1" s="3292"/>
      <c r="BU1" s="3292"/>
      <c r="BV1" s="3292"/>
      <c r="BW1" s="3292"/>
      <c r="BX1" s="3292"/>
      <c r="BY1" s="2567"/>
      <c r="BZ1" s="2567"/>
      <c r="CA1" s="2567"/>
      <c r="CB1" s="2567"/>
      <c r="CC1" s="2567"/>
      <c r="CD1" s="2567"/>
      <c r="CE1" s="2567"/>
      <c r="CF1" s="2567"/>
      <c r="CG1" s="2567"/>
      <c r="CH1" s="2567"/>
      <c r="CI1" s="2567"/>
      <c r="CJ1" s="2567"/>
      <c r="CK1" s="2567"/>
      <c r="CL1" s="2567"/>
      <c r="CM1" s="2567"/>
      <c r="CN1" s="2567"/>
      <c r="CO1" s="2567"/>
      <c r="CP1" s="2567"/>
      <c r="CQ1" s="2567"/>
      <c r="CR1" s="2567"/>
      <c r="CS1" s="2567"/>
      <c r="CT1" s="2567"/>
      <c r="CU1" s="2567"/>
      <c r="CV1" s="2567"/>
      <c r="CW1" s="2567"/>
      <c r="CX1" s="2567"/>
      <c r="CY1" s="2567"/>
      <c r="CZ1" s="2567"/>
      <c r="DA1" s="2567"/>
      <c r="DB1" s="2567"/>
      <c r="DC1" s="2567"/>
      <c r="DD1" s="2567"/>
      <c r="DE1" s="2567"/>
      <c r="DF1" s="2567"/>
    </row>
    <row r="2" spans="1:110" s="2570" customFormat="1" ht="28.5" customHeight="1" thickBot="1">
      <c r="A2" s="3291" t="s">
        <v>3220</v>
      </c>
      <c r="B2" s="3291"/>
      <c r="C2" s="3291"/>
      <c r="D2" s="3291"/>
      <c r="E2" s="3291"/>
      <c r="F2" s="3291"/>
      <c r="G2" s="2569"/>
      <c r="H2" s="3293" t="str">
        <f>" گزارش مقایسه درآمد، هزینه، سود ( زیان) مجتمع خراسان/ شعبه "&amp;N2</f>
        <v xml:space="preserve"> گزارش مقایسه درآمد، هزینه، سود ( زیان) مجتمع خراسان/ شعبه شهید کاوه</v>
      </c>
      <c r="I2" s="3293"/>
      <c r="J2" s="3293"/>
      <c r="K2" s="3293"/>
      <c r="L2" s="3293"/>
      <c r="M2" s="3293"/>
      <c r="N2" s="2598" t="str">
        <f>واردات!$AA$42</f>
        <v>شهید کاوه</v>
      </c>
      <c r="O2" s="3293" t="str">
        <f>" گزارش مقایسه درآمد، هزینه، سود ( زیان) مجتمع خراسان/ شعبه "&amp;U2</f>
        <v xml:space="preserve"> گزارش مقایسه درآمد، هزینه، سود ( زیان) مجتمع خراسان/ شعبه مطهری</v>
      </c>
      <c r="P2" s="3293"/>
      <c r="Q2" s="3293"/>
      <c r="R2" s="3293"/>
      <c r="S2" s="3293"/>
      <c r="T2" s="3293"/>
      <c r="U2" s="2598" t="str">
        <f>واردات!$AA$43</f>
        <v>مطهری</v>
      </c>
      <c r="V2" s="3293" t="str">
        <f>" گزارش مقایسه درآمد، هزینه، سود ( زیان) مجتمع خراسان/ شعبه "&amp;AB2</f>
        <v xml:space="preserve"> گزارش مقایسه درآمد، هزینه، سود ( زیان) مجتمع خراسان/ شعبه سرخس</v>
      </c>
      <c r="W2" s="3293"/>
      <c r="X2" s="3293"/>
      <c r="Y2" s="3293"/>
      <c r="Z2" s="3293"/>
      <c r="AA2" s="3293"/>
      <c r="AB2" s="2598" t="str">
        <f>واردات!$AA$44</f>
        <v>سرخس</v>
      </c>
      <c r="AC2" s="3293" t="str">
        <f>" گزارش مقایسه درآمد، هزینه، سود ( زیان) مجتمع خراسان/ شعبه "&amp;AI2</f>
        <v xml:space="preserve"> گزارش مقایسه درآمد، هزینه، سود ( زیان) مجتمع خراسان/ شعبه لطف آباد</v>
      </c>
      <c r="AD2" s="3293"/>
      <c r="AE2" s="3293"/>
      <c r="AF2" s="3293"/>
      <c r="AG2" s="3293"/>
      <c r="AH2" s="3293"/>
      <c r="AI2" s="2598" t="str">
        <f>واردات!$AA$45</f>
        <v>لطف آباد</v>
      </c>
      <c r="AJ2" s="3293" t="str">
        <f>" گزارش مقایسه درآمد، هزینه، سود ( زیان) مجتمع خراسان/ شعبه "&amp;AP2</f>
        <v xml:space="preserve"> گزارش مقایسه درآمد، هزینه، سود ( زیان) مجتمع خراسان/ شعبه نیشابور</v>
      </c>
      <c r="AK2" s="3293"/>
      <c r="AL2" s="3293"/>
      <c r="AM2" s="3293"/>
      <c r="AN2" s="3293"/>
      <c r="AO2" s="3293"/>
      <c r="AP2" s="2598" t="str">
        <f>واردات!$AA$46</f>
        <v>نیشابور</v>
      </c>
      <c r="AQ2" s="3293" t="str">
        <f>" گزارش مقایسه درآمد، هزینه، سود ( زیان) مجتمع خراسان/ شعبه "&amp;AW2</f>
        <v xml:space="preserve"> گزارش مقایسه درآمد، هزینه، سود ( زیان) مجتمع خراسان/ شعبه ماهیرود</v>
      </c>
      <c r="AR2" s="3293"/>
      <c r="AS2" s="3293"/>
      <c r="AT2" s="3293"/>
      <c r="AU2" s="3293"/>
      <c r="AV2" s="3293"/>
      <c r="AW2" s="2598" t="str">
        <f>واردات!$AA$47</f>
        <v>ماهیرود</v>
      </c>
      <c r="AX2" s="3293" t="str">
        <f>" گزارش مقایسه درآمد، هزینه، سود ( زیان) مجتمع خراسان/ شعبه "&amp;BD2</f>
        <v xml:space="preserve"> گزارش مقایسه درآمد، هزینه، سود ( زیان) مجتمع خراسان/ شعبه دوغارون</v>
      </c>
      <c r="AY2" s="3293"/>
      <c r="AZ2" s="3293"/>
      <c r="BA2" s="3293"/>
      <c r="BB2" s="3293"/>
      <c r="BC2" s="3293"/>
      <c r="BD2" s="2598" t="str">
        <f>واردات!$AA$48</f>
        <v>دوغارون</v>
      </c>
      <c r="BE2" s="3293" t="str">
        <f>" گزارش مقایسه درآمد، هزینه، سود ( زیان) مجتمع خراسان/ شعبه "&amp;BK2</f>
        <v xml:space="preserve"> گزارش مقایسه درآمد، هزینه، سود ( زیان) مجتمع خراسان/ شعبه بجنورد</v>
      </c>
      <c r="BF2" s="3293"/>
      <c r="BG2" s="3293"/>
      <c r="BH2" s="3293"/>
      <c r="BI2" s="3293"/>
      <c r="BJ2" s="3293"/>
      <c r="BK2" s="2598" t="str">
        <f>واردات!$AA$49</f>
        <v>بجنورد</v>
      </c>
      <c r="BL2" s="3293" t="str">
        <f>" گزارش مقایسه درآمد، هزینه، سود ( زیان) مجتمع خراسان/ شعبه "&amp;BR2</f>
        <v xml:space="preserve"> گزارش مقایسه درآمد، هزینه، سود ( زیان) مجتمع خراسان/ شعبه بیرجند</v>
      </c>
      <c r="BM2" s="3293"/>
      <c r="BN2" s="3293"/>
      <c r="BO2" s="3293"/>
      <c r="BP2" s="3293"/>
      <c r="BQ2" s="3293"/>
      <c r="BR2" s="2598" t="str">
        <f>واردات!$AA$50</f>
        <v>بیرجند</v>
      </c>
      <c r="BS2" s="3293" t="str">
        <f>" گزارش مقایسه درآمد، هزینه، سود ( زیان) مجتمع خراسان/ شعبه "&amp;BY2</f>
        <v xml:space="preserve"> گزارش مقایسه درآمد، هزینه، سود ( زیان) مجتمع خراسان/ شعبه باجگیران</v>
      </c>
      <c r="BT2" s="3293"/>
      <c r="BU2" s="3293"/>
      <c r="BV2" s="3293"/>
      <c r="BW2" s="3293"/>
      <c r="BX2" s="3293"/>
      <c r="BY2" s="2598" t="str">
        <f>واردات!$AA$51</f>
        <v>باجگیران</v>
      </c>
      <c r="BZ2" s="2569"/>
      <c r="CA2" s="2569"/>
      <c r="CB2" s="2569"/>
      <c r="CC2" s="2569"/>
      <c r="CD2" s="2569"/>
      <c r="CE2" s="2569"/>
      <c r="CF2" s="2569"/>
      <c r="CG2" s="2569"/>
      <c r="CH2" s="2569"/>
      <c r="CI2" s="2569"/>
      <c r="CJ2" s="2569"/>
      <c r="CK2" s="2569"/>
      <c r="CL2" s="2569"/>
      <c r="CM2" s="2569"/>
      <c r="CN2" s="2569"/>
      <c r="CO2" s="2569"/>
      <c r="CP2" s="2569"/>
      <c r="CQ2" s="2569"/>
      <c r="CR2" s="2569"/>
      <c r="CS2" s="2569"/>
      <c r="CT2" s="2569"/>
      <c r="CU2" s="2569"/>
      <c r="CV2" s="2569"/>
      <c r="CW2" s="2569"/>
      <c r="CX2" s="2569"/>
      <c r="CY2" s="2569"/>
      <c r="CZ2" s="2569"/>
      <c r="DA2" s="2569"/>
      <c r="DB2" s="2569"/>
      <c r="DC2" s="2569"/>
      <c r="DD2" s="2569"/>
      <c r="DE2" s="2569"/>
      <c r="DF2" s="2569"/>
    </row>
    <row r="3" spans="1:110" ht="72">
      <c r="A3" s="2571" t="s">
        <v>21</v>
      </c>
      <c r="B3" s="2572" t="s">
        <v>683</v>
      </c>
      <c r="C3" s="2573" t="s">
        <v>674</v>
      </c>
      <c r="D3" s="2573" t="s">
        <v>675</v>
      </c>
      <c r="E3" s="2573" t="s">
        <v>564</v>
      </c>
      <c r="F3" s="2574" t="s">
        <v>565</v>
      </c>
      <c r="H3" s="2571" t="s">
        <v>21</v>
      </c>
      <c r="I3" s="2572" t="s">
        <v>683</v>
      </c>
      <c r="J3" s="2573" t="s">
        <v>674</v>
      </c>
      <c r="K3" s="2573" t="s">
        <v>675</v>
      </c>
      <c r="L3" s="2573" t="s">
        <v>564</v>
      </c>
      <c r="M3" s="2574" t="s">
        <v>565</v>
      </c>
      <c r="O3" s="2571" t="s">
        <v>21</v>
      </c>
      <c r="P3" s="2572" t="s">
        <v>683</v>
      </c>
      <c r="Q3" s="2573" t="s">
        <v>674</v>
      </c>
      <c r="R3" s="2573" t="s">
        <v>675</v>
      </c>
      <c r="S3" s="2573" t="s">
        <v>564</v>
      </c>
      <c r="T3" s="2574" t="s">
        <v>565</v>
      </c>
      <c r="V3" s="2571" t="s">
        <v>21</v>
      </c>
      <c r="W3" s="2572" t="s">
        <v>683</v>
      </c>
      <c r="X3" s="2573" t="s">
        <v>674</v>
      </c>
      <c r="Y3" s="2573" t="s">
        <v>675</v>
      </c>
      <c r="Z3" s="2573" t="s">
        <v>564</v>
      </c>
      <c r="AA3" s="2574" t="s">
        <v>565</v>
      </c>
      <c r="AC3" s="2571" t="s">
        <v>21</v>
      </c>
      <c r="AD3" s="2572" t="s">
        <v>683</v>
      </c>
      <c r="AE3" s="2573" t="s">
        <v>674</v>
      </c>
      <c r="AF3" s="2573" t="s">
        <v>675</v>
      </c>
      <c r="AG3" s="2573" t="s">
        <v>564</v>
      </c>
      <c r="AH3" s="2574" t="s">
        <v>565</v>
      </c>
      <c r="AJ3" s="2571" t="s">
        <v>21</v>
      </c>
      <c r="AK3" s="2572" t="s">
        <v>683</v>
      </c>
      <c r="AL3" s="2573" t="s">
        <v>674</v>
      </c>
      <c r="AM3" s="2573" t="s">
        <v>675</v>
      </c>
      <c r="AN3" s="2573" t="s">
        <v>564</v>
      </c>
      <c r="AO3" s="2574" t="s">
        <v>565</v>
      </c>
      <c r="AQ3" s="2571" t="s">
        <v>21</v>
      </c>
      <c r="AR3" s="2572" t="s">
        <v>683</v>
      </c>
      <c r="AS3" s="2573" t="s">
        <v>674</v>
      </c>
      <c r="AT3" s="2573" t="s">
        <v>675</v>
      </c>
      <c r="AU3" s="2573" t="s">
        <v>564</v>
      </c>
      <c r="AV3" s="2574" t="s">
        <v>565</v>
      </c>
      <c r="AX3" s="2571" t="s">
        <v>21</v>
      </c>
      <c r="AY3" s="2572" t="s">
        <v>683</v>
      </c>
      <c r="AZ3" s="2573" t="s">
        <v>674</v>
      </c>
      <c r="BA3" s="2573" t="s">
        <v>675</v>
      </c>
      <c r="BB3" s="2573" t="s">
        <v>564</v>
      </c>
      <c r="BC3" s="2574" t="s">
        <v>565</v>
      </c>
      <c r="BE3" s="2571" t="s">
        <v>21</v>
      </c>
      <c r="BF3" s="2572" t="s">
        <v>683</v>
      </c>
      <c r="BG3" s="2573" t="s">
        <v>674</v>
      </c>
      <c r="BH3" s="2573" t="s">
        <v>675</v>
      </c>
      <c r="BI3" s="2573" t="s">
        <v>564</v>
      </c>
      <c r="BJ3" s="2574" t="s">
        <v>565</v>
      </c>
      <c r="BL3" s="2571" t="s">
        <v>21</v>
      </c>
      <c r="BM3" s="2572" t="s">
        <v>683</v>
      </c>
      <c r="BN3" s="2573" t="s">
        <v>674</v>
      </c>
      <c r="BO3" s="2573" t="s">
        <v>675</v>
      </c>
      <c r="BP3" s="2573" t="s">
        <v>564</v>
      </c>
      <c r="BQ3" s="2574" t="s">
        <v>565</v>
      </c>
      <c r="BS3" s="2571" t="s">
        <v>21</v>
      </c>
      <c r="BT3" s="2572" t="s">
        <v>683</v>
      </c>
      <c r="BU3" s="2573" t="s">
        <v>674</v>
      </c>
      <c r="BV3" s="2573" t="s">
        <v>675</v>
      </c>
      <c r="BW3" s="2573" t="s">
        <v>564</v>
      </c>
      <c r="BX3" s="2574" t="s">
        <v>565</v>
      </c>
    </row>
    <row r="4" spans="1:110" ht="38.25" customHeight="1">
      <c r="A4" s="2576" t="s">
        <v>554</v>
      </c>
      <c r="B4" s="2577">
        <f>SUM(I4,P4,W4,AD4,AK4,AR4,AY4,BF4,BM4,BT4)</f>
        <v>1091418</v>
      </c>
      <c r="C4" s="2578">
        <f t="shared" ref="C4:C5" si="0">SUM(J4,Q4,X4,AE4,AL4,AS4,AZ4,BG4,BN4,BU4)</f>
        <v>1753136</v>
      </c>
      <c r="D4" s="2579">
        <f t="shared" ref="D4:D5" si="1">SUM(K4,R4,Y4,AF4,AM4,AT4,BA4,BH4,BO4,BV4)</f>
        <v>2698410</v>
      </c>
      <c r="E4" s="2580">
        <f>IFERROR(D4*100/C4,"")</f>
        <v>153.9190342335107</v>
      </c>
      <c r="F4" s="2659">
        <f>IFERROR((D4-B4)*100/ABS(B4),"")</f>
        <v>147.23891304706353</v>
      </c>
      <c r="H4" s="2576" t="s">
        <v>554</v>
      </c>
      <c r="I4" s="2577">
        <f>SUMIFS('جدول فروش خدمات'!$U$25:$FT$25,'جدول فروش خدمات'!$U$1:$FT$1,N2,'جدول فروش خدمات'!$U$26:$FT$26,1)</f>
        <v>107877</v>
      </c>
      <c r="J4" s="2578">
        <f>SUMIFS('جدول فروش خدمات'!$U$25:$FT$25,'جدول فروش خدمات'!$U$1:$FT$1,N2,'جدول فروش خدمات'!$U$26:$FT$26,2)</f>
        <v>388812</v>
      </c>
      <c r="K4" s="2579">
        <f>SUMIFS('جدول فروش خدمات'!$U$25:$FT$25,'جدول فروش خدمات'!$U$1:$FT$1,N2,'جدول فروش خدمات'!$U$26:$FT$26,3)</f>
        <v>52103</v>
      </c>
      <c r="L4" s="2580">
        <f>IFERROR(K4*100/J4,"")</f>
        <v>13.400563768607965</v>
      </c>
      <c r="M4" s="2581">
        <f>IFERROR((K4-I4)*100/ABS(I4),"")</f>
        <v>-51.701474827813158</v>
      </c>
      <c r="O4" s="2576" t="s">
        <v>554</v>
      </c>
      <c r="P4" s="2577">
        <f>SUMIFS('جدول فروش خدمات'!$U$25:$FT$25,'جدول فروش خدمات'!$U$1:$FT$1,U2,'جدول فروش خدمات'!$U$26:$FT$26,1)</f>
        <v>97432</v>
      </c>
      <c r="Q4" s="2578">
        <f>SUMIFS('جدول فروش خدمات'!$U$25:$FT$25,'جدول فروش خدمات'!$U$1:$FT$1,U2,'جدول فروش خدمات'!$U$26:$FT$26,2)</f>
        <v>190176</v>
      </c>
      <c r="R4" s="2579">
        <f>SUMIFS('جدول فروش خدمات'!$U$25:$FT$25,'جدول فروش خدمات'!$U$1:$FT$1,U2,'جدول فروش خدمات'!$U$26:$FT$26,3)</f>
        <v>1056293</v>
      </c>
      <c r="S4" s="2580">
        <f>IFERROR(R4*100/Q4,"")</f>
        <v>555.42918138987045</v>
      </c>
      <c r="T4" s="2581">
        <f>IFERROR((R4-P4)*100/ABS(P4),"")</f>
        <v>984.13354955250838</v>
      </c>
      <c r="V4" s="2576" t="s">
        <v>554</v>
      </c>
      <c r="W4" s="2577">
        <f>SUMIFS('جدول فروش خدمات'!$U$25:$FT$25,'جدول فروش خدمات'!$U$1:$FT$1,AB2,'جدول فروش خدمات'!$U$26:$FT$26,1)</f>
        <v>84888</v>
      </c>
      <c r="X4" s="2578">
        <f>SUMIFS('جدول فروش خدمات'!$U$25:$FT$25,'جدول فروش خدمات'!$U$1:$FT$1,AB2,'جدول فروش خدمات'!$U$26:$FT$26,2)</f>
        <v>139616</v>
      </c>
      <c r="Y4" s="2579">
        <f>SUMIFS('جدول فروش خدمات'!$U$25:$FT$25,'جدول فروش خدمات'!$U$1:$FT$1,AB2,'جدول فروش خدمات'!$U$26:$FT$26,3)</f>
        <v>122672</v>
      </c>
      <c r="Z4" s="2580">
        <f>IFERROR(Y4*100/X4,"")</f>
        <v>87.863855145542061</v>
      </c>
      <c r="AA4" s="2581">
        <f>IFERROR((Y4-W4)*100/ABS(W4),"")</f>
        <v>44.510413721609652</v>
      </c>
      <c r="AC4" s="2576" t="s">
        <v>554</v>
      </c>
      <c r="AD4" s="2577">
        <f>SUMIFS('جدول فروش خدمات'!$U$25:$FT$25,'جدول فروش خدمات'!$U$1:$FT$1,AI2,'جدول فروش خدمات'!$U$26:$FT$26,1)</f>
        <v>463426</v>
      </c>
      <c r="AE4" s="2578">
        <f>SUMIFS('جدول فروش خدمات'!$U$25:$FT$25,'جدول فروش خدمات'!$U$1:$FT$1,AI2,'جدول فروش خدمات'!$U$26:$FT$26,2)</f>
        <v>615028</v>
      </c>
      <c r="AF4" s="2579">
        <f>SUMIFS('جدول فروش خدمات'!$U$25:$FT$25,'جدول فروش خدمات'!$U$1:$FT$1,AI2,'جدول فروش خدمات'!$U$26:$FT$26,3)</f>
        <v>839456</v>
      </c>
      <c r="AG4" s="2580">
        <f>IFERROR(AF4*100/AE4,"")</f>
        <v>136.49069635853976</v>
      </c>
      <c r="AH4" s="2581">
        <f>IFERROR((AF4-AD4)*100/ABS(AD4),"")</f>
        <v>81.141325691696196</v>
      </c>
      <c r="AJ4" s="2576" t="s">
        <v>554</v>
      </c>
      <c r="AK4" s="2577">
        <f>SUMIFS('جدول فروش خدمات'!$U$25:$FT$25,'جدول فروش خدمات'!$U$1:$FT$1,AP2,'جدول فروش خدمات'!$U$26:$FT$26,1)</f>
        <v>115959</v>
      </c>
      <c r="AL4" s="2578">
        <f>SUMIFS('جدول فروش خدمات'!$U$25:$FT$25,'جدول فروش خدمات'!$U$1:$FT$1,AP2,'جدول فروش خدمات'!$U$26:$FT$26,2)</f>
        <v>98232</v>
      </c>
      <c r="AM4" s="2579">
        <f>SUMIFS('جدول فروش خدمات'!$U$25:$FT$25,'جدول فروش خدمات'!$U$1:$FT$1,AP2,'جدول فروش خدمات'!$U$26:$FT$26,3)</f>
        <v>170890</v>
      </c>
      <c r="AN4" s="2580">
        <f>IFERROR(AM4*100/AL4,"")</f>
        <v>173.96571382034367</v>
      </c>
      <c r="AO4" s="2581">
        <f>IFERROR((AM4-AK4)*100/ABS(AK4),"")</f>
        <v>47.371053562034859</v>
      </c>
      <c r="AQ4" s="2576" t="s">
        <v>554</v>
      </c>
      <c r="AR4" s="2577">
        <f>SUMIFS('جدول فروش خدمات'!$U$25:$FT$25,'جدول فروش خدمات'!$U$1:$FT$1,AW2,'جدول فروش خدمات'!$U$26:$FT$26,1)</f>
        <v>9367</v>
      </c>
      <c r="AS4" s="2578">
        <f>SUMIFS('جدول فروش خدمات'!$U$25:$FT$25,'جدول فروش خدمات'!$U$1:$FT$1,AW2,'جدول فروش خدمات'!$U$26:$FT$26,2)</f>
        <v>5444</v>
      </c>
      <c r="AT4" s="2579">
        <f>SUMIFS('جدول فروش خدمات'!$U$25:$FT$25,'جدول فروش خدمات'!$U$1:$FT$1,AW2,'جدول فروش خدمات'!$U$26:$FT$26,3)</f>
        <v>26005</v>
      </c>
      <c r="AU4" s="2580">
        <f>IFERROR(AT4*100/AS4,"")</f>
        <v>477.68185157972079</v>
      </c>
      <c r="AV4" s="2581">
        <f>IFERROR((AT4-AR4)*100/ABS(AR4),"")</f>
        <v>177.62357211487137</v>
      </c>
      <c r="AX4" s="2576" t="s">
        <v>554</v>
      </c>
      <c r="AY4" s="2577">
        <f>SUMIFS('جدول فروش خدمات'!$U$25:$FT$25,'جدول فروش خدمات'!$U$1:$FT$1,BD2,'جدول فروش خدمات'!$U$26:$FT$26,1)</f>
        <v>204072</v>
      </c>
      <c r="AZ4" s="2578">
        <f>SUMIFS('جدول فروش خدمات'!$U$25:$FT$25,'جدول فروش خدمات'!$U$1:$FT$1,BD2,'جدول فروش خدمات'!$U$26:$FT$26,2)</f>
        <v>274150</v>
      </c>
      <c r="BA4" s="2579">
        <f>SUMIFS('جدول فروش خدمات'!$U$25:$FT$25,'جدول فروش خدمات'!$U$1:$FT$1,BD2,'جدول فروش خدمات'!$U$26:$FT$26,3)</f>
        <v>389082</v>
      </c>
      <c r="BB4" s="2580">
        <f>IFERROR(BA4*100/AZ4,"")</f>
        <v>141.92303483494436</v>
      </c>
      <c r="BC4" s="2581">
        <f>IFERROR((BA4-AY4)*100/ABS(AY4),"")</f>
        <v>90.65917911325414</v>
      </c>
      <c r="BE4" s="2576" t="s">
        <v>554</v>
      </c>
      <c r="BF4" s="2577">
        <f>SUMIFS('جدول فروش خدمات'!$U$25:$FT$25,'جدول فروش خدمات'!$U$1:$FT$1,BK2,'جدول فروش خدمات'!$U$26:$FT$26,1)</f>
        <v>5472</v>
      </c>
      <c r="BG4" s="2578">
        <f>SUMIFS('جدول فروش خدمات'!$U$25:$FT$25,'جدول فروش خدمات'!$U$1:$FT$1,BK2,'جدول فروش خدمات'!$U$26:$FT$26,2)</f>
        <v>28968</v>
      </c>
      <c r="BH4" s="2579">
        <f>SUMIFS('جدول فروش خدمات'!$U$25:$FT$25,'جدول فروش خدمات'!$U$1:$FT$1,BK2,'جدول فروش خدمات'!$U$26:$FT$26,3)</f>
        <v>812</v>
      </c>
      <c r="BI4" s="2580">
        <f>IFERROR(BH4*100/BG4,"")</f>
        <v>2.8030930682132009</v>
      </c>
      <c r="BJ4" s="2581">
        <f>IFERROR((BH4-BF4)*100/ABS(BF4),"")</f>
        <v>-85.160818713450297</v>
      </c>
      <c r="BL4" s="2576" t="s">
        <v>554</v>
      </c>
      <c r="BM4" s="2577">
        <f>SUMIFS('جدول فروش خدمات'!$U$25:$FT$25,'جدول فروش خدمات'!$U$1:$FT$1,BR2,'جدول فروش خدمات'!$U$26:$FT$26,1)</f>
        <v>2925</v>
      </c>
      <c r="BN4" s="2578">
        <f>SUMIFS('جدول فروش خدمات'!$U$25:$FT$25,'جدول فروش خدمات'!$U$1:$FT$1,BR2,'جدول فروش خدمات'!$U$26:$FT$26,2)</f>
        <v>12710</v>
      </c>
      <c r="BO4" s="2579">
        <f>SUMIFS('جدول فروش خدمات'!$U$25:$FT$25,'جدول فروش خدمات'!$U$1:$FT$1,BR2,'جدول فروش خدمات'!$U$26:$FT$26,3)</f>
        <v>37848</v>
      </c>
      <c r="BP4" s="2580">
        <f>IFERROR(BO4*100/BN4,"")</f>
        <v>297.78127458693945</v>
      </c>
      <c r="BQ4" s="2581">
        <f>IFERROR((BO4-BM4)*100/ABS(BM4),"")</f>
        <v>1193.948717948718</v>
      </c>
      <c r="BS4" s="2576" t="s">
        <v>554</v>
      </c>
      <c r="BT4" s="2577">
        <f>SUMIFS('جدول فروش خدمات'!$U$25:$FT$25,'جدول فروش خدمات'!$U$1:$FT$1,BY2,'جدول فروش خدمات'!$U$26:$FT$26,1)</f>
        <v>0</v>
      </c>
      <c r="BU4" s="2578">
        <f>SUMIFS('جدول فروش خدمات'!$U$25:$FT$25,'جدول فروش خدمات'!$U$1:$FT$1,BY2,'جدول فروش خدمات'!$U$26:$FT$26,2)</f>
        <v>0</v>
      </c>
      <c r="BV4" s="2579">
        <f>SUMIFS('جدول فروش خدمات'!$U$25:$FT$25,'جدول فروش خدمات'!$U$1:$FT$1,BY2,'جدول فروش خدمات'!$U$26:$FT$26,3)</f>
        <v>3249</v>
      </c>
      <c r="BW4" s="2580" t="str">
        <f>IFERROR(BV4*100/BU4,"")</f>
        <v/>
      </c>
      <c r="BX4" s="2581" t="str">
        <f>IFERROR((BV4-BT4)*100/ABS(BT4),"")</f>
        <v/>
      </c>
    </row>
    <row r="5" spans="1:110" ht="38.25" customHeight="1">
      <c r="A5" s="2582" t="s">
        <v>555</v>
      </c>
      <c r="B5" s="2583">
        <f>SUM(I5,P5,W5,AD5,AK5,AR5,AY5,BF5,BM5,BT5)</f>
        <v>-1271898</v>
      </c>
      <c r="C5" s="2584">
        <f t="shared" si="0"/>
        <v>-2007348</v>
      </c>
      <c r="D5" s="2585">
        <f t="shared" si="1"/>
        <v>-2950579</v>
      </c>
      <c r="E5" s="2580">
        <f>IFERROR(D5*100/C5,"")</f>
        <v>146.98891273461302</v>
      </c>
      <c r="F5" s="2581">
        <f t="shared" ref="F5:F12" si="2">IFERROR((D5-B5)*100/ABS(B5),"")</f>
        <v>-131.98236022070952</v>
      </c>
      <c r="H5" s="2582" t="s">
        <v>555</v>
      </c>
      <c r="I5" s="2655">
        <v>-122962</v>
      </c>
      <c r="J5" s="2655">
        <v>-176122</v>
      </c>
      <c r="K5" s="2656">
        <v>-262637</v>
      </c>
      <c r="L5" s="2580">
        <f>IFERROR(K5*100/J5,"")</f>
        <v>149.12219938451756</v>
      </c>
      <c r="M5" s="2581">
        <f t="shared" ref="M5:M12" si="3">IFERROR((K5-I5)*100/ABS(I5),"")</f>
        <v>-113.59200403376653</v>
      </c>
      <c r="O5" s="2582" t="s">
        <v>555</v>
      </c>
      <c r="P5" s="2655">
        <v>-266845</v>
      </c>
      <c r="Q5" s="2655">
        <v>-445118</v>
      </c>
      <c r="R5" s="2656">
        <v>-1255074</v>
      </c>
      <c r="S5" s="2580">
        <f>IFERROR(R5*100/Q5,"")</f>
        <v>281.9643330532578</v>
      </c>
      <c r="T5" s="2581">
        <f t="shared" ref="T5:T12" si="4">IFERROR((R5-P5)*100/ABS(P5),"")</f>
        <v>-370.33821132117896</v>
      </c>
      <c r="V5" s="2582" t="s">
        <v>555</v>
      </c>
      <c r="W5" s="2655">
        <v>-131538</v>
      </c>
      <c r="X5" s="2655">
        <v>-215372</v>
      </c>
      <c r="Y5" s="2656">
        <v>-228781</v>
      </c>
      <c r="Z5" s="2580">
        <f>IFERROR(Y5*100/X5,"")</f>
        <v>106.22597180692011</v>
      </c>
      <c r="AA5" s="2581">
        <f t="shared" ref="AA5:AA12" si="5">IFERROR((Y5-W5)*100/ABS(W5),"")</f>
        <v>-73.927686295975306</v>
      </c>
      <c r="AC5" s="2582" t="s">
        <v>555</v>
      </c>
      <c r="AD5" s="2655">
        <v>-234961</v>
      </c>
      <c r="AE5" s="2655">
        <v>-382929</v>
      </c>
      <c r="AF5" s="2656">
        <v>-368311</v>
      </c>
      <c r="AG5" s="2580">
        <f>IFERROR(AF5*100/AE5,"")</f>
        <v>96.182582149693545</v>
      </c>
      <c r="AH5" s="2581">
        <f t="shared" ref="AH5:AH12" si="6">IFERROR((AF5-AD5)*100/ABS(AD5),"")</f>
        <v>-56.754099616532102</v>
      </c>
      <c r="AJ5" s="2582" t="s">
        <v>555</v>
      </c>
      <c r="AK5" s="2655">
        <v>-110499</v>
      </c>
      <c r="AL5" s="2655">
        <v>-130913</v>
      </c>
      <c r="AM5" s="2656">
        <v>-150415</v>
      </c>
      <c r="AN5" s="2580">
        <f>IFERROR(AM5*100/AL5,"")</f>
        <v>114.89691627263907</v>
      </c>
      <c r="AO5" s="2581">
        <f t="shared" ref="AO5:AO12" si="7">IFERROR((AM5-AK5)*100/ABS(AK5),"")</f>
        <v>-36.123403831708885</v>
      </c>
      <c r="AQ5" s="2582" t="s">
        <v>555</v>
      </c>
      <c r="AR5" s="2655">
        <v>-51997</v>
      </c>
      <c r="AS5" s="2655">
        <v>-69469</v>
      </c>
      <c r="AT5" s="2656">
        <v>-75572</v>
      </c>
      <c r="AU5" s="2580">
        <f>IFERROR(AT5*100/AS5,"")</f>
        <v>108.78521354848925</v>
      </c>
      <c r="AV5" s="2581">
        <f t="shared" ref="AV5:AV12" si="8">IFERROR((AT5-AR5)*100/ABS(AR5),"")</f>
        <v>-45.339154181972035</v>
      </c>
      <c r="AX5" s="2582" t="s">
        <v>555</v>
      </c>
      <c r="AY5" s="2655">
        <v>-330519</v>
      </c>
      <c r="AZ5" s="2655">
        <v>-553424</v>
      </c>
      <c r="BA5" s="2656">
        <v>-541536</v>
      </c>
      <c r="BB5" s="2580">
        <f>IFERROR(BA5*100/AZ5,"")</f>
        <v>97.851918239902858</v>
      </c>
      <c r="BC5" s="2581">
        <f t="shared" ref="BC5:BC12" si="9">IFERROR((BA5-AY5)*100/ABS(AY5),"")</f>
        <v>-63.844136040590705</v>
      </c>
      <c r="BE5" s="2582" t="s">
        <v>555</v>
      </c>
      <c r="BF5" s="2577">
        <v>-14919</v>
      </c>
      <c r="BG5" s="2578">
        <v>-22136</v>
      </c>
      <c r="BH5" s="2579">
        <v>-28389</v>
      </c>
      <c r="BI5" s="2580">
        <f>IFERROR(BH5*100/BG5,"")</f>
        <v>128.24810263823636</v>
      </c>
      <c r="BJ5" s="2581">
        <f t="shared" ref="BJ5:BJ12" si="10">IFERROR((BH5-BF5)*100/ABS(BF5),"")</f>
        <v>-90.28755278503921</v>
      </c>
      <c r="BL5" s="2582" t="s">
        <v>555</v>
      </c>
      <c r="BM5" s="2577">
        <v>-7658</v>
      </c>
      <c r="BN5" s="2578">
        <v>-11865</v>
      </c>
      <c r="BO5" s="2579">
        <v>-39081</v>
      </c>
      <c r="BP5" s="2580">
        <f>IFERROR(BO5*100/BN5,"")</f>
        <v>329.3805309734513</v>
      </c>
      <c r="BQ5" s="2581">
        <f t="shared" ref="BQ5:BQ12" si="11">IFERROR((BO5-BM5)*100/ABS(BM5),"")</f>
        <v>-410.32906764168189</v>
      </c>
      <c r="BS5" s="2582" t="s">
        <v>555</v>
      </c>
      <c r="BT5" s="2577"/>
      <c r="BU5" s="2578"/>
      <c r="BV5" s="2579">
        <v>-783</v>
      </c>
      <c r="BW5" s="2580" t="str">
        <f>IFERROR(BV5*100/BU5,"")</f>
        <v/>
      </c>
      <c r="BX5" s="2581" t="str">
        <f t="shared" ref="BX5:BX12" si="12">IFERROR((BV5-BT5)*100/ABS(BT5),"")</f>
        <v/>
      </c>
    </row>
    <row r="6" spans="1:110" ht="38.25" customHeight="1">
      <c r="A6" s="2586" t="s">
        <v>556</v>
      </c>
      <c r="B6" s="2587">
        <f>SUM(B4:B5)</f>
        <v>-180480</v>
      </c>
      <c r="C6" s="2588">
        <f>SUM(C4:C5)</f>
        <v>-254212</v>
      </c>
      <c r="D6" s="2588">
        <f>SUM(D4:D5)</f>
        <v>-252169</v>
      </c>
      <c r="E6" s="2580">
        <f t="shared" ref="E6:E12" si="13">IFERROR(D6*100/C6,"")</f>
        <v>99.196340062624898</v>
      </c>
      <c r="F6" s="2581">
        <f t="shared" si="2"/>
        <v>-39.721298758865245</v>
      </c>
      <c r="H6" s="2586" t="s">
        <v>556</v>
      </c>
      <c r="I6" s="2587">
        <f>SUM(I4:I5)</f>
        <v>-15085</v>
      </c>
      <c r="J6" s="2588">
        <f>SUM(J4:J5)</f>
        <v>212690</v>
      </c>
      <c r="K6" s="2588">
        <f>SUM(K4:K5)</f>
        <v>-210534</v>
      </c>
      <c r="L6" s="2580">
        <f t="shared" ref="L6:L12" si="14">IFERROR(K6*100/J6,"")</f>
        <v>-98.986318115567258</v>
      </c>
      <c r="M6" s="2581">
        <f t="shared" si="3"/>
        <v>-1295.6513092475971</v>
      </c>
      <c r="O6" s="2586" t="s">
        <v>556</v>
      </c>
      <c r="P6" s="2587">
        <f>SUM(P4:P5)</f>
        <v>-169413</v>
      </c>
      <c r="Q6" s="2588">
        <f>SUM(Q4:Q5)</f>
        <v>-254942</v>
      </c>
      <c r="R6" s="2588">
        <f>SUM(R4:R5)</f>
        <v>-198781</v>
      </c>
      <c r="S6" s="2580">
        <f t="shared" ref="S6:S12" si="15">IFERROR(R6*100/Q6,"")</f>
        <v>77.971067929176044</v>
      </c>
      <c r="T6" s="2581">
        <f t="shared" si="4"/>
        <v>-17.335151375632332</v>
      </c>
      <c r="V6" s="2586" t="s">
        <v>556</v>
      </c>
      <c r="W6" s="2587">
        <f>SUM(W4:W5)</f>
        <v>-46650</v>
      </c>
      <c r="X6" s="2588">
        <f>SUM(X4:X5)</f>
        <v>-75756</v>
      </c>
      <c r="Y6" s="2588">
        <f>SUM(Y4:Y5)</f>
        <v>-106109</v>
      </c>
      <c r="Z6" s="2580">
        <f t="shared" ref="Z6:Z12" si="16">IFERROR(Y6*100/X6,"")</f>
        <v>140.06679338930249</v>
      </c>
      <c r="AA6" s="2581">
        <f t="shared" si="5"/>
        <v>-127.45766345123258</v>
      </c>
      <c r="AC6" s="2586" t="s">
        <v>556</v>
      </c>
      <c r="AD6" s="2587">
        <f>SUM(AD4:AD5)</f>
        <v>228465</v>
      </c>
      <c r="AE6" s="2588">
        <f>SUM(AE4:AE5)</f>
        <v>232099</v>
      </c>
      <c r="AF6" s="2588">
        <f>SUM(AF4:AF5)</f>
        <v>471145</v>
      </c>
      <c r="AG6" s="2580">
        <f t="shared" ref="AG6:AG12" si="17">IFERROR(AF6*100/AE6,"")</f>
        <v>202.99311931546453</v>
      </c>
      <c r="AH6" s="2581">
        <f t="shared" si="6"/>
        <v>106.22195959993873</v>
      </c>
      <c r="AJ6" s="2586" t="s">
        <v>556</v>
      </c>
      <c r="AK6" s="2587">
        <f>SUM(AK4:AK5)</f>
        <v>5460</v>
      </c>
      <c r="AL6" s="2588">
        <f>SUM(AL4:AL5)</f>
        <v>-32681</v>
      </c>
      <c r="AM6" s="2588">
        <f>SUM(AM4:AM5)</f>
        <v>20475</v>
      </c>
      <c r="AN6" s="2580">
        <f t="shared" ref="AN6:AN12" si="18">IFERROR(AM6*100/AL6,"")</f>
        <v>-62.651081668247606</v>
      </c>
      <c r="AO6" s="2581">
        <f t="shared" si="7"/>
        <v>275</v>
      </c>
      <c r="AQ6" s="2586" t="s">
        <v>556</v>
      </c>
      <c r="AR6" s="2587">
        <f>SUM(AR4:AR5)</f>
        <v>-42630</v>
      </c>
      <c r="AS6" s="2588">
        <f>SUM(AS4:AS5)</f>
        <v>-64025</v>
      </c>
      <c r="AT6" s="2588">
        <f>SUM(AT4:AT5)</f>
        <v>-49567</v>
      </c>
      <c r="AU6" s="2580">
        <f t="shared" ref="AU6:AU12" si="19">IFERROR(AT6*100/AS6,"")</f>
        <v>77.41819601718079</v>
      </c>
      <c r="AV6" s="2581">
        <f t="shared" si="8"/>
        <v>-16.272577996715928</v>
      </c>
      <c r="AX6" s="2586" t="s">
        <v>556</v>
      </c>
      <c r="AY6" s="2587">
        <f>SUM(AY4:AY5)</f>
        <v>-126447</v>
      </c>
      <c r="AZ6" s="2588">
        <f>SUM(AZ4:AZ5)</f>
        <v>-279274</v>
      </c>
      <c r="BA6" s="2588">
        <f>SUM(BA4:BA5)</f>
        <v>-152454</v>
      </c>
      <c r="BB6" s="2580">
        <f t="shared" ref="BB6:BB12" si="20">IFERROR(BA6*100/AZ6,"")</f>
        <v>54.589399657683849</v>
      </c>
      <c r="BC6" s="2581">
        <f t="shared" si="9"/>
        <v>-20.567510498469716</v>
      </c>
      <c r="BE6" s="2586" t="s">
        <v>556</v>
      </c>
      <c r="BF6" s="2587">
        <f>SUM(BF4:BF5)</f>
        <v>-9447</v>
      </c>
      <c r="BG6" s="2588">
        <f>SUM(BG4:BG5)</f>
        <v>6832</v>
      </c>
      <c r="BH6" s="2588">
        <f>SUM(BH4:BH5)</f>
        <v>-27577</v>
      </c>
      <c r="BI6" s="2580">
        <f t="shared" ref="BI6:BI12" si="21">IFERROR(BH6*100/BG6,"")</f>
        <v>-403.64461358313815</v>
      </c>
      <c r="BJ6" s="2581">
        <f t="shared" si="10"/>
        <v>-191.91277654281782</v>
      </c>
      <c r="BL6" s="2586" t="s">
        <v>556</v>
      </c>
      <c r="BM6" s="2587">
        <f>SUM(BM4:BM5)</f>
        <v>-4733</v>
      </c>
      <c r="BN6" s="2588">
        <f>SUM(BN4:BN5)</f>
        <v>845</v>
      </c>
      <c r="BO6" s="2588">
        <f>SUM(BO4:BO5)</f>
        <v>-1233</v>
      </c>
      <c r="BP6" s="2580">
        <f t="shared" ref="BP6:BP12" si="22">IFERROR(BO6*100/BN6,"")</f>
        <v>-145.91715976331361</v>
      </c>
      <c r="BQ6" s="2581">
        <f t="shared" si="11"/>
        <v>73.948869638706952</v>
      </c>
      <c r="BS6" s="2586" t="s">
        <v>556</v>
      </c>
      <c r="BT6" s="2587">
        <f>SUM(BT4:BT5)</f>
        <v>0</v>
      </c>
      <c r="BU6" s="2588">
        <f>SUM(BU4:BU5)</f>
        <v>0</v>
      </c>
      <c r="BV6" s="2588">
        <f>SUM(BV4:BV5)</f>
        <v>2466</v>
      </c>
      <c r="BW6" s="2580" t="str">
        <f t="shared" ref="BW6:BW12" si="23">IFERROR(BV6*100/BU6,"")</f>
        <v/>
      </c>
      <c r="BX6" s="2581" t="str">
        <f t="shared" si="12"/>
        <v/>
      </c>
    </row>
    <row r="7" spans="1:110" ht="38.25" customHeight="1">
      <c r="A7" s="2582" t="s">
        <v>557</v>
      </c>
      <c r="B7" s="2577">
        <f t="shared" ref="B7:B9" si="24">SUM(I7,P7,W7,AD7,AK7,AR7,AY7,BF7,BM7,BT7)</f>
        <v>-158356</v>
      </c>
      <c r="C7" s="2578">
        <f t="shared" ref="C7:C9" si="25">SUM(J7,Q7,X7,AE7,AL7,AS7,AZ7,BG7,BN7,BU7)</f>
        <v>-241263</v>
      </c>
      <c r="D7" s="2579">
        <f t="shared" ref="D7:D9" si="26">SUM(K7,R7,Y7,AF7,AM7,AT7,BA7,BH7,BO7,BV7)</f>
        <v>-264469</v>
      </c>
      <c r="E7" s="2580">
        <f t="shared" si="13"/>
        <v>109.61854905227905</v>
      </c>
      <c r="F7" s="2581">
        <f t="shared" si="2"/>
        <v>-67.009143954128675</v>
      </c>
      <c r="H7" s="2582" t="s">
        <v>557</v>
      </c>
      <c r="I7" s="2655">
        <v>-102673</v>
      </c>
      <c r="J7" s="2655">
        <v>-151121</v>
      </c>
      <c r="K7" s="2656">
        <v>-160157</v>
      </c>
      <c r="L7" s="2580">
        <f t="shared" si="14"/>
        <v>105.97931458897175</v>
      </c>
      <c r="M7" s="2581">
        <f t="shared" si="3"/>
        <v>-55.987455319314719</v>
      </c>
      <c r="O7" s="2582" t="s">
        <v>557</v>
      </c>
      <c r="P7" s="2655">
        <v>-5805</v>
      </c>
      <c r="Q7" s="2655">
        <v>-7023</v>
      </c>
      <c r="R7" s="2656">
        <v>-1255</v>
      </c>
      <c r="S7" s="2580">
        <f t="shared" si="15"/>
        <v>17.869856186814751</v>
      </c>
      <c r="T7" s="2581">
        <f t="shared" si="4"/>
        <v>78.380706287683026</v>
      </c>
      <c r="V7" s="2582" t="s">
        <v>557</v>
      </c>
      <c r="W7" s="2655">
        <v>-12492</v>
      </c>
      <c r="X7" s="2655">
        <v>-21204</v>
      </c>
      <c r="Y7" s="2656">
        <v>-22790</v>
      </c>
      <c r="Z7" s="2580">
        <f t="shared" si="16"/>
        <v>107.47972080739483</v>
      </c>
      <c r="AA7" s="2581">
        <f t="shared" si="5"/>
        <v>-82.436759526096708</v>
      </c>
      <c r="AC7" s="2582" t="s">
        <v>557</v>
      </c>
      <c r="AD7" s="2655">
        <v>-10136</v>
      </c>
      <c r="AE7" s="2655">
        <v>-19732</v>
      </c>
      <c r="AF7" s="2656">
        <v>-44738</v>
      </c>
      <c r="AG7" s="2580">
        <f t="shared" si="17"/>
        <v>226.72815730792621</v>
      </c>
      <c r="AH7" s="2581">
        <f t="shared" si="6"/>
        <v>-341.3772691397001</v>
      </c>
      <c r="AJ7" s="2582" t="s">
        <v>557</v>
      </c>
      <c r="AK7" s="2655">
        <v>-6</v>
      </c>
      <c r="AL7" s="2655">
        <v>-86</v>
      </c>
      <c r="AM7" s="2656">
        <v>-16</v>
      </c>
      <c r="AN7" s="2580">
        <f t="shared" si="18"/>
        <v>18.604651162790699</v>
      </c>
      <c r="AO7" s="2581">
        <f t="shared" si="7"/>
        <v>-166.66666666666666</v>
      </c>
      <c r="AQ7" s="2582" t="s">
        <v>557</v>
      </c>
      <c r="AR7" s="2655">
        <v>-771</v>
      </c>
      <c r="AS7" s="2655">
        <v>-636</v>
      </c>
      <c r="AT7" s="2656">
        <v>-562</v>
      </c>
      <c r="AU7" s="2580">
        <f t="shared" si="19"/>
        <v>88.364779874213838</v>
      </c>
      <c r="AV7" s="2581">
        <f t="shared" si="8"/>
        <v>27.107652399481193</v>
      </c>
      <c r="AX7" s="2582" t="s">
        <v>557</v>
      </c>
      <c r="AY7" s="2577">
        <v>-23770</v>
      </c>
      <c r="AZ7" s="2578">
        <v>-37600</v>
      </c>
      <c r="BA7" s="2579">
        <v>-34913</v>
      </c>
      <c r="BB7" s="2580">
        <f t="shared" si="20"/>
        <v>92.853723404255319</v>
      </c>
      <c r="BC7" s="2581">
        <f t="shared" si="9"/>
        <v>-46.87841817416912</v>
      </c>
      <c r="BE7" s="2582" t="s">
        <v>557</v>
      </c>
      <c r="BF7" s="2577">
        <v>-2519</v>
      </c>
      <c r="BG7" s="2578">
        <v>-2927</v>
      </c>
      <c r="BH7" s="2579">
        <v>-29</v>
      </c>
      <c r="BI7" s="2580">
        <f t="shared" si="21"/>
        <v>0.99077553809361119</v>
      </c>
      <c r="BJ7" s="2581">
        <f t="shared" si="10"/>
        <v>98.848749503771344</v>
      </c>
      <c r="BL7" s="2582" t="s">
        <v>557</v>
      </c>
      <c r="BM7" s="2577">
        <v>-184</v>
      </c>
      <c r="BN7" s="2578">
        <v>-934</v>
      </c>
      <c r="BO7" s="2579">
        <v>-8</v>
      </c>
      <c r="BP7" s="2580">
        <f t="shared" si="22"/>
        <v>0.85653104925053536</v>
      </c>
      <c r="BQ7" s="2581">
        <f t="shared" si="11"/>
        <v>95.652173913043484</v>
      </c>
      <c r="BS7" s="2582" t="s">
        <v>557</v>
      </c>
      <c r="BT7" s="2577"/>
      <c r="BU7" s="2578"/>
      <c r="BV7" s="2579">
        <v>-1</v>
      </c>
      <c r="BW7" s="2580" t="str">
        <f t="shared" si="23"/>
        <v/>
      </c>
      <c r="BX7" s="2581" t="str">
        <f t="shared" si="12"/>
        <v/>
      </c>
    </row>
    <row r="8" spans="1:110" ht="38.25" customHeight="1">
      <c r="A8" s="2576" t="s">
        <v>148</v>
      </c>
      <c r="B8" s="2577">
        <f t="shared" si="24"/>
        <v>692240</v>
      </c>
      <c r="C8" s="2578">
        <f t="shared" si="25"/>
        <v>922004</v>
      </c>
      <c r="D8" s="2579">
        <f t="shared" si="26"/>
        <v>1042459</v>
      </c>
      <c r="E8" s="2580">
        <f t="shared" si="13"/>
        <v>113.0644769437009</v>
      </c>
      <c r="F8" s="2581">
        <f t="shared" si="2"/>
        <v>50.592135675488272</v>
      </c>
      <c r="H8" s="2576" t="s">
        <v>148</v>
      </c>
      <c r="I8" s="2577">
        <f>1678+24065</f>
        <v>25743</v>
      </c>
      <c r="J8" s="2578">
        <v>66586</v>
      </c>
      <c r="K8" s="2579">
        <f>600+17987</f>
        <v>18587</v>
      </c>
      <c r="L8" s="2580">
        <f t="shared" si="14"/>
        <v>27.914276274291893</v>
      </c>
      <c r="M8" s="2581">
        <f t="shared" si="3"/>
        <v>-27.797847958668378</v>
      </c>
      <c r="O8" s="2576" t="s">
        <v>148</v>
      </c>
      <c r="P8" s="2577">
        <f>114672+3089</f>
        <v>117761</v>
      </c>
      <c r="Q8" s="2578">
        <v>260167</v>
      </c>
      <c r="R8" s="2579">
        <f>83574+9083</f>
        <v>92657</v>
      </c>
      <c r="S8" s="2580">
        <f t="shared" si="15"/>
        <v>35.614432268504459</v>
      </c>
      <c r="T8" s="2581">
        <f t="shared" si="4"/>
        <v>-21.317753755487811</v>
      </c>
      <c r="V8" s="2576" t="s">
        <v>148</v>
      </c>
      <c r="W8" s="2577">
        <f>75140+7542</f>
        <v>82682</v>
      </c>
      <c r="X8" s="2578">
        <v>88672</v>
      </c>
      <c r="Y8" s="2579">
        <f>110956+15291</f>
        <v>126247</v>
      </c>
      <c r="Z8" s="2580">
        <f t="shared" si="16"/>
        <v>142.37527066041142</v>
      </c>
      <c r="AA8" s="2581">
        <f t="shared" si="5"/>
        <v>52.689823661740164</v>
      </c>
      <c r="AC8" s="2576" t="s">
        <v>148</v>
      </c>
      <c r="AD8" s="2577">
        <f>179348+18355</f>
        <v>197703</v>
      </c>
      <c r="AE8" s="2578">
        <v>196847</v>
      </c>
      <c r="AF8" s="2579">
        <f>326274+34754</f>
        <v>361028</v>
      </c>
      <c r="AG8" s="2580">
        <f t="shared" si="17"/>
        <v>183.40538590885308</v>
      </c>
      <c r="AH8" s="2581">
        <f t="shared" si="6"/>
        <v>82.61129067338382</v>
      </c>
      <c r="AJ8" s="2576" t="s">
        <v>148</v>
      </c>
      <c r="AK8" s="2577">
        <f>2102+6557</f>
        <v>8659</v>
      </c>
      <c r="AL8" s="2578">
        <v>11231</v>
      </c>
      <c r="AM8" s="2579">
        <f>3007+24780</f>
        <v>27787</v>
      </c>
      <c r="AN8" s="2580">
        <f t="shared" si="18"/>
        <v>247.41340931350726</v>
      </c>
      <c r="AO8" s="2581">
        <f t="shared" si="7"/>
        <v>220.90310659429494</v>
      </c>
      <c r="AQ8" s="2576" t="s">
        <v>148</v>
      </c>
      <c r="AR8" s="2577">
        <f>25512+560</f>
        <v>26072</v>
      </c>
      <c r="AS8" s="2578">
        <v>20855</v>
      </c>
      <c r="AT8" s="2579">
        <f>61762+5406</f>
        <v>67168</v>
      </c>
      <c r="AU8" s="2580">
        <f t="shared" si="19"/>
        <v>322.07144569647568</v>
      </c>
      <c r="AV8" s="2581">
        <f t="shared" si="8"/>
        <v>157.62503835532371</v>
      </c>
      <c r="AX8" s="2576" t="s">
        <v>148</v>
      </c>
      <c r="AY8" s="2577">
        <f>216647+15713</f>
        <v>232360</v>
      </c>
      <c r="AZ8" s="2578">
        <v>274985</v>
      </c>
      <c r="BA8" s="2579">
        <f>295274+46204</f>
        <v>341478</v>
      </c>
      <c r="BB8" s="2580">
        <f t="shared" si="20"/>
        <v>124.18059166863647</v>
      </c>
      <c r="BC8" s="2581">
        <f t="shared" si="9"/>
        <v>46.960750559476672</v>
      </c>
      <c r="BE8" s="2576" t="s">
        <v>148</v>
      </c>
      <c r="BF8" s="2577">
        <f>18+939</f>
        <v>957</v>
      </c>
      <c r="BG8" s="2578">
        <v>2246</v>
      </c>
      <c r="BH8" s="2579">
        <f>8+121</f>
        <v>129</v>
      </c>
      <c r="BI8" s="2580">
        <f t="shared" si="21"/>
        <v>5.7435440783615315</v>
      </c>
      <c r="BJ8" s="2581">
        <f t="shared" si="10"/>
        <v>-86.520376175548591</v>
      </c>
      <c r="BL8" s="2576" t="s">
        <v>148</v>
      </c>
      <c r="BM8" s="2577">
        <f>303</f>
        <v>303</v>
      </c>
      <c r="BN8" s="2578">
        <v>415</v>
      </c>
      <c r="BO8" s="2579">
        <f>5827</f>
        <v>5827</v>
      </c>
      <c r="BP8" s="2580">
        <f t="shared" si="22"/>
        <v>1404.0963855421687</v>
      </c>
      <c r="BQ8" s="2581">
        <f t="shared" si="11"/>
        <v>1823.102310231023</v>
      </c>
      <c r="BS8" s="2576" t="s">
        <v>148</v>
      </c>
      <c r="BT8" s="2577"/>
      <c r="BU8" s="2578"/>
      <c r="BV8" s="2579">
        <f>1551</f>
        <v>1551</v>
      </c>
      <c r="BW8" s="2580" t="str">
        <f t="shared" si="23"/>
        <v/>
      </c>
      <c r="BX8" s="2581" t="str">
        <f t="shared" si="12"/>
        <v/>
      </c>
    </row>
    <row r="9" spans="1:110" ht="38.25" customHeight="1">
      <c r="A9" s="2576" t="s">
        <v>208</v>
      </c>
      <c r="B9" s="2577">
        <f t="shared" si="24"/>
        <v>0</v>
      </c>
      <c r="C9" s="2578">
        <f t="shared" si="25"/>
        <v>0</v>
      </c>
      <c r="D9" s="2579">
        <f t="shared" si="26"/>
        <v>0</v>
      </c>
      <c r="E9" s="2580" t="str">
        <f t="shared" si="13"/>
        <v/>
      </c>
      <c r="F9" s="2581" t="str">
        <f t="shared" si="2"/>
        <v/>
      </c>
      <c r="H9" s="2576" t="s">
        <v>208</v>
      </c>
      <c r="I9" s="2577"/>
      <c r="J9" s="2578"/>
      <c r="K9" s="2579"/>
      <c r="L9" s="2580" t="str">
        <f t="shared" si="14"/>
        <v/>
      </c>
      <c r="M9" s="2581" t="str">
        <f t="shared" si="3"/>
        <v/>
      </c>
      <c r="O9" s="2576" t="s">
        <v>208</v>
      </c>
      <c r="P9" s="2577"/>
      <c r="Q9" s="2578"/>
      <c r="R9" s="2579"/>
      <c r="S9" s="2580" t="str">
        <f t="shared" si="15"/>
        <v/>
      </c>
      <c r="T9" s="2581" t="str">
        <f t="shared" si="4"/>
        <v/>
      </c>
      <c r="V9" s="2576" t="s">
        <v>208</v>
      </c>
      <c r="W9" s="2577"/>
      <c r="X9" s="2578"/>
      <c r="Y9" s="2579"/>
      <c r="Z9" s="2580" t="str">
        <f t="shared" si="16"/>
        <v/>
      </c>
      <c r="AA9" s="2581" t="str">
        <f t="shared" si="5"/>
        <v/>
      </c>
      <c r="AC9" s="2576" t="s">
        <v>208</v>
      </c>
      <c r="AD9" s="2577"/>
      <c r="AE9" s="2578"/>
      <c r="AF9" s="2579"/>
      <c r="AG9" s="2580" t="str">
        <f t="shared" si="17"/>
        <v/>
      </c>
      <c r="AH9" s="2581" t="str">
        <f t="shared" si="6"/>
        <v/>
      </c>
      <c r="AJ9" s="2576" t="s">
        <v>208</v>
      </c>
      <c r="AK9" s="2577"/>
      <c r="AL9" s="2578"/>
      <c r="AM9" s="2579"/>
      <c r="AN9" s="2580" t="str">
        <f t="shared" si="18"/>
        <v/>
      </c>
      <c r="AO9" s="2581" t="str">
        <f t="shared" si="7"/>
        <v/>
      </c>
      <c r="AQ9" s="2576" t="s">
        <v>208</v>
      </c>
      <c r="AR9" s="2577"/>
      <c r="AS9" s="2578"/>
      <c r="AT9" s="2579"/>
      <c r="AU9" s="2580" t="str">
        <f t="shared" si="19"/>
        <v/>
      </c>
      <c r="AV9" s="2581" t="str">
        <f t="shared" si="8"/>
        <v/>
      </c>
      <c r="AX9" s="2576" t="s">
        <v>208</v>
      </c>
      <c r="AY9" s="2577"/>
      <c r="AZ9" s="2578"/>
      <c r="BA9" s="2579"/>
      <c r="BB9" s="2580" t="str">
        <f t="shared" si="20"/>
        <v/>
      </c>
      <c r="BC9" s="2581" t="str">
        <f t="shared" si="9"/>
        <v/>
      </c>
      <c r="BE9" s="2576" t="s">
        <v>208</v>
      </c>
      <c r="BF9" s="2577"/>
      <c r="BG9" s="2578"/>
      <c r="BH9" s="2579"/>
      <c r="BI9" s="2580" t="str">
        <f t="shared" si="21"/>
        <v/>
      </c>
      <c r="BJ9" s="2581" t="str">
        <f t="shared" si="10"/>
        <v/>
      </c>
      <c r="BL9" s="2576" t="s">
        <v>208</v>
      </c>
      <c r="BM9" s="2577"/>
      <c r="BN9" s="2578"/>
      <c r="BO9" s="2579"/>
      <c r="BP9" s="2580" t="str">
        <f t="shared" si="22"/>
        <v/>
      </c>
      <c r="BQ9" s="2581" t="str">
        <f t="shared" si="11"/>
        <v/>
      </c>
      <c r="BS9" s="2576" t="s">
        <v>208</v>
      </c>
      <c r="BT9" s="2577"/>
      <c r="BU9" s="2578"/>
      <c r="BV9" s="2579"/>
      <c r="BW9" s="2580" t="str">
        <f t="shared" si="23"/>
        <v/>
      </c>
      <c r="BX9" s="2581" t="str">
        <f t="shared" si="12"/>
        <v/>
      </c>
    </row>
    <row r="10" spans="1:110" ht="38.25" customHeight="1">
      <c r="A10" s="2586" t="s">
        <v>558</v>
      </c>
      <c r="B10" s="2589">
        <f>SUM(B6:B9)</f>
        <v>353404</v>
      </c>
      <c r="C10" s="2579">
        <f>SUM(C6:C9)</f>
        <v>426529</v>
      </c>
      <c r="D10" s="2579">
        <f>SUM(D6:D9)</f>
        <v>525821</v>
      </c>
      <c r="E10" s="2580">
        <f t="shared" si="13"/>
        <v>123.27907363860371</v>
      </c>
      <c r="F10" s="2581">
        <f t="shared" si="2"/>
        <v>48.787506649613476</v>
      </c>
      <c r="H10" s="2586" t="s">
        <v>558</v>
      </c>
      <c r="I10" s="2589">
        <f>SUM(I6:I9)</f>
        <v>-92015</v>
      </c>
      <c r="J10" s="2579">
        <f>SUM(J6:J9)</f>
        <v>128155</v>
      </c>
      <c r="K10" s="2579">
        <f>SUM(K6:K9)</f>
        <v>-352104</v>
      </c>
      <c r="L10" s="2580">
        <f t="shared" si="14"/>
        <v>-274.74854668175254</v>
      </c>
      <c r="M10" s="2581">
        <f t="shared" si="3"/>
        <v>-282.65934901918166</v>
      </c>
      <c r="O10" s="2586" t="s">
        <v>558</v>
      </c>
      <c r="P10" s="2589">
        <f>SUM(P6:P9)</f>
        <v>-57457</v>
      </c>
      <c r="Q10" s="2579">
        <f>SUM(Q6:Q9)</f>
        <v>-1798</v>
      </c>
      <c r="R10" s="2579">
        <f>SUM(R6:R9)</f>
        <v>-107379</v>
      </c>
      <c r="S10" s="2580">
        <f t="shared" si="15"/>
        <v>5972.1357063403784</v>
      </c>
      <c r="T10" s="2581">
        <f t="shared" si="4"/>
        <v>-86.88584506674556</v>
      </c>
      <c r="V10" s="2586" t="s">
        <v>558</v>
      </c>
      <c r="W10" s="2589">
        <f>SUM(W6:W9)</f>
        <v>23540</v>
      </c>
      <c r="X10" s="2579">
        <f>SUM(X6:X9)</f>
        <v>-8288</v>
      </c>
      <c r="Y10" s="2579">
        <f>SUM(Y6:Y9)</f>
        <v>-2652</v>
      </c>
      <c r="Z10" s="2580">
        <f t="shared" si="16"/>
        <v>31.998069498069498</v>
      </c>
      <c r="AA10" s="2581">
        <f t="shared" si="5"/>
        <v>-111.26593033135089</v>
      </c>
      <c r="AC10" s="2586" t="s">
        <v>558</v>
      </c>
      <c r="AD10" s="2589">
        <f>SUM(AD6:AD9)</f>
        <v>416032</v>
      </c>
      <c r="AE10" s="2579">
        <f>SUM(AE6:AE9)</f>
        <v>409214</v>
      </c>
      <c r="AF10" s="2579">
        <f>SUM(AF6:AF9)</f>
        <v>787435</v>
      </c>
      <c r="AG10" s="2580">
        <f t="shared" si="17"/>
        <v>192.42621220192856</v>
      </c>
      <c r="AH10" s="2581">
        <f t="shared" si="6"/>
        <v>89.272700176909467</v>
      </c>
      <c r="AJ10" s="2586" t="s">
        <v>558</v>
      </c>
      <c r="AK10" s="2589">
        <f>SUM(AK6:AK9)</f>
        <v>14113</v>
      </c>
      <c r="AL10" s="2579">
        <f>SUM(AL6:AL9)</f>
        <v>-21536</v>
      </c>
      <c r="AM10" s="2579">
        <f>SUM(AM6:AM9)</f>
        <v>48246</v>
      </c>
      <c r="AN10" s="2580">
        <f t="shared" si="18"/>
        <v>-224.02488855869242</v>
      </c>
      <c r="AO10" s="2581">
        <f t="shared" si="7"/>
        <v>241.85502727981293</v>
      </c>
      <c r="AQ10" s="2586" t="s">
        <v>558</v>
      </c>
      <c r="AR10" s="2589">
        <f>SUM(AR6:AR9)</f>
        <v>-17329</v>
      </c>
      <c r="AS10" s="2579">
        <f>SUM(AS6:AS9)</f>
        <v>-43806</v>
      </c>
      <c r="AT10" s="2579">
        <f>SUM(AT6:AT9)</f>
        <v>17039</v>
      </c>
      <c r="AU10" s="2580">
        <f t="shared" si="19"/>
        <v>-38.896498196594074</v>
      </c>
      <c r="AV10" s="2581">
        <f t="shared" si="8"/>
        <v>198.32650470309886</v>
      </c>
      <c r="AX10" s="2586" t="s">
        <v>558</v>
      </c>
      <c r="AY10" s="2589">
        <f>SUM(AY6:AY9)</f>
        <v>82143</v>
      </c>
      <c r="AZ10" s="2579">
        <f>SUM(AZ6:AZ9)</f>
        <v>-41889</v>
      </c>
      <c r="BA10" s="2579">
        <f>SUM(BA6:BA9)</f>
        <v>154111</v>
      </c>
      <c r="BB10" s="2580">
        <f t="shared" si="20"/>
        <v>-367.9032681610924</v>
      </c>
      <c r="BC10" s="2581">
        <f t="shared" si="9"/>
        <v>87.61306502075648</v>
      </c>
      <c r="BE10" s="2586" t="s">
        <v>558</v>
      </c>
      <c r="BF10" s="2589">
        <f>SUM(BF6:BF9)</f>
        <v>-11009</v>
      </c>
      <c r="BG10" s="2579">
        <f>SUM(BG6:BG9)</f>
        <v>6151</v>
      </c>
      <c r="BH10" s="2579">
        <f>SUM(BH6:BH9)</f>
        <v>-27477</v>
      </c>
      <c r="BI10" s="2580">
        <f t="shared" si="21"/>
        <v>-446.70785238172652</v>
      </c>
      <c r="BJ10" s="2581">
        <f t="shared" si="10"/>
        <v>-149.58670178944499</v>
      </c>
      <c r="BL10" s="2586" t="s">
        <v>558</v>
      </c>
      <c r="BM10" s="2589">
        <f>SUM(BM6:BM9)</f>
        <v>-4614</v>
      </c>
      <c r="BN10" s="2579">
        <f>SUM(BN6:BN9)</f>
        <v>326</v>
      </c>
      <c r="BO10" s="2579">
        <f>SUM(BO6:BO9)</f>
        <v>4586</v>
      </c>
      <c r="BP10" s="2580">
        <f t="shared" si="22"/>
        <v>1406.7484662576687</v>
      </c>
      <c r="BQ10" s="2581">
        <f t="shared" si="11"/>
        <v>199.39315127871694</v>
      </c>
      <c r="BS10" s="2586" t="s">
        <v>558</v>
      </c>
      <c r="BT10" s="2589">
        <f>SUM(BT6:BT9)</f>
        <v>0</v>
      </c>
      <c r="BU10" s="2579">
        <f>SUM(BU6:BU9)</f>
        <v>0</v>
      </c>
      <c r="BV10" s="2579">
        <f>SUM(BV6:BV9)</f>
        <v>4016</v>
      </c>
      <c r="BW10" s="2580" t="str">
        <f t="shared" si="23"/>
        <v/>
      </c>
      <c r="BX10" s="2581" t="str">
        <f t="shared" si="12"/>
        <v/>
      </c>
      <c r="CM10" s="2590"/>
    </row>
    <row r="11" spans="1:110" ht="38.25" customHeight="1">
      <c r="A11" s="2576" t="s">
        <v>559</v>
      </c>
      <c r="B11" s="2577">
        <f t="shared" ref="B11:D11" si="27">SUM(I11,P11,W11,AD11,AK11,AR11,AY11,BF11,BM11,BT11)</f>
        <v>4</v>
      </c>
      <c r="C11" s="2578">
        <f t="shared" si="27"/>
        <v>3</v>
      </c>
      <c r="D11" s="2579">
        <f t="shared" si="27"/>
        <v>100</v>
      </c>
      <c r="E11" s="2580">
        <f t="shared" si="13"/>
        <v>3333.3333333333335</v>
      </c>
      <c r="F11" s="2581">
        <f t="shared" si="2"/>
        <v>2400</v>
      </c>
      <c r="H11" s="2576" t="s">
        <v>559</v>
      </c>
      <c r="I11" s="2577">
        <v>1</v>
      </c>
      <c r="J11" s="2578">
        <v>2</v>
      </c>
      <c r="K11" s="2579"/>
      <c r="L11" s="2580">
        <f t="shared" si="14"/>
        <v>0</v>
      </c>
      <c r="M11" s="2581">
        <f t="shared" si="3"/>
        <v>-100</v>
      </c>
      <c r="O11" s="2576" t="s">
        <v>559</v>
      </c>
      <c r="P11" s="2577"/>
      <c r="Q11" s="2578"/>
      <c r="R11" s="2579"/>
      <c r="S11" s="2580" t="str">
        <f t="shared" si="15"/>
        <v/>
      </c>
      <c r="T11" s="2581" t="str">
        <f t="shared" si="4"/>
        <v/>
      </c>
      <c r="V11" s="2576" t="s">
        <v>559</v>
      </c>
      <c r="W11" s="2577">
        <v>2</v>
      </c>
      <c r="X11" s="2578"/>
      <c r="Y11" s="2579">
        <v>100</v>
      </c>
      <c r="Z11" s="2580" t="str">
        <f t="shared" si="16"/>
        <v/>
      </c>
      <c r="AA11" s="2581">
        <f t="shared" si="5"/>
        <v>4900</v>
      </c>
      <c r="AC11" s="2576" t="s">
        <v>559</v>
      </c>
      <c r="AD11" s="2577">
        <v>1</v>
      </c>
      <c r="AE11" s="2578">
        <v>1</v>
      </c>
      <c r="AF11" s="2579"/>
      <c r="AG11" s="2580">
        <f t="shared" si="17"/>
        <v>0</v>
      </c>
      <c r="AH11" s="2581">
        <f t="shared" si="6"/>
        <v>-100</v>
      </c>
      <c r="AJ11" s="2576" t="s">
        <v>559</v>
      </c>
      <c r="AK11" s="2577"/>
      <c r="AL11" s="2578"/>
      <c r="AM11" s="2579"/>
      <c r="AN11" s="2580" t="str">
        <f t="shared" si="18"/>
        <v/>
      </c>
      <c r="AO11" s="2581" t="str">
        <f t="shared" si="7"/>
        <v/>
      </c>
      <c r="AQ11" s="2576" t="s">
        <v>559</v>
      </c>
      <c r="AR11" s="2577"/>
      <c r="AS11" s="2578"/>
      <c r="AT11" s="2579"/>
      <c r="AU11" s="2580" t="str">
        <f t="shared" si="19"/>
        <v/>
      </c>
      <c r="AV11" s="2581" t="str">
        <f t="shared" si="8"/>
        <v/>
      </c>
      <c r="AX11" s="2576" t="s">
        <v>559</v>
      </c>
      <c r="AY11" s="2577"/>
      <c r="AZ11" s="2578"/>
      <c r="BA11" s="2579"/>
      <c r="BB11" s="2580" t="str">
        <f t="shared" si="20"/>
        <v/>
      </c>
      <c r="BC11" s="2581" t="str">
        <f t="shared" si="9"/>
        <v/>
      </c>
      <c r="BE11" s="2576" t="s">
        <v>559</v>
      </c>
      <c r="BF11" s="2577"/>
      <c r="BG11" s="2578"/>
      <c r="BH11" s="2579"/>
      <c r="BI11" s="2580" t="str">
        <f t="shared" si="21"/>
        <v/>
      </c>
      <c r="BJ11" s="2581" t="str">
        <f t="shared" si="10"/>
        <v/>
      </c>
      <c r="BL11" s="2576" t="s">
        <v>559</v>
      </c>
      <c r="BM11" s="2577"/>
      <c r="BN11" s="2578"/>
      <c r="BO11" s="2579"/>
      <c r="BP11" s="2580" t="str">
        <f t="shared" si="22"/>
        <v/>
      </c>
      <c r="BQ11" s="2581" t="str">
        <f t="shared" si="11"/>
        <v/>
      </c>
      <c r="BS11" s="2576" t="s">
        <v>559</v>
      </c>
      <c r="BT11" s="2577"/>
      <c r="BU11" s="2578"/>
      <c r="BV11" s="2579"/>
      <c r="BW11" s="2580" t="str">
        <f t="shared" si="23"/>
        <v/>
      </c>
      <c r="BX11" s="2581" t="str">
        <f t="shared" si="12"/>
        <v/>
      </c>
    </row>
    <row r="12" spans="1:110" ht="38.25" customHeight="1" thickBot="1">
      <c r="A12" s="2591" t="s">
        <v>560</v>
      </c>
      <c r="B12" s="2592">
        <f>SUM(B10:B11)</f>
        <v>353408</v>
      </c>
      <c r="C12" s="2593">
        <f>SUM(C10:C11)</f>
        <v>426532</v>
      </c>
      <c r="D12" s="2593">
        <f>SUM(D10:D11)</f>
        <v>525921</v>
      </c>
      <c r="E12" s="2594">
        <f t="shared" si="13"/>
        <v>123.30165145874166</v>
      </c>
      <c r="F12" s="2595">
        <f t="shared" si="2"/>
        <v>48.814118525896411</v>
      </c>
      <c r="H12" s="2591" t="s">
        <v>560</v>
      </c>
      <c r="I12" s="2592">
        <f>SUM(I10:I11)</f>
        <v>-92014</v>
      </c>
      <c r="J12" s="2593">
        <f>SUM(J10:J11)</f>
        <v>128157</v>
      </c>
      <c r="K12" s="2593">
        <f>SUM(K10:K11)</f>
        <v>-352104</v>
      </c>
      <c r="L12" s="2594">
        <f t="shared" si="14"/>
        <v>-274.74425899482668</v>
      </c>
      <c r="M12" s="2595">
        <f t="shared" si="3"/>
        <v>-282.663507727085</v>
      </c>
      <c r="O12" s="2591" t="s">
        <v>560</v>
      </c>
      <c r="P12" s="2592">
        <f>SUM(P10:P11)</f>
        <v>-57457</v>
      </c>
      <c r="Q12" s="2593">
        <f>SUM(Q10:Q11)</f>
        <v>-1798</v>
      </c>
      <c r="R12" s="2593">
        <f>SUM(R10:R11)</f>
        <v>-107379</v>
      </c>
      <c r="S12" s="2594">
        <f t="shared" si="15"/>
        <v>5972.1357063403784</v>
      </c>
      <c r="T12" s="2595">
        <f t="shared" si="4"/>
        <v>-86.88584506674556</v>
      </c>
      <c r="V12" s="2591" t="s">
        <v>560</v>
      </c>
      <c r="W12" s="2592">
        <f>SUM(W10:W11)</f>
        <v>23542</v>
      </c>
      <c r="X12" s="2593">
        <f>SUM(X10:X11)</f>
        <v>-8288</v>
      </c>
      <c r="Y12" s="2593">
        <f>SUM(Y10:Y11)</f>
        <v>-2552</v>
      </c>
      <c r="Z12" s="2594">
        <f t="shared" si="16"/>
        <v>30.791505791505791</v>
      </c>
      <c r="AA12" s="2595">
        <f t="shared" si="5"/>
        <v>-110.84020049273639</v>
      </c>
      <c r="AC12" s="2591" t="s">
        <v>560</v>
      </c>
      <c r="AD12" s="2592">
        <f>SUM(AD10:AD11)</f>
        <v>416033</v>
      </c>
      <c r="AE12" s="2593">
        <f>SUM(AE10:AE11)</f>
        <v>409215</v>
      </c>
      <c r="AF12" s="2593">
        <f>SUM(AF10:AF11)</f>
        <v>787435</v>
      </c>
      <c r="AG12" s="2594">
        <f t="shared" si="17"/>
        <v>192.4257419693804</v>
      </c>
      <c r="AH12" s="2595">
        <f t="shared" si="6"/>
        <v>89.272245230546616</v>
      </c>
      <c r="AJ12" s="2591" t="s">
        <v>560</v>
      </c>
      <c r="AK12" s="2592">
        <f>SUM(AK10:AK11)</f>
        <v>14113</v>
      </c>
      <c r="AL12" s="2593">
        <f>SUM(AL10:AL11)</f>
        <v>-21536</v>
      </c>
      <c r="AM12" s="2593">
        <f>SUM(AM10:AM11)</f>
        <v>48246</v>
      </c>
      <c r="AN12" s="2594">
        <f t="shared" si="18"/>
        <v>-224.02488855869242</v>
      </c>
      <c r="AO12" s="2595">
        <f t="shared" si="7"/>
        <v>241.85502727981293</v>
      </c>
      <c r="AQ12" s="2591" t="s">
        <v>560</v>
      </c>
      <c r="AR12" s="2592">
        <f>SUM(AR10:AR11)</f>
        <v>-17329</v>
      </c>
      <c r="AS12" s="2593">
        <f>SUM(AS10:AS11)</f>
        <v>-43806</v>
      </c>
      <c r="AT12" s="2593">
        <f>SUM(AT10:AT11)</f>
        <v>17039</v>
      </c>
      <c r="AU12" s="2594">
        <f t="shared" si="19"/>
        <v>-38.896498196594074</v>
      </c>
      <c r="AV12" s="2595">
        <f t="shared" si="8"/>
        <v>198.32650470309886</v>
      </c>
      <c r="AX12" s="2591" t="s">
        <v>560</v>
      </c>
      <c r="AY12" s="2592">
        <f>SUM(AY10:AY11)</f>
        <v>82143</v>
      </c>
      <c r="AZ12" s="2593">
        <f>SUM(AZ10:AZ11)</f>
        <v>-41889</v>
      </c>
      <c r="BA12" s="2593">
        <f>SUM(BA10:BA11)</f>
        <v>154111</v>
      </c>
      <c r="BB12" s="2594">
        <f t="shared" si="20"/>
        <v>-367.9032681610924</v>
      </c>
      <c r="BC12" s="2595">
        <f t="shared" si="9"/>
        <v>87.61306502075648</v>
      </c>
      <c r="BE12" s="2591" t="s">
        <v>560</v>
      </c>
      <c r="BF12" s="2592">
        <f>SUM(BF10:BF11)</f>
        <v>-11009</v>
      </c>
      <c r="BG12" s="2593">
        <f>SUM(BG10:BG11)</f>
        <v>6151</v>
      </c>
      <c r="BH12" s="2593">
        <f>SUM(BH10:BH11)</f>
        <v>-27477</v>
      </c>
      <c r="BI12" s="2594">
        <f t="shared" si="21"/>
        <v>-446.70785238172652</v>
      </c>
      <c r="BJ12" s="2595">
        <f t="shared" si="10"/>
        <v>-149.58670178944499</v>
      </c>
      <c r="BL12" s="2591" t="s">
        <v>560</v>
      </c>
      <c r="BM12" s="2592">
        <f>SUM(BM10:BM11)</f>
        <v>-4614</v>
      </c>
      <c r="BN12" s="2593">
        <f>SUM(BN10:BN11)</f>
        <v>326</v>
      </c>
      <c r="BO12" s="2593">
        <f>SUM(BO10:BO11)</f>
        <v>4586</v>
      </c>
      <c r="BP12" s="2594">
        <f t="shared" si="22"/>
        <v>1406.7484662576687</v>
      </c>
      <c r="BQ12" s="2595">
        <f t="shared" si="11"/>
        <v>199.39315127871694</v>
      </c>
      <c r="BS12" s="2591" t="s">
        <v>560</v>
      </c>
      <c r="BT12" s="2592">
        <f>SUM(BT10:BT11)</f>
        <v>0</v>
      </c>
      <c r="BU12" s="2593">
        <f>SUM(BU10:BU11)</f>
        <v>0</v>
      </c>
      <c r="BV12" s="2593">
        <f>SUM(BV10:BV11)</f>
        <v>4016</v>
      </c>
      <c r="BW12" s="2594" t="str">
        <f t="shared" si="23"/>
        <v/>
      </c>
      <c r="BX12" s="2595" t="str">
        <f t="shared" si="12"/>
        <v/>
      </c>
    </row>
    <row r="13" spans="1:110" s="2597" customFormat="1" ht="24" thickBot="1">
      <c r="A13" s="2596"/>
      <c r="B13" s="2596"/>
      <c r="C13" s="2596"/>
      <c r="D13" s="2596"/>
      <c r="E13" s="2596"/>
      <c r="F13" s="2596"/>
      <c r="H13" s="2596"/>
      <c r="I13" s="2596"/>
      <c r="J13" s="2596"/>
      <c r="K13" s="2596"/>
      <c r="L13" s="2596"/>
      <c r="M13" s="2596"/>
      <c r="O13" s="2596"/>
      <c r="P13" s="2596"/>
      <c r="Q13" s="2596"/>
      <c r="R13" s="2596"/>
      <c r="S13" s="2596"/>
      <c r="T13" s="2596"/>
      <c r="V13" s="2596"/>
      <c r="W13" s="2596"/>
      <c r="X13" s="2596"/>
      <c r="Y13" s="2596"/>
      <c r="Z13" s="2596"/>
      <c r="AA13" s="2596"/>
      <c r="AC13" s="2596"/>
      <c r="AD13" s="2596"/>
      <c r="AE13" s="2596"/>
      <c r="AF13" s="2596"/>
      <c r="AG13" s="2596"/>
      <c r="AH13" s="2596"/>
      <c r="AJ13" s="2596"/>
      <c r="AK13" s="2596"/>
      <c r="AL13" s="2596"/>
      <c r="AM13" s="2596"/>
      <c r="AN13" s="2596"/>
      <c r="AO13" s="2596"/>
      <c r="AQ13" s="2596"/>
      <c r="AR13" s="2596"/>
      <c r="AS13" s="2596"/>
      <c r="AT13" s="2596"/>
      <c r="AU13" s="2596"/>
      <c r="AV13" s="2596"/>
      <c r="AX13" s="2596"/>
      <c r="AY13" s="2596"/>
      <c r="AZ13" s="2596"/>
      <c r="BA13" s="2596"/>
      <c r="BB13" s="2596"/>
      <c r="BC13" s="2596"/>
      <c r="BE13" s="2596"/>
      <c r="BF13" s="2596"/>
      <c r="BG13" s="2596"/>
      <c r="BH13" s="2596"/>
      <c r="BI13" s="2596"/>
      <c r="BJ13" s="2596"/>
      <c r="BL13" s="2596"/>
      <c r="BM13" s="2596"/>
      <c r="BN13" s="2596"/>
      <c r="BO13" s="2596"/>
      <c r="BP13" s="2596"/>
      <c r="BQ13" s="2596"/>
      <c r="BS13" s="2596"/>
      <c r="BT13" s="2596"/>
      <c r="BU13" s="2596"/>
      <c r="BV13" s="2596"/>
      <c r="BW13" s="2596"/>
      <c r="BX13" s="2596"/>
    </row>
    <row r="14" spans="1:110" ht="72">
      <c r="A14" s="2571" t="s">
        <v>21</v>
      </c>
      <c r="B14" s="2572" t="s">
        <v>683</v>
      </c>
      <c r="C14" s="2573" t="s">
        <v>674</v>
      </c>
      <c r="D14" s="2573" t="s">
        <v>675</v>
      </c>
      <c r="E14" s="2573" t="s">
        <v>564</v>
      </c>
      <c r="F14" s="2574" t="s">
        <v>565</v>
      </c>
      <c r="H14" s="2571" t="s">
        <v>21</v>
      </c>
      <c r="I14" s="2572" t="s">
        <v>683</v>
      </c>
      <c r="J14" s="2573" t="s">
        <v>674</v>
      </c>
      <c r="K14" s="2573" t="s">
        <v>675</v>
      </c>
      <c r="L14" s="2573" t="s">
        <v>564</v>
      </c>
      <c r="M14" s="2574" t="s">
        <v>565</v>
      </c>
      <c r="O14" s="2571" t="s">
        <v>21</v>
      </c>
      <c r="P14" s="2572" t="s">
        <v>683</v>
      </c>
      <c r="Q14" s="2573" t="s">
        <v>674</v>
      </c>
      <c r="R14" s="2573" t="s">
        <v>675</v>
      </c>
      <c r="S14" s="2573" t="s">
        <v>564</v>
      </c>
      <c r="T14" s="2574" t="s">
        <v>565</v>
      </c>
      <c r="V14" s="2571" t="s">
        <v>21</v>
      </c>
      <c r="W14" s="2572" t="s">
        <v>683</v>
      </c>
      <c r="X14" s="2573" t="s">
        <v>674</v>
      </c>
      <c r="Y14" s="2573" t="s">
        <v>675</v>
      </c>
      <c r="Z14" s="2573" t="s">
        <v>564</v>
      </c>
      <c r="AA14" s="2574" t="s">
        <v>565</v>
      </c>
      <c r="AC14" s="2571" t="s">
        <v>21</v>
      </c>
      <c r="AD14" s="2572" t="s">
        <v>683</v>
      </c>
      <c r="AE14" s="2573" t="s">
        <v>674</v>
      </c>
      <c r="AF14" s="2573" t="s">
        <v>675</v>
      </c>
      <c r="AG14" s="2573" t="s">
        <v>564</v>
      </c>
      <c r="AH14" s="2574" t="s">
        <v>565</v>
      </c>
      <c r="AJ14" s="2571" t="s">
        <v>21</v>
      </c>
      <c r="AK14" s="2572" t="s">
        <v>683</v>
      </c>
      <c r="AL14" s="2573" t="s">
        <v>674</v>
      </c>
      <c r="AM14" s="2573" t="s">
        <v>675</v>
      </c>
      <c r="AN14" s="2573" t="s">
        <v>564</v>
      </c>
      <c r="AO14" s="2574" t="s">
        <v>565</v>
      </c>
      <c r="AQ14" s="2571" t="s">
        <v>21</v>
      </c>
      <c r="AR14" s="2572" t="s">
        <v>683</v>
      </c>
      <c r="AS14" s="2573" t="s">
        <v>674</v>
      </c>
      <c r="AT14" s="2573" t="s">
        <v>675</v>
      </c>
      <c r="AU14" s="2573" t="s">
        <v>564</v>
      </c>
      <c r="AV14" s="2574" t="s">
        <v>565</v>
      </c>
      <c r="AX14" s="2571" t="s">
        <v>21</v>
      </c>
      <c r="AY14" s="2572" t="s">
        <v>683</v>
      </c>
      <c r="AZ14" s="2573" t="s">
        <v>674</v>
      </c>
      <c r="BA14" s="2573" t="s">
        <v>675</v>
      </c>
      <c r="BB14" s="2573" t="s">
        <v>564</v>
      </c>
      <c r="BC14" s="2574" t="s">
        <v>565</v>
      </c>
      <c r="BE14" s="2571" t="s">
        <v>21</v>
      </c>
      <c r="BF14" s="2572" t="s">
        <v>683</v>
      </c>
      <c r="BG14" s="2573" t="s">
        <v>674</v>
      </c>
      <c r="BH14" s="2573" t="s">
        <v>675</v>
      </c>
      <c r="BI14" s="2573" t="s">
        <v>564</v>
      </c>
      <c r="BJ14" s="2574" t="s">
        <v>565</v>
      </c>
      <c r="BL14" s="2571" t="s">
        <v>21</v>
      </c>
      <c r="BM14" s="2572" t="s">
        <v>683</v>
      </c>
      <c r="BN14" s="2573" t="s">
        <v>674</v>
      </c>
      <c r="BO14" s="2573" t="s">
        <v>675</v>
      </c>
      <c r="BP14" s="2573" t="s">
        <v>564</v>
      </c>
      <c r="BQ14" s="2574" t="s">
        <v>565</v>
      </c>
      <c r="BS14" s="2571" t="s">
        <v>21</v>
      </c>
      <c r="BT14" s="2572" t="s">
        <v>683</v>
      </c>
      <c r="BU14" s="2573" t="s">
        <v>674</v>
      </c>
      <c r="BV14" s="2573" t="s">
        <v>675</v>
      </c>
      <c r="BW14" s="2573" t="s">
        <v>564</v>
      </c>
      <c r="BX14" s="2574" t="s">
        <v>565</v>
      </c>
    </row>
    <row r="15" spans="1:110" ht="38.25" customHeight="1">
      <c r="A15" s="2586" t="s">
        <v>561</v>
      </c>
      <c r="B15" s="2589">
        <f>IF(B11&gt;0,B11+B8+B4,B8+B4)</f>
        <v>1783662</v>
      </c>
      <c r="C15" s="2579">
        <f>IF(C11&gt;0,C11+C8+C4,C8+C4)</f>
        <v>2675143</v>
      </c>
      <c r="D15" s="2579">
        <f>IF(D11&gt;0,D11+D8+D4,D8+D4)</f>
        <v>3740969</v>
      </c>
      <c r="E15" s="2580">
        <f t="shared" ref="E15:E17" si="28">IFERROR(D15*100/C15,"")</f>
        <v>139.84183275436118</v>
      </c>
      <c r="F15" s="2581">
        <f t="shared" ref="F15:F17" si="29">IFERROR((D15-B15)*100/ABS(B15),"")</f>
        <v>109.7353085954626</v>
      </c>
      <c r="H15" s="2586" t="s">
        <v>561</v>
      </c>
      <c r="I15" s="2589">
        <f>IF(I11&gt;0,I11+I8+I4,I8+I4)</f>
        <v>133621</v>
      </c>
      <c r="J15" s="2579">
        <f>IF(J11&gt;0,J11+J8+J4,J8+J4)</f>
        <v>455400</v>
      </c>
      <c r="K15" s="2579">
        <f>IF(K11&gt;0,K11+K8+K4,K8+K4)</f>
        <v>70690</v>
      </c>
      <c r="L15" s="2580">
        <f t="shared" ref="L15:L17" si="30">IFERROR(K15*100/J15,"")</f>
        <v>15.522617479139218</v>
      </c>
      <c r="M15" s="2581">
        <f t="shared" ref="M15:M17" si="31">IFERROR((K15-I15)*100/ABS(I15),"")</f>
        <v>-47.096639001354575</v>
      </c>
      <c r="O15" s="2586" t="s">
        <v>561</v>
      </c>
      <c r="P15" s="2589">
        <f>IF(P11&gt;0,P11+P8+P4,P8+P4)</f>
        <v>215193</v>
      </c>
      <c r="Q15" s="2579">
        <f>IF(Q11&gt;0,Q11+Q8+Q4,Q8+Q4)</f>
        <v>450343</v>
      </c>
      <c r="R15" s="2579">
        <f>IF(R11&gt;0,R11+R8+R4,R8+R4)</f>
        <v>1148950</v>
      </c>
      <c r="S15" s="2580">
        <f t="shared" ref="S15:S17" si="32">IFERROR(R15*100/Q15,"")</f>
        <v>255.12775817543516</v>
      </c>
      <c r="T15" s="2581">
        <f t="shared" ref="T15:T17" si="33">IFERROR((R15-P15)*100/ABS(P15),"")</f>
        <v>433.91606604304042</v>
      </c>
      <c r="V15" s="2586" t="s">
        <v>561</v>
      </c>
      <c r="W15" s="2589">
        <f>IF(W11&gt;0,W11+W8+W4,W8+W4)</f>
        <v>167572</v>
      </c>
      <c r="X15" s="2579">
        <f>IF(X11&gt;0,X11+X8+X4,X8+X4)</f>
        <v>228288</v>
      </c>
      <c r="Y15" s="2579">
        <f>IF(Y11&gt;0,Y11+Y8+Y4,Y8+Y4)</f>
        <v>249019</v>
      </c>
      <c r="Z15" s="2580">
        <f t="shared" ref="Z15:Z17" si="34">IFERROR(Y15*100/X15,"")</f>
        <v>109.08107303055789</v>
      </c>
      <c r="AA15" s="2581">
        <f t="shared" ref="AA15:AA17" si="35">IFERROR((Y15-W15)*100/ABS(W15),"")</f>
        <v>48.604182082925547</v>
      </c>
      <c r="AC15" s="2586" t="s">
        <v>561</v>
      </c>
      <c r="AD15" s="2589">
        <f>IF(AD11&gt;0,AD11+AD8+AD4,AD8+AD4)</f>
        <v>661130</v>
      </c>
      <c r="AE15" s="2579">
        <f>IF(AE11&gt;0,AE11+AE8+AE4,AE8+AE4)</f>
        <v>811876</v>
      </c>
      <c r="AF15" s="2579">
        <f>IF(AF11&gt;0,AF11+AF8+AF4,AF8+AF4)</f>
        <v>1200484</v>
      </c>
      <c r="AG15" s="2580">
        <f t="shared" ref="AG15:AG17" si="36">IFERROR(AF15*100/AE15,"")</f>
        <v>147.8654375791377</v>
      </c>
      <c r="AH15" s="2581">
        <f t="shared" ref="AH15:AH17" si="37">IFERROR((AF15-AD15)*100/ABS(AD15),"")</f>
        <v>81.580627108133044</v>
      </c>
      <c r="AJ15" s="2586" t="s">
        <v>561</v>
      </c>
      <c r="AK15" s="2589">
        <f>IF(AK11&gt;0,AK11+AK8+AK4,AK8+AK4)</f>
        <v>124618</v>
      </c>
      <c r="AL15" s="2579">
        <f>IF(AL11&gt;0,AL11+AL8+AL4,AL8+AL4)</f>
        <v>109463</v>
      </c>
      <c r="AM15" s="2579">
        <f>IF(AM11&gt;0,AM11+AM8+AM4,AM8+AM4)</f>
        <v>198677</v>
      </c>
      <c r="AN15" s="2580">
        <f t="shared" ref="AN15:AN17" si="38">IFERROR(AM15*100/AL15,"")</f>
        <v>181.50151192640436</v>
      </c>
      <c r="AO15" s="2581">
        <f t="shared" ref="AO15:AO17" si="39">IFERROR((AM15-AK15)*100/ABS(AK15),"")</f>
        <v>59.428814456980533</v>
      </c>
      <c r="AQ15" s="2586" t="s">
        <v>561</v>
      </c>
      <c r="AR15" s="2589">
        <f>IF(AR11&gt;0,AR11+AR8+AR4,AR8+AR4)</f>
        <v>35439</v>
      </c>
      <c r="AS15" s="2579">
        <f>IF(AS11&gt;0,AS11+AS8+AS4,AS8+AS4)</f>
        <v>26299</v>
      </c>
      <c r="AT15" s="2579">
        <f>IF(AT11&gt;0,AT11+AT8+AT4,AT8+AT4)</f>
        <v>93173</v>
      </c>
      <c r="AU15" s="2580">
        <f t="shared" ref="AU15:AU17" si="40">IFERROR(AT15*100/AS15,"")</f>
        <v>354.28343283014561</v>
      </c>
      <c r="AV15" s="2581">
        <f t="shared" ref="AV15:AV17" si="41">IFERROR((AT15-AR15)*100/ABS(AR15),"")</f>
        <v>162.91091735094105</v>
      </c>
      <c r="AX15" s="2586" t="s">
        <v>561</v>
      </c>
      <c r="AY15" s="2589">
        <f>IF(AY11&gt;0,AY11+AY8+AY4,AY8+AY4)</f>
        <v>436432</v>
      </c>
      <c r="AZ15" s="2579">
        <f>IF(AZ11&gt;0,AZ11+AZ8+AZ4,AZ8+AZ4)</f>
        <v>549135</v>
      </c>
      <c r="BA15" s="2579">
        <f>IF(BA11&gt;0,BA11+BA8+BA4,BA8+BA4)</f>
        <v>730560</v>
      </c>
      <c r="BB15" s="2580">
        <f t="shared" ref="BB15:BB17" si="42">IFERROR(BA15*100/AZ15,"")</f>
        <v>133.03832390942119</v>
      </c>
      <c r="BC15" s="2581">
        <f t="shared" ref="BC15:BC17" si="43">IFERROR((BA15-AY15)*100/ABS(AY15),"")</f>
        <v>67.393774975253876</v>
      </c>
      <c r="BE15" s="2586" t="s">
        <v>561</v>
      </c>
      <c r="BF15" s="2589">
        <f>IF(BF11&gt;0,BF11+BF8+BF4,BF8+BF4)</f>
        <v>6429</v>
      </c>
      <c r="BG15" s="2579">
        <f>IF(BG11&gt;0,BG11+BG8+BG4,BG8+BG4)</f>
        <v>31214</v>
      </c>
      <c r="BH15" s="2579">
        <f>IF(BH11&gt;0,BH11+BH8+BH4,BH8+BH4)</f>
        <v>941</v>
      </c>
      <c r="BI15" s="2580">
        <f t="shared" ref="BI15:BI17" si="44">IFERROR(BH15*100/BG15,"")</f>
        <v>3.0146729031844686</v>
      </c>
      <c r="BJ15" s="2581">
        <f t="shared" ref="BJ15:BJ17" si="45">IFERROR((BH15-BF15)*100/ABS(BF15),"")</f>
        <v>-85.363198009021616</v>
      </c>
      <c r="BL15" s="2586" t="s">
        <v>561</v>
      </c>
      <c r="BM15" s="2589">
        <f>IF(BM11&gt;0,BM11+BM8+BM4,BM8+BM4)</f>
        <v>3228</v>
      </c>
      <c r="BN15" s="2579">
        <f>IF(BN11&gt;0,BN11+BN8+BN4,BN8+BN4)</f>
        <v>13125</v>
      </c>
      <c r="BO15" s="2579">
        <f>IF(BO11&gt;0,BO11+BO8+BO4,BO8+BO4)</f>
        <v>43675</v>
      </c>
      <c r="BP15" s="2580">
        <f t="shared" ref="BP15:BP17" si="46">IFERROR(BO15*100/BN15,"")</f>
        <v>332.76190476190476</v>
      </c>
      <c r="BQ15" s="2581">
        <f t="shared" ref="BQ15:BQ17" si="47">IFERROR((BO15-BM15)*100/ABS(BM15),"")</f>
        <v>1253.004956629492</v>
      </c>
      <c r="BS15" s="2586" t="s">
        <v>561</v>
      </c>
      <c r="BT15" s="2589">
        <f>IF(BT11&gt;0,BT11+BT8+BT4,BT8+BT4)</f>
        <v>0</v>
      </c>
      <c r="BU15" s="2579">
        <f>IF(BU11&gt;0,BU11+BU8+BU4,BU8+BU4)</f>
        <v>0</v>
      </c>
      <c r="BV15" s="2579">
        <f>IF(BV11&gt;0,BV11+BV8+BV4,BV8+BV4)</f>
        <v>4800</v>
      </c>
      <c r="BW15" s="2580" t="str">
        <f t="shared" ref="BW15:BW17" si="48">IFERROR(BV15*100/BU15,"")</f>
        <v/>
      </c>
      <c r="BX15" s="2581" t="str">
        <f t="shared" ref="BX15:BX17" si="49">IFERROR((BV15-BT15)*100/ABS(BT15),"")</f>
        <v/>
      </c>
      <c r="CM15" s="2590"/>
    </row>
    <row r="16" spans="1:110" ht="38.25" customHeight="1">
      <c r="A16" s="2576" t="s">
        <v>562</v>
      </c>
      <c r="B16" s="2589">
        <f>IF(B11&lt;0,B11+B9+B7+B5,B9+B7+B5)</f>
        <v>-1430254</v>
      </c>
      <c r="C16" s="2579">
        <f>IF(C11&lt;0,C11+C9+C7+C5,C9+C7+C5)</f>
        <v>-2248611</v>
      </c>
      <c r="D16" s="2579">
        <f>IF(D11&lt;0,D11+D9+D7+D5,D9+D7+D5)</f>
        <v>-3215048</v>
      </c>
      <c r="E16" s="2580">
        <f t="shared" si="28"/>
        <v>142.97928810274431</v>
      </c>
      <c r="F16" s="2581">
        <f t="shared" si="29"/>
        <v>-124.78860398222973</v>
      </c>
      <c r="H16" s="2576" t="s">
        <v>562</v>
      </c>
      <c r="I16" s="2589">
        <f>IF(I11&lt;0,I11+I9+I7+I5,I9+I7+I5)</f>
        <v>-225635</v>
      </c>
      <c r="J16" s="2579">
        <f>IF(J11&lt;0,J11+J9+J7+J5,J9+J7+J5)</f>
        <v>-327243</v>
      </c>
      <c r="K16" s="2579">
        <f>IF(K11&lt;0,K11+K9+K7+K5,K9+K7+K5)</f>
        <v>-422794</v>
      </c>
      <c r="L16" s="2580">
        <f t="shared" si="30"/>
        <v>129.19879111241494</v>
      </c>
      <c r="M16" s="2581">
        <f t="shared" si="31"/>
        <v>-87.379617523877059</v>
      </c>
      <c r="O16" s="2576" t="s">
        <v>562</v>
      </c>
      <c r="P16" s="2589">
        <f>IF(P11&lt;0,P11+P9+P7+P5,P9+P7+P5)</f>
        <v>-272650</v>
      </c>
      <c r="Q16" s="2579">
        <f>IF(Q11&lt;0,Q11+Q9+Q7+Q5,Q9+Q7+Q5)</f>
        <v>-452141</v>
      </c>
      <c r="R16" s="2579">
        <f>IF(R11&lt;0,R11+R9+R7+R5,R9+R7+R5)</f>
        <v>-1256329</v>
      </c>
      <c r="S16" s="2580">
        <f t="shared" si="32"/>
        <v>277.86221554780479</v>
      </c>
      <c r="T16" s="2581">
        <f t="shared" si="33"/>
        <v>-360.78452228131306</v>
      </c>
      <c r="V16" s="2576" t="s">
        <v>562</v>
      </c>
      <c r="W16" s="2589">
        <f>IF(W11&lt;0,W11+W9+W7+W5,W9+W7+W5)</f>
        <v>-144030</v>
      </c>
      <c r="X16" s="2579">
        <f>IF(X11&lt;0,X11+X9+X7+X5,X9+X7+X5)</f>
        <v>-236576</v>
      </c>
      <c r="Y16" s="2579">
        <f>IF(Y11&lt;0,Y11+Y9+Y7+Y5,Y9+Y7+Y5)</f>
        <v>-251571</v>
      </c>
      <c r="Z16" s="2580">
        <f t="shared" si="34"/>
        <v>106.33834370350331</v>
      </c>
      <c r="AA16" s="2581">
        <f t="shared" si="35"/>
        <v>-74.665694646948552</v>
      </c>
      <c r="AC16" s="2576" t="s">
        <v>562</v>
      </c>
      <c r="AD16" s="2589">
        <f>IF(AD11&lt;0,AD11+AD9+AD7+AD5,AD9+AD7+AD5)</f>
        <v>-245097</v>
      </c>
      <c r="AE16" s="2579">
        <f>IF(AE11&lt;0,AE11+AE9+AE7+AE5,AE9+AE7+AE5)</f>
        <v>-402661</v>
      </c>
      <c r="AF16" s="2579">
        <f>IF(AF11&lt;0,AF11+AF9+AF7+AF5,AF9+AF7+AF5)</f>
        <v>-413049</v>
      </c>
      <c r="AG16" s="2580">
        <f t="shared" si="36"/>
        <v>102.57983763016533</v>
      </c>
      <c r="AH16" s="2581">
        <f t="shared" si="37"/>
        <v>-68.524706544755745</v>
      </c>
      <c r="AJ16" s="2576" t="s">
        <v>562</v>
      </c>
      <c r="AK16" s="2589">
        <f>IF(AK11&lt;0,AK11+AK9+AK7+AK5,AK9+AK7+AK5)</f>
        <v>-110505</v>
      </c>
      <c r="AL16" s="2579">
        <f>IF(AL11&lt;0,AL11+AL9+AL7+AL5,AL9+AL7+AL5)</f>
        <v>-130999</v>
      </c>
      <c r="AM16" s="2579">
        <f>IF(AM11&lt;0,AM11+AM9+AM7+AM5,AM9+AM7+AM5)</f>
        <v>-150431</v>
      </c>
      <c r="AN16" s="2580">
        <f t="shared" si="38"/>
        <v>114.83370102061848</v>
      </c>
      <c r="AO16" s="2581">
        <f t="shared" si="39"/>
        <v>-36.130491832948735</v>
      </c>
      <c r="AQ16" s="2576" t="s">
        <v>562</v>
      </c>
      <c r="AR16" s="2589">
        <f>IF(AR11&lt;0,AR11+AR9+AR7+AR5,AR9+AR7+AR5)</f>
        <v>-52768</v>
      </c>
      <c r="AS16" s="2579">
        <f>IF(AS11&lt;0,AS11+AS9+AS7+AS5,AS9+AS7+AS5)</f>
        <v>-70105</v>
      </c>
      <c r="AT16" s="2579">
        <f>IF(AT11&lt;0,AT11+AT9+AT7+AT5,AT9+AT7+AT5)</f>
        <v>-76134</v>
      </c>
      <c r="AU16" s="2580">
        <f t="shared" si="40"/>
        <v>108.59995720704657</v>
      </c>
      <c r="AV16" s="2581">
        <f t="shared" si="41"/>
        <v>-44.280624620982415</v>
      </c>
      <c r="AX16" s="2576" t="s">
        <v>562</v>
      </c>
      <c r="AY16" s="2589">
        <f>IF(AY11&lt;0,AY11+AY9+AY7+AY5,AY9+AY7+AY5)</f>
        <v>-354289</v>
      </c>
      <c r="AZ16" s="2579">
        <f>IF(AZ11&lt;0,AZ11+AZ9+AZ7+AZ5,AZ9+AZ7+AZ5)</f>
        <v>-591024</v>
      </c>
      <c r="BA16" s="2579">
        <f>IF(BA11&lt;0,BA11+BA9+BA7+BA5,BA9+BA7+BA5)</f>
        <v>-576449</v>
      </c>
      <c r="BB16" s="2580">
        <f t="shared" si="42"/>
        <v>97.533941092070705</v>
      </c>
      <c r="BC16" s="2581">
        <f t="shared" si="43"/>
        <v>-62.705870066527609</v>
      </c>
      <c r="BE16" s="2576" t="s">
        <v>562</v>
      </c>
      <c r="BF16" s="2589">
        <f>IF(BF11&lt;0,BF11+BF9+BF7+BF5,BF9+BF7+BF5)</f>
        <v>-17438</v>
      </c>
      <c r="BG16" s="2579">
        <f>IF(BG11&lt;0,BG11+BG9+BG7+BG5,BG9+BG7+BG5)</f>
        <v>-25063</v>
      </c>
      <c r="BH16" s="2579">
        <f>IF(BH11&lt;0,BH11+BH9+BH7+BH5,BH9+BH7+BH5)</f>
        <v>-28418</v>
      </c>
      <c r="BI16" s="2580">
        <f t="shared" si="44"/>
        <v>113.38626660814747</v>
      </c>
      <c r="BJ16" s="2581">
        <f t="shared" si="45"/>
        <v>-62.965936460603281</v>
      </c>
      <c r="BL16" s="2576" t="s">
        <v>562</v>
      </c>
      <c r="BM16" s="2589">
        <f>IF(BM11&lt;0,BM11+BM9+BM7+BM5,BM9+BM7+BM5)</f>
        <v>-7842</v>
      </c>
      <c r="BN16" s="2579">
        <f>IF(BN11&lt;0,BN11+BN9+BN7+BN5,BN9+BN7+BN5)</f>
        <v>-12799</v>
      </c>
      <c r="BO16" s="2579">
        <f>IF(BO11&lt;0,BO11+BO9+BO7+BO5,BO9+BO7+BO5)</f>
        <v>-39089</v>
      </c>
      <c r="BP16" s="2580">
        <f t="shared" si="46"/>
        <v>305.40667239628095</v>
      </c>
      <c r="BQ16" s="2581">
        <f t="shared" si="47"/>
        <v>-398.45702626880899</v>
      </c>
      <c r="BS16" s="2576" t="s">
        <v>562</v>
      </c>
      <c r="BT16" s="2589">
        <f>IF(BT11&lt;0,BT11+BT9+BT7+BT5,BT9+BT7+BT5)</f>
        <v>0</v>
      </c>
      <c r="BU16" s="2579">
        <f>IF(BU11&lt;0,BU11+BU9+BU7+BU5,BU9+BU7+BU5)</f>
        <v>0</v>
      </c>
      <c r="BV16" s="2579">
        <f>IF(BV11&lt;0,BV11+BV9+BV7+BV5,BV9+BV7+BV5)</f>
        <v>-784</v>
      </c>
      <c r="BW16" s="2580" t="str">
        <f t="shared" si="48"/>
        <v/>
      </c>
      <c r="BX16" s="2581" t="str">
        <f t="shared" si="49"/>
        <v/>
      </c>
    </row>
    <row r="17" spans="1:76" ht="38.25" customHeight="1" thickBot="1">
      <c r="A17" s="2591" t="s">
        <v>560</v>
      </c>
      <c r="B17" s="2592">
        <f>SUM(B15:B16)</f>
        <v>353408</v>
      </c>
      <c r="C17" s="2593">
        <f>SUM(C15:C16)</f>
        <v>426532</v>
      </c>
      <c r="D17" s="2593">
        <f>SUM(D15:D16)</f>
        <v>525921</v>
      </c>
      <c r="E17" s="2594">
        <f t="shared" si="28"/>
        <v>123.30165145874166</v>
      </c>
      <c r="F17" s="2595">
        <f t="shared" si="29"/>
        <v>48.814118525896411</v>
      </c>
      <c r="H17" s="2591" t="s">
        <v>560</v>
      </c>
      <c r="I17" s="2592">
        <f>SUM(I15:I16)</f>
        <v>-92014</v>
      </c>
      <c r="J17" s="2593">
        <f>SUM(J15:J16)</f>
        <v>128157</v>
      </c>
      <c r="K17" s="2593">
        <f>SUM(K15:K16)</f>
        <v>-352104</v>
      </c>
      <c r="L17" s="2594">
        <f t="shared" si="30"/>
        <v>-274.74425899482668</v>
      </c>
      <c r="M17" s="2595">
        <f t="shared" si="31"/>
        <v>-282.663507727085</v>
      </c>
      <c r="O17" s="2591" t="s">
        <v>560</v>
      </c>
      <c r="P17" s="2592">
        <f>SUM(P15:P16)</f>
        <v>-57457</v>
      </c>
      <c r="Q17" s="2593">
        <f>SUM(Q15:Q16)</f>
        <v>-1798</v>
      </c>
      <c r="R17" s="2593">
        <f>SUM(R15:R16)</f>
        <v>-107379</v>
      </c>
      <c r="S17" s="2594">
        <f t="shared" si="32"/>
        <v>5972.1357063403784</v>
      </c>
      <c r="T17" s="2595">
        <f t="shared" si="33"/>
        <v>-86.88584506674556</v>
      </c>
      <c r="V17" s="2591" t="s">
        <v>560</v>
      </c>
      <c r="W17" s="2592">
        <f>SUM(W15:W16)</f>
        <v>23542</v>
      </c>
      <c r="X17" s="2593">
        <f>SUM(X15:X16)</f>
        <v>-8288</v>
      </c>
      <c r="Y17" s="2593">
        <f>SUM(Y15:Y16)</f>
        <v>-2552</v>
      </c>
      <c r="Z17" s="2594">
        <f t="shared" si="34"/>
        <v>30.791505791505791</v>
      </c>
      <c r="AA17" s="2595">
        <f t="shared" si="35"/>
        <v>-110.84020049273639</v>
      </c>
      <c r="AC17" s="2591" t="s">
        <v>560</v>
      </c>
      <c r="AD17" s="2592">
        <f>SUM(AD15:AD16)</f>
        <v>416033</v>
      </c>
      <c r="AE17" s="2593">
        <f>SUM(AE15:AE16)</f>
        <v>409215</v>
      </c>
      <c r="AF17" s="2593">
        <f>SUM(AF15:AF16)</f>
        <v>787435</v>
      </c>
      <c r="AG17" s="2594">
        <f t="shared" si="36"/>
        <v>192.4257419693804</v>
      </c>
      <c r="AH17" s="2595">
        <f t="shared" si="37"/>
        <v>89.272245230546616</v>
      </c>
      <c r="AJ17" s="2591" t="s">
        <v>560</v>
      </c>
      <c r="AK17" s="2592">
        <f>SUM(AK15:AK16)</f>
        <v>14113</v>
      </c>
      <c r="AL17" s="2593">
        <f>SUM(AL15:AL16)</f>
        <v>-21536</v>
      </c>
      <c r="AM17" s="2593">
        <f>SUM(AM15:AM16)</f>
        <v>48246</v>
      </c>
      <c r="AN17" s="2594">
        <f t="shared" si="38"/>
        <v>-224.02488855869242</v>
      </c>
      <c r="AO17" s="2595">
        <f t="shared" si="39"/>
        <v>241.85502727981293</v>
      </c>
      <c r="AQ17" s="2591" t="s">
        <v>560</v>
      </c>
      <c r="AR17" s="2592">
        <f>SUM(AR15:AR16)</f>
        <v>-17329</v>
      </c>
      <c r="AS17" s="2593">
        <f>SUM(AS15:AS16)</f>
        <v>-43806</v>
      </c>
      <c r="AT17" s="2593">
        <f>SUM(AT15:AT16)</f>
        <v>17039</v>
      </c>
      <c r="AU17" s="2594">
        <f t="shared" si="40"/>
        <v>-38.896498196594074</v>
      </c>
      <c r="AV17" s="2595">
        <f t="shared" si="41"/>
        <v>198.32650470309886</v>
      </c>
      <c r="AX17" s="2591" t="s">
        <v>560</v>
      </c>
      <c r="AY17" s="2592">
        <f>SUM(AY15:AY16)</f>
        <v>82143</v>
      </c>
      <c r="AZ17" s="2593">
        <f>SUM(AZ15:AZ16)</f>
        <v>-41889</v>
      </c>
      <c r="BA17" s="2593">
        <f>SUM(BA15:BA16)</f>
        <v>154111</v>
      </c>
      <c r="BB17" s="2594">
        <f t="shared" si="42"/>
        <v>-367.9032681610924</v>
      </c>
      <c r="BC17" s="2595">
        <f t="shared" si="43"/>
        <v>87.61306502075648</v>
      </c>
      <c r="BE17" s="2591" t="s">
        <v>560</v>
      </c>
      <c r="BF17" s="2592">
        <f>SUM(BF15:BF16)</f>
        <v>-11009</v>
      </c>
      <c r="BG17" s="2593">
        <f>SUM(BG15:BG16)</f>
        <v>6151</v>
      </c>
      <c r="BH17" s="2593">
        <f>SUM(BH15:BH16)</f>
        <v>-27477</v>
      </c>
      <c r="BI17" s="2594">
        <f t="shared" si="44"/>
        <v>-446.70785238172652</v>
      </c>
      <c r="BJ17" s="2595">
        <f t="shared" si="45"/>
        <v>-149.58670178944499</v>
      </c>
      <c r="BL17" s="2591" t="s">
        <v>560</v>
      </c>
      <c r="BM17" s="2592">
        <f>SUM(BM15:BM16)</f>
        <v>-4614</v>
      </c>
      <c r="BN17" s="2593">
        <f>SUM(BN15:BN16)</f>
        <v>326</v>
      </c>
      <c r="BO17" s="2593">
        <f>SUM(BO15:BO16)</f>
        <v>4586</v>
      </c>
      <c r="BP17" s="2594">
        <f t="shared" si="46"/>
        <v>1406.7484662576687</v>
      </c>
      <c r="BQ17" s="2595">
        <f t="shared" si="47"/>
        <v>199.39315127871694</v>
      </c>
      <c r="BS17" s="2591" t="s">
        <v>560</v>
      </c>
      <c r="BT17" s="2592">
        <f>SUM(BT15:BT16)</f>
        <v>0</v>
      </c>
      <c r="BU17" s="2593">
        <f>SUM(BU15:BU16)</f>
        <v>0</v>
      </c>
      <c r="BV17" s="2593">
        <f>SUM(BV15:BV16)</f>
        <v>4016</v>
      </c>
      <c r="BW17" s="2594" t="str">
        <f t="shared" si="48"/>
        <v/>
      </c>
      <c r="BX17" s="2595" t="str">
        <f t="shared" si="49"/>
        <v/>
      </c>
    </row>
    <row r="18" spans="1:76" s="2597" customFormat="1"/>
    <row r="19" spans="1:76" s="2597" customFormat="1" ht="15.75" thickBot="1"/>
    <row r="20" spans="1:76" s="2597" customFormat="1" ht="191.25" customHeight="1" thickBot="1">
      <c r="A20" s="3288" t="s">
        <v>563</v>
      </c>
      <c r="B20" s="3289"/>
      <c r="C20" s="3289"/>
      <c r="D20" s="3289"/>
      <c r="E20" s="3289"/>
      <c r="F20" s="3290"/>
      <c r="H20" s="3294" t="s">
        <v>3298</v>
      </c>
      <c r="I20" s="3295"/>
      <c r="J20" s="3295"/>
      <c r="K20" s="3295"/>
      <c r="L20" s="3295"/>
      <c r="M20" s="3296"/>
      <c r="O20" s="3288" t="s">
        <v>3299</v>
      </c>
      <c r="P20" s="3289"/>
      <c r="Q20" s="3289"/>
      <c r="R20" s="3289"/>
      <c r="S20" s="3289"/>
      <c r="T20" s="3290"/>
      <c r="V20" s="3288" t="s">
        <v>3297</v>
      </c>
      <c r="W20" s="3289"/>
      <c r="X20" s="3289"/>
      <c r="Y20" s="3289"/>
      <c r="Z20" s="3289"/>
      <c r="AA20" s="3290"/>
      <c r="AC20" s="3294" t="s">
        <v>3300</v>
      </c>
      <c r="AD20" s="3295"/>
      <c r="AE20" s="3295"/>
      <c r="AF20" s="3295"/>
      <c r="AG20" s="3295"/>
      <c r="AH20" s="3296"/>
      <c r="AJ20" s="3288" t="s">
        <v>3301</v>
      </c>
      <c r="AK20" s="3289"/>
      <c r="AL20" s="3289"/>
      <c r="AM20" s="3289"/>
      <c r="AN20" s="3289"/>
      <c r="AO20" s="3290"/>
      <c r="AQ20" s="3288" t="s">
        <v>3302</v>
      </c>
      <c r="AR20" s="3289"/>
      <c r="AS20" s="3289"/>
      <c r="AT20" s="3289"/>
      <c r="AU20" s="3289"/>
      <c r="AV20" s="3290"/>
      <c r="AX20" s="3288" t="s">
        <v>3303</v>
      </c>
      <c r="AY20" s="3289"/>
      <c r="AZ20" s="3289"/>
      <c r="BA20" s="3289"/>
      <c r="BB20" s="3289"/>
      <c r="BC20" s="3290"/>
      <c r="BE20" s="3288" t="s">
        <v>3304</v>
      </c>
      <c r="BF20" s="3289"/>
      <c r="BG20" s="3289"/>
      <c r="BH20" s="3289"/>
      <c r="BI20" s="3289"/>
      <c r="BJ20" s="3290"/>
      <c r="BL20" s="3288" t="s">
        <v>3305</v>
      </c>
      <c r="BM20" s="3289"/>
      <c r="BN20" s="3289"/>
      <c r="BO20" s="3289"/>
      <c r="BP20" s="3289"/>
      <c r="BQ20" s="3290"/>
      <c r="BS20" s="3288" t="s">
        <v>563</v>
      </c>
      <c r="BT20" s="3289"/>
      <c r="BU20" s="3289"/>
      <c r="BV20" s="3289"/>
      <c r="BW20" s="3289"/>
      <c r="BX20" s="3290"/>
    </row>
  </sheetData>
  <mergeCells count="33">
    <mergeCell ref="V20:AA20"/>
    <mergeCell ref="O20:T20"/>
    <mergeCell ref="AJ20:AO20"/>
    <mergeCell ref="AC20:AH20"/>
    <mergeCell ref="AQ20:AV20"/>
    <mergeCell ref="AX20:BC20"/>
    <mergeCell ref="BE20:BJ20"/>
    <mergeCell ref="BL20:BQ20"/>
    <mergeCell ref="BS20:BX20"/>
    <mergeCell ref="AQ2:AV2"/>
    <mergeCell ref="AX2:BC2"/>
    <mergeCell ref="BE2:BJ2"/>
    <mergeCell ref="BL2:BQ2"/>
    <mergeCell ref="BS2:BX2"/>
    <mergeCell ref="AQ1:AV1"/>
    <mergeCell ref="AX1:BC1"/>
    <mergeCell ref="BE1:BJ1"/>
    <mergeCell ref="BL1:BQ1"/>
    <mergeCell ref="BS1:BX1"/>
    <mergeCell ref="AC1:AH1"/>
    <mergeCell ref="AC2:AH2"/>
    <mergeCell ref="AJ1:AO1"/>
    <mergeCell ref="AJ2:AO2"/>
    <mergeCell ref="O1:T1"/>
    <mergeCell ref="O2:T2"/>
    <mergeCell ref="V1:AA1"/>
    <mergeCell ref="V2:AA2"/>
    <mergeCell ref="A20:F20"/>
    <mergeCell ref="A2:F2"/>
    <mergeCell ref="A1:F1"/>
    <mergeCell ref="H1:M1"/>
    <mergeCell ref="H2:M2"/>
    <mergeCell ref="H20:M20"/>
  </mergeCells>
  <conditionalFormatting sqref="A1:XFD4 A6:XFD6 A5:H5 J5 A9:XFD10 A7:H8 J8 A12:XFD1048576 A11:H11 J11:V11 L5:O5 L7:O8 Q8 S5:V5 S7:V8 X8 X11 Z5:AC5 Z7:AC8 Z11:AC11 AE8 AE11:XFD11 AG5:AJ5 AG7:AJ8 AN5:AQ5 AL8 AN7:AQ8 AS8 AU5:AX5 AU7:AX8 AZ8 BB5:BE5 BB7:BE8 BG8 BI5:BL5 BI8:XFD8 BI7:BL7 BP5:BS5 BP7:BS7 BW5:XFD5 BW7:XFD7">
    <cfRule type="cellIs" dxfId="307" priority="232" operator="equal">
      <formula>0</formula>
    </cfRule>
    <cfRule type="cellIs" dxfId="306" priority="233" operator="lessThan">
      <formula>0</formula>
    </cfRule>
  </conditionalFormatting>
  <conditionalFormatting sqref="E4:E12 E15:E17">
    <cfRule type="cellIs" dxfId="305" priority="230" operator="lessThan">
      <formula>90</formula>
    </cfRule>
    <cfRule type="cellIs" dxfId="304" priority="231" operator="greaterThan">
      <formula>110</formula>
    </cfRule>
  </conditionalFormatting>
  <conditionalFormatting sqref="F4:F12 F15:F17">
    <cfRule type="cellIs" dxfId="303" priority="229" operator="greaterThan">
      <formula>20</formula>
    </cfRule>
  </conditionalFormatting>
  <conditionalFormatting sqref="L4:L12 L15:L17">
    <cfRule type="cellIs" dxfId="302" priority="227" operator="lessThan">
      <formula>90</formula>
    </cfRule>
    <cfRule type="cellIs" dxfId="301" priority="228" operator="greaterThan">
      <formula>110</formula>
    </cfRule>
  </conditionalFormatting>
  <conditionalFormatting sqref="M4:M12 M15:M17">
    <cfRule type="cellIs" dxfId="300" priority="226" operator="greaterThan">
      <formula>20</formula>
    </cfRule>
  </conditionalFormatting>
  <conditionalFormatting sqref="S4:S12 S15:S17">
    <cfRule type="cellIs" dxfId="299" priority="224" operator="lessThan">
      <formula>90</formula>
    </cfRule>
    <cfRule type="cellIs" dxfId="298" priority="225" operator="greaterThan">
      <formula>110</formula>
    </cfRule>
  </conditionalFormatting>
  <conditionalFormatting sqref="T4:T12 T15:T17">
    <cfRule type="cellIs" dxfId="297" priority="223" operator="greaterThan">
      <formula>20</formula>
    </cfRule>
  </conditionalFormatting>
  <conditionalFormatting sqref="Z4:Z12 Z15:Z17">
    <cfRule type="cellIs" dxfId="296" priority="221" operator="lessThan">
      <formula>90</formula>
    </cfRule>
    <cfRule type="cellIs" dxfId="295" priority="222" operator="greaterThan">
      <formula>110</formula>
    </cfRule>
  </conditionalFormatting>
  <conditionalFormatting sqref="AA4:AA12 AA15:AA17">
    <cfRule type="cellIs" dxfId="294" priority="220" operator="greaterThan">
      <formula>20</formula>
    </cfRule>
  </conditionalFormatting>
  <conditionalFormatting sqref="AG4:AG12 AG15:AG17">
    <cfRule type="cellIs" dxfId="293" priority="218" operator="lessThan">
      <formula>90</formula>
    </cfRule>
    <cfRule type="cellIs" dxfId="292" priority="219" operator="greaterThan">
      <formula>110</formula>
    </cfRule>
  </conditionalFormatting>
  <conditionalFormatting sqref="AH4:AH12 AH15:AH17">
    <cfRule type="cellIs" dxfId="291" priority="217" operator="greaterThan">
      <formula>20</formula>
    </cfRule>
  </conditionalFormatting>
  <conditionalFormatting sqref="AN4:AN12 AN15:AN17">
    <cfRule type="cellIs" dxfId="290" priority="215" operator="lessThan">
      <formula>90</formula>
    </cfRule>
    <cfRule type="cellIs" dxfId="289" priority="216" operator="greaterThan">
      <formula>110</formula>
    </cfRule>
  </conditionalFormatting>
  <conditionalFormatting sqref="AO4:AO12 AO15:AO17">
    <cfRule type="cellIs" dxfId="288" priority="214" operator="greaterThan">
      <formula>20</formula>
    </cfRule>
  </conditionalFormatting>
  <conditionalFormatting sqref="AU4:AU12 AU15:AU17">
    <cfRule type="cellIs" dxfId="287" priority="212" operator="lessThan">
      <formula>90</formula>
    </cfRule>
    <cfRule type="cellIs" dxfId="286" priority="213" operator="greaterThan">
      <formula>110</formula>
    </cfRule>
  </conditionalFormatting>
  <conditionalFormatting sqref="AV4:AV12 AV15:AV17">
    <cfRule type="cellIs" dxfId="285" priority="211" operator="greaterThan">
      <formula>20</formula>
    </cfRule>
  </conditionalFormatting>
  <conditionalFormatting sqref="BB4:BB12 BB15:BB17">
    <cfRule type="cellIs" dxfId="284" priority="209" operator="lessThan">
      <formula>90</formula>
    </cfRule>
    <cfRule type="cellIs" dxfId="283" priority="210" operator="greaterThan">
      <formula>110</formula>
    </cfRule>
  </conditionalFormatting>
  <conditionalFormatting sqref="BC4:BC12 BC15:BC17">
    <cfRule type="cellIs" dxfId="282" priority="208" operator="greaterThan">
      <formula>20</formula>
    </cfRule>
  </conditionalFormatting>
  <conditionalFormatting sqref="BI4:BI12 BI15:BI17">
    <cfRule type="cellIs" dxfId="281" priority="206" operator="lessThan">
      <formula>90</formula>
    </cfRule>
    <cfRule type="cellIs" dxfId="280" priority="207" operator="greaterThan">
      <formula>110</formula>
    </cfRule>
  </conditionalFormatting>
  <conditionalFormatting sqref="BJ4:BJ12 BJ15:BJ17">
    <cfRule type="cellIs" dxfId="279" priority="205" operator="greaterThan">
      <formula>20</formula>
    </cfRule>
  </conditionalFormatting>
  <conditionalFormatting sqref="BP4:BP12 BP15:BP17">
    <cfRule type="cellIs" dxfId="278" priority="203" operator="lessThan">
      <formula>90</formula>
    </cfRule>
    <cfRule type="cellIs" dxfId="277" priority="204" operator="greaterThan">
      <formula>110</formula>
    </cfRule>
  </conditionalFormatting>
  <conditionalFormatting sqref="BQ4:BQ12 BQ15:BQ17">
    <cfRule type="cellIs" dxfId="276" priority="202" operator="greaterThan">
      <formula>20</formula>
    </cfRule>
  </conditionalFormatting>
  <conditionalFormatting sqref="BW4:BW12 BW15:BW17">
    <cfRule type="cellIs" dxfId="275" priority="200" operator="lessThan">
      <formula>90</formula>
    </cfRule>
    <cfRule type="cellIs" dxfId="274" priority="201" operator="greaterThan">
      <formula>110</formula>
    </cfRule>
  </conditionalFormatting>
  <conditionalFormatting sqref="BX4:BX12 BX15:BX17">
    <cfRule type="cellIs" dxfId="273" priority="199" operator="greaterThan">
      <formula>20</formula>
    </cfRule>
  </conditionalFormatting>
  <conditionalFormatting sqref="I8">
    <cfRule type="cellIs" dxfId="272" priority="195" operator="equal">
      <formula>0</formula>
    </cfRule>
    <cfRule type="cellIs" dxfId="271" priority="196" operator="lessThan">
      <formula>0</formula>
    </cfRule>
  </conditionalFormatting>
  <conditionalFormatting sqref="I11">
    <cfRule type="cellIs" dxfId="270" priority="193" operator="equal">
      <formula>0</formula>
    </cfRule>
    <cfRule type="cellIs" dxfId="269" priority="194" operator="lessThan">
      <formula>0</formula>
    </cfRule>
  </conditionalFormatting>
  <conditionalFormatting sqref="K5">
    <cfRule type="cellIs" dxfId="268" priority="191" operator="equal">
      <formula>0</formula>
    </cfRule>
    <cfRule type="cellIs" dxfId="267" priority="192" operator="lessThan">
      <formula>0</formula>
    </cfRule>
  </conditionalFormatting>
  <conditionalFormatting sqref="K8">
    <cfRule type="cellIs" dxfId="266" priority="189" operator="equal">
      <formula>0</formula>
    </cfRule>
    <cfRule type="cellIs" dxfId="265" priority="190" operator="lessThan">
      <formula>0</formula>
    </cfRule>
  </conditionalFormatting>
  <conditionalFormatting sqref="P8">
    <cfRule type="cellIs" dxfId="264" priority="185" operator="equal">
      <formula>0</formula>
    </cfRule>
    <cfRule type="cellIs" dxfId="263" priority="186" operator="lessThan">
      <formula>0</formula>
    </cfRule>
  </conditionalFormatting>
  <conditionalFormatting sqref="R8">
    <cfRule type="cellIs" dxfId="262" priority="181" operator="equal">
      <formula>0</formula>
    </cfRule>
    <cfRule type="cellIs" dxfId="261" priority="182" operator="lessThan">
      <formula>0</formula>
    </cfRule>
  </conditionalFormatting>
  <conditionalFormatting sqref="W8">
    <cfRule type="cellIs" dxfId="260" priority="177" operator="equal">
      <formula>0</formula>
    </cfRule>
    <cfRule type="cellIs" dxfId="259" priority="178" operator="lessThan">
      <formula>0</formula>
    </cfRule>
  </conditionalFormatting>
  <conditionalFormatting sqref="W11">
    <cfRule type="cellIs" dxfId="258" priority="175" operator="equal">
      <formula>0</formula>
    </cfRule>
    <cfRule type="cellIs" dxfId="257" priority="176" operator="lessThan">
      <formula>0</formula>
    </cfRule>
  </conditionalFormatting>
  <conditionalFormatting sqref="Y8">
    <cfRule type="cellIs" dxfId="256" priority="171" operator="equal">
      <formula>0</formula>
    </cfRule>
    <cfRule type="cellIs" dxfId="255" priority="172" operator="lessThan">
      <formula>0</formula>
    </cfRule>
  </conditionalFormatting>
  <conditionalFormatting sqref="Y11">
    <cfRule type="cellIs" dxfId="254" priority="169" operator="equal">
      <formula>0</formula>
    </cfRule>
    <cfRule type="cellIs" dxfId="253" priority="170" operator="lessThan">
      <formula>0</formula>
    </cfRule>
  </conditionalFormatting>
  <conditionalFormatting sqref="AD8">
    <cfRule type="cellIs" dxfId="252" priority="165" operator="equal">
      <formula>0</formula>
    </cfRule>
    <cfRule type="cellIs" dxfId="251" priority="166" operator="lessThan">
      <formula>0</formula>
    </cfRule>
  </conditionalFormatting>
  <conditionalFormatting sqref="AD11">
    <cfRule type="cellIs" dxfId="250" priority="163" operator="equal">
      <formula>0</formula>
    </cfRule>
    <cfRule type="cellIs" dxfId="249" priority="164" operator="lessThan">
      <formula>0</formula>
    </cfRule>
  </conditionalFormatting>
  <conditionalFormatting sqref="AF8">
    <cfRule type="cellIs" dxfId="248" priority="159" operator="equal">
      <formula>0</formula>
    </cfRule>
    <cfRule type="cellIs" dxfId="247" priority="160" operator="lessThan">
      <formula>0</formula>
    </cfRule>
  </conditionalFormatting>
  <conditionalFormatting sqref="AK8">
    <cfRule type="cellIs" dxfId="246" priority="155" operator="equal">
      <formula>0</formula>
    </cfRule>
    <cfRule type="cellIs" dxfId="245" priority="156" operator="lessThan">
      <formula>0</formula>
    </cfRule>
  </conditionalFormatting>
  <conditionalFormatting sqref="AM8">
    <cfRule type="cellIs" dxfId="244" priority="151" operator="equal">
      <formula>0</formula>
    </cfRule>
    <cfRule type="cellIs" dxfId="243" priority="152" operator="lessThan">
      <formula>0</formula>
    </cfRule>
  </conditionalFormatting>
  <conditionalFormatting sqref="AR8">
    <cfRule type="cellIs" dxfId="242" priority="147" operator="equal">
      <formula>0</formula>
    </cfRule>
    <cfRule type="cellIs" dxfId="241" priority="148" operator="lessThan">
      <formula>0</formula>
    </cfRule>
  </conditionalFormatting>
  <conditionalFormatting sqref="AT8">
    <cfRule type="cellIs" dxfId="240" priority="143" operator="equal">
      <formula>0</formula>
    </cfRule>
    <cfRule type="cellIs" dxfId="239" priority="144" operator="lessThan">
      <formula>0</formula>
    </cfRule>
  </conditionalFormatting>
  <conditionalFormatting sqref="AY8">
    <cfRule type="cellIs" dxfId="238" priority="139" operator="equal">
      <formula>0</formula>
    </cfRule>
    <cfRule type="cellIs" dxfId="237" priority="140" operator="lessThan">
      <formula>0</formula>
    </cfRule>
  </conditionalFormatting>
  <conditionalFormatting sqref="BA8">
    <cfRule type="cellIs" dxfId="236" priority="135" operator="equal">
      <formula>0</formula>
    </cfRule>
    <cfRule type="cellIs" dxfId="235" priority="136" operator="lessThan">
      <formula>0</formula>
    </cfRule>
  </conditionalFormatting>
  <conditionalFormatting sqref="BF8">
    <cfRule type="cellIs" dxfId="234" priority="131" operator="equal">
      <formula>0</formula>
    </cfRule>
    <cfRule type="cellIs" dxfId="233" priority="132" operator="lessThan">
      <formula>0</formula>
    </cfRule>
  </conditionalFormatting>
  <conditionalFormatting sqref="BH8">
    <cfRule type="cellIs" dxfId="232" priority="127" operator="equal">
      <formula>0</formula>
    </cfRule>
    <cfRule type="cellIs" dxfId="231" priority="128" operator="lessThan">
      <formula>0</formula>
    </cfRule>
  </conditionalFormatting>
  <conditionalFormatting sqref="I5">
    <cfRule type="cellIs" dxfId="230" priority="115" operator="equal">
      <formula>0</formula>
    </cfRule>
    <cfRule type="cellIs" dxfId="229" priority="116" operator="lessThan">
      <formula>0</formula>
    </cfRule>
  </conditionalFormatting>
  <conditionalFormatting sqref="J7">
    <cfRule type="cellIs" dxfId="228" priority="113" operator="equal">
      <formula>0</formula>
    </cfRule>
    <cfRule type="cellIs" dxfId="227" priority="114" operator="lessThan">
      <formula>0</formula>
    </cfRule>
  </conditionalFormatting>
  <conditionalFormatting sqref="K7">
    <cfRule type="cellIs" dxfId="226" priority="111" operator="equal">
      <formula>0</formula>
    </cfRule>
    <cfRule type="cellIs" dxfId="225" priority="112" operator="lessThan">
      <formula>0</formula>
    </cfRule>
  </conditionalFormatting>
  <conditionalFormatting sqref="I7">
    <cfRule type="cellIs" dxfId="224" priority="109" operator="equal">
      <formula>0</formula>
    </cfRule>
    <cfRule type="cellIs" dxfId="223" priority="110" operator="lessThan">
      <formula>0</formula>
    </cfRule>
  </conditionalFormatting>
  <conditionalFormatting sqref="Q5">
    <cfRule type="cellIs" dxfId="222" priority="107" operator="equal">
      <formula>0</formula>
    </cfRule>
    <cfRule type="cellIs" dxfId="221" priority="108" operator="lessThan">
      <formula>0</formula>
    </cfRule>
  </conditionalFormatting>
  <conditionalFormatting sqref="R5">
    <cfRule type="cellIs" dxfId="220" priority="105" operator="equal">
      <formula>0</formula>
    </cfRule>
    <cfRule type="cellIs" dxfId="219" priority="106" operator="lessThan">
      <formula>0</formula>
    </cfRule>
  </conditionalFormatting>
  <conditionalFormatting sqref="P5">
    <cfRule type="cellIs" dxfId="218" priority="103" operator="equal">
      <formula>0</formula>
    </cfRule>
    <cfRule type="cellIs" dxfId="217" priority="104" operator="lessThan">
      <formula>0</formula>
    </cfRule>
  </conditionalFormatting>
  <conditionalFormatting sqref="Q7">
    <cfRule type="cellIs" dxfId="216" priority="101" operator="equal">
      <formula>0</formula>
    </cfRule>
    <cfRule type="cellIs" dxfId="215" priority="102" operator="lessThan">
      <formula>0</formula>
    </cfRule>
  </conditionalFormatting>
  <conditionalFormatting sqref="R7">
    <cfRule type="cellIs" dxfId="214" priority="99" operator="equal">
      <formula>0</formula>
    </cfRule>
    <cfRule type="cellIs" dxfId="213" priority="100" operator="lessThan">
      <formula>0</formula>
    </cfRule>
  </conditionalFormatting>
  <conditionalFormatting sqref="P7">
    <cfRule type="cellIs" dxfId="212" priority="97" operator="equal">
      <formula>0</formula>
    </cfRule>
    <cfRule type="cellIs" dxfId="211" priority="98" operator="lessThan">
      <formula>0</formula>
    </cfRule>
  </conditionalFormatting>
  <conditionalFormatting sqref="X5">
    <cfRule type="cellIs" dxfId="210" priority="95" operator="equal">
      <formula>0</formula>
    </cfRule>
    <cfRule type="cellIs" dxfId="209" priority="96" operator="lessThan">
      <formula>0</formula>
    </cfRule>
  </conditionalFormatting>
  <conditionalFormatting sqref="Y5">
    <cfRule type="cellIs" dxfId="208" priority="93" operator="equal">
      <formula>0</formula>
    </cfRule>
    <cfRule type="cellIs" dxfId="207" priority="94" operator="lessThan">
      <formula>0</formula>
    </cfRule>
  </conditionalFormatting>
  <conditionalFormatting sqref="W5">
    <cfRule type="cellIs" dxfId="206" priority="91" operator="equal">
      <formula>0</formula>
    </cfRule>
    <cfRule type="cellIs" dxfId="205" priority="92" operator="lessThan">
      <formula>0</formula>
    </cfRule>
  </conditionalFormatting>
  <conditionalFormatting sqref="X7">
    <cfRule type="cellIs" dxfId="204" priority="89" operator="equal">
      <formula>0</formula>
    </cfRule>
    <cfRule type="cellIs" dxfId="203" priority="90" operator="lessThan">
      <formula>0</formula>
    </cfRule>
  </conditionalFormatting>
  <conditionalFormatting sqref="Y7">
    <cfRule type="cellIs" dxfId="202" priority="87" operator="equal">
      <formula>0</formula>
    </cfRule>
    <cfRule type="cellIs" dxfId="201" priority="88" operator="lessThan">
      <formula>0</formula>
    </cfRule>
  </conditionalFormatting>
  <conditionalFormatting sqref="W7">
    <cfRule type="cellIs" dxfId="200" priority="85" operator="equal">
      <formula>0</formula>
    </cfRule>
    <cfRule type="cellIs" dxfId="199" priority="86" operator="lessThan">
      <formula>0</formula>
    </cfRule>
  </conditionalFormatting>
  <conditionalFormatting sqref="AE5">
    <cfRule type="cellIs" dxfId="198" priority="83" operator="equal">
      <formula>0</formula>
    </cfRule>
    <cfRule type="cellIs" dxfId="197" priority="84" operator="lessThan">
      <formula>0</formula>
    </cfRule>
  </conditionalFormatting>
  <conditionalFormatting sqref="AF5">
    <cfRule type="cellIs" dxfId="196" priority="81" operator="equal">
      <formula>0</formula>
    </cfRule>
    <cfRule type="cellIs" dxfId="195" priority="82" operator="lessThan">
      <formula>0</formula>
    </cfRule>
  </conditionalFormatting>
  <conditionalFormatting sqref="AD5">
    <cfRule type="cellIs" dxfId="194" priority="79" operator="equal">
      <formula>0</formula>
    </cfRule>
    <cfRule type="cellIs" dxfId="193" priority="80" operator="lessThan">
      <formula>0</formula>
    </cfRule>
  </conditionalFormatting>
  <conditionalFormatting sqref="AE7">
    <cfRule type="cellIs" dxfId="192" priority="77" operator="equal">
      <formula>0</formula>
    </cfRule>
    <cfRule type="cellIs" dxfId="191" priority="78" operator="lessThan">
      <formula>0</formula>
    </cfRule>
  </conditionalFormatting>
  <conditionalFormatting sqref="AF7">
    <cfRule type="cellIs" dxfId="190" priority="75" operator="equal">
      <formula>0</formula>
    </cfRule>
    <cfRule type="cellIs" dxfId="189" priority="76" operator="lessThan">
      <formula>0</formula>
    </cfRule>
  </conditionalFormatting>
  <conditionalFormatting sqref="AD7">
    <cfRule type="cellIs" dxfId="188" priority="73" operator="equal">
      <formula>0</formula>
    </cfRule>
    <cfRule type="cellIs" dxfId="187" priority="74" operator="lessThan">
      <formula>0</formula>
    </cfRule>
  </conditionalFormatting>
  <conditionalFormatting sqref="AL5">
    <cfRule type="cellIs" dxfId="186" priority="71" operator="equal">
      <formula>0</formula>
    </cfRule>
    <cfRule type="cellIs" dxfId="185" priority="72" operator="lessThan">
      <formula>0</formula>
    </cfRule>
  </conditionalFormatting>
  <conditionalFormatting sqref="AM5">
    <cfRule type="cellIs" dxfId="184" priority="69" operator="equal">
      <formula>0</formula>
    </cfRule>
    <cfRule type="cellIs" dxfId="183" priority="70" operator="lessThan">
      <formula>0</formula>
    </cfRule>
  </conditionalFormatting>
  <conditionalFormatting sqref="AK5">
    <cfRule type="cellIs" dxfId="182" priority="67" operator="equal">
      <formula>0</formula>
    </cfRule>
    <cfRule type="cellIs" dxfId="181" priority="68" operator="lessThan">
      <formula>0</formula>
    </cfRule>
  </conditionalFormatting>
  <conditionalFormatting sqref="AL7">
    <cfRule type="cellIs" dxfId="180" priority="65" operator="equal">
      <formula>0</formula>
    </cfRule>
    <cfRule type="cellIs" dxfId="179" priority="66" operator="lessThan">
      <formula>0</formula>
    </cfRule>
  </conditionalFormatting>
  <conditionalFormatting sqref="AM7">
    <cfRule type="cellIs" dxfId="178" priority="63" operator="equal">
      <formula>0</formula>
    </cfRule>
    <cfRule type="cellIs" dxfId="177" priority="64" operator="lessThan">
      <formula>0</formula>
    </cfRule>
  </conditionalFormatting>
  <conditionalFormatting sqref="AK7">
    <cfRule type="cellIs" dxfId="176" priority="61" operator="equal">
      <formula>0</formula>
    </cfRule>
    <cfRule type="cellIs" dxfId="175" priority="62" operator="lessThan">
      <formula>0</formula>
    </cfRule>
  </conditionalFormatting>
  <conditionalFormatting sqref="AS5">
    <cfRule type="cellIs" dxfId="174" priority="59" operator="equal">
      <formula>0</formula>
    </cfRule>
    <cfRule type="cellIs" dxfId="173" priority="60" operator="lessThan">
      <formula>0</formula>
    </cfRule>
  </conditionalFormatting>
  <conditionalFormatting sqref="AT5">
    <cfRule type="cellIs" dxfId="172" priority="57" operator="equal">
      <formula>0</formula>
    </cfRule>
    <cfRule type="cellIs" dxfId="171" priority="58" operator="lessThan">
      <formula>0</formula>
    </cfRule>
  </conditionalFormatting>
  <conditionalFormatting sqref="AR5">
    <cfRule type="cellIs" dxfId="170" priority="55" operator="equal">
      <formula>0</formula>
    </cfRule>
    <cfRule type="cellIs" dxfId="169" priority="56" operator="lessThan">
      <formula>0</formula>
    </cfRule>
  </conditionalFormatting>
  <conditionalFormatting sqref="AS7">
    <cfRule type="cellIs" dxfId="168" priority="53" operator="equal">
      <formula>0</formula>
    </cfRule>
    <cfRule type="cellIs" dxfId="167" priority="54" operator="lessThan">
      <formula>0</formula>
    </cfRule>
  </conditionalFormatting>
  <conditionalFormatting sqref="AT7">
    <cfRule type="cellIs" dxfId="166" priority="51" operator="equal">
      <formula>0</formula>
    </cfRule>
    <cfRule type="cellIs" dxfId="165" priority="52" operator="lessThan">
      <formula>0</formula>
    </cfRule>
  </conditionalFormatting>
  <conditionalFormatting sqref="AR7">
    <cfRule type="cellIs" dxfId="164" priority="49" operator="equal">
      <formula>0</formula>
    </cfRule>
    <cfRule type="cellIs" dxfId="163" priority="50" operator="lessThan">
      <formula>0</formula>
    </cfRule>
  </conditionalFormatting>
  <conditionalFormatting sqref="AZ5">
    <cfRule type="cellIs" dxfId="162" priority="47" operator="equal">
      <formula>0</formula>
    </cfRule>
    <cfRule type="cellIs" dxfId="161" priority="48" operator="lessThan">
      <formula>0</formula>
    </cfRule>
  </conditionalFormatting>
  <conditionalFormatting sqref="BA5">
    <cfRule type="cellIs" dxfId="160" priority="45" operator="equal">
      <formula>0</formula>
    </cfRule>
    <cfRule type="cellIs" dxfId="159" priority="46" operator="lessThan">
      <formula>0</formula>
    </cfRule>
  </conditionalFormatting>
  <conditionalFormatting sqref="AY5">
    <cfRule type="cellIs" dxfId="158" priority="43" operator="equal">
      <formula>0</formula>
    </cfRule>
    <cfRule type="cellIs" dxfId="157" priority="44" operator="lessThan">
      <formula>0</formula>
    </cfRule>
  </conditionalFormatting>
  <conditionalFormatting sqref="AZ7">
    <cfRule type="cellIs" dxfId="156" priority="41" operator="equal">
      <formula>0</formula>
    </cfRule>
    <cfRule type="cellIs" dxfId="155" priority="42" operator="lessThan">
      <formula>0</formula>
    </cfRule>
  </conditionalFormatting>
  <conditionalFormatting sqref="AY7">
    <cfRule type="cellIs" dxfId="154" priority="39" operator="equal">
      <formula>0</formula>
    </cfRule>
    <cfRule type="cellIs" dxfId="153" priority="40" operator="lessThan">
      <formula>0</formula>
    </cfRule>
  </conditionalFormatting>
  <conditionalFormatting sqref="BA7">
    <cfRule type="cellIs" dxfId="152" priority="37" operator="equal">
      <formula>0</formula>
    </cfRule>
    <cfRule type="cellIs" dxfId="151" priority="38" operator="lessThan">
      <formula>0</formula>
    </cfRule>
  </conditionalFormatting>
  <conditionalFormatting sqref="BG5">
    <cfRule type="cellIs" dxfId="150" priority="35" operator="equal">
      <formula>0</formula>
    </cfRule>
    <cfRule type="cellIs" dxfId="149" priority="36" operator="lessThan">
      <formula>0</formula>
    </cfRule>
  </conditionalFormatting>
  <conditionalFormatting sqref="BF5">
    <cfRule type="cellIs" dxfId="148" priority="33" operator="equal">
      <formula>0</formula>
    </cfRule>
    <cfRule type="cellIs" dxfId="147" priority="34" operator="lessThan">
      <formula>0</formula>
    </cfRule>
  </conditionalFormatting>
  <conditionalFormatting sqref="BH5">
    <cfRule type="cellIs" dxfId="146" priority="31" operator="equal">
      <formula>0</formula>
    </cfRule>
    <cfRule type="cellIs" dxfId="145" priority="32" operator="lessThan">
      <formula>0</formula>
    </cfRule>
  </conditionalFormatting>
  <conditionalFormatting sqref="BG7">
    <cfRule type="cellIs" dxfId="144" priority="29" operator="equal">
      <formula>0</formula>
    </cfRule>
    <cfRule type="cellIs" dxfId="143" priority="30" operator="lessThan">
      <formula>0</formula>
    </cfRule>
  </conditionalFormatting>
  <conditionalFormatting sqref="BF7">
    <cfRule type="cellIs" dxfId="142" priority="27" operator="equal">
      <formula>0</formula>
    </cfRule>
    <cfRule type="cellIs" dxfId="141" priority="28" operator="lessThan">
      <formula>0</formula>
    </cfRule>
  </conditionalFormatting>
  <conditionalFormatting sqref="BH7">
    <cfRule type="cellIs" dxfId="140" priority="25" operator="equal">
      <formula>0</formula>
    </cfRule>
    <cfRule type="cellIs" dxfId="139" priority="26" operator="lessThan">
      <formula>0</formula>
    </cfRule>
  </conditionalFormatting>
  <conditionalFormatting sqref="BN5">
    <cfRule type="cellIs" dxfId="138" priority="23" operator="equal">
      <formula>0</formula>
    </cfRule>
    <cfRule type="cellIs" dxfId="137" priority="24" operator="lessThan">
      <formula>0</formula>
    </cfRule>
  </conditionalFormatting>
  <conditionalFormatting sqref="BM5">
    <cfRule type="cellIs" dxfId="136" priority="21" operator="equal">
      <formula>0</formula>
    </cfRule>
    <cfRule type="cellIs" dxfId="135" priority="22" operator="lessThan">
      <formula>0</formula>
    </cfRule>
  </conditionalFormatting>
  <conditionalFormatting sqref="BO5">
    <cfRule type="cellIs" dxfId="134" priority="19" operator="equal">
      <formula>0</formula>
    </cfRule>
    <cfRule type="cellIs" dxfId="133" priority="20" operator="lessThan">
      <formula>0</formula>
    </cfRule>
  </conditionalFormatting>
  <conditionalFormatting sqref="BN7">
    <cfRule type="cellIs" dxfId="132" priority="17" operator="equal">
      <formula>0</formula>
    </cfRule>
    <cfRule type="cellIs" dxfId="131" priority="18" operator="lessThan">
      <formula>0</formula>
    </cfRule>
  </conditionalFormatting>
  <conditionalFormatting sqref="BM7">
    <cfRule type="cellIs" dxfId="130" priority="15" operator="equal">
      <formula>0</formula>
    </cfRule>
    <cfRule type="cellIs" dxfId="129" priority="16" operator="lessThan">
      <formula>0</formula>
    </cfRule>
  </conditionalFormatting>
  <conditionalFormatting sqref="BO7">
    <cfRule type="cellIs" dxfId="128" priority="13" operator="equal">
      <formula>0</formula>
    </cfRule>
    <cfRule type="cellIs" dxfId="127" priority="14" operator="lessThan">
      <formula>0</formula>
    </cfRule>
  </conditionalFormatting>
  <conditionalFormatting sqref="BU5">
    <cfRule type="cellIs" dxfId="126" priority="11" operator="equal">
      <formula>0</formula>
    </cfRule>
    <cfRule type="cellIs" dxfId="125" priority="12" operator="lessThan">
      <formula>0</formula>
    </cfRule>
  </conditionalFormatting>
  <conditionalFormatting sqref="BT5">
    <cfRule type="cellIs" dxfId="124" priority="9" operator="equal">
      <formula>0</formula>
    </cfRule>
    <cfRule type="cellIs" dxfId="123" priority="10" operator="lessThan">
      <formula>0</formula>
    </cfRule>
  </conditionalFormatting>
  <conditionalFormatting sqref="BV5">
    <cfRule type="cellIs" dxfId="122" priority="7" operator="equal">
      <formula>0</formula>
    </cfRule>
    <cfRule type="cellIs" dxfId="121" priority="8" operator="lessThan">
      <formula>0</formula>
    </cfRule>
  </conditionalFormatting>
  <conditionalFormatting sqref="BU7">
    <cfRule type="cellIs" dxfId="120" priority="5" operator="equal">
      <formula>0</formula>
    </cfRule>
    <cfRule type="cellIs" dxfId="119" priority="6" operator="lessThan">
      <formula>0</formula>
    </cfRule>
  </conditionalFormatting>
  <conditionalFormatting sqref="BT7">
    <cfRule type="cellIs" dxfId="118" priority="3" operator="equal">
      <formula>0</formula>
    </cfRule>
    <cfRule type="cellIs" dxfId="117" priority="4" operator="lessThan">
      <formula>0</formula>
    </cfRule>
  </conditionalFormatting>
  <conditionalFormatting sqref="BV7">
    <cfRule type="cellIs" dxfId="116" priority="1" operator="equal">
      <formula>0</formula>
    </cfRule>
    <cfRule type="cellIs" dxfId="115" priority="2" operator="lessThan">
      <formula>0</formula>
    </cfRule>
  </conditionalFormatting>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94">
    <tabColor rgb="FF0000FF"/>
    <pageSetUpPr fitToPage="1"/>
  </sheetPr>
  <dimension ref="A1:L61"/>
  <sheetViews>
    <sheetView rightToLeft="1" view="pageBreakPreview" zoomScale="60" zoomScaleNormal="100" workbookViewId="0">
      <selection activeCell="H11" sqref="H11"/>
    </sheetView>
  </sheetViews>
  <sheetFormatPr defaultColWidth="9" defaultRowHeight="15"/>
  <cols>
    <col min="1" max="1" width="12.5703125" style="1047" customWidth="1"/>
    <col min="2" max="2" width="13.85546875" style="1047" bestFit="1" customWidth="1"/>
    <col min="3" max="9" width="11.7109375" style="1047" customWidth="1"/>
    <col min="10" max="10" width="3.7109375" style="1047" customWidth="1"/>
    <col min="11" max="11" width="11.7109375" style="1047" customWidth="1"/>
    <col min="12" max="12" width="3.7109375" style="1047" customWidth="1"/>
    <col min="13" max="15" width="12" style="1047" bestFit="1" customWidth="1"/>
    <col min="16" max="16" width="7" style="1047" bestFit="1" customWidth="1"/>
    <col min="17" max="17" width="12" style="1047" bestFit="1" customWidth="1"/>
    <col min="18" max="16384" width="9" style="1047"/>
  </cols>
  <sheetData>
    <row r="1" spans="1:12" s="5" customFormat="1" ht="24" customHeight="1">
      <c r="A1" s="2685" t="str">
        <f>روکش!D4</f>
        <v>انبارهای عمومی و خدمات گمرکی ایران</v>
      </c>
      <c r="B1" s="2685"/>
      <c r="C1" s="2685"/>
      <c r="D1" s="2685"/>
      <c r="E1" s="2685"/>
      <c r="F1" s="2685"/>
      <c r="G1" s="2685"/>
      <c r="H1" s="2685"/>
      <c r="I1" s="2685"/>
      <c r="J1" s="2685"/>
      <c r="K1" s="2685"/>
      <c r="L1" s="2685"/>
    </row>
    <row r="2" spans="1:12" s="5" customFormat="1" ht="28.5" customHeight="1" thickBot="1">
      <c r="A2" s="1206" t="str">
        <f>"خلاصه وضعیت پروازی ناوگان در دوره " &amp; روکش!F9 &amp; " سال " &amp; روکش!D9</f>
        <v>خلاصه وضعیت پروازی ناوگان در دوره شش ماهه سال 1405</v>
      </c>
      <c r="B2" s="1205"/>
      <c r="C2" s="1206"/>
      <c r="D2" s="1205"/>
      <c r="E2" s="1205"/>
      <c r="F2" s="1205"/>
      <c r="G2" s="1202"/>
      <c r="H2" s="1202"/>
      <c r="I2" s="1202"/>
      <c r="J2" s="1202"/>
      <c r="K2" s="1202"/>
      <c r="L2" s="1202"/>
    </row>
    <row r="3" spans="1:12" ht="33.75" customHeight="1">
      <c r="A3" s="3301" t="s">
        <v>603</v>
      </c>
      <c r="B3" s="3304" t="s">
        <v>616</v>
      </c>
      <c r="C3" s="3307" t="s">
        <v>683</v>
      </c>
      <c r="D3" s="3308"/>
      <c r="E3" s="3311" t="s">
        <v>642</v>
      </c>
      <c r="F3" s="3312"/>
      <c r="G3" s="3312"/>
      <c r="H3" s="3312"/>
      <c r="I3" s="3312"/>
      <c r="J3" s="3312"/>
      <c r="K3" s="3312"/>
      <c r="L3" s="3313"/>
    </row>
    <row r="4" spans="1:12" ht="33.75" customHeight="1">
      <c r="A4" s="3302"/>
      <c r="B4" s="3305"/>
      <c r="C4" s="3309"/>
      <c r="D4" s="3310"/>
      <c r="E4" s="3299" t="s">
        <v>53</v>
      </c>
      <c r="F4" s="3300"/>
      <c r="G4" s="3300" t="s">
        <v>216</v>
      </c>
      <c r="H4" s="3300"/>
      <c r="I4" s="3314" t="s">
        <v>641</v>
      </c>
      <c r="J4" s="3315"/>
      <c r="K4" s="3315"/>
      <c r="L4" s="3316"/>
    </row>
    <row r="5" spans="1:12" s="1048" customFormat="1" ht="21.75" thickBot="1">
      <c r="A5" s="3303"/>
      <c r="B5" s="3306"/>
      <c r="C5" s="1953" t="s">
        <v>602</v>
      </c>
      <c r="D5" s="1942" t="s">
        <v>604</v>
      </c>
      <c r="E5" s="1953" t="s">
        <v>602</v>
      </c>
      <c r="F5" s="1941" t="s">
        <v>604</v>
      </c>
      <c r="G5" s="1941" t="s">
        <v>602</v>
      </c>
      <c r="H5" s="1941" t="s">
        <v>604</v>
      </c>
      <c r="I5" s="3317" t="s">
        <v>602</v>
      </c>
      <c r="J5" s="3318"/>
      <c r="K5" s="3317" t="s">
        <v>604</v>
      </c>
      <c r="L5" s="3319"/>
    </row>
    <row r="6" spans="1:12" ht="26.25" customHeight="1">
      <c r="A6" s="1948">
        <f ca="1">IF(ROW()-ROW($A$6)&lt;'الف-ب-ج'!$L$9,INDIRECT("BudgetDB!IO"&amp;('الف-ب-ج'!$M$9+ROW()-ROW($A$6))),"")</f>
        <v>0</v>
      </c>
      <c r="B6" s="2058">
        <f ca="1">IF(ROW()-ROW($A$6)&lt;'الف-ب-ج'!$L$9,INDIRECT("BudgetDB!IP"&amp;('الف-ب-ج'!$M$9+ROW()-ROW($A$6))),"")</f>
        <v>0</v>
      </c>
      <c r="C6" s="1954"/>
      <c r="D6" s="1955"/>
      <c r="E6" s="1950" cm="1">
        <f t="array" aca="1" ref="E6" ca="1">IF(ROW()-ROW($A$6)&lt;'الف-ب-ج'!$L$9,IF(روکش!$F$9="سه ماهه",INDIRECT("BudgetDB!IQ"&amp;('الف-ب-ج'!$M$9+ROW()-ROW($A$6))),INDIRECT("BudgetDB!IS"&amp;('الف-ب-ج'!$M$9+ROW()-ROW($A$6)))),"")</f>
        <v>0</v>
      </c>
      <c r="F6" s="1946" cm="1">
        <f t="array" aca="1" ref="F6" ca="1">IF(ROW()-ROW($A$6)&lt;'الف-ب-ج'!$L$9,IF(روکش!$F$9="سه ماهه",INDIRECT("BudgetDB!IR"&amp;('الف-ب-ج'!$M$9+ROW()-ROW($A$6))),INDIRECT("BudgetDB!IT"&amp;('الف-ب-ج'!$M$9+ROW()-ROW($A$6)))),"")</f>
        <v>0</v>
      </c>
      <c r="G6" s="284"/>
      <c r="H6" s="284"/>
      <c r="I6" s="2300" t="str">
        <f ca="1">IFERROR(G6*100/E6,"-")</f>
        <v>-</v>
      </c>
      <c r="J6" s="2302">
        <f t="shared" ref="J6:J37" ca="1" si="0">IFERROR(ABS(I6-100),500)</f>
        <v>500</v>
      </c>
      <c r="K6" s="2300" t="str">
        <f ca="1">IFERROR(H6*100/F6,"-")</f>
        <v>-</v>
      </c>
      <c r="L6" s="2302">
        <f t="shared" ref="L6:L37" ca="1" si="1">IFERROR(ABS(K6-100),500)</f>
        <v>500</v>
      </c>
    </row>
    <row r="7" spans="1:12" ht="26.25" customHeight="1">
      <c r="A7" s="1948">
        <f ca="1">IF(ROW()-ROW($A$6)&lt;'الف-ب-ج'!$L$9,INDIRECT("BudgetDB!IO"&amp;('الف-ب-ج'!$M$9+ROW()-ROW($A$6))),"")</f>
        <v>0</v>
      </c>
      <c r="B7" s="2058">
        <f ca="1">IF(ROW()-ROW($A$6)&lt;'الف-ب-ج'!$L$9,INDIRECT("BudgetDB!IP"&amp;('الف-ب-ج'!$M$9+ROW()-ROW($A$6))),"")</f>
        <v>0</v>
      </c>
      <c r="C7" s="1956"/>
      <c r="D7" s="1957"/>
      <c r="E7" s="1951" cm="1">
        <f t="array" aca="1" ref="E7" ca="1">IF(ROW()-ROW($A$6)&lt;'الف-ب-ج'!$L$9,IF(روکش!$F$9="سه ماهه",INDIRECT("BudgetDB!IQ"&amp;('الف-ب-ج'!$M$9+ROW()-ROW($A$6))),INDIRECT("BudgetDB!IS"&amp;('الف-ب-ج'!$M$9+ROW()-ROW($A$6)))),"")</f>
        <v>0</v>
      </c>
      <c r="F7" s="1947" cm="1">
        <f t="array" aca="1" ref="F7" ca="1">IF(ROW()-ROW($A$6)&lt;'الف-ب-ج'!$L$9,IF(روکش!$F$9="سه ماهه",INDIRECT("BudgetDB!IR"&amp;('الف-ب-ج'!$M$9+ROW()-ROW($A$6))),INDIRECT("BudgetDB!IT"&amp;('الف-ب-ج'!$M$9+ROW()-ROW($A$6)))),"")</f>
        <v>0</v>
      </c>
      <c r="G7" s="285"/>
      <c r="H7" s="285"/>
      <c r="I7" s="2301" t="str">
        <f t="shared" ref="I7:I60" ca="1" si="2">IFERROR(G7*100/E7,"-")</f>
        <v>-</v>
      </c>
      <c r="J7" s="2303">
        <f t="shared" ca="1" si="0"/>
        <v>500</v>
      </c>
      <c r="K7" s="2301" t="str">
        <f t="shared" ref="K7:K60" ca="1" si="3">IFERROR(H7*100/F7,"-")</f>
        <v>-</v>
      </c>
      <c r="L7" s="2303">
        <f t="shared" ca="1" si="1"/>
        <v>500</v>
      </c>
    </row>
    <row r="8" spans="1:12" ht="26.25" customHeight="1">
      <c r="A8" s="1948">
        <f ca="1">IF(ROW()-ROW($A$6)&lt;'الف-ب-ج'!$L$9,INDIRECT("BudgetDB!IO"&amp;('الف-ب-ج'!$M$9+ROW()-ROW($A$6))),"")</f>
        <v>0</v>
      </c>
      <c r="B8" s="2058">
        <f ca="1">IF(ROW()-ROW($A$6)&lt;'الف-ب-ج'!$L$9,INDIRECT("BudgetDB!IP"&amp;('الف-ب-ج'!$M$9+ROW()-ROW($A$6))),"")</f>
        <v>0</v>
      </c>
      <c r="C8" s="1956"/>
      <c r="D8" s="1957"/>
      <c r="E8" s="1951" cm="1">
        <f t="array" aca="1" ref="E8" ca="1">IF(ROW()-ROW($A$6)&lt;'الف-ب-ج'!$L$9,IF(روکش!$F$9="سه ماهه",INDIRECT("BudgetDB!IQ"&amp;('الف-ب-ج'!$M$9+ROW()-ROW($A$6))),INDIRECT("BudgetDB!IS"&amp;('الف-ب-ج'!$M$9+ROW()-ROW($A$6)))),"")</f>
        <v>0</v>
      </c>
      <c r="F8" s="1947" cm="1">
        <f t="array" aca="1" ref="F8" ca="1">IF(ROW()-ROW($A$6)&lt;'الف-ب-ج'!$L$9,IF(روکش!$F$9="سه ماهه",INDIRECT("BudgetDB!IR"&amp;('الف-ب-ج'!$M$9+ROW()-ROW($A$6))),INDIRECT("BudgetDB!IT"&amp;('الف-ب-ج'!$M$9+ROW()-ROW($A$6)))),"")</f>
        <v>0</v>
      </c>
      <c r="G8" s="285"/>
      <c r="H8" s="285"/>
      <c r="I8" s="2301" t="str">
        <f t="shared" ca="1" si="2"/>
        <v>-</v>
      </c>
      <c r="J8" s="2303">
        <f t="shared" ca="1" si="0"/>
        <v>500</v>
      </c>
      <c r="K8" s="2301" t="str">
        <f t="shared" ca="1" si="3"/>
        <v>-</v>
      </c>
      <c r="L8" s="2303">
        <f t="shared" ca="1" si="1"/>
        <v>500</v>
      </c>
    </row>
    <row r="9" spans="1:12" ht="26.25" customHeight="1">
      <c r="A9" s="1948">
        <f ca="1">IF(ROW()-ROW($A$6)&lt;'الف-ب-ج'!$L$9,INDIRECT("BudgetDB!IO"&amp;('الف-ب-ج'!$M$9+ROW()-ROW($A$6))),"")</f>
        <v>0</v>
      </c>
      <c r="B9" s="2058">
        <f ca="1">IF(ROW()-ROW($A$6)&lt;'الف-ب-ج'!$L$9,INDIRECT("BudgetDB!IP"&amp;('الف-ب-ج'!$M$9+ROW()-ROW($A$6))),"")</f>
        <v>0</v>
      </c>
      <c r="C9" s="1956"/>
      <c r="D9" s="1957"/>
      <c r="E9" s="1951" cm="1">
        <f t="array" aca="1" ref="E9" ca="1">IF(ROW()-ROW($A$6)&lt;'الف-ب-ج'!$L$9,IF(روکش!$F$9="سه ماهه",INDIRECT("BudgetDB!IQ"&amp;('الف-ب-ج'!$M$9+ROW()-ROW($A$6))),INDIRECT("BudgetDB!IS"&amp;('الف-ب-ج'!$M$9+ROW()-ROW($A$6)))),"")</f>
        <v>0</v>
      </c>
      <c r="F9" s="1947" cm="1">
        <f t="array" aca="1" ref="F9" ca="1">IF(ROW()-ROW($A$6)&lt;'الف-ب-ج'!$L$9,IF(روکش!$F$9="سه ماهه",INDIRECT("BudgetDB!IR"&amp;('الف-ب-ج'!$M$9+ROW()-ROW($A$6))),INDIRECT("BudgetDB!IT"&amp;('الف-ب-ج'!$M$9+ROW()-ROW($A$6)))),"")</f>
        <v>0</v>
      </c>
      <c r="G9" s="285"/>
      <c r="H9" s="285"/>
      <c r="I9" s="2301" t="str">
        <f t="shared" ca="1" si="2"/>
        <v>-</v>
      </c>
      <c r="J9" s="2303">
        <f t="shared" ca="1" si="0"/>
        <v>500</v>
      </c>
      <c r="K9" s="2301" t="str">
        <f t="shared" ca="1" si="3"/>
        <v>-</v>
      </c>
      <c r="L9" s="2303">
        <f t="shared" ca="1" si="1"/>
        <v>500</v>
      </c>
    </row>
    <row r="10" spans="1:12" ht="26.25" customHeight="1">
      <c r="A10" s="1948">
        <f ca="1">IF(ROW()-ROW($A$6)&lt;'الف-ب-ج'!$L$9,INDIRECT("BudgetDB!IO"&amp;('الف-ب-ج'!$M$9+ROW()-ROW($A$6))),"")</f>
        <v>0</v>
      </c>
      <c r="B10" s="2058">
        <f ca="1">IF(ROW()-ROW($A$6)&lt;'الف-ب-ج'!$L$9,INDIRECT("BudgetDB!IP"&amp;('الف-ب-ج'!$M$9+ROW()-ROW($A$6))),"")</f>
        <v>0</v>
      </c>
      <c r="C10" s="1956"/>
      <c r="D10" s="1957"/>
      <c r="E10" s="1951" cm="1">
        <f t="array" aca="1" ref="E10" ca="1">IF(ROW()-ROW($A$6)&lt;'الف-ب-ج'!$L$9,IF(روکش!$F$9="سه ماهه",INDIRECT("BudgetDB!IQ"&amp;('الف-ب-ج'!$M$9+ROW()-ROW($A$6))),INDIRECT("BudgetDB!IS"&amp;('الف-ب-ج'!$M$9+ROW()-ROW($A$6)))),"")</f>
        <v>0</v>
      </c>
      <c r="F10" s="1947" cm="1">
        <f t="array" aca="1" ref="F10" ca="1">IF(ROW()-ROW($A$6)&lt;'الف-ب-ج'!$L$9,IF(روکش!$F$9="سه ماهه",INDIRECT("BudgetDB!IR"&amp;('الف-ب-ج'!$M$9+ROW()-ROW($A$6))),INDIRECT("BudgetDB!IT"&amp;('الف-ب-ج'!$M$9+ROW()-ROW($A$6)))),"")</f>
        <v>0</v>
      </c>
      <c r="G10" s="285"/>
      <c r="H10" s="285"/>
      <c r="I10" s="2301" t="str">
        <f t="shared" ca="1" si="2"/>
        <v>-</v>
      </c>
      <c r="J10" s="2303">
        <f t="shared" ca="1" si="0"/>
        <v>500</v>
      </c>
      <c r="K10" s="2301" t="str">
        <f t="shared" ca="1" si="3"/>
        <v>-</v>
      </c>
      <c r="L10" s="2303">
        <f t="shared" ca="1" si="1"/>
        <v>500</v>
      </c>
    </row>
    <row r="11" spans="1:12" ht="26.25" customHeight="1">
      <c r="A11" s="1948">
        <f ca="1">IF(ROW()-ROW($A$6)&lt;'الف-ب-ج'!$L$9,INDIRECT("BudgetDB!IO"&amp;('الف-ب-ج'!$M$9+ROW()-ROW($A$6))),"")</f>
        <v>0</v>
      </c>
      <c r="B11" s="2058">
        <f ca="1">IF(ROW()-ROW($A$6)&lt;'الف-ب-ج'!$L$9,INDIRECT("BudgetDB!IP"&amp;('الف-ب-ج'!$M$9+ROW()-ROW($A$6))),"")</f>
        <v>0</v>
      </c>
      <c r="C11" s="1956"/>
      <c r="D11" s="1957"/>
      <c r="E11" s="1951" cm="1">
        <f t="array" aca="1" ref="E11" ca="1">IF(ROW()-ROW($A$6)&lt;'الف-ب-ج'!$L$9,IF(روکش!$F$9="سه ماهه",INDIRECT("BudgetDB!IQ"&amp;('الف-ب-ج'!$M$9+ROW()-ROW($A$6))),INDIRECT("BudgetDB!IS"&amp;('الف-ب-ج'!$M$9+ROW()-ROW($A$6)))),"")</f>
        <v>0</v>
      </c>
      <c r="F11" s="1947" cm="1">
        <f t="array" aca="1" ref="F11" ca="1">IF(ROW()-ROW($A$6)&lt;'الف-ب-ج'!$L$9,IF(روکش!$F$9="سه ماهه",INDIRECT("BudgetDB!IR"&amp;('الف-ب-ج'!$M$9+ROW()-ROW($A$6))),INDIRECT("BudgetDB!IT"&amp;('الف-ب-ج'!$M$9+ROW()-ROW($A$6)))),"")</f>
        <v>0</v>
      </c>
      <c r="G11" s="285"/>
      <c r="H11" s="285"/>
      <c r="I11" s="2301" t="str">
        <f t="shared" ca="1" si="2"/>
        <v>-</v>
      </c>
      <c r="J11" s="2303">
        <f t="shared" ca="1" si="0"/>
        <v>500</v>
      </c>
      <c r="K11" s="2301" t="str">
        <f t="shared" ca="1" si="3"/>
        <v>-</v>
      </c>
      <c r="L11" s="2303">
        <f t="shared" ca="1" si="1"/>
        <v>500</v>
      </c>
    </row>
    <row r="12" spans="1:12" ht="26.25" customHeight="1">
      <c r="A12" s="1948">
        <f ca="1">IF(ROW()-ROW($A$6)&lt;'الف-ب-ج'!$L$9,INDIRECT("BudgetDB!IO"&amp;('الف-ب-ج'!$M$9+ROW()-ROW($A$6))),"")</f>
        <v>0</v>
      </c>
      <c r="B12" s="2058">
        <f ca="1">IF(ROW()-ROW($A$6)&lt;'الف-ب-ج'!$L$9,INDIRECT("BudgetDB!IP"&amp;('الف-ب-ج'!$M$9+ROW()-ROW($A$6))),"")</f>
        <v>0</v>
      </c>
      <c r="C12" s="1956"/>
      <c r="D12" s="1957"/>
      <c r="E12" s="1951" cm="1">
        <f t="array" aca="1" ref="E12" ca="1">IF(ROW()-ROW($A$6)&lt;'الف-ب-ج'!$L$9,IF(روکش!$F$9="سه ماهه",INDIRECT("BudgetDB!IQ"&amp;('الف-ب-ج'!$M$9+ROW()-ROW($A$6))),INDIRECT("BudgetDB!IS"&amp;('الف-ب-ج'!$M$9+ROW()-ROW($A$6)))),"")</f>
        <v>0</v>
      </c>
      <c r="F12" s="1947" cm="1">
        <f t="array" aca="1" ref="F12" ca="1">IF(ROW()-ROW($A$6)&lt;'الف-ب-ج'!$L$9,IF(روکش!$F$9="سه ماهه",INDIRECT("BudgetDB!IR"&amp;('الف-ب-ج'!$M$9+ROW()-ROW($A$6))),INDIRECT("BudgetDB!IT"&amp;('الف-ب-ج'!$M$9+ROW()-ROW($A$6)))),"")</f>
        <v>0</v>
      </c>
      <c r="G12" s="285"/>
      <c r="H12" s="285"/>
      <c r="I12" s="2301" t="str">
        <f t="shared" ca="1" si="2"/>
        <v>-</v>
      </c>
      <c r="J12" s="2303">
        <f t="shared" ca="1" si="0"/>
        <v>500</v>
      </c>
      <c r="K12" s="2301" t="str">
        <f t="shared" ca="1" si="3"/>
        <v>-</v>
      </c>
      <c r="L12" s="2303">
        <f t="shared" ca="1" si="1"/>
        <v>500</v>
      </c>
    </row>
    <row r="13" spans="1:12" ht="26.25" customHeight="1">
      <c r="A13" s="1948">
        <f ca="1">IF(ROW()-ROW($A$6)&lt;'الف-ب-ج'!$L$9,INDIRECT("BudgetDB!IO"&amp;('الف-ب-ج'!$M$9+ROW()-ROW($A$6))),"")</f>
        <v>0</v>
      </c>
      <c r="B13" s="2058">
        <f ca="1">IF(ROW()-ROW($A$6)&lt;'الف-ب-ج'!$L$9,INDIRECT("BudgetDB!IP"&amp;('الف-ب-ج'!$M$9+ROW()-ROW($A$6))),"")</f>
        <v>0</v>
      </c>
      <c r="C13" s="1956"/>
      <c r="D13" s="1957"/>
      <c r="E13" s="1951" cm="1">
        <f t="array" aca="1" ref="E13" ca="1">IF(ROW()-ROW($A$6)&lt;'الف-ب-ج'!$L$9,IF(روکش!$F$9="سه ماهه",INDIRECT("BudgetDB!IQ"&amp;('الف-ب-ج'!$M$9+ROW()-ROW($A$6))),INDIRECT("BudgetDB!IS"&amp;('الف-ب-ج'!$M$9+ROW()-ROW($A$6)))),"")</f>
        <v>0</v>
      </c>
      <c r="F13" s="1947" cm="1">
        <f t="array" aca="1" ref="F13" ca="1">IF(ROW()-ROW($A$6)&lt;'الف-ب-ج'!$L$9,IF(روکش!$F$9="سه ماهه",INDIRECT("BudgetDB!IR"&amp;('الف-ب-ج'!$M$9+ROW()-ROW($A$6))),INDIRECT("BudgetDB!IT"&amp;('الف-ب-ج'!$M$9+ROW()-ROW($A$6)))),"")</f>
        <v>0</v>
      </c>
      <c r="G13" s="285"/>
      <c r="H13" s="285"/>
      <c r="I13" s="2301" t="str">
        <f t="shared" ca="1" si="2"/>
        <v>-</v>
      </c>
      <c r="J13" s="2303">
        <f t="shared" ca="1" si="0"/>
        <v>500</v>
      </c>
      <c r="K13" s="2301" t="str">
        <f t="shared" ca="1" si="3"/>
        <v>-</v>
      </c>
      <c r="L13" s="2303">
        <f t="shared" ca="1" si="1"/>
        <v>500</v>
      </c>
    </row>
    <row r="14" spans="1:12" ht="26.25" customHeight="1">
      <c r="A14" s="1948">
        <f ca="1">IF(ROW()-ROW($A$6)&lt;'الف-ب-ج'!$L$9,INDIRECT("BudgetDB!IO"&amp;('الف-ب-ج'!$M$9+ROW()-ROW($A$6))),"")</f>
        <v>0</v>
      </c>
      <c r="B14" s="2058">
        <f ca="1">IF(ROW()-ROW($A$6)&lt;'الف-ب-ج'!$L$9,INDIRECT("BudgetDB!IP"&amp;('الف-ب-ج'!$M$9+ROW()-ROW($A$6))),"")</f>
        <v>0</v>
      </c>
      <c r="C14" s="1956"/>
      <c r="D14" s="1957"/>
      <c r="E14" s="1951" cm="1">
        <f t="array" aca="1" ref="E14" ca="1">IF(ROW()-ROW($A$6)&lt;'الف-ب-ج'!$L$9,IF(روکش!$F$9="سه ماهه",INDIRECT("BudgetDB!IQ"&amp;('الف-ب-ج'!$M$9+ROW()-ROW($A$6))),INDIRECT("BudgetDB!IS"&amp;('الف-ب-ج'!$M$9+ROW()-ROW($A$6)))),"")</f>
        <v>0</v>
      </c>
      <c r="F14" s="1947" cm="1">
        <f t="array" aca="1" ref="F14" ca="1">IF(ROW()-ROW($A$6)&lt;'الف-ب-ج'!$L$9,IF(روکش!$F$9="سه ماهه",INDIRECT("BudgetDB!IR"&amp;('الف-ب-ج'!$M$9+ROW()-ROW($A$6))),INDIRECT("BudgetDB!IT"&amp;('الف-ب-ج'!$M$9+ROW()-ROW($A$6)))),"")</f>
        <v>0</v>
      </c>
      <c r="G14" s="285"/>
      <c r="H14" s="285"/>
      <c r="I14" s="2301" t="str">
        <f t="shared" ca="1" si="2"/>
        <v>-</v>
      </c>
      <c r="J14" s="2303">
        <f t="shared" ca="1" si="0"/>
        <v>500</v>
      </c>
      <c r="K14" s="2301" t="str">
        <f t="shared" ca="1" si="3"/>
        <v>-</v>
      </c>
      <c r="L14" s="2303">
        <f t="shared" ca="1" si="1"/>
        <v>500</v>
      </c>
    </row>
    <row r="15" spans="1:12" ht="26.25" customHeight="1">
      <c r="A15" s="1948">
        <f ca="1">IF(ROW()-ROW($A$6)&lt;'الف-ب-ج'!$L$9,INDIRECT("BudgetDB!IO"&amp;('الف-ب-ج'!$M$9+ROW()-ROW($A$6))),"")</f>
        <v>0</v>
      </c>
      <c r="B15" s="2058">
        <f ca="1">IF(ROW()-ROW($A$6)&lt;'الف-ب-ج'!$L$9,INDIRECT("BudgetDB!IP"&amp;('الف-ب-ج'!$M$9+ROW()-ROW($A$6))),"")</f>
        <v>0</v>
      </c>
      <c r="C15" s="1956"/>
      <c r="D15" s="1957"/>
      <c r="E15" s="1951" cm="1">
        <f t="array" aca="1" ref="E15" ca="1">IF(ROW()-ROW($A$6)&lt;'الف-ب-ج'!$L$9,IF(روکش!$F$9="سه ماهه",INDIRECT("BudgetDB!IQ"&amp;('الف-ب-ج'!$M$9+ROW()-ROW($A$6))),INDIRECT("BudgetDB!IS"&amp;('الف-ب-ج'!$M$9+ROW()-ROW($A$6)))),"")</f>
        <v>0</v>
      </c>
      <c r="F15" s="1947" cm="1">
        <f t="array" aca="1" ref="F15" ca="1">IF(ROW()-ROW($A$6)&lt;'الف-ب-ج'!$L$9,IF(روکش!$F$9="سه ماهه",INDIRECT("BudgetDB!IR"&amp;('الف-ب-ج'!$M$9+ROW()-ROW($A$6))),INDIRECT("BudgetDB!IT"&amp;('الف-ب-ج'!$M$9+ROW()-ROW($A$6)))),"")</f>
        <v>0</v>
      </c>
      <c r="G15" s="285"/>
      <c r="H15" s="285"/>
      <c r="I15" s="2301" t="str">
        <f t="shared" ca="1" si="2"/>
        <v>-</v>
      </c>
      <c r="J15" s="2303">
        <f t="shared" ca="1" si="0"/>
        <v>500</v>
      </c>
      <c r="K15" s="2301" t="str">
        <f t="shared" ca="1" si="3"/>
        <v>-</v>
      </c>
      <c r="L15" s="2303">
        <f t="shared" ca="1" si="1"/>
        <v>500</v>
      </c>
    </row>
    <row r="16" spans="1:12" ht="26.25" customHeight="1">
      <c r="A16" s="1948">
        <f ca="1">IF(ROW()-ROW($A$6)&lt;'الف-ب-ج'!$L$9,INDIRECT("BudgetDB!IO"&amp;('الف-ب-ج'!$M$9+ROW()-ROW($A$6))),"")</f>
        <v>0</v>
      </c>
      <c r="B16" s="2058">
        <f ca="1">IF(ROW()-ROW($A$6)&lt;'الف-ب-ج'!$L$9,INDIRECT("BudgetDB!IP"&amp;('الف-ب-ج'!$M$9+ROW()-ROW($A$6))),"")</f>
        <v>0</v>
      </c>
      <c r="C16" s="1956"/>
      <c r="D16" s="1957"/>
      <c r="E16" s="1951" cm="1">
        <f t="array" aca="1" ref="E16" ca="1">IF(ROW()-ROW($A$6)&lt;'الف-ب-ج'!$L$9,IF(روکش!$F$9="سه ماهه",INDIRECT("BudgetDB!IQ"&amp;('الف-ب-ج'!$M$9+ROW()-ROW($A$6))),INDIRECT("BudgetDB!IS"&amp;('الف-ب-ج'!$M$9+ROW()-ROW($A$6)))),"")</f>
        <v>0</v>
      </c>
      <c r="F16" s="1947" cm="1">
        <f t="array" aca="1" ref="F16" ca="1">IF(ROW()-ROW($A$6)&lt;'الف-ب-ج'!$L$9,IF(روکش!$F$9="سه ماهه",INDIRECT("BudgetDB!IR"&amp;('الف-ب-ج'!$M$9+ROW()-ROW($A$6))),INDIRECT("BudgetDB!IT"&amp;('الف-ب-ج'!$M$9+ROW()-ROW($A$6)))),"")</f>
        <v>0</v>
      </c>
      <c r="G16" s="285"/>
      <c r="H16" s="285"/>
      <c r="I16" s="2301" t="str">
        <f t="shared" ca="1" si="2"/>
        <v>-</v>
      </c>
      <c r="J16" s="2303">
        <f t="shared" ca="1" si="0"/>
        <v>500</v>
      </c>
      <c r="K16" s="2301" t="str">
        <f t="shared" ca="1" si="3"/>
        <v>-</v>
      </c>
      <c r="L16" s="2303">
        <f t="shared" ca="1" si="1"/>
        <v>500</v>
      </c>
    </row>
    <row r="17" spans="1:12" ht="26.25" customHeight="1">
      <c r="A17" s="1948">
        <f ca="1">IF(ROW()-ROW($A$6)&lt;'الف-ب-ج'!$L$9,INDIRECT("BudgetDB!IO"&amp;('الف-ب-ج'!$M$9+ROW()-ROW($A$6))),"")</f>
        <v>0</v>
      </c>
      <c r="B17" s="2058">
        <f ca="1">IF(ROW()-ROW($A$6)&lt;'الف-ب-ج'!$L$9,INDIRECT("BudgetDB!IP"&amp;('الف-ب-ج'!$M$9+ROW()-ROW($A$6))),"")</f>
        <v>0</v>
      </c>
      <c r="C17" s="1956"/>
      <c r="D17" s="1957"/>
      <c r="E17" s="1951" cm="1">
        <f t="array" aca="1" ref="E17" ca="1">IF(ROW()-ROW($A$6)&lt;'الف-ب-ج'!$L$9,IF(روکش!$F$9="سه ماهه",INDIRECT("BudgetDB!IQ"&amp;('الف-ب-ج'!$M$9+ROW()-ROW($A$6))),INDIRECT("BudgetDB!IS"&amp;('الف-ب-ج'!$M$9+ROW()-ROW($A$6)))),"")</f>
        <v>0</v>
      </c>
      <c r="F17" s="1947" cm="1">
        <f t="array" aca="1" ref="F17" ca="1">IF(ROW()-ROW($A$6)&lt;'الف-ب-ج'!$L$9,IF(روکش!$F$9="سه ماهه",INDIRECT("BudgetDB!IR"&amp;('الف-ب-ج'!$M$9+ROW()-ROW($A$6))),INDIRECT("BudgetDB!IT"&amp;('الف-ب-ج'!$M$9+ROW()-ROW($A$6)))),"")</f>
        <v>0</v>
      </c>
      <c r="G17" s="285"/>
      <c r="H17" s="285"/>
      <c r="I17" s="2301" t="str">
        <f t="shared" ca="1" si="2"/>
        <v>-</v>
      </c>
      <c r="J17" s="2303">
        <f t="shared" ca="1" si="0"/>
        <v>500</v>
      </c>
      <c r="K17" s="2301" t="str">
        <f t="shared" ca="1" si="3"/>
        <v>-</v>
      </c>
      <c r="L17" s="2303">
        <f t="shared" ca="1" si="1"/>
        <v>500</v>
      </c>
    </row>
    <row r="18" spans="1:12" ht="26.25" customHeight="1">
      <c r="A18" s="1948">
        <f ca="1">IF(ROW()-ROW($A$6)&lt;'الف-ب-ج'!$L$9,INDIRECT("BudgetDB!IO"&amp;('الف-ب-ج'!$M$9+ROW()-ROW($A$6))),"")</f>
        <v>0</v>
      </c>
      <c r="B18" s="2058">
        <f ca="1">IF(ROW()-ROW($A$6)&lt;'الف-ب-ج'!$L$9,INDIRECT("BudgetDB!IP"&amp;('الف-ب-ج'!$M$9+ROW()-ROW($A$6))),"")</f>
        <v>0</v>
      </c>
      <c r="C18" s="1956"/>
      <c r="D18" s="1957"/>
      <c r="E18" s="1951" cm="1">
        <f t="array" aca="1" ref="E18" ca="1">IF(ROW()-ROW($A$6)&lt;'الف-ب-ج'!$L$9,IF(روکش!$F$9="سه ماهه",INDIRECT("BudgetDB!IQ"&amp;('الف-ب-ج'!$M$9+ROW()-ROW($A$6))),INDIRECT("BudgetDB!IS"&amp;('الف-ب-ج'!$M$9+ROW()-ROW($A$6)))),"")</f>
        <v>0</v>
      </c>
      <c r="F18" s="1947" cm="1">
        <f t="array" aca="1" ref="F18" ca="1">IF(ROW()-ROW($A$6)&lt;'الف-ب-ج'!$L$9,IF(روکش!$F$9="سه ماهه",INDIRECT("BudgetDB!IR"&amp;('الف-ب-ج'!$M$9+ROW()-ROW($A$6))),INDIRECT("BudgetDB!IT"&amp;('الف-ب-ج'!$M$9+ROW()-ROW($A$6)))),"")</f>
        <v>0</v>
      </c>
      <c r="G18" s="285"/>
      <c r="H18" s="285"/>
      <c r="I18" s="2301" t="str">
        <f t="shared" ca="1" si="2"/>
        <v>-</v>
      </c>
      <c r="J18" s="2303">
        <f t="shared" ca="1" si="0"/>
        <v>500</v>
      </c>
      <c r="K18" s="2301" t="str">
        <f t="shared" ca="1" si="3"/>
        <v>-</v>
      </c>
      <c r="L18" s="2303">
        <f t="shared" ca="1" si="1"/>
        <v>500</v>
      </c>
    </row>
    <row r="19" spans="1:12" ht="26.25" customHeight="1">
      <c r="A19" s="1948">
        <f ca="1">IF(ROW()-ROW($A$6)&lt;'الف-ب-ج'!$L$9,INDIRECT("BudgetDB!IO"&amp;('الف-ب-ج'!$M$9+ROW()-ROW($A$6))),"")</f>
        <v>0</v>
      </c>
      <c r="B19" s="2058">
        <f ca="1">IF(ROW()-ROW($A$6)&lt;'الف-ب-ج'!$L$9,INDIRECT("BudgetDB!IP"&amp;('الف-ب-ج'!$M$9+ROW()-ROW($A$6))),"")</f>
        <v>0</v>
      </c>
      <c r="C19" s="1956"/>
      <c r="D19" s="1957"/>
      <c r="E19" s="1951" cm="1">
        <f t="array" aca="1" ref="E19" ca="1">IF(ROW()-ROW($A$6)&lt;'الف-ب-ج'!$L$9,IF(روکش!$F$9="سه ماهه",INDIRECT("BudgetDB!IQ"&amp;('الف-ب-ج'!$M$9+ROW()-ROW($A$6))),INDIRECT("BudgetDB!IS"&amp;('الف-ب-ج'!$M$9+ROW()-ROW($A$6)))),"")</f>
        <v>0</v>
      </c>
      <c r="F19" s="1947" cm="1">
        <f t="array" aca="1" ref="F19" ca="1">IF(ROW()-ROW($A$6)&lt;'الف-ب-ج'!$L$9,IF(روکش!$F$9="سه ماهه",INDIRECT("BudgetDB!IR"&amp;('الف-ب-ج'!$M$9+ROW()-ROW($A$6))),INDIRECT("BudgetDB!IT"&amp;('الف-ب-ج'!$M$9+ROW()-ROW($A$6)))),"")</f>
        <v>0</v>
      </c>
      <c r="G19" s="285"/>
      <c r="H19" s="285"/>
      <c r="I19" s="2301" t="str">
        <f t="shared" ca="1" si="2"/>
        <v>-</v>
      </c>
      <c r="J19" s="2303">
        <f t="shared" ca="1" si="0"/>
        <v>500</v>
      </c>
      <c r="K19" s="2301" t="str">
        <f t="shared" ca="1" si="3"/>
        <v>-</v>
      </c>
      <c r="L19" s="2303">
        <f t="shared" ca="1" si="1"/>
        <v>500</v>
      </c>
    </row>
    <row r="20" spans="1:12" ht="26.25" customHeight="1">
      <c r="A20" s="1948">
        <f ca="1">IF(ROW()-ROW($A$6)&lt;'الف-ب-ج'!$L$9,INDIRECT("BudgetDB!IO"&amp;('الف-ب-ج'!$M$9+ROW()-ROW($A$6))),"")</f>
        <v>0</v>
      </c>
      <c r="B20" s="2058">
        <f ca="1">IF(ROW()-ROW($A$6)&lt;'الف-ب-ج'!$L$9,INDIRECT("BudgetDB!IP"&amp;('الف-ب-ج'!$M$9+ROW()-ROW($A$6))),"")</f>
        <v>0</v>
      </c>
      <c r="C20" s="1956"/>
      <c r="D20" s="1957"/>
      <c r="E20" s="1951" cm="1">
        <f t="array" aca="1" ref="E20" ca="1">IF(ROW()-ROW($A$6)&lt;'الف-ب-ج'!$L$9,IF(روکش!$F$9="سه ماهه",INDIRECT("BudgetDB!IQ"&amp;('الف-ب-ج'!$M$9+ROW()-ROW($A$6))),INDIRECT("BudgetDB!IS"&amp;('الف-ب-ج'!$M$9+ROW()-ROW($A$6)))),"")</f>
        <v>0</v>
      </c>
      <c r="F20" s="1947" cm="1">
        <f t="array" aca="1" ref="F20" ca="1">IF(ROW()-ROW($A$6)&lt;'الف-ب-ج'!$L$9,IF(روکش!$F$9="سه ماهه",INDIRECT("BudgetDB!IR"&amp;('الف-ب-ج'!$M$9+ROW()-ROW($A$6))),INDIRECT("BudgetDB!IT"&amp;('الف-ب-ج'!$M$9+ROW()-ROW($A$6)))),"")</f>
        <v>0</v>
      </c>
      <c r="G20" s="285"/>
      <c r="H20" s="285"/>
      <c r="I20" s="2301" t="str">
        <f t="shared" ca="1" si="2"/>
        <v>-</v>
      </c>
      <c r="J20" s="2303">
        <f t="shared" ca="1" si="0"/>
        <v>500</v>
      </c>
      <c r="K20" s="2301" t="str">
        <f t="shared" ca="1" si="3"/>
        <v>-</v>
      </c>
      <c r="L20" s="2303">
        <f t="shared" ca="1" si="1"/>
        <v>500</v>
      </c>
    </row>
    <row r="21" spans="1:12" ht="26.25" customHeight="1">
      <c r="A21" s="1948">
        <f ca="1">IF(ROW()-ROW($A$6)&lt;'الف-ب-ج'!$L$9,INDIRECT("BudgetDB!IO"&amp;('الف-ب-ج'!$M$9+ROW()-ROW($A$6))),"")</f>
        <v>0</v>
      </c>
      <c r="B21" s="2058">
        <f ca="1">IF(ROW()-ROW($A$6)&lt;'الف-ب-ج'!$L$9,INDIRECT("BudgetDB!IP"&amp;('الف-ب-ج'!$M$9+ROW()-ROW($A$6))),"")</f>
        <v>0</v>
      </c>
      <c r="C21" s="1956"/>
      <c r="D21" s="1957"/>
      <c r="E21" s="1951" cm="1">
        <f t="array" aca="1" ref="E21" ca="1">IF(ROW()-ROW($A$6)&lt;'الف-ب-ج'!$L$9,IF(روکش!$F$9="سه ماهه",INDIRECT("BudgetDB!IQ"&amp;('الف-ب-ج'!$M$9+ROW()-ROW($A$6))),INDIRECT("BudgetDB!IS"&amp;('الف-ب-ج'!$M$9+ROW()-ROW($A$6)))),"")</f>
        <v>0</v>
      </c>
      <c r="F21" s="1947" cm="1">
        <f t="array" aca="1" ref="F21" ca="1">IF(ROW()-ROW($A$6)&lt;'الف-ب-ج'!$L$9,IF(روکش!$F$9="سه ماهه",INDIRECT("BudgetDB!IR"&amp;('الف-ب-ج'!$M$9+ROW()-ROW($A$6))),INDIRECT("BudgetDB!IT"&amp;('الف-ب-ج'!$M$9+ROW()-ROW($A$6)))),"")</f>
        <v>0</v>
      </c>
      <c r="G21" s="285"/>
      <c r="H21" s="285"/>
      <c r="I21" s="2301" t="str">
        <f t="shared" ca="1" si="2"/>
        <v>-</v>
      </c>
      <c r="J21" s="2303">
        <f t="shared" ca="1" si="0"/>
        <v>500</v>
      </c>
      <c r="K21" s="2301" t="str">
        <f t="shared" ca="1" si="3"/>
        <v>-</v>
      </c>
      <c r="L21" s="2303">
        <f t="shared" ca="1" si="1"/>
        <v>500</v>
      </c>
    </row>
    <row r="22" spans="1:12" ht="26.25" customHeight="1">
      <c r="A22" s="1948">
        <f ca="1">IF(ROW()-ROW($A$6)&lt;'الف-ب-ج'!$L$9,INDIRECT("BudgetDB!IO"&amp;('الف-ب-ج'!$M$9+ROW()-ROW($A$6))),"")</f>
        <v>0</v>
      </c>
      <c r="B22" s="2058">
        <f ca="1">IF(ROW()-ROW($A$6)&lt;'الف-ب-ج'!$L$9,INDIRECT("BudgetDB!IP"&amp;('الف-ب-ج'!$M$9+ROW()-ROW($A$6))),"")</f>
        <v>0</v>
      </c>
      <c r="C22" s="1956"/>
      <c r="D22" s="1957"/>
      <c r="E22" s="1951" cm="1">
        <f t="array" aca="1" ref="E22" ca="1">IF(ROW()-ROW($A$6)&lt;'الف-ب-ج'!$L$9,IF(روکش!$F$9="سه ماهه",INDIRECT("BudgetDB!IQ"&amp;('الف-ب-ج'!$M$9+ROW()-ROW($A$6))),INDIRECT("BudgetDB!IS"&amp;('الف-ب-ج'!$M$9+ROW()-ROW($A$6)))),"")</f>
        <v>0</v>
      </c>
      <c r="F22" s="1947" cm="1">
        <f t="array" aca="1" ref="F22" ca="1">IF(ROW()-ROW($A$6)&lt;'الف-ب-ج'!$L$9,IF(روکش!$F$9="سه ماهه",INDIRECT("BudgetDB!IR"&amp;('الف-ب-ج'!$M$9+ROW()-ROW($A$6))),INDIRECT("BudgetDB!IT"&amp;('الف-ب-ج'!$M$9+ROW()-ROW($A$6)))),"")</f>
        <v>0</v>
      </c>
      <c r="G22" s="285"/>
      <c r="H22" s="285"/>
      <c r="I22" s="2301" t="str">
        <f t="shared" ca="1" si="2"/>
        <v>-</v>
      </c>
      <c r="J22" s="2303">
        <f t="shared" ca="1" si="0"/>
        <v>500</v>
      </c>
      <c r="K22" s="2301" t="str">
        <f t="shared" ca="1" si="3"/>
        <v>-</v>
      </c>
      <c r="L22" s="2303">
        <f t="shared" ca="1" si="1"/>
        <v>500</v>
      </c>
    </row>
    <row r="23" spans="1:12" ht="26.25" customHeight="1">
      <c r="A23" s="1948">
        <f ca="1">IF(ROW()-ROW($A$6)&lt;'الف-ب-ج'!$L$9,INDIRECT("BudgetDB!IO"&amp;('الف-ب-ج'!$M$9+ROW()-ROW($A$6))),"")</f>
        <v>0</v>
      </c>
      <c r="B23" s="2058">
        <f ca="1">IF(ROW()-ROW($A$6)&lt;'الف-ب-ج'!$L$9,INDIRECT("BudgetDB!IP"&amp;('الف-ب-ج'!$M$9+ROW()-ROW($A$6))),"")</f>
        <v>0</v>
      </c>
      <c r="C23" s="1956"/>
      <c r="D23" s="1957"/>
      <c r="E23" s="1951" cm="1">
        <f t="array" aca="1" ref="E23" ca="1">IF(ROW()-ROW($A$6)&lt;'الف-ب-ج'!$L$9,IF(روکش!$F$9="سه ماهه",INDIRECT("BudgetDB!IQ"&amp;('الف-ب-ج'!$M$9+ROW()-ROW($A$6))),INDIRECT("BudgetDB!IS"&amp;('الف-ب-ج'!$M$9+ROW()-ROW($A$6)))),"")</f>
        <v>0</v>
      </c>
      <c r="F23" s="1947" cm="1">
        <f t="array" aca="1" ref="F23" ca="1">IF(ROW()-ROW($A$6)&lt;'الف-ب-ج'!$L$9,IF(روکش!$F$9="سه ماهه",INDIRECT("BudgetDB!IR"&amp;('الف-ب-ج'!$M$9+ROW()-ROW($A$6))),INDIRECT("BudgetDB!IT"&amp;('الف-ب-ج'!$M$9+ROW()-ROW($A$6)))),"")</f>
        <v>0</v>
      </c>
      <c r="G23" s="285"/>
      <c r="H23" s="285"/>
      <c r="I23" s="2301" t="str">
        <f t="shared" ca="1" si="2"/>
        <v>-</v>
      </c>
      <c r="J23" s="2303">
        <f t="shared" ca="1" si="0"/>
        <v>500</v>
      </c>
      <c r="K23" s="2301" t="str">
        <f t="shared" ca="1" si="3"/>
        <v>-</v>
      </c>
      <c r="L23" s="2303">
        <f t="shared" ca="1" si="1"/>
        <v>500</v>
      </c>
    </row>
    <row r="24" spans="1:12" ht="26.25" customHeight="1">
      <c r="A24" s="1948">
        <f ca="1">IF(ROW()-ROW($A$6)&lt;'الف-ب-ج'!$L$9,INDIRECT("BudgetDB!IO"&amp;('الف-ب-ج'!$M$9+ROW()-ROW($A$6))),"")</f>
        <v>0</v>
      </c>
      <c r="B24" s="2058">
        <f ca="1">IF(ROW()-ROW($A$6)&lt;'الف-ب-ج'!$L$9,INDIRECT("BudgetDB!IP"&amp;('الف-ب-ج'!$M$9+ROW()-ROW($A$6))),"")</f>
        <v>0</v>
      </c>
      <c r="C24" s="1956"/>
      <c r="D24" s="1957"/>
      <c r="E24" s="1951" cm="1">
        <f t="array" aca="1" ref="E24" ca="1">IF(ROW()-ROW($A$6)&lt;'الف-ب-ج'!$L$9,IF(روکش!$F$9="سه ماهه",INDIRECT("BudgetDB!IQ"&amp;('الف-ب-ج'!$M$9+ROW()-ROW($A$6))),INDIRECT("BudgetDB!IS"&amp;('الف-ب-ج'!$M$9+ROW()-ROW($A$6)))),"")</f>
        <v>0</v>
      </c>
      <c r="F24" s="1947" cm="1">
        <f t="array" aca="1" ref="F24" ca="1">IF(ROW()-ROW($A$6)&lt;'الف-ب-ج'!$L$9,IF(روکش!$F$9="سه ماهه",INDIRECT("BudgetDB!IR"&amp;('الف-ب-ج'!$M$9+ROW()-ROW($A$6))),INDIRECT("BudgetDB!IT"&amp;('الف-ب-ج'!$M$9+ROW()-ROW($A$6)))),"")</f>
        <v>0</v>
      </c>
      <c r="G24" s="285"/>
      <c r="H24" s="285"/>
      <c r="I24" s="2301" t="str">
        <f t="shared" ca="1" si="2"/>
        <v>-</v>
      </c>
      <c r="J24" s="2303">
        <f t="shared" ca="1" si="0"/>
        <v>500</v>
      </c>
      <c r="K24" s="2301" t="str">
        <f t="shared" ca="1" si="3"/>
        <v>-</v>
      </c>
      <c r="L24" s="2303">
        <f t="shared" ca="1" si="1"/>
        <v>500</v>
      </c>
    </row>
    <row r="25" spans="1:12" s="1049" customFormat="1" ht="26.25" customHeight="1">
      <c r="A25" s="1948">
        <f ca="1">IF(ROW()-ROW($A$6)&lt;'الف-ب-ج'!$L$9,INDIRECT("BudgetDB!IO"&amp;('الف-ب-ج'!$M$9+ROW()-ROW($A$6))),"")</f>
        <v>0</v>
      </c>
      <c r="B25" s="2058">
        <f ca="1">IF(ROW()-ROW($A$6)&lt;'الف-ب-ج'!$L$9,INDIRECT("BudgetDB!IP"&amp;('الف-ب-ج'!$M$9+ROW()-ROW($A$6))),"")</f>
        <v>0</v>
      </c>
      <c r="C25" s="1956"/>
      <c r="D25" s="1957"/>
      <c r="E25" s="1951" cm="1">
        <f t="array" aca="1" ref="E25" ca="1">IF(ROW()-ROW($A$6)&lt;'الف-ب-ج'!$L$9,IF(روکش!$F$9="سه ماهه",INDIRECT("BudgetDB!IQ"&amp;('الف-ب-ج'!$M$9+ROW()-ROW($A$6))),INDIRECT("BudgetDB!IS"&amp;('الف-ب-ج'!$M$9+ROW()-ROW($A$6)))),"")</f>
        <v>0</v>
      </c>
      <c r="F25" s="1947" cm="1">
        <f t="array" aca="1" ref="F25" ca="1">IF(ROW()-ROW($A$6)&lt;'الف-ب-ج'!$L$9,IF(روکش!$F$9="سه ماهه",INDIRECT("BudgetDB!IR"&amp;('الف-ب-ج'!$M$9+ROW()-ROW($A$6))),INDIRECT("BudgetDB!IT"&amp;('الف-ب-ج'!$M$9+ROW()-ROW($A$6)))),"")</f>
        <v>0</v>
      </c>
      <c r="G25" s="285"/>
      <c r="H25" s="285"/>
      <c r="I25" s="2301" t="str">
        <f t="shared" ca="1" si="2"/>
        <v>-</v>
      </c>
      <c r="J25" s="2303">
        <f t="shared" ca="1" si="0"/>
        <v>500</v>
      </c>
      <c r="K25" s="2301" t="str">
        <f t="shared" ca="1" si="3"/>
        <v>-</v>
      </c>
      <c r="L25" s="2303">
        <f t="shared" ca="1" si="1"/>
        <v>500</v>
      </c>
    </row>
    <row r="26" spans="1:12" ht="26.25" customHeight="1">
      <c r="A26" s="1948">
        <f ca="1">IF(ROW()-ROW($A$6)&lt;'الف-ب-ج'!$L$9,INDIRECT("BudgetDB!IO"&amp;('الف-ب-ج'!$M$9+ROW()-ROW($A$6))),"")</f>
        <v>0</v>
      </c>
      <c r="B26" s="2058">
        <f ca="1">IF(ROW()-ROW($A$6)&lt;'الف-ب-ج'!$L$9,INDIRECT("BudgetDB!IP"&amp;('الف-ب-ج'!$M$9+ROW()-ROW($A$6))),"")</f>
        <v>0</v>
      </c>
      <c r="C26" s="1956"/>
      <c r="D26" s="1957"/>
      <c r="E26" s="1951" cm="1">
        <f t="array" aca="1" ref="E26" ca="1">IF(ROW()-ROW($A$6)&lt;'الف-ب-ج'!$L$9,IF(روکش!$F$9="سه ماهه",INDIRECT("BudgetDB!IQ"&amp;('الف-ب-ج'!$M$9+ROW()-ROW($A$6))),INDIRECT("BudgetDB!IS"&amp;('الف-ب-ج'!$M$9+ROW()-ROW($A$6)))),"")</f>
        <v>0</v>
      </c>
      <c r="F26" s="1947" cm="1">
        <f t="array" aca="1" ref="F26" ca="1">IF(ROW()-ROW($A$6)&lt;'الف-ب-ج'!$L$9,IF(روکش!$F$9="سه ماهه",INDIRECT("BudgetDB!IR"&amp;('الف-ب-ج'!$M$9+ROW()-ROW($A$6))),INDIRECT("BudgetDB!IT"&amp;('الف-ب-ج'!$M$9+ROW()-ROW($A$6)))),"")</f>
        <v>0</v>
      </c>
      <c r="G26" s="285"/>
      <c r="H26" s="285"/>
      <c r="I26" s="2301" t="str">
        <f t="shared" ca="1" si="2"/>
        <v>-</v>
      </c>
      <c r="J26" s="2303">
        <f t="shared" ca="1" si="0"/>
        <v>500</v>
      </c>
      <c r="K26" s="2301" t="str">
        <f t="shared" ca="1" si="3"/>
        <v>-</v>
      </c>
      <c r="L26" s="2303">
        <f t="shared" ca="1" si="1"/>
        <v>500</v>
      </c>
    </row>
    <row r="27" spans="1:12" ht="26.25" customHeight="1">
      <c r="A27" s="1948">
        <f ca="1">IF(ROW()-ROW($A$6)&lt;'الف-ب-ج'!$L$9,INDIRECT("BudgetDB!IO"&amp;('الف-ب-ج'!$M$9+ROW()-ROW($A$6))),"")</f>
        <v>0</v>
      </c>
      <c r="B27" s="2058">
        <f ca="1">IF(ROW()-ROW($A$6)&lt;'الف-ب-ج'!$L$9,INDIRECT("BudgetDB!IP"&amp;('الف-ب-ج'!$M$9+ROW()-ROW($A$6))),"")</f>
        <v>0</v>
      </c>
      <c r="C27" s="1956"/>
      <c r="D27" s="1957"/>
      <c r="E27" s="1951" cm="1">
        <f t="array" aca="1" ref="E27" ca="1">IF(ROW()-ROW($A$6)&lt;'الف-ب-ج'!$L$9,IF(روکش!$F$9="سه ماهه",INDIRECT("BudgetDB!IQ"&amp;('الف-ب-ج'!$M$9+ROW()-ROW($A$6))),INDIRECT("BudgetDB!IS"&amp;('الف-ب-ج'!$M$9+ROW()-ROW($A$6)))),"")</f>
        <v>0</v>
      </c>
      <c r="F27" s="1947" cm="1">
        <f t="array" aca="1" ref="F27" ca="1">IF(ROW()-ROW($A$6)&lt;'الف-ب-ج'!$L$9,IF(روکش!$F$9="سه ماهه",INDIRECT("BudgetDB!IR"&amp;('الف-ب-ج'!$M$9+ROW()-ROW($A$6))),INDIRECT("BudgetDB!IT"&amp;('الف-ب-ج'!$M$9+ROW()-ROW($A$6)))),"")</f>
        <v>0</v>
      </c>
      <c r="G27" s="285"/>
      <c r="H27" s="285"/>
      <c r="I27" s="2301" t="str">
        <f t="shared" ca="1" si="2"/>
        <v>-</v>
      </c>
      <c r="J27" s="2303">
        <f t="shared" ca="1" si="0"/>
        <v>500</v>
      </c>
      <c r="K27" s="2301" t="str">
        <f t="shared" ca="1" si="3"/>
        <v>-</v>
      </c>
      <c r="L27" s="2303">
        <f t="shared" ca="1" si="1"/>
        <v>500</v>
      </c>
    </row>
    <row r="28" spans="1:12" ht="26.25" customHeight="1">
      <c r="A28" s="1948">
        <f ca="1">IF(ROW()-ROW($A$6)&lt;'الف-ب-ج'!$L$9,INDIRECT("BudgetDB!IO"&amp;('الف-ب-ج'!$M$9+ROW()-ROW($A$6))),"")</f>
        <v>0</v>
      </c>
      <c r="B28" s="2058">
        <f ca="1">IF(ROW()-ROW($A$6)&lt;'الف-ب-ج'!$L$9,INDIRECT("BudgetDB!IP"&amp;('الف-ب-ج'!$M$9+ROW()-ROW($A$6))),"")</f>
        <v>0</v>
      </c>
      <c r="C28" s="1956"/>
      <c r="D28" s="1957"/>
      <c r="E28" s="1951" cm="1">
        <f t="array" aca="1" ref="E28" ca="1">IF(ROW()-ROW($A$6)&lt;'الف-ب-ج'!$L$9,IF(روکش!$F$9="سه ماهه",INDIRECT("BudgetDB!IQ"&amp;('الف-ب-ج'!$M$9+ROW()-ROW($A$6))),INDIRECT("BudgetDB!IS"&amp;('الف-ب-ج'!$M$9+ROW()-ROW($A$6)))),"")</f>
        <v>0</v>
      </c>
      <c r="F28" s="1947" cm="1">
        <f t="array" aca="1" ref="F28" ca="1">IF(ROW()-ROW($A$6)&lt;'الف-ب-ج'!$L$9,IF(روکش!$F$9="سه ماهه",INDIRECT("BudgetDB!IR"&amp;('الف-ب-ج'!$M$9+ROW()-ROW($A$6))),INDIRECT("BudgetDB!IT"&amp;('الف-ب-ج'!$M$9+ROW()-ROW($A$6)))),"")</f>
        <v>0</v>
      </c>
      <c r="G28" s="285"/>
      <c r="H28" s="285"/>
      <c r="I28" s="2301" t="str">
        <f t="shared" ca="1" si="2"/>
        <v>-</v>
      </c>
      <c r="J28" s="2303">
        <f t="shared" ca="1" si="0"/>
        <v>500</v>
      </c>
      <c r="K28" s="2301" t="str">
        <f t="shared" ca="1" si="3"/>
        <v>-</v>
      </c>
      <c r="L28" s="2303">
        <f t="shared" ca="1" si="1"/>
        <v>500</v>
      </c>
    </row>
    <row r="29" spans="1:12" ht="26.25" customHeight="1">
      <c r="A29" s="1948">
        <f ca="1">IF(ROW()-ROW($A$6)&lt;'الف-ب-ج'!$L$9,INDIRECT("BudgetDB!IO"&amp;('الف-ب-ج'!$M$9+ROW()-ROW($A$6))),"")</f>
        <v>0</v>
      </c>
      <c r="B29" s="2058">
        <f ca="1">IF(ROW()-ROW($A$6)&lt;'الف-ب-ج'!$L$9,INDIRECT("BudgetDB!IP"&amp;('الف-ب-ج'!$M$9+ROW()-ROW($A$6))),"")</f>
        <v>0</v>
      </c>
      <c r="C29" s="1956"/>
      <c r="D29" s="1957"/>
      <c r="E29" s="1951" cm="1">
        <f t="array" aca="1" ref="E29" ca="1">IF(ROW()-ROW($A$6)&lt;'الف-ب-ج'!$L$9,IF(روکش!$F$9="سه ماهه",INDIRECT("BudgetDB!IQ"&amp;('الف-ب-ج'!$M$9+ROW()-ROW($A$6))),INDIRECT("BudgetDB!IS"&amp;('الف-ب-ج'!$M$9+ROW()-ROW($A$6)))),"")</f>
        <v>0</v>
      </c>
      <c r="F29" s="1947" cm="1">
        <f t="array" aca="1" ref="F29" ca="1">IF(ROW()-ROW($A$6)&lt;'الف-ب-ج'!$L$9,IF(روکش!$F$9="سه ماهه",INDIRECT("BudgetDB!IR"&amp;('الف-ب-ج'!$M$9+ROW()-ROW($A$6))),INDIRECT("BudgetDB!IT"&amp;('الف-ب-ج'!$M$9+ROW()-ROW($A$6)))),"")</f>
        <v>0</v>
      </c>
      <c r="G29" s="285"/>
      <c r="H29" s="285"/>
      <c r="I29" s="2301" t="str">
        <f t="shared" ca="1" si="2"/>
        <v>-</v>
      </c>
      <c r="J29" s="2303">
        <f t="shared" ca="1" si="0"/>
        <v>500</v>
      </c>
      <c r="K29" s="2301" t="str">
        <f t="shared" ca="1" si="3"/>
        <v>-</v>
      </c>
      <c r="L29" s="2303">
        <f t="shared" ca="1" si="1"/>
        <v>500</v>
      </c>
    </row>
    <row r="30" spans="1:12" ht="26.25" customHeight="1">
      <c r="A30" s="1948">
        <f ca="1">IF(ROW()-ROW($A$6)&lt;'الف-ب-ج'!$L$9,INDIRECT("BudgetDB!IO"&amp;('الف-ب-ج'!$M$9+ROW()-ROW($A$6))),"")</f>
        <v>0</v>
      </c>
      <c r="B30" s="1949">
        <f ca="1">IF(ROW()-ROW($A$6)&lt;'الف-ب-ج'!$L$9,INDIRECT("BudgetDB!IP"&amp;('الف-ب-ج'!$M$9+ROW()-ROW($A$6))),"")</f>
        <v>0</v>
      </c>
      <c r="C30" s="1956"/>
      <c r="D30" s="1957"/>
      <c r="E30" s="1951" cm="1">
        <f t="array" aca="1" ref="E30" ca="1">IF(ROW()-ROW($A$6)&lt;'الف-ب-ج'!$L$9,IF(روکش!$F$9="سه ماهه",INDIRECT("BudgetDB!IQ"&amp;('الف-ب-ج'!$M$9+ROW()-ROW($A$6))),INDIRECT("BudgetDB!IS"&amp;('الف-ب-ج'!$M$9+ROW()-ROW($A$6)))),"")</f>
        <v>0</v>
      </c>
      <c r="F30" s="1947" cm="1">
        <f t="array" aca="1" ref="F30" ca="1">IF(ROW()-ROW($A$6)&lt;'الف-ب-ج'!$L$9,IF(روکش!$F$9="سه ماهه",INDIRECT("BudgetDB!IR"&amp;('الف-ب-ج'!$M$9+ROW()-ROW($A$6))),INDIRECT("BudgetDB!IT"&amp;('الف-ب-ج'!$M$9+ROW()-ROW($A$6)))),"")</f>
        <v>0</v>
      </c>
      <c r="G30" s="285"/>
      <c r="H30" s="285"/>
      <c r="I30" s="2301" t="str">
        <f t="shared" ca="1" si="2"/>
        <v>-</v>
      </c>
      <c r="J30" s="2303">
        <f t="shared" ca="1" si="0"/>
        <v>500</v>
      </c>
      <c r="K30" s="2301" t="str">
        <f t="shared" ca="1" si="3"/>
        <v>-</v>
      </c>
      <c r="L30" s="2303">
        <f t="shared" ca="1" si="1"/>
        <v>500</v>
      </c>
    </row>
    <row r="31" spans="1:12" ht="26.25" customHeight="1">
      <c r="A31" s="1948">
        <f ca="1">IF(ROW()-ROW($A$6)&lt;'الف-ب-ج'!$L$9,INDIRECT("BudgetDB!IO"&amp;('الف-ب-ج'!$M$9+ROW()-ROW($A$6))),"")</f>
        <v>0</v>
      </c>
      <c r="B31" s="1949">
        <f ca="1">IF(ROW()-ROW($A$6)&lt;'الف-ب-ج'!$L$9,INDIRECT("BudgetDB!IP"&amp;('الف-ب-ج'!$M$9+ROW()-ROW($A$6))),"")</f>
        <v>0</v>
      </c>
      <c r="C31" s="1956"/>
      <c r="D31" s="1957"/>
      <c r="E31" s="1951" cm="1">
        <f t="array" aca="1" ref="E31" ca="1">IF(ROW()-ROW($A$6)&lt;'الف-ب-ج'!$L$9,IF(روکش!$F$9="سه ماهه",INDIRECT("BudgetDB!IQ"&amp;('الف-ب-ج'!$M$9+ROW()-ROW($A$6))),INDIRECT("BudgetDB!IS"&amp;('الف-ب-ج'!$M$9+ROW()-ROW($A$6)))),"")</f>
        <v>0</v>
      </c>
      <c r="F31" s="1947" cm="1">
        <f t="array" aca="1" ref="F31" ca="1">IF(ROW()-ROW($A$6)&lt;'الف-ب-ج'!$L$9,IF(روکش!$F$9="سه ماهه",INDIRECT("BudgetDB!IR"&amp;('الف-ب-ج'!$M$9+ROW()-ROW($A$6))),INDIRECT("BudgetDB!IT"&amp;('الف-ب-ج'!$M$9+ROW()-ROW($A$6)))),"")</f>
        <v>0</v>
      </c>
      <c r="G31" s="285"/>
      <c r="H31" s="285"/>
      <c r="I31" s="2301" t="str">
        <f t="shared" ca="1" si="2"/>
        <v>-</v>
      </c>
      <c r="J31" s="2303">
        <f t="shared" ca="1" si="0"/>
        <v>500</v>
      </c>
      <c r="K31" s="2301" t="str">
        <f t="shared" ca="1" si="3"/>
        <v>-</v>
      </c>
      <c r="L31" s="2303">
        <f t="shared" ca="1" si="1"/>
        <v>500</v>
      </c>
    </row>
    <row r="32" spans="1:12" ht="26.25" customHeight="1">
      <c r="A32" s="1948">
        <f ca="1">IF(ROW()-ROW($A$6)&lt;'الف-ب-ج'!$L$9,INDIRECT("BudgetDB!IO"&amp;('الف-ب-ج'!$M$9+ROW()-ROW($A$6))),"")</f>
        <v>0</v>
      </c>
      <c r="B32" s="1949">
        <f ca="1">IF(ROW()-ROW($A$6)&lt;'الف-ب-ج'!$L$9,INDIRECT("BudgetDB!IP"&amp;('الف-ب-ج'!$M$9+ROW()-ROW($A$6))),"")</f>
        <v>0</v>
      </c>
      <c r="C32" s="1956"/>
      <c r="D32" s="1957"/>
      <c r="E32" s="1951" cm="1">
        <f t="array" aca="1" ref="E32" ca="1">IF(ROW()-ROW($A$6)&lt;'الف-ب-ج'!$L$9,IF(روکش!$F$9="سه ماهه",INDIRECT("BudgetDB!IQ"&amp;('الف-ب-ج'!$M$9+ROW()-ROW($A$6))),INDIRECT("BudgetDB!IS"&amp;('الف-ب-ج'!$M$9+ROW()-ROW($A$6)))),"")</f>
        <v>0</v>
      </c>
      <c r="F32" s="1947" cm="1">
        <f t="array" aca="1" ref="F32" ca="1">IF(ROW()-ROW($A$6)&lt;'الف-ب-ج'!$L$9,IF(روکش!$F$9="سه ماهه",INDIRECT("BudgetDB!IR"&amp;('الف-ب-ج'!$M$9+ROW()-ROW($A$6))),INDIRECT("BudgetDB!IT"&amp;('الف-ب-ج'!$M$9+ROW()-ROW($A$6)))),"")</f>
        <v>0</v>
      </c>
      <c r="G32" s="285"/>
      <c r="H32" s="285"/>
      <c r="I32" s="2301" t="str">
        <f t="shared" ca="1" si="2"/>
        <v>-</v>
      </c>
      <c r="J32" s="2303">
        <f t="shared" ca="1" si="0"/>
        <v>500</v>
      </c>
      <c r="K32" s="2301" t="str">
        <f t="shared" ca="1" si="3"/>
        <v>-</v>
      </c>
      <c r="L32" s="2303">
        <f t="shared" ca="1" si="1"/>
        <v>500</v>
      </c>
    </row>
    <row r="33" spans="1:12" ht="26.25" customHeight="1">
      <c r="A33" s="1948">
        <f ca="1">IF(ROW()-ROW($A$6)&lt;'الف-ب-ج'!$L$9,INDIRECT("BudgetDB!IO"&amp;('الف-ب-ج'!$M$9+ROW()-ROW($A$6))),"")</f>
        <v>0</v>
      </c>
      <c r="B33" s="1949">
        <f ca="1">IF(ROW()-ROW($A$6)&lt;'الف-ب-ج'!$L$9,INDIRECT("BudgetDB!IP"&amp;('الف-ب-ج'!$M$9+ROW()-ROW($A$6))),"")</f>
        <v>0</v>
      </c>
      <c r="C33" s="1956"/>
      <c r="D33" s="1957"/>
      <c r="E33" s="1951" cm="1">
        <f t="array" aca="1" ref="E33" ca="1">IF(ROW()-ROW($A$6)&lt;'الف-ب-ج'!$L$9,IF(روکش!$F$9="سه ماهه",INDIRECT("BudgetDB!IQ"&amp;('الف-ب-ج'!$M$9+ROW()-ROW($A$6))),INDIRECT("BudgetDB!IS"&amp;('الف-ب-ج'!$M$9+ROW()-ROW($A$6)))),"")</f>
        <v>0</v>
      </c>
      <c r="F33" s="1947" cm="1">
        <f t="array" aca="1" ref="F33" ca="1">IF(ROW()-ROW($A$6)&lt;'الف-ب-ج'!$L$9,IF(روکش!$F$9="سه ماهه",INDIRECT("BudgetDB!IR"&amp;('الف-ب-ج'!$M$9+ROW()-ROW($A$6))),INDIRECT("BudgetDB!IT"&amp;('الف-ب-ج'!$M$9+ROW()-ROW($A$6)))),"")</f>
        <v>0</v>
      </c>
      <c r="G33" s="285"/>
      <c r="H33" s="285"/>
      <c r="I33" s="2301" t="str">
        <f t="shared" ca="1" si="2"/>
        <v>-</v>
      </c>
      <c r="J33" s="2303">
        <f t="shared" ca="1" si="0"/>
        <v>500</v>
      </c>
      <c r="K33" s="2301" t="str">
        <f t="shared" ca="1" si="3"/>
        <v>-</v>
      </c>
      <c r="L33" s="2303">
        <f t="shared" ca="1" si="1"/>
        <v>500</v>
      </c>
    </row>
    <row r="34" spans="1:12" ht="26.25" customHeight="1">
      <c r="A34" s="1948">
        <f ca="1">IF(ROW()-ROW($A$6)&lt;'الف-ب-ج'!$L$9,INDIRECT("BudgetDB!IO"&amp;('الف-ب-ج'!$M$9+ROW()-ROW($A$6))),"")</f>
        <v>0</v>
      </c>
      <c r="B34" s="1949">
        <f ca="1">IF(ROW()-ROW($A$6)&lt;'الف-ب-ج'!$L$9,INDIRECT("BudgetDB!IP"&amp;('الف-ب-ج'!$M$9+ROW()-ROW($A$6))),"")</f>
        <v>0</v>
      </c>
      <c r="C34" s="1956"/>
      <c r="D34" s="1957"/>
      <c r="E34" s="1951" cm="1">
        <f t="array" aca="1" ref="E34" ca="1">IF(ROW()-ROW($A$6)&lt;'الف-ب-ج'!$L$9,IF(روکش!$F$9="سه ماهه",INDIRECT("BudgetDB!IQ"&amp;('الف-ب-ج'!$M$9+ROW()-ROW($A$6))),INDIRECT("BudgetDB!IS"&amp;('الف-ب-ج'!$M$9+ROW()-ROW($A$6)))),"")</f>
        <v>0</v>
      </c>
      <c r="F34" s="1947" cm="1">
        <f t="array" aca="1" ref="F34" ca="1">IF(ROW()-ROW($A$6)&lt;'الف-ب-ج'!$L$9,IF(روکش!$F$9="سه ماهه",INDIRECT("BudgetDB!IR"&amp;('الف-ب-ج'!$M$9+ROW()-ROW($A$6))),INDIRECT("BudgetDB!IT"&amp;('الف-ب-ج'!$M$9+ROW()-ROW($A$6)))),"")</f>
        <v>0</v>
      </c>
      <c r="G34" s="285"/>
      <c r="H34" s="285"/>
      <c r="I34" s="2301" t="str">
        <f t="shared" ca="1" si="2"/>
        <v>-</v>
      </c>
      <c r="J34" s="2303">
        <f t="shared" ca="1" si="0"/>
        <v>500</v>
      </c>
      <c r="K34" s="2301" t="str">
        <f t="shared" ca="1" si="3"/>
        <v>-</v>
      </c>
      <c r="L34" s="2303">
        <f t="shared" ca="1" si="1"/>
        <v>500</v>
      </c>
    </row>
    <row r="35" spans="1:12" ht="26.25" customHeight="1">
      <c r="A35" s="1948">
        <f ca="1">IF(ROW()-ROW($A$6)&lt;'الف-ب-ج'!$L$9,INDIRECT("BudgetDB!IO"&amp;('الف-ب-ج'!$M$9+ROW()-ROW($A$6))),"")</f>
        <v>0</v>
      </c>
      <c r="B35" s="1949">
        <f ca="1">IF(ROW()-ROW($A$6)&lt;'الف-ب-ج'!$L$9,INDIRECT("BudgetDB!IP"&amp;('الف-ب-ج'!$M$9+ROW()-ROW($A$6))),"")</f>
        <v>0</v>
      </c>
      <c r="C35" s="1956"/>
      <c r="D35" s="1957"/>
      <c r="E35" s="1951" cm="1">
        <f t="array" aca="1" ref="E35" ca="1">IF(ROW()-ROW($A$6)&lt;'الف-ب-ج'!$L$9,IF(روکش!$F$9="سه ماهه",INDIRECT("BudgetDB!IQ"&amp;('الف-ب-ج'!$M$9+ROW()-ROW($A$6))),INDIRECT("BudgetDB!IS"&amp;('الف-ب-ج'!$M$9+ROW()-ROW($A$6)))),"")</f>
        <v>0</v>
      </c>
      <c r="F35" s="1947" cm="1">
        <f t="array" aca="1" ref="F35" ca="1">IF(ROW()-ROW($A$6)&lt;'الف-ب-ج'!$L$9,IF(روکش!$F$9="سه ماهه",INDIRECT("BudgetDB!IR"&amp;('الف-ب-ج'!$M$9+ROW()-ROW($A$6))),INDIRECT("BudgetDB!IT"&amp;('الف-ب-ج'!$M$9+ROW()-ROW($A$6)))),"")</f>
        <v>0</v>
      </c>
      <c r="G35" s="285"/>
      <c r="H35" s="285"/>
      <c r="I35" s="2301" t="str">
        <f t="shared" ca="1" si="2"/>
        <v>-</v>
      </c>
      <c r="J35" s="2303">
        <f t="shared" ca="1" si="0"/>
        <v>500</v>
      </c>
      <c r="K35" s="2301" t="str">
        <f t="shared" ca="1" si="3"/>
        <v>-</v>
      </c>
      <c r="L35" s="2303">
        <f t="shared" ca="1" si="1"/>
        <v>500</v>
      </c>
    </row>
    <row r="36" spans="1:12" ht="26.25" customHeight="1">
      <c r="A36" s="1948">
        <f ca="1">IF(ROW()-ROW($A$6)&lt;'الف-ب-ج'!$L$9,INDIRECT("BudgetDB!IO"&amp;('الف-ب-ج'!$M$9+ROW()-ROW($A$6))),"")</f>
        <v>0</v>
      </c>
      <c r="B36" s="1949">
        <f ca="1">IF(ROW()-ROW($A$6)&lt;'الف-ب-ج'!$L$9,INDIRECT("BudgetDB!IP"&amp;('الف-ب-ج'!$M$9+ROW()-ROW($A$6))),"")</f>
        <v>0</v>
      </c>
      <c r="C36" s="1956"/>
      <c r="D36" s="1957"/>
      <c r="E36" s="1951" cm="1">
        <f t="array" aca="1" ref="E36" ca="1">IF(ROW()-ROW($A$6)&lt;'الف-ب-ج'!$L$9,IF(روکش!$F$9="سه ماهه",INDIRECT("BudgetDB!IQ"&amp;('الف-ب-ج'!$M$9+ROW()-ROW($A$6))),INDIRECT("BudgetDB!IS"&amp;('الف-ب-ج'!$M$9+ROW()-ROW($A$6)))),"")</f>
        <v>0</v>
      </c>
      <c r="F36" s="1947" cm="1">
        <f t="array" aca="1" ref="F36" ca="1">IF(ROW()-ROW($A$6)&lt;'الف-ب-ج'!$L$9,IF(روکش!$F$9="سه ماهه",INDIRECT("BudgetDB!IR"&amp;('الف-ب-ج'!$M$9+ROW()-ROW($A$6))),INDIRECT("BudgetDB!IT"&amp;('الف-ب-ج'!$M$9+ROW()-ROW($A$6)))),"")</f>
        <v>0</v>
      </c>
      <c r="G36" s="285"/>
      <c r="H36" s="285"/>
      <c r="I36" s="2301" t="str">
        <f t="shared" ca="1" si="2"/>
        <v>-</v>
      </c>
      <c r="J36" s="2303">
        <f t="shared" ca="1" si="0"/>
        <v>500</v>
      </c>
      <c r="K36" s="2301" t="str">
        <f t="shared" ca="1" si="3"/>
        <v>-</v>
      </c>
      <c r="L36" s="2303">
        <f t="shared" ca="1" si="1"/>
        <v>500</v>
      </c>
    </row>
    <row r="37" spans="1:12" ht="26.25" customHeight="1">
      <c r="A37" s="1948">
        <f ca="1">IF(ROW()-ROW($A$6)&lt;'الف-ب-ج'!$L$9,INDIRECT("BudgetDB!IO"&amp;('الف-ب-ج'!$M$9+ROW()-ROW($A$6))),"")</f>
        <v>0</v>
      </c>
      <c r="B37" s="1949">
        <f ca="1">IF(ROW()-ROW($A$6)&lt;'الف-ب-ج'!$L$9,INDIRECT("BudgetDB!IP"&amp;('الف-ب-ج'!$M$9+ROW()-ROW($A$6))),"")</f>
        <v>0</v>
      </c>
      <c r="C37" s="1956"/>
      <c r="D37" s="1957"/>
      <c r="E37" s="1951" cm="1">
        <f t="array" aca="1" ref="E37" ca="1">IF(ROW()-ROW($A$6)&lt;'الف-ب-ج'!$L$9,IF(روکش!$F$9="سه ماهه",INDIRECT("BudgetDB!IQ"&amp;('الف-ب-ج'!$M$9+ROW()-ROW($A$6))),INDIRECT("BudgetDB!IS"&amp;('الف-ب-ج'!$M$9+ROW()-ROW($A$6)))),"")</f>
        <v>0</v>
      </c>
      <c r="F37" s="1947" cm="1">
        <f t="array" aca="1" ref="F37" ca="1">IF(ROW()-ROW($A$6)&lt;'الف-ب-ج'!$L$9,IF(روکش!$F$9="سه ماهه",INDIRECT("BudgetDB!IR"&amp;('الف-ب-ج'!$M$9+ROW()-ROW($A$6))),INDIRECT("BudgetDB!IT"&amp;('الف-ب-ج'!$M$9+ROW()-ROW($A$6)))),"")</f>
        <v>0</v>
      </c>
      <c r="G37" s="285"/>
      <c r="H37" s="285"/>
      <c r="I37" s="2301" t="str">
        <f t="shared" ca="1" si="2"/>
        <v>-</v>
      </c>
      <c r="J37" s="2303">
        <f t="shared" ca="1" si="0"/>
        <v>500</v>
      </c>
      <c r="K37" s="2301" t="str">
        <f t="shared" ca="1" si="3"/>
        <v>-</v>
      </c>
      <c r="L37" s="2303">
        <f t="shared" ca="1" si="1"/>
        <v>500</v>
      </c>
    </row>
    <row r="38" spans="1:12" ht="26.25" customHeight="1">
      <c r="A38" s="1948">
        <f ca="1">IF(ROW()-ROW($A$6)&lt;'الف-ب-ج'!$L$9,INDIRECT("BudgetDB!IO"&amp;('الف-ب-ج'!$M$9+ROW()-ROW($A$6))),"")</f>
        <v>0</v>
      </c>
      <c r="B38" s="1949">
        <f ca="1">IF(ROW()-ROW($A$6)&lt;'الف-ب-ج'!$L$9,INDIRECT("BudgetDB!IP"&amp;('الف-ب-ج'!$M$9+ROW()-ROW($A$6))),"")</f>
        <v>0</v>
      </c>
      <c r="C38" s="1956"/>
      <c r="D38" s="1957"/>
      <c r="E38" s="1951" cm="1">
        <f t="array" aca="1" ref="E38" ca="1">IF(ROW()-ROW($A$6)&lt;'الف-ب-ج'!$L$9,IF(روکش!$F$9="سه ماهه",INDIRECT("BudgetDB!IQ"&amp;('الف-ب-ج'!$M$9+ROW()-ROW($A$6))),INDIRECT("BudgetDB!IS"&amp;('الف-ب-ج'!$M$9+ROW()-ROW($A$6)))),"")</f>
        <v>0</v>
      </c>
      <c r="F38" s="1947" cm="1">
        <f t="array" aca="1" ref="F38" ca="1">IF(ROW()-ROW($A$6)&lt;'الف-ب-ج'!$L$9,IF(روکش!$F$9="سه ماهه",INDIRECT("BudgetDB!IR"&amp;('الف-ب-ج'!$M$9+ROW()-ROW($A$6))),INDIRECT("BudgetDB!IT"&amp;('الف-ب-ج'!$M$9+ROW()-ROW($A$6)))),"")</f>
        <v>0</v>
      </c>
      <c r="G38" s="285"/>
      <c r="H38" s="285"/>
      <c r="I38" s="2301" t="str">
        <f t="shared" ca="1" si="2"/>
        <v>-</v>
      </c>
      <c r="J38" s="2303">
        <f t="shared" ref="J38:J61" ca="1" si="4">IFERROR(ABS(I38-100),500)</f>
        <v>500</v>
      </c>
      <c r="K38" s="2301" t="str">
        <f t="shared" ca="1" si="3"/>
        <v>-</v>
      </c>
      <c r="L38" s="2303">
        <f t="shared" ref="L38:L61" ca="1" si="5">IFERROR(ABS(K38-100),500)</f>
        <v>500</v>
      </c>
    </row>
    <row r="39" spans="1:12" ht="26.25" customHeight="1">
      <c r="A39" s="1948">
        <f ca="1">IF(ROW()-ROW($A$6)&lt;'الف-ب-ج'!$L$9,INDIRECT("BudgetDB!IO"&amp;('الف-ب-ج'!$M$9+ROW()-ROW($A$6))),"")</f>
        <v>0</v>
      </c>
      <c r="B39" s="1949">
        <f ca="1">IF(ROW()-ROW($A$6)&lt;'الف-ب-ج'!$L$9,INDIRECT("BudgetDB!IP"&amp;('الف-ب-ج'!$M$9+ROW()-ROW($A$6))),"")</f>
        <v>0</v>
      </c>
      <c r="C39" s="1956"/>
      <c r="D39" s="1957"/>
      <c r="E39" s="1951" cm="1">
        <f t="array" aca="1" ref="E39" ca="1">IF(ROW()-ROW($A$6)&lt;'الف-ب-ج'!$L$9,IF(روکش!$F$9="سه ماهه",INDIRECT("BudgetDB!IQ"&amp;('الف-ب-ج'!$M$9+ROW()-ROW($A$6))),INDIRECT("BudgetDB!IS"&amp;('الف-ب-ج'!$M$9+ROW()-ROW($A$6)))),"")</f>
        <v>0</v>
      </c>
      <c r="F39" s="1947" cm="1">
        <f t="array" aca="1" ref="F39" ca="1">IF(ROW()-ROW($A$6)&lt;'الف-ب-ج'!$L$9,IF(روکش!$F$9="سه ماهه",INDIRECT("BudgetDB!IR"&amp;('الف-ب-ج'!$M$9+ROW()-ROW($A$6))),INDIRECT("BudgetDB!IT"&amp;('الف-ب-ج'!$M$9+ROW()-ROW($A$6)))),"")</f>
        <v>0</v>
      </c>
      <c r="G39" s="285"/>
      <c r="H39" s="285"/>
      <c r="I39" s="2301" t="str">
        <f t="shared" ca="1" si="2"/>
        <v>-</v>
      </c>
      <c r="J39" s="2303">
        <f t="shared" ca="1" si="4"/>
        <v>500</v>
      </c>
      <c r="K39" s="2301" t="str">
        <f t="shared" ca="1" si="3"/>
        <v>-</v>
      </c>
      <c r="L39" s="2303">
        <f t="shared" ca="1" si="5"/>
        <v>500</v>
      </c>
    </row>
    <row r="40" spans="1:12" ht="26.25" customHeight="1">
      <c r="A40" s="1948">
        <f ca="1">IF(ROW()-ROW($A$6)&lt;'الف-ب-ج'!$L$9,INDIRECT("BudgetDB!IO"&amp;('الف-ب-ج'!$M$9+ROW()-ROW($A$6))),"")</f>
        <v>0</v>
      </c>
      <c r="B40" s="1949">
        <f ca="1">IF(ROW()-ROW($A$6)&lt;'الف-ب-ج'!$L$9,INDIRECT("BudgetDB!IP"&amp;('الف-ب-ج'!$M$9+ROW()-ROW($A$6))),"")</f>
        <v>0</v>
      </c>
      <c r="C40" s="1956"/>
      <c r="D40" s="1957"/>
      <c r="E40" s="1951" cm="1">
        <f t="array" aca="1" ref="E40" ca="1">IF(ROW()-ROW($A$6)&lt;'الف-ب-ج'!$L$9,IF(روکش!$F$9="سه ماهه",INDIRECT("BudgetDB!IQ"&amp;('الف-ب-ج'!$M$9+ROW()-ROW($A$6))),INDIRECT("BudgetDB!IS"&amp;('الف-ب-ج'!$M$9+ROW()-ROW($A$6)))),"")</f>
        <v>0</v>
      </c>
      <c r="F40" s="1947" cm="1">
        <f t="array" aca="1" ref="F40" ca="1">IF(ROW()-ROW($A$6)&lt;'الف-ب-ج'!$L$9,IF(روکش!$F$9="سه ماهه",INDIRECT("BudgetDB!IR"&amp;('الف-ب-ج'!$M$9+ROW()-ROW($A$6))),INDIRECT("BudgetDB!IT"&amp;('الف-ب-ج'!$M$9+ROW()-ROW($A$6)))),"")</f>
        <v>0</v>
      </c>
      <c r="G40" s="285"/>
      <c r="H40" s="285"/>
      <c r="I40" s="2301" t="str">
        <f t="shared" ca="1" si="2"/>
        <v>-</v>
      </c>
      <c r="J40" s="2303">
        <f t="shared" ca="1" si="4"/>
        <v>500</v>
      </c>
      <c r="K40" s="2301" t="str">
        <f t="shared" ca="1" si="3"/>
        <v>-</v>
      </c>
      <c r="L40" s="2303">
        <f t="shared" ca="1" si="5"/>
        <v>500</v>
      </c>
    </row>
    <row r="41" spans="1:12" ht="26.25" customHeight="1">
      <c r="A41" s="1948">
        <f ca="1">IF(ROW()-ROW($A$6)&lt;'الف-ب-ج'!$L$9,INDIRECT("BudgetDB!IO"&amp;('الف-ب-ج'!$M$9+ROW()-ROW($A$6))),"")</f>
        <v>0</v>
      </c>
      <c r="B41" s="1949">
        <f ca="1">IF(ROW()-ROW($A$6)&lt;'الف-ب-ج'!$L$9,INDIRECT("BudgetDB!IP"&amp;('الف-ب-ج'!$M$9+ROW()-ROW($A$6))),"")</f>
        <v>0</v>
      </c>
      <c r="C41" s="1956"/>
      <c r="D41" s="1957"/>
      <c r="E41" s="1951" cm="1">
        <f t="array" aca="1" ref="E41" ca="1">IF(ROW()-ROW($A$6)&lt;'الف-ب-ج'!$L$9,IF(روکش!$F$9="سه ماهه",INDIRECT("BudgetDB!IQ"&amp;('الف-ب-ج'!$M$9+ROW()-ROW($A$6))),INDIRECT("BudgetDB!IS"&amp;('الف-ب-ج'!$M$9+ROW()-ROW($A$6)))),"")</f>
        <v>0</v>
      </c>
      <c r="F41" s="1947" cm="1">
        <f t="array" aca="1" ref="F41" ca="1">IF(ROW()-ROW($A$6)&lt;'الف-ب-ج'!$L$9,IF(روکش!$F$9="سه ماهه",INDIRECT("BudgetDB!IR"&amp;('الف-ب-ج'!$M$9+ROW()-ROW($A$6))),INDIRECT("BudgetDB!IT"&amp;('الف-ب-ج'!$M$9+ROW()-ROW($A$6)))),"")</f>
        <v>0</v>
      </c>
      <c r="G41" s="285"/>
      <c r="H41" s="285"/>
      <c r="I41" s="2301" t="str">
        <f t="shared" ca="1" si="2"/>
        <v>-</v>
      </c>
      <c r="J41" s="2303">
        <f t="shared" ca="1" si="4"/>
        <v>500</v>
      </c>
      <c r="K41" s="2301" t="str">
        <f t="shared" ca="1" si="3"/>
        <v>-</v>
      </c>
      <c r="L41" s="2303">
        <f t="shared" ca="1" si="5"/>
        <v>500</v>
      </c>
    </row>
    <row r="42" spans="1:12" ht="26.25" customHeight="1">
      <c r="A42" s="1948">
        <f ca="1">IF(ROW()-ROW($A$6)&lt;'الف-ب-ج'!$L$9,INDIRECT("BudgetDB!IO"&amp;('الف-ب-ج'!$M$9+ROW()-ROW($A$6))),"")</f>
        <v>0</v>
      </c>
      <c r="B42" s="1949">
        <f ca="1">IF(ROW()-ROW($A$6)&lt;'الف-ب-ج'!$L$9,INDIRECT("BudgetDB!IP"&amp;('الف-ب-ج'!$M$9+ROW()-ROW($A$6))),"")</f>
        <v>0</v>
      </c>
      <c r="C42" s="1956"/>
      <c r="D42" s="1957"/>
      <c r="E42" s="1951" cm="1">
        <f t="array" aca="1" ref="E42" ca="1">IF(ROW()-ROW($A$6)&lt;'الف-ب-ج'!$L$9,IF(روکش!$F$9="سه ماهه",INDIRECT("BudgetDB!IQ"&amp;('الف-ب-ج'!$M$9+ROW()-ROW($A$6))),INDIRECT("BudgetDB!IS"&amp;('الف-ب-ج'!$M$9+ROW()-ROW($A$6)))),"")</f>
        <v>0</v>
      </c>
      <c r="F42" s="1947" cm="1">
        <f t="array" aca="1" ref="F42" ca="1">IF(ROW()-ROW($A$6)&lt;'الف-ب-ج'!$L$9,IF(روکش!$F$9="سه ماهه",INDIRECT("BudgetDB!IR"&amp;('الف-ب-ج'!$M$9+ROW()-ROW($A$6))),INDIRECT("BudgetDB!IT"&amp;('الف-ب-ج'!$M$9+ROW()-ROW($A$6)))),"")</f>
        <v>0</v>
      </c>
      <c r="G42" s="285"/>
      <c r="H42" s="285"/>
      <c r="I42" s="2301" t="str">
        <f t="shared" ca="1" si="2"/>
        <v>-</v>
      </c>
      <c r="J42" s="2303">
        <f t="shared" ca="1" si="4"/>
        <v>500</v>
      </c>
      <c r="K42" s="2301" t="str">
        <f t="shared" ca="1" si="3"/>
        <v>-</v>
      </c>
      <c r="L42" s="2303">
        <f t="shared" ca="1" si="5"/>
        <v>500</v>
      </c>
    </row>
    <row r="43" spans="1:12" ht="26.25" customHeight="1">
      <c r="A43" s="1948">
        <f ca="1">IF(ROW()-ROW($A$6)&lt;'الف-ب-ج'!$L$9,INDIRECT("BudgetDB!IO"&amp;('الف-ب-ج'!$M$9+ROW()-ROW($A$6))),"")</f>
        <v>0</v>
      </c>
      <c r="B43" s="1949">
        <f ca="1">IF(ROW()-ROW($A$6)&lt;'الف-ب-ج'!$L$9,INDIRECT("BudgetDB!IP"&amp;('الف-ب-ج'!$M$9+ROW()-ROW($A$6))),"")</f>
        <v>0</v>
      </c>
      <c r="C43" s="1956"/>
      <c r="D43" s="1957"/>
      <c r="E43" s="1951" cm="1">
        <f t="array" aca="1" ref="E43" ca="1">IF(ROW()-ROW($A$6)&lt;'الف-ب-ج'!$L$9,IF(روکش!$F$9="سه ماهه",INDIRECT("BudgetDB!IQ"&amp;('الف-ب-ج'!$M$9+ROW()-ROW($A$6))),INDIRECT("BudgetDB!IS"&amp;('الف-ب-ج'!$M$9+ROW()-ROW($A$6)))),"")</f>
        <v>0</v>
      </c>
      <c r="F43" s="1947" cm="1">
        <f t="array" aca="1" ref="F43" ca="1">IF(ROW()-ROW($A$6)&lt;'الف-ب-ج'!$L$9,IF(روکش!$F$9="سه ماهه",INDIRECT("BudgetDB!IR"&amp;('الف-ب-ج'!$M$9+ROW()-ROW($A$6))),INDIRECT("BudgetDB!IT"&amp;('الف-ب-ج'!$M$9+ROW()-ROW($A$6)))),"")</f>
        <v>0</v>
      </c>
      <c r="G43" s="285"/>
      <c r="H43" s="285"/>
      <c r="I43" s="2301" t="str">
        <f t="shared" ca="1" si="2"/>
        <v>-</v>
      </c>
      <c r="J43" s="2303">
        <f t="shared" ca="1" si="4"/>
        <v>500</v>
      </c>
      <c r="K43" s="2301" t="str">
        <f t="shared" ca="1" si="3"/>
        <v>-</v>
      </c>
      <c r="L43" s="2303">
        <f t="shared" ca="1" si="5"/>
        <v>500</v>
      </c>
    </row>
    <row r="44" spans="1:12" ht="26.25" customHeight="1">
      <c r="A44" s="1948">
        <f ca="1">IF(ROW()-ROW($A$6)&lt;'الف-ب-ج'!$L$9,INDIRECT("BudgetDB!IO"&amp;('الف-ب-ج'!$M$9+ROW()-ROW($A$6))),"")</f>
        <v>0</v>
      </c>
      <c r="B44" s="1949">
        <f ca="1">IF(ROW()-ROW($A$6)&lt;'الف-ب-ج'!$L$9,INDIRECT("BudgetDB!IP"&amp;('الف-ب-ج'!$M$9+ROW()-ROW($A$6))),"")</f>
        <v>0</v>
      </c>
      <c r="C44" s="1956"/>
      <c r="D44" s="1957"/>
      <c r="E44" s="1951" cm="1">
        <f t="array" aca="1" ref="E44" ca="1">IF(ROW()-ROW($A$6)&lt;'الف-ب-ج'!$L$9,IF(روکش!$F$9="سه ماهه",INDIRECT("BudgetDB!IQ"&amp;('الف-ب-ج'!$M$9+ROW()-ROW($A$6))),INDIRECT("BudgetDB!IS"&amp;('الف-ب-ج'!$M$9+ROW()-ROW($A$6)))),"")</f>
        <v>0</v>
      </c>
      <c r="F44" s="1947" cm="1">
        <f t="array" aca="1" ref="F44" ca="1">IF(ROW()-ROW($A$6)&lt;'الف-ب-ج'!$L$9,IF(روکش!$F$9="سه ماهه",INDIRECT("BudgetDB!IR"&amp;('الف-ب-ج'!$M$9+ROW()-ROW($A$6))),INDIRECT("BudgetDB!IT"&amp;('الف-ب-ج'!$M$9+ROW()-ROW($A$6)))),"")</f>
        <v>0</v>
      </c>
      <c r="G44" s="285"/>
      <c r="H44" s="285"/>
      <c r="I44" s="2301" t="str">
        <f t="shared" ca="1" si="2"/>
        <v>-</v>
      </c>
      <c r="J44" s="2303">
        <f t="shared" ca="1" si="4"/>
        <v>500</v>
      </c>
      <c r="K44" s="2301" t="str">
        <f t="shared" ca="1" si="3"/>
        <v>-</v>
      </c>
      <c r="L44" s="2303">
        <f t="shared" ca="1" si="5"/>
        <v>500</v>
      </c>
    </row>
    <row r="45" spans="1:12" ht="26.25" customHeight="1">
      <c r="A45" s="1948">
        <f ca="1">IF(ROW()-ROW($A$6)&lt;'الف-ب-ج'!$L$9,INDIRECT("BudgetDB!IO"&amp;('الف-ب-ج'!$M$9+ROW()-ROW($A$6))),"")</f>
        <v>0</v>
      </c>
      <c r="B45" s="1949">
        <f ca="1">IF(ROW()-ROW($A$6)&lt;'الف-ب-ج'!$L$9,INDIRECT("BudgetDB!IP"&amp;('الف-ب-ج'!$M$9+ROW()-ROW($A$6))),"")</f>
        <v>0</v>
      </c>
      <c r="C45" s="1956"/>
      <c r="D45" s="1957"/>
      <c r="E45" s="1951" cm="1">
        <f t="array" aca="1" ref="E45" ca="1">IF(ROW()-ROW($A$6)&lt;'الف-ب-ج'!$L$9,IF(روکش!$F$9="سه ماهه",INDIRECT("BudgetDB!IQ"&amp;('الف-ب-ج'!$M$9+ROW()-ROW($A$6))),INDIRECT("BudgetDB!IS"&amp;('الف-ب-ج'!$M$9+ROW()-ROW($A$6)))),"")</f>
        <v>0</v>
      </c>
      <c r="F45" s="1947" cm="1">
        <f t="array" aca="1" ref="F45" ca="1">IF(ROW()-ROW($A$6)&lt;'الف-ب-ج'!$L$9,IF(روکش!$F$9="سه ماهه",INDIRECT("BudgetDB!IR"&amp;('الف-ب-ج'!$M$9+ROW()-ROW($A$6))),INDIRECT("BudgetDB!IT"&amp;('الف-ب-ج'!$M$9+ROW()-ROW($A$6)))),"")</f>
        <v>0</v>
      </c>
      <c r="G45" s="285"/>
      <c r="H45" s="285"/>
      <c r="I45" s="2301" t="str">
        <f t="shared" ca="1" si="2"/>
        <v>-</v>
      </c>
      <c r="J45" s="2303">
        <f t="shared" ca="1" si="4"/>
        <v>500</v>
      </c>
      <c r="K45" s="2301" t="str">
        <f t="shared" ca="1" si="3"/>
        <v>-</v>
      </c>
      <c r="L45" s="2303">
        <f t="shared" ca="1" si="5"/>
        <v>500</v>
      </c>
    </row>
    <row r="46" spans="1:12" ht="26.25" customHeight="1">
      <c r="A46" s="1948">
        <f ca="1">IF(ROW()-ROW($A$6)&lt;'الف-ب-ج'!$L$9,INDIRECT("BudgetDB!IO"&amp;('الف-ب-ج'!$M$9+ROW()-ROW($A$6))),"")</f>
        <v>0</v>
      </c>
      <c r="B46" s="1949">
        <f ca="1">IF(ROW()-ROW($A$6)&lt;'الف-ب-ج'!$L$9,INDIRECT("BudgetDB!IP"&amp;('الف-ب-ج'!$M$9+ROW()-ROW($A$6))),"")</f>
        <v>0</v>
      </c>
      <c r="C46" s="1956"/>
      <c r="D46" s="1957"/>
      <c r="E46" s="1951" cm="1">
        <f t="array" aca="1" ref="E46" ca="1">IF(ROW()-ROW($A$6)&lt;'الف-ب-ج'!$L$9,IF(روکش!$F$9="سه ماهه",INDIRECT("BudgetDB!IQ"&amp;('الف-ب-ج'!$M$9+ROW()-ROW($A$6))),INDIRECT("BudgetDB!IS"&amp;('الف-ب-ج'!$M$9+ROW()-ROW($A$6)))),"")</f>
        <v>0</v>
      </c>
      <c r="F46" s="1947" cm="1">
        <f t="array" aca="1" ref="F46" ca="1">IF(ROW()-ROW($A$6)&lt;'الف-ب-ج'!$L$9,IF(روکش!$F$9="سه ماهه",INDIRECT("BudgetDB!IR"&amp;('الف-ب-ج'!$M$9+ROW()-ROW($A$6))),INDIRECT("BudgetDB!IT"&amp;('الف-ب-ج'!$M$9+ROW()-ROW($A$6)))),"")</f>
        <v>0</v>
      </c>
      <c r="G46" s="285"/>
      <c r="H46" s="285"/>
      <c r="I46" s="2301" t="str">
        <f t="shared" ca="1" si="2"/>
        <v>-</v>
      </c>
      <c r="J46" s="2303">
        <f t="shared" ca="1" si="4"/>
        <v>500</v>
      </c>
      <c r="K46" s="2301" t="str">
        <f t="shared" ca="1" si="3"/>
        <v>-</v>
      </c>
      <c r="L46" s="2303">
        <f t="shared" ca="1" si="5"/>
        <v>500</v>
      </c>
    </row>
    <row r="47" spans="1:12" ht="26.25" customHeight="1">
      <c r="A47" s="1948">
        <f ca="1">IF(ROW()-ROW($A$6)&lt;'الف-ب-ج'!$L$9,INDIRECT("BudgetDB!IO"&amp;('الف-ب-ج'!$M$9+ROW()-ROW($A$6))),"")</f>
        <v>0</v>
      </c>
      <c r="B47" s="1949">
        <f ca="1">IF(ROW()-ROW($A$6)&lt;'الف-ب-ج'!$L$9,INDIRECT("BudgetDB!IP"&amp;('الف-ب-ج'!$M$9+ROW()-ROW($A$6))),"")</f>
        <v>0</v>
      </c>
      <c r="C47" s="1956"/>
      <c r="D47" s="1957"/>
      <c r="E47" s="1951" cm="1">
        <f t="array" aca="1" ref="E47" ca="1">IF(ROW()-ROW($A$6)&lt;'الف-ب-ج'!$L$9,IF(روکش!$F$9="سه ماهه",INDIRECT("BudgetDB!IQ"&amp;('الف-ب-ج'!$M$9+ROW()-ROW($A$6))),INDIRECT("BudgetDB!IS"&amp;('الف-ب-ج'!$M$9+ROW()-ROW($A$6)))),"")</f>
        <v>0</v>
      </c>
      <c r="F47" s="1947" cm="1">
        <f t="array" aca="1" ref="F47" ca="1">IF(ROW()-ROW($A$6)&lt;'الف-ب-ج'!$L$9,IF(روکش!$F$9="سه ماهه",INDIRECT("BudgetDB!IR"&amp;('الف-ب-ج'!$M$9+ROW()-ROW($A$6))),INDIRECT("BudgetDB!IT"&amp;('الف-ب-ج'!$M$9+ROW()-ROW($A$6)))),"")</f>
        <v>0</v>
      </c>
      <c r="G47" s="285"/>
      <c r="H47" s="285"/>
      <c r="I47" s="2301" t="str">
        <f t="shared" ca="1" si="2"/>
        <v>-</v>
      </c>
      <c r="J47" s="2303">
        <f t="shared" ca="1" si="4"/>
        <v>500</v>
      </c>
      <c r="K47" s="2301" t="str">
        <f t="shared" ca="1" si="3"/>
        <v>-</v>
      </c>
      <c r="L47" s="2303">
        <f t="shared" ca="1" si="5"/>
        <v>500</v>
      </c>
    </row>
    <row r="48" spans="1:12" ht="26.25" customHeight="1">
      <c r="A48" s="1948">
        <f ca="1">IF(ROW()-ROW($A$6)&lt;'الف-ب-ج'!$L$9,INDIRECT("BudgetDB!IO"&amp;('الف-ب-ج'!$M$9+ROW()-ROW($A$6))),"")</f>
        <v>0</v>
      </c>
      <c r="B48" s="1949">
        <f ca="1">IF(ROW()-ROW($A$6)&lt;'الف-ب-ج'!$L$9,INDIRECT("BudgetDB!IP"&amp;('الف-ب-ج'!$M$9+ROW()-ROW($A$6))),"")</f>
        <v>0</v>
      </c>
      <c r="C48" s="1956"/>
      <c r="D48" s="1957"/>
      <c r="E48" s="1951" cm="1">
        <f t="array" aca="1" ref="E48" ca="1">IF(ROW()-ROW($A$6)&lt;'الف-ب-ج'!$L$9,IF(روکش!$F$9="سه ماهه",INDIRECT("BudgetDB!IQ"&amp;('الف-ب-ج'!$M$9+ROW()-ROW($A$6))),INDIRECT("BudgetDB!IS"&amp;('الف-ب-ج'!$M$9+ROW()-ROW($A$6)))),"")</f>
        <v>0</v>
      </c>
      <c r="F48" s="1947" cm="1">
        <f t="array" aca="1" ref="F48" ca="1">IF(ROW()-ROW($A$6)&lt;'الف-ب-ج'!$L$9,IF(روکش!$F$9="سه ماهه",INDIRECT("BudgetDB!IR"&amp;('الف-ب-ج'!$M$9+ROW()-ROW($A$6))),INDIRECT("BudgetDB!IT"&amp;('الف-ب-ج'!$M$9+ROW()-ROW($A$6)))),"")</f>
        <v>0</v>
      </c>
      <c r="G48" s="285"/>
      <c r="H48" s="285"/>
      <c r="I48" s="2301" t="str">
        <f t="shared" ca="1" si="2"/>
        <v>-</v>
      </c>
      <c r="J48" s="2303">
        <f t="shared" ca="1" si="4"/>
        <v>500</v>
      </c>
      <c r="K48" s="2301" t="str">
        <f t="shared" ca="1" si="3"/>
        <v>-</v>
      </c>
      <c r="L48" s="2303">
        <f t="shared" ca="1" si="5"/>
        <v>500</v>
      </c>
    </row>
    <row r="49" spans="1:12" ht="26.25" customHeight="1">
      <c r="A49" s="1948">
        <f ca="1">IF(ROW()-ROW($A$6)&lt;'الف-ب-ج'!$L$9,INDIRECT("BudgetDB!IO"&amp;('الف-ب-ج'!$M$9+ROW()-ROW($A$6))),"")</f>
        <v>0</v>
      </c>
      <c r="B49" s="1949">
        <f ca="1">IF(ROW()-ROW($A$6)&lt;'الف-ب-ج'!$L$9,INDIRECT("BudgetDB!IP"&amp;('الف-ب-ج'!$M$9+ROW()-ROW($A$6))),"")</f>
        <v>0</v>
      </c>
      <c r="C49" s="1956"/>
      <c r="D49" s="1957"/>
      <c r="E49" s="1951" cm="1">
        <f t="array" aca="1" ref="E49" ca="1">IF(ROW()-ROW($A$6)&lt;'الف-ب-ج'!$L$9,IF(روکش!$F$9="سه ماهه",INDIRECT("BudgetDB!IQ"&amp;('الف-ب-ج'!$M$9+ROW()-ROW($A$6))),INDIRECT("BudgetDB!IS"&amp;('الف-ب-ج'!$M$9+ROW()-ROW($A$6)))),"")</f>
        <v>0</v>
      </c>
      <c r="F49" s="1947" cm="1">
        <f t="array" aca="1" ref="F49" ca="1">IF(ROW()-ROW($A$6)&lt;'الف-ب-ج'!$L$9,IF(روکش!$F$9="سه ماهه",INDIRECT("BudgetDB!IR"&amp;('الف-ب-ج'!$M$9+ROW()-ROW($A$6))),INDIRECT("BudgetDB!IT"&amp;('الف-ب-ج'!$M$9+ROW()-ROW($A$6)))),"")</f>
        <v>0</v>
      </c>
      <c r="G49" s="285"/>
      <c r="H49" s="285"/>
      <c r="I49" s="2301" t="str">
        <f t="shared" ca="1" si="2"/>
        <v>-</v>
      </c>
      <c r="J49" s="2303">
        <f t="shared" ca="1" si="4"/>
        <v>500</v>
      </c>
      <c r="K49" s="2301" t="str">
        <f t="shared" ca="1" si="3"/>
        <v>-</v>
      </c>
      <c r="L49" s="2303">
        <f t="shared" ca="1" si="5"/>
        <v>500</v>
      </c>
    </row>
    <row r="50" spans="1:12" ht="26.25" customHeight="1">
      <c r="A50" s="1948">
        <f ca="1">IF(ROW()-ROW($A$6)&lt;'الف-ب-ج'!$L$9,INDIRECT("BudgetDB!IO"&amp;('الف-ب-ج'!$M$9+ROW()-ROW($A$6))),"")</f>
        <v>0</v>
      </c>
      <c r="B50" s="1949">
        <f ca="1">IF(ROW()-ROW($A$6)&lt;'الف-ب-ج'!$L$9,INDIRECT("BudgetDB!IP"&amp;('الف-ب-ج'!$M$9+ROW()-ROW($A$6))),"")</f>
        <v>0</v>
      </c>
      <c r="C50" s="1956"/>
      <c r="D50" s="1957"/>
      <c r="E50" s="1951" cm="1">
        <f t="array" aca="1" ref="E50" ca="1">IF(ROW()-ROW($A$6)&lt;'الف-ب-ج'!$L$9,IF(روکش!$F$9="سه ماهه",INDIRECT("BudgetDB!IQ"&amp;('الف-ب-ج'!$M$9+ROW()-ROW($A$6))),INDIRECT("BudgetDB!IS"&amp;('الف-ب-ج'!$M$9+ROW()-ROW($A$6)))),"")</f>
        <v>0</v>
      </c>
      <c r="F50" s="1947" cm="1">
        <f t="array" aca="1" ref="F50" ca="1">IF(ROW()-ROW($A$6)&lt;'الف-ب-ج'!$L$9,IF(روکش!$F$9="سه ماهه",INDIRECT("BudgetDB!IR"&amp;('الف-ب-ج'!$M$9+ROW()-ROW($A$6))),INDIRECT("BudgetDB!IT"&amp;('الف-ب-ج'!$M$9+ROW()-ROW($A$6)))),"")</f>
        <v>0</v>
      </c>
      <c r="G50" s="285"/>
      <c r="H50" s="285"/>
      <c r="I50" s="2301" t="str">
        <f t="shared" ca="1" si="2"/>
        <v>-</v>
      </c>
      <c r="J50" s="2303">
        <f t="shared" ca="1" si="4"/>
        <v>500</v>
      </c>
      <c r="K50" s="2301" t="str">
        <f t="shared" ca="1" si="3"/>
        <v>-</v>
      </c>
      <c r="L50" s="2303">
        <f t="shared" ca="1" si="5"/>
        <v>500</v>
      </c>
    </row>
    <row r="51" spans="1:12" ht="26.25" customHeight="1">
      <c r="A51" s="1948">
        <f ca="1">IF(ROW()-ROW($A$6)&lt;'الف-ب-ج'!$L$9,INDIRECT("BudgetDB!IO"&amp;('الف-ب-ج'!$M$9+ROW()-ROW($A$6))),"")</f>
        <v>0</v>
      </c>
      <c r="B51" s="1949">
        <f ca="1">IF(ROW()-ROW($A$6)&lt;'الف-ب-ج'!$L$9,INDIRECT("BudgetDB!IP"&amp;('الف-ب-ج'!$M$9+ROW()-ROW($A$6))),"")</f>
        <v>0</v>
      </c>
      <c r="C51" s="1956"/>
      <c r="D51" s="1957"/>
      <c r="E51" s="1951" cm="1">
        <f t="array" aca="1" ref="E51" ca="1">IF(ROW()-ROW($A$6)&lt;'الف-ب-ج'!$L$9,IF(روکش!$F$9="سه ماهه",INDIRECT("BudgetDB!IQ"&amp;('الف-ب-ج'!$M$9+ROW()-ROW($A$6))),INDIRECT("BudgetDB!IS"&amp;('الف-ب-ج'!$M$9+ROW()-ROW($A$6)))),"")</f>
        <v>0</v>
      </c>
      <c r="F51" s="1947" cm="1">
        <f t="array" aca="1" ref="F51" ca="1">IF(ROW()-ROW($A$6)&lt;'الف-ب-ج'!$L$9,IF(روکش!$F$9="سه ماهه",INDIRECT("BudgetDB!IR"&amp;('الف-ب-ج'!$M$9+ROW()-ROW($A$6))),INDIRECT("BudgetDB!IT"&amp;('الف-ب-ج'!$M$9+ROW()-ROW($A$6)))),"")</f>
        <v>0</v>
      </c>
      <c r="G51" s="285"/>
      <c r="H51" s="285"/>
      <c r="I51" s="2301" t="str">
        <f t="shared" ca="1" si="2"/>
        <v>-</v>
      </c>
      <c r="J51" s="2303">
        <f t="shared" ca="1" si="4"/>
        <v>500</v>
      </c>
      <c r="K51" s="2301" t="str">
        <f t="shared" ca="1" si="3"/>
        <v>-</v>
      </c>
      <c r="L51" s="2303">
        <f t="shared" ca="1" si="5"/>
        <v>500</v>
      </c>
    </row>
    <row r="52" spans="1:12" ht="26.25" customHeight="1">
      <c r="A52" s="1948">
        <f ca="1">IF(ROW()-ROW($A$6)&lt;'الف-ب-ج'!$L$9,INDIRECT("BudgetDB!IO"&amp;('الف-ب-ج'!$M$9+ROW()-ROW($A$6))),"")</f>
        <v>0</v>
      </c>
      <c r="B52" s="1949">
        <f ca="1">IF(ROW()-ROW($A$6)&lt;'الف-ب-ج'!$L$9,INDIRECT("BudgetDB!IP"&amp;('الف-ب-ج'!$M$9+ROW()-ROW($A$6))),"")</f>
        <v>0</v>
      </c>
      <c r="C52" s="1956"/>
      <c r="D52" s="1957"/>
      <c r="E52" s="1951" cm="1">
        <f t="array" aca="1" ref="E52" ca="1">IF(ROW()-ROW($A$6)&lt;'الف-ب-ج'!$L$9,IF(روکش!$F$9="سه ماهه",INDIRECT("BudgetDB!IQ"&amp;('الف-ب-ج'!$M$9+ROW()-ROW($A$6))),INDIRECT("BudgetDB!IS"&amp;('الف-ب-ج'!$M$9+ROW()-ROW($A$6)))),"")</f>
        <v>0</v>
      </c>
      <c r="F52" s="1947" cm="1">
        <f t="array" aca="1" ref="F52" ca="1">IF(ROW()-ROW($A$6)&lt;'الف-ب-ج'!$L$9,IF(روکش!$F$9="سه ماهه",INDIRECT("BudgetDB!IR"&amp;('الف-ب-ج'!$M$9+ROW()-ROW($A$6))),INDIRECT("BudgetDB!IT"&amp;('الف-ب-ج'!$M$9+ROW()-ROW($A$6)))),"")</f>
        <v>0</v>
      </c>
      <c r="G52" s="285"/>
      <c r="H52" s="285"/>
      <c r="I52" s="2301" t="str">
        <f t="shared" ca="1" si="2"/>
        <v>-</v>
      </c>
      <c r="J52" s="2303">
        <f t="shared" ca="1" si="4"/>
        <v>500</v>
      </c>
      <c r="K52" s="2301" t="str">
        <f t="shared" ca="1" si="3"/>
        <v>-</v>
      </c>
      <c r="L52" s="2303">
        <f t="shared" ca="1" si="5"/>
        <v>500</v>
      </c>
    </row>
    <row r="53" spans="1:12" ht="26.25" customHeight="1">
      <c r="A53" s="1948">
        <f ca="1">IF(ROW()-ROW($A$6)&lt;'الف-ب-ج'!$L$9,INDIRECT("BudgetDB!IO"&amp;('الف-ب-ج'!$M$9+ROW()-ROW($A$6))),"")</f>
        <v>0</v>
      </c>
      <c r="B53" s="1949">
        <f ca="1">IF(ROW()-ROW($A$6)&lt;'الف-ب-ج'!$L$9,INDIRECT("BudgetDB!IP"&amp;('الف-ب-ج'!$M$9+ROW()-ROW($A$6))),"")</f>
        <v>0</v>
      </c>
      <c r="C53" s="1956"/>
      <c r="D53" s="1957"/>
      <c r="E53" s="1951" cm="1">
        <f t="array" aca="1" ref="E53" ca="1">IF(ROW()-ROW($A$6)&lt;'الف-ب-ج'!$L$9,IF(روکش!$F$9="سه ماهه",INDIRECT("BudgetDB!IQ"&amp;('الف-ب-ج'!$M$9+ROW()-ROW($A$6))),INDIRECT("BudgetDB!IS"&amp;('الف-ب-ج'!$M$9+ROW()-ROW($A$6)))),"")</f>
        <v>0</v>
      </c>
      <c r="F53" s="1947" cm="1">
        <f t="array" aca="1" ref="F53" ca="1">IF(ROW()-ROW($A$6)&lt;'الف-ب-ج'!$L$9,IF(روکش!$F$9="سه ماهه",INDIRECT("BudgetDB!IR"&amp;('الف-ب-ج'!$M$9+ROW()-ROW($A$6))),INDIRECT("BudgetDB!IT"&amp;('الف-ب-ج'!$M$9+ROW()-ROW($A$6)))),"")</f>
        <v>0</v>
      </c>
      <c r="G53" s="285"/>
      <c r="H53" s="285"/>
      <c r="I53" s="2301" t="str">
        <f t="shared" ca="1" si="2"/>
        <v>-</v>
      </c>
      <c r="J53" s="2303">
        <f t="shared" ca="1" si="4"/>
        <v>500</v>
      </c>
      <c r="K53" s="2301" t="str">
        <f t="shared" ca="1" si="3"/>
        <v>-</v>
      </c>
      <c r="L53" s="2303">
        <f t="shared" ca="1" si="5"/>
        <v>500</v>
      </c>
    </row>
    <row r="54" spans="1:12" ht="26.25" customHeight="1">
      <c r="A54" s="1948">
        <f ca="1">IF(ROW()-ROW($A$6)&lt;'الف-ب-ج'!$L$9,INDIRECT("BudgetDB!IO"&amp;('الف-ب-ج'!$M$9+ROW()-ROW($A$6))),"")</f>
        <v>0</v>
      </c>
      <c r="B54" s="1949">
        <f ca="1">IF(ROW()-ROW($A$6)&lt;'الف-ب-ج'!$L$9,INDIRECT("BudgetDB!IP"&amp;('الف-ب-ج'!$M$9+ROW()-ROW($A$6))),"")</f>
        <v>0</v>
      </c>
      <c r="C54" s="1956"/>
      <c r="D54" s="1957"/>
      <c r="E54" s="1951" cm="1">
        <f t="array" aca="1" ref="E54" ca="1">IF(ROW()-ROW($A$6)&lt;'الف-ب-ج'!$L$9,IF(روکش!$F$9="سه ماهه",INDIRECT("BudgetDB!IQ"&amp;('الف-ب-ج'!$M$9+ROW()-ROW($A$6))),INDIRECT("BudgetDB!IS"&amp;('الف-ب-ج'!$M$9+ROW()-ROW($A$6)))),"")</f>
        <v>0</v>
      </c>
      <c r="F54" s="1947" cm="1">
        <f t="array" aca="1" ref="F54" ca="1">IF(ROW()-ROW($A$6)&lt;'الف-ب-ج'!$L$9,IF(روکش!$F$9="سه ماهه",INDIRECT("BudgetDB!IR"&amp;('الف-ب-ج'!$M$9+ROW()-ROW($A$6))),INDIRECT("BudgetDB!IT"&amp;('الف-ب-ج'!$M$9+ROW()-ROW($A$6)))),"")</f>
        <v>0</v>
      </c>
      <c r="G54" s="285"/>
      <c r="H54" s="285"/>
      <c r="I54" s="2301" t="str">
        <f t="shared" ca="1" si="2"/>
        <v>-</v>
      </c>
      <c r="J54" s="2303">
        <f t="shared" ca="1" si="4"/>
        <v>500</v>
      </c>
      <c r="K54" s="2301" t="str">
        <f t="shared" ca="1" si="3"/>
        <v>-</v>
      </c>
      <c r="L54" s="2303">
        <f t="shared" ca="1" si="5"/>
        <v>500</v>
      </c>
    </row>
    <row r="55" spans="1:12" ht="26.25" customHeight="1">
      <c r="A55" s="1948">
        <f ca="1">IF(ROW()-ROW($A$6)&lt;'الف-ب-ج'!$L$9,INDIRECT("BudgetDB!IO"&amp;('الف-ب-ج'!$M$9+ROW()-ROW($A$6))),"")</f>
        <v>0</v>
      </c>
      <c r="B55" s="1949">
        <f ca="1">IF(ROW()-ROW($A$6)&lt;'الف-ب-ج'!$L$9,INDIRECT("BudgetDB!IP"&amp;('الف-ب-ج'!$M$9+ROW()-ROW($A$6))),"")</f>
        <v>0</v>
      </c>
      <c r="C55" s="1956"/>
      <c r="D55" s="1957"/>
      <c r="E55" s="1951" cm="1">
        <f t="array" aca="1" ref="E55" ca="1">IF(ROW()-ROW($A$6)&lt;'الف-ب-ج'!$L$9,IF(روکش!$F$9="سه ماهه",INDIRECT("BudgetDB!IQ"&amp;('الف-ب-ج'!$M$9+ROW()-ROW($A$6))),INDIRECT("BudgetDB!IS"&amp;('الف-ب-ج'!$M$9+ROW()-ROW($A$6)))),"")</f>
        <v>0</v>
      </c>
      <c r="F55" s="1947" cm="1">
        <f t="array" aca="1" ref="F55" ca="1">IF(ROW()-ROW($A$6)&lt;'الف-ب-ج'!$L$9,IF(روکش!$F$9="سه ماهه",INDIRECT("BudgetDB!IR"&amp;('الف-ب-ج'!$M$9+ROW()-ROW($A$6))),INDIRECT("BudgetDB!IT"&amp;('الف-ب-ج'!$M$9+ROW()-ROW($A$6)))),"")</f>
        <v>0</v>
      </c>
      <c r="G55" s="285"/>
      <c r="H55" s="285"/>
      <c r="I55" s="2301" t="str">
        <f t="shared" ca="1" si="2"/>
        <v>-</v>
      </c>
      <c r="J55" s="2303">
        <f t="shared" ca="1" si="4"/>
        <v>500</v>
      </c>
      <c r="K55" s="2301" t="str">
        <f t="shared" ca="1" si="3"/>
        <v>-</v>
      </c>
      <c r="L55" s="2303">
        <f t="shared" ca="1" si="5"/>
        <v>500</v>
      </c>
    </row>
    <row r="56" spans="1:12" ht="26.25" customHeight="1">
      <c r="A56" s="1948">
        <f ca="1">IF(ROW()-ROW($A$6)&lt;'الف-ب-ج'!$L$9,INDIRECT("BudgetDB!IO"&amp;('الف-ب-ج'!$M$9+ROW()-ROW($A$6))),"")</f>
        <v>0</v>
      </c>
      <c r="B56" s="1949">
        <f ca="1">IF(ROW()-ROW($A$6)&lt;'الف-ب-ج'!$L$9,INDIRECT("BudgetDB!IP"&amp;('الف-ب-ج'!$M$9+ROW()-ROW($A$6))),"")</f>
        <v>0</v>
      </c>
      <c r="C56" s="1956"/>
      <c r="D56" s="1957"/>
      <c r="E56" s="1951" cm="1">
        <f t="array" aca="1" ref="E56" ca="1">IF(ROW()-ROW($A$6)&lt;'الف-ب-ج'!$L$9,IF(روکش!$F$9="سه ماهه",INDIRECT("BudgetDB!IQ"&amp;('الف-ب-ج'!$M$9+ROW()-ROW($A$6))),INDIRECT("BudgetDB!IS"&amp;('الف-ب-ج'!$M$9+ROW()-ROW($A$6)))),"")</f>
        <v>0</v>
      </c>
      <c r="F56" s="1947" cm="1">
        <f t="array" aca="1" ref="F56" ca="1">IF(ROW()-ROW($A$6)&lt;'الف-ب-ج'!$L$9,IF(روکش!$F$9="سه ماهه",INDIRECT("BudgetDB!IR"&amp;('الف-ب-ج'!$M$9+ROW()-ROW($A$6))),INDIRECT("BudgetDB!IT"&amp;('الف-ب-ج'!$M$9+ROW()-ROW($A$6)))),"")</f>
        <v>0</v>
      </c>
      <c r="G56" s="285"/>
      <c r="H56" s="285"/>
      <c r="I56" s="2301" t="str">
        <f t="shared" ca="1" si="2"/>
        <v>-</v>
      </c>
      <c r="J56" s="2303">
        <f t="shared" ca="1" si="4"/>
        <v>500</v>
      </c>
      <c r="K56" s="2301" t="str">
        <f t="shared" ca="1" si="3"/>
        <v>-</v>
      </c>
      <c r="L56" s="2303">
        <f t="shared" ca="1" si="5"/>
        <v>500</v>
      </c>
    </row>
    <row r="57" spans="1:12" ht="26.25" customHeight="1">
      <c r="A57" s="1948">
        <f ca="1">IF(ROW()-ROW($A$6)&lt;'الف-ب-ج'!$L$9,INDIRECT("BudgetDB!IO"&amp;('الف-ب-ج'!$M$9+ROW()-ROW($A$6))),"")</f>
        <v>0</v>
      </c>
      <c r="B57" s="1949">
        <f ca="1">IF(ROW()-ROW($A$6)&lt;'الف-ب-ج'!$L$9,INDIRECT("BudgetDB!IP"&amp;('الف-ب-ج'!$M$9+ROW()-ROW($A$6))),"")</f>
        <v>0</v>
      </c>
      <c r="C57" s="1956"/>
      <c r="D57" s="1957"/>
      <c r="E57" s="1951" cm="1">
        <f t="array" aca="1" ref="E57" ca="1">IF(ROW()-ROW($A$6)&lt;'الف-ب-ج'!$L$9,IF(روکش!$F$9="سه ماهه",INDIRECT("BudgetDB!IQ"&amp;('الف-ب-ج'!$M$9+ROW()-ROW($A$6))),INDIRECT("BudgetDB!IS"&amp;('الف-ب-ج'!$M$9+ROW()-ROW($A$6)))),"")</f>
        <v>0</v>
      </c>
      <c r="F57" s="1947" cm="1">
        <f t="array" aca="1" ref="F57" ca="1">IF(ROW()-ROW($A$6)&lt;'الف-ب-ج'!$L$9,IF(روکش!$F$9="سه ماهه",INDIRECT("BudgetDB!IR"&amp;('الف-ب-ج'!$M$9+ROW()-ROW($A$6))),INDIRECT("BudgetDB!IT"&amp;('الف-ب-ج'!$M$9+ROW()-ROW($A$6)))),"")</f>
        <v>0</v>
      </c>
      <c r="G57" s="285"/>
      <c r="H57" s="285"/>
      <c r="I57" s="2301" t="str">
        <f t="shared" ca="1" si="2"/>
        <v>-</v>
      </c>
      <c r="J57" s="2303">
        <f t="shared" ca="1" si="4"/>
        <v>500</v>
      </c>
      <c r="K57" s="2301" t="str">
        <f t="shared" ca="1" si="3"/>
        <v>-</v>
      </c>
      <c r="L57" s="2303">
        <f t="shared" ca="1" si="5"/>
        <v>500</v>
      </c>
    </row>
    <row r="58" spans="1:12" ht="26.25" customHeight="1">
      <c r="A58" s="1948">
        <f ca="1">IF(ROW()-ROW($A$6)&lt;'الف-ب-ج'!$L$9,INDIRECT("BudgetDB!IO"&amp;('الف-ب-ج'!$M$9+ROW()-ROW($A$6))),"")</f>
        <v>0</v>
      </c>
      <c r="B58" s="1949">
        <f ca="1">IF(ROW()-ROW($A$6)&lt;'الف-ب-ج'!$L$9,INDIRECT("BudgetDB!IP"&amp;('الف-ب-ج'!$M$9+ROW()-ROW($A$6))),"")</f>
        <v>0</v>
      </c>
      <c r="C58" s="1956"/>
      <c r="D58" s="1957"/>
      <c r="E58" s="1951" cm="1">
        <f t="array" aca="1" ref="E58" ca="1">IF(ROW()-ROW($A$6)&lt;'الف-ب-ج'!$L$9,IF(روکش!$F$9="سه ماهه",INDIRECT("BudgetDB!IQ"&amp;('الف-ب-ج'!$M$9+ROW()-ROW($A$6))),INDIRECT("BudgetDB!IS"&amp;('الف-ب-ج'!$M$9+ROW()-ROW($A$6)))),"")</f>
        <v>0</v>
      </c>
      <c r="F58" s="1947" cm="1">
        <f t="array" aca="1" ref="F58" ca="1">IF(ROW()-ROW($A$6)&lt;'الف-ب-ج'!$L$9,IF(روکش!$F$9="سه ماهه",INDIRECT("BudgetDB!IR"&amp;('الف-ب-ج'!$M$9+ROW()-ROW($A$6))),INDIRECT("BudgetDB!IT"&amp;('الف-ب-ج'!$M$9+ROW()-ROW($A$6)))),"")</f>
        <v>0</v>
      </c>
      <c r="G58" s="285"/>
      <c r="H58" s="285"/>
      <c r="I58" s="2301" t="str">
        <f t="shared" ca="1" si="2"/>
        <v>-</v>
      </c>
      <c r="J58" s="2303">
        <f t="shared" ca="1" si="4"/>
        <v>500</v>
      </c>
      <c r="K58" s="2301" t="str">
        <f t="shared" ca="1" si="3"/>
        <v>-</v>
      </c>
      <c r="L58" s="2303">
        <f t="shared" ca="1" si="5"/>
        <v>500</v>
      </c>
    </row>
    <row r="59" spans="1:12" ht="26.25" customHeight="1">
      <c r="A59" s="1948">
        <f ca="1">IF(ROW()-ROW($A$6)&lt;'الف-ب-ج'!$L$9,INDIRECT("BudgetDB!IO"&amp;('الف-ب-ج'!$M$9+ROW()-ROW($A$6))),"")</f>
        <v>0</v>
      </c>
      <c r="B59" s="1949">
        <f ca="1">IF(ROW()-ROW($A$6)&lt;'الف-ب-ج'!$L$9,INDIRECT("BudgetDB!IP"&amp;('الف-ب-ج'!$M$9+ROW()-ROW($A$6))),"")</f>
        <v>0</v>
      </c>
      <c r="C59" s="1956"/>
      <c r="D59" s="1957"/>
      <c r="E59" s="1951" cm="1">
        <f t="array" aca="1" ref="E59" ca="1">IF(ROW()-ROW($A$6)&lt;'الف-ب-ج'!$L$9,IF(روکش!$F$9="سه ماهه",INDIRECT("BudgetDB!IQ"&amp;('الف-ب-ج'!$M$9+ROW()-ROW($A$6))),INDIRECT("BudgetDB!IS"&amp;('الف-ب-ج'!$M$9+ROW()-ROW($A$6)))),"")</f>
        <v>0</v>
      </c>
      <c r="F59" s="1947" cm="1">
        <f t="array" aca="1" ref="F59" ca="1">IF(ROW()-ROW($A$6)&lt;'الف-ب-ج'!$L$9,IF(روکش!$F$9="سه ماهه",INDIRECT("BudgetDB!IR"&amp;('الف-ب-ج'!$M$9+ROW()-ROW($A$6))),INDIRECT("BudgetDB!IT"&amp;('الف-ب-ج'!$M$9+ROW()-ROW($A$6)))),"")</f>
        <v>0</v>
      </c>
      <c r="G59" s="285"/>
      <c r="H59" s="285"/>
      <c r="I59" s="2301" t="str">
        <f t="shared" ca="1" si="2"/>
        <v>-</v>
      </c>
      <c r="J59" s="2303">
        <f t="shared" ca="1" si="4"/>
        <v>500</v>
      </c>
      <c r="K59" s="2301" t="str">
        <f t="shared" ca="1" si="3"/>
        <v>-</v>
      </c>
      <c r="L59" s="2303">
        <f t="shared" ca="1" si="5"/>
        <v>500</v>
      </c>
    </row>
    <row r="60" spans="1:12" ht="26.25" customHeight="1">
      <c r="A60" s="1948">
        <f ca="1">IF(ROW()-ROW($A$6)&lt;'الف-ب-ج'!$L$9,INDIRECT("BudgetDB!IO"&amp;('الف-ب-ج'!$M$9+ROW()-ROW($A$6))),"")</f>
        <v>0</v>
      </c>
      <c r="B60" s="1949">
        <f ca="1">IF(ROW()-ROW($A$6)&lt;'الف-ب-ج'!$L$9,INDIRECT("BudgetDB!IP"&amp;('الف-ب-ج'!$M$9+ROW()-ROW($A$6))),"")</f>
        <v>0</v>
      </c>
      <c r="C60" s="1956"/>
      <c r="D60" s="1957"/>
      <c r="E60" s="1951" cm="1">
        <f t="array" aca="1" ref="E60" ca="1">IF(ROW()-ROW($A$6)&lt;'الف-ب-ج'!$L$9,IF(روکش!$F$9="سه ماهه",INDIRECT("BudgetDB!IQ"&amp;('الف-ب-ج'!$M$9+ROW()-ROW($A$6))),INDIRECT("BudgetDB!IS"&amp;('الف-ب-ج'!$M$9+ROW()-ROW($A$6)))),"")</f>
        <v>0</v>
      </c>
      <c r="F60" s="1947" cm="1">
        <f t="array" aca="1" ref="F60" ca="1">IF(ROW()-ROW($A$6)&lt;'الف-ب-ج'!$L$9,IF(روکش!$F$9="سه ماهه",INDIRECT("BudgetDB!IR"&amp;('الف-ب-ج'!$M$9+ROW()-ROW($A$6))),INDIRECT("BudgetDB!IT"&amp;('الف-ب-ج'!$M$9+ROW()-ROW($A$6)))),"")</f>
        <v>0</v>
      </c>
      <c r="G60" s="285"/>
      <c r="H60" s="285"/>
      <c r="I60" s="2301" t="str">
        <f t="shared" ca="1" si="2"/>
        <v>-</v>
      </c>
      <c r="J60" s="2303">
        <f t="shared" ca="1" si="4"/>
        <v>500</v>
      </c>
      <c r="K60" s="2301" t="str">
        <f t="shared" ca="1" si="3"/>
        <v>-</v>
      </c>
      <c r="L60" s="2303">
        <f t="shared" ca="1" si="5"/>
        <v>500</v>
      </c>
    </row>
    <row r="61" spans="1:12" ht="36.75" customHeight="1" thickBot="1">
      <c r="A61" s="3297" t="s">
        <v>100</v>
      </c>
      <c r="B61" s="3298"/>
      <c r="C61" s="1945">
        <f ca="1">SUMIF($B$6:$B$60,"جمع تایپ",C6:C60)</f>
        <v>0</v>
      </c>
      <c r="D61" s="1944">
        <f t="shared" ref="D61:H61" ca="1" si="6">SUMIF($B$6:$B$60,"جمع تایپ",D6:D60)</f>
        <v>0</v>
      </c>
      <c r="E61" s="1952">
        <f t="shared" ca="1" si="6"/>
        <v>0</v>
      </c>
      <c r="F61" s="1943">
        <f t="shared" ca="1" si="6"/>
        <v>0</v>
      </c>
      <c r="G61" s="1943">
        <f t="shared" ca="1" si="6"/>
        <v>0</v>
      </c>
      <c r="H61" s="1943">
        <f t="shared" ca="1" si="6"/>
        <v>0</v>
      </c>
      <c r="I61" s="2153">
        <f ca="1">E61+G61</f>
        <v>0</v>
      </c>
      <c r="J61" s="2304">
        <f t="shared" ca="1" si="4"/>
        <v>100</v>
      </c>
      <c r="K61" s="2153">
        <f ca="1">F61+H61</f>
        <v>0</v>
      </c>
      <c r="L61" s="2304">
        <f t="shared" ca="1" si="5"/>
        <v>100</v>
      </c>
    </row>
  </sheetData>
  <mergeCells count="11">
    <mergeCell ref="A1:L1"/>
    <mergeCell ref="E3:L3"/>
    <mergeCell ref="I4:L4"/>
    <mergeCell ref="I5:J5"/>
    <mergeCell ref="K5:L5"/>
    <mergeCell ref="A61:B61"/>
    <mergeCell ref="E4:F4"/>
    <mergeCell ref="A3:A5"/>
    <mergeCell ref="B3:B5"/>
    <mergeCell ref="G4:H4"/>
    <mergeCell ref="C3:D4"/>
  </mergeCells>
  <conditionalFormatting sqref="J6:J61 L6:L61">
    <cfRule type="iconSet" priority="3">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0" firstPageNumber="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5">
    <tabColor rgb="FF0000FF"/>
    <pageSetUpPr fitToPage="1"/>
  </sheetPr>
  <dimension ref="A1:S39"/>
  <sheetViews>
    <sheetView rightToLeft="1" topLeftCell="A5" zoomScale="85" zoomScaleNormal="85" workbookViewId="0">
      <selection activeCell="J18" sqref="J18"/>
    </sheetView>
  </sheetViews>
  <sheetFormatPr defaultColWidth="9" defaultRowHeight="15"/>
  <cols>
    <col min="1" max="1" width="15.7109375" style="5" customWidth="1"/>
    <col min="2" max="3" width="10.5703125" style="5" customWidth="1"/>
    <col min="4" max="4" width="9.5703125" style="5" customWidth="1"/>
    <col min="5" max="15" width="10.5703125" style="5" customWidth="1"/>
    <col min="16" max="16" width="11.85546875" style="5" bestFit="1" customWidth="1"/>
    <col min="17" max="17" width="11.140625" style="5" bestFit="1" customWidth="1"/>
    <col min="18" max="18" width="9" style="5"/>
    <col min="19" max="19" width="0" style="41" hidden="1" customWidth="1"/>
    <col min="20" max="16384" width="9" style="5"/>
  </cols>
  <sheetData>
    <row r="1" spans="1:19" s="52"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S1" s="1077"/>
    </row>
    <row r="2" spans="1:19" s="52" customFormat="1" ht="28.5" customHeight="1">
      <c r="A2" s="1206" t="str">
        <f>"گزارش درآمد فروش بلیط داخلی در دوره " &amp; روکش!F9 &amp; " سال " &amp; روکش!D9</f>
        <v>گزارش درآمد فروش بلیط داخلی در دوره شش ماهه سال 1405</v>
      </c>
      <c r="B2" s="1206"/>
      <c r="C2" s="1206"/>
      <c r="D2" s="1206"/>
      <c r="E2" s="1206"/>
      <c r="F2" s="1206"/>
      <c r="G2" s="1206"/>
      <c r="H2" s="1206"/>
      <c r="I2" s="1206"/>
      <c r="J2" s="1206"/>
      <c r="K2" s="1206"/>
      <c r="L2" s="1206"/>
      <c r="M2" s="1206"/>
      <c r="N2" s="1203"/>
      <c r="O2" s="1203"/>
      <c r="P2" s="1203"/>
      <c r="Q2" s="1203"/>
      <c r="S2" s="1077"/>
    </row>
    <row r="3" spans="1:19" ht="20.100000000000001" customHeight="1" thickBot="1">
      <c r="A3" s="3320"/>
      <c r="B3" s="3320"/>
      <c r="C3" s="3320"/>
      <c r="D3" s="3320"/>
      <c r="E3" s="907"/>
      <c r="F3" s="907"/>
      <c r="G3" s="907"/>
      <c r="H3" s="625"/>
      <c r="I3" s="625"/>
      <c r="J3" s="625"/>
      <c r="K3" s="625"/>
      <c r="L3" s="625"/>
      <c r="M3" s="1261"/>
      <c r="N3" s="1261"/>
      <c r="O3" s="1262"/>
      <c r="P3" s="1262"/>
      <c r="Q3" s="1262" t="s">
        <v>612</v>
      </c>
    </row>
    <row r="4" spans="1:19" ht="21.75" customHeight="1">
      <c r="A4" s="3322" t="s">
        <v>603</v>
      </c>
      <c r="B4" s="3324" t="s">
        <v>683</v>
      </c>
      <c r="C4" s="3325"/>
      <c r="D4" s="3325"/>
      <c r="E4" s="3325"/>
      <c r="F4" s="3325"/>
      <c r="G4" s="3325"/>
      <c r="H4" s="3325"/>
      <c r="I4" s="3326"/>
      <c r="J4" s="3324" t="s">
        <v>674</v>
      </c>
      <c r="K4" s="3325"/>
      <c r="L4" s="3325"/>
      <c r="M4" s="3325"/>
      <c r="N4" s="3325"/>
      <c r="O4" s="3325"/>
      <c r="P4" s="3325"/>
      <c r="Q4" s="3326"/>
    </row>
    <row r="5" spans="1:19" s="1051" customFormat="1" ht="63" customHeight="1" thickBot="1">
      <c r="A5" s="3323"/>
      <c r="B5" s="1959" t="s">
        <v>606</v>
      </c>
      <c r="C5" s="1960" t="s">
        <v>607</v>
      </c>
      <c r="D5" s="1960" t="s">
        <v>608</v>
      </c>
      <c r="E5" s="1960" t="s">
        <v>609</v>
      </c>
      <c r="F5" s="1960" t="s">
        <v>610</v>
      </c>
      <c r="G5" s="1960" t="s">
        <v>613</v>
      </c>
      <c r="H5" s="1960" t="s">
        <v>611</v>
      </c>
      <c r="I5" s="1961" t="s">
        <v>10</v>
      </c>
      <c r="J5" s="1959" t="s">
        <v>606</v>
      </c>
      <c r="K5" s="1960" t="s">
        <v>607</v>
      </c>
      <c r="L5" s="1960" t="s">
        <v>608</v>
      </c>
      <c r="M5" s="1960" t="s">
        <v>609</v>
      </c>
      <c r="N5" s="1960" t="s">
        <v>610</v>
      </c>
      <c r="O5" s="1960" t="s">
        <v>613</v>
      </c>
      <c r="P5" s="1960" t="s">
        <v>611</v>
      </c>
      <c r="Q5" s="1961" t="s">
        <v>10</v>
      </c>
      <c r="S5" s="1080"/>
    </row>
    <row r="6" spans="1:19" ht="21.95" customHeight="1">
      <c r="A6" s="1981">
        <f ca="1">IF(ROW()-ROW($A$6)&lt;'الف-ب-ج'!$L$9,INDIRECT("BudgetDB!IU"&amp;('الف-ب-ج'!$M$9+ROW()-ROW($A$6))),"")</f>
        <v>0</v>
      </c>
      <c r="B6" s="1161"/>
      <c r="C6" s="300"/>
      <c r="D6" s="626" t="str">
        <f>IFERROR(ROUND(B6/C6,0),"-")</f>
        <v>-</v>
      </c>
      <c r="E6" s="1164"/>
      <c r="F6" s="1165"/>
      <c r="G6" s="626" t="str">
        <f>IFERROR(F6*100/E6,"-")</f>
        <v>-</v>
      </c>
      <c r="H6" s="1170"/>
      <c r="I6" s="1963">
        <f>H6*F6/1000000</f>
        <v>0</v>
      </c>
      <c r="J6" s="1990" cm="1">
        <f t="array" aca="1" ref="J6" ca="1">IF(ROW()-ROW($A$6)&lt;'الف-ب-ج'!$L$9,IF(روکش!$F$9="سه ماهه",INDIRECT("BudgetDB!IV"&amp;('الف-ب-ج'!$M$9+ROW()-ROW($A$6))),INDIRECT("BudgetDB!IW"&amp;('الف-ب-ج'!$M$9+ROW()-ROW($A$6)))),"")</f>
        <v>0</v>
      </c>
      <c r="K6" s="1991" cm="1">
        <f t="array" aca="1" ref="K6" ca="1">IF(ROW()-ROW($A$6)&lt;'الف-ب-ج'!$L$9,IF(روکش!$F$9="سه ماهه",INDIRECT("BudgetDB!IX"&amp;('الف-ب-ج'!$M$9+ROW()-ROW($A$6))),INDIRECT("BudgetDB!IY"&amp;('الف-ب-ج'!$M$9+ROW()-ROW($A$6)))),"")</f>
        <v>0</v>
      </c>
      <c r="L6" s="626" t="str">
        <f ca="1">IFERROR(ROUND(J6/K6,0),"-")</f>
        <v>-</v>
      </c>
      <c r="M6" s="1057" cm="1">
        <f t="array" aca="1" ref="M6" ca="1">IF(ROW()-ROW($A$6)&lt;'الف-ب-ج'!$L$9,IF(روکش!$F$9="سه ماهه",INDIRECT("BudgetDB!IZ"&amp;('الف-ب-ج'!$M$9+ROW()-ROW($A$6))),INDIRECT("BudgetDB!JA"&amp;('الف-ب-ج'!$M$9+ROW()-ROW($A$6)))),"")</f>
        <v>0</v>
      </c>
      <c r="N6" s="1987" cm="1">
        <f t="array" aca="1" ref="N6" ca="1">IF(ROW()-ROW($A$6)&lt;'الف-ب-ج'!$L$9,IF(روکش!$F$9="سه ماهه",INDIRECT("BudgetDB!JB"&amp;('الف-ب-ج'!$M$9+ROW()-ROW($A$6))),INDIRECT("BudgetDB!JC"&amp;('الف-ب-ج'!$M$9+ROW()-ROW($A$6)))),"")</f>
        <v>0</v>
      </c>
      <c r="O6" s="626" t="str">
        <f ca="1">IFERROR(N6*100/M6,"-")</f>
        <v>-</v>
      </c>
      <c r="P6" s="1984" cm="1">
        <f t="array" aca="1" ref="P6" ca="1">IF(ROW()-ROW($A$6)&lt;'الف-ب-ج'!$L$9,IF(روکش!$F$9="سه ماهه",INDIRECT("BudgetDB!JD"&amp;('الف-ب-ج'!$M$9+ROW()-ROW($A$6))),INDIRECT("BudgetDB!JE"&amp;('الف-ب-ج'!$M$9+ROW()-ROW($A$6)))),"")</f>
        <v>0</v>
      </c>
      <c r="Q6" s="1963">
        <f ca="1">P6*N6/1000000</f>
        <v>0</v>
      </c>
      <c r="S6" s="1958">
        <f t="shared" ref="S6:S13" ca="1" si="0">B18+B6+J6</f>
        <v>0</v>
      </c>
    </row>
    <row r="7" spans="1:19" ht="21.95" customHeight="1">
      <c r="A7" s="1982">
        <f ca="1">IF(ROW()-ROW($A$6)&lt;'الف-ب-ج'!$L$9,INDIRECT("BudgetDB!IU"&amp;('الف-ب-ج'!$M$9+ROW()-ROW($A$6))),"")</f>
        <v>0</v>
      </c>
      <c r="B7" s="290"/>
      <c r="C7" s="301"/>
      <c r="D7" s="627" t="str">
        <f t="shared" ref="D7:D13" si="1">IFERROR(ROUND(B7/C7,0),"-")</f>
        <v>-</v>
      </c>
      <c r="E7" s="1166"/>
      <c r="F7" s="1167"/>
      <c r="G7" s="627" t="str">
        <f t="shared" ref="G7:G13" si="2">IFERROR(F7*100/E7,"-")</f>
        <v>-</v>
      </c>
      <c r="H7" s="1171"/>
      <c r="I7" s="1964">
        <f t="shared" ref="I7:I13" si="3">H7*F7/1000000</f>
        <v>0</v>
      </c>
      <c r="J7" s="1992" cm="1">
        <f t="array" aca="1" ref="J7" ca="1">IF(ROW()-ROW($A$6)&lt;'الف-ب-ج'!$L$9,IF(روکش!$F$9="سه ماهه",INDIRECT("BudgetDB!IV"&amp;('الف-ب-ج'!$M$9+ROW()-ROW($A$6))),INDIRECT("BudgetDB!IW"&amp;('الف-ب-ج'!$M$9+ROW()-ROW($A$6)))),"")</f>
        <v>0</v>
      </c>
      <c r="K7" s="1993" cm="1">
        <f t="array" aca="1" ref="K7" ca="1">IF(ROW()-ROW($A$6)&lt;'الف-ب-ج'!$L$9,IF(روکش!$F$9="سه ماهه",INDIRECT("BudgetDB!IX"&amp;('الف-ب-ج'!$M$9+ROW()-ROW($A$6))),INDIRECT("BudgetDB!IY"&amp;('الف-ب-ج'!$M$9+ROW()-ROW($A$6)))),"")</f>
        <v>0</v>
      </c>
      <c r="L7" s="627" t="str">
        <f t="shared" ref="L7:L13" ca="1" si="4">IFERROR(ROUND(J7/K7,0),"-")</f>
        <v>-</v>
      </c>
      <c r="M7" s="1058" cm="1">
        <f t="array" aca="1" ref="M7" ca="1">IF(ROW()-ROW($A$6)&lt;'الف-ب-ج'!$L$9,IF(روکش!$F$9="سه ماهه",INDIRECT("BudgetDB!IZ"&amp;('الف-ب-ج'!$M$9+ROW()-ROW($A$6))),INDIRECT("BudgetDB!JA"&amp;('الف-ب-ج'!$M$9+ROW()-ROW($A$6)))),"")</f>
        <v>0</v>
      </c>
      <c r="N7" s="1988" cm="1">
        <f t="array" aca="1" ref="N7" ca="1">IF(ROW()-ROW($A$6)&lt;'الف-ب-ج'!$L$9,IF(روکش!$F$9="سه ماهه",INDIRECT("BudgetDB!JB"&amp;('الف-ب-ج'!$M$9+ROW()-ROW($A$6))),INDIRECT("BudgetDB!JC"&amp;('الف-ب-ج'!$M$9+ROW()-ROW($A$6)))),"")</f>
        <v>0</v>
      </c>
      <c r="O7" s="627" t="str">
        <f t="shared" ref="O7:O13" ca="1" si="5">IFERROR(N7*100/M7,"-")</f>
        <v>-</v>
      </c>
      <c r="P7" s="1985" cm="1">
        <f t="array" aca="1" ref="P7" ca="1">IF(ROW()-ROW($A$6)&lt;'الف-ب-ج'!$L$9,IF(روکش!$F$9="سه ماهه",INDIRECT("BudgetDB!JD"&amp;('الف-ب-ج'!$M$9+ROW()-ROW($A$6))),INDIRECT("BudgetDB!JE"&amp;('الف-ب-ج'!$M$9+ROW()-ROW($A$6)))),"")</f>
        <v>0</v>
      </c>
      <c r="Q7" s="1964">
        <f t="shared" ref="Q7:Q13" ca="1" si="6">P7*N7/1000000</f>
        <v>0</v>
      </c>
      <c r="S7" s="1958">
        <f t="shared" ca="1" si="0"/>
        <v>0</v>
      </c>
    </row>
    <row r="8" spans="1:19" ht="21.95" customHeight="1">
      <c r="A8" s="1982">
        <f ca="1">IF(ROW()-ROW($A$6)&lt;'الف-ب-ج'!$L$9,INDIRECT("BudgetDB!IU"&amp;('الف-ب-ج'!$M$9+ROW()-ROW($A$6))),"")</f>
        <v>0</v>
      </c>
      <c r="B8" s="290"/>
      <c r="C8" s="301"/>
      <c r="D8" s="627" t="str">
        <f t="shared" si="1"/>
        <v>-</v>
      </c>
      <c r="E8" s="1166"/>
      <c r="F8" s="1167"/>
      <c r="G8" s="627" t="str">
        <f t="shared" si="2"/>
        <v>-</v>
      </c>
      <c r="H8" s="1171"/>
      <c r="I8" s="1964">
        <f t="shared" si="3"/>
        <v>0</v>
      </c>
      <c r="J8" s="1992" cm="1">
        <f t="array" aca="1" ref="J8" ca="1">IF(ROW()-ROW($A$6)&lt;'الف-ب-ج'!$L$9,IF(روکش!$F$9="سه ماهه",INDIRECT("BudgetDB!IV"&amp;('الف-ب-ج'!$M$9+ROW()-ROW($A$6))),INDIRECT("BudgetDB!IW"&amp;('الف-ب-ج'!$M$9+ROW()-ROW($A$6)))),"")</f>
        <v>0</v>
      </c>
      <c r="K8" s="1993" cm="1">
        <f t="array" aca="1" ref="K8" ca="1">IF(ROW()-ROW($A$6)&lt;'الف-ب-ج'!$L$9,IF(روکش!$F$9="سه ماهه",INDIRECT("BudgetDB!IX"&amp;('الف-ب-ج'!$M$9+ROW()-ROW($A$6))),INDIRECT("BudgetDB!IY"&amp;('الف-ب-ج'!$M$9+ROW()-ROW($A$6)))),"")</f>
        <v>0</v>
      </c>
      <c r="L8" s="627" t="str">
        <f t="shared" ca="1" si="4"/>
        <v>-</v>
      </c>
      <c r="M8" s="1058" cm="1">
        <f t="array" aca="1" ref="M8" ca="1">IF(ROW()-ROW($A$6)&lt;'الف-ب-ج'!$L$9,IF(روکش!$F$9="سه ماهه",INDIRECT("BudgetDB!IZ"&amp;('الف-ب-ج'!$M$9+ROW()-ROW($A$6))),INDIRECT("BudgetDB!JA"&amp;('الف-ب-ج'!$M$9+ROW()-ROW($A$6)))),"")</f>
        <v>0</v>
      </c>
      <c r="N8" s="1988" cm="1">
        <f t="array" aca="1" ref="N8" ca="1">IF(ROW()-ROW($A$6)&lt;'الف-ب-ج'!$L$9,IF(روکش!$F$9="سه ماهه",INDIRECT("BudgetDB!JB"&amp;('الف-ب-ج'!$M$9+ROW()-ROW($A$6))),INDIRECT("BudgetDB!JC"&amp;('الف-ب-ج'!$M$9+ROW()-ROW($A$6)))),"")</f>
        <v>0</v>
      </c>
      <c r="O8" s="627" t="str">
        <f t="shared" ca="1" si="5"/>
        <v>-</v>
      </c>
      <c r="P8" s="1985" cm="1">
        <f t="array" aca="1" ref="P8" ca="1">IF(ROW()-ROW($A$6)&lt;'الف-ب-ج'!$L$9,IF(روکش!$F$9="سه ماهه",INDIRECT("BudgetDB!JD"&amp;('الف-ب-ج'!$M$9+ROW()-ROW($A$6))),INDIRECT("BudgetDB!JE"&amp;('الف-ب-ج'!$M$9+ROW()-ROW($A$6)))),"")</f>
        <v>0</v>
      </c>
      <c r="Q8" s="1964">
        <f t="shared" ca="1" si="6"/>
        <v>0</v>
      </c>
      <c r="S8" s="1958">
        <f t="shared" ca="1" si="0"/>
        <v>0</v>
      </c>
    </row>
    <row r="9" spans="1:19" ht="21.95" customHeight="1">
      <c r="A9" s="1982">
        <f ca="1">IF(ROW()-ROW($A$6)&lt;'الف-ب-ج'!$L$9,INDIRECT("BudgetDB!IU"&amp;('الف-ب-ج'!$M$9+ROW()-ROW($A$6))),"")</f>
        <v>0</v>
      </c>
      <c r="B9" s="290"/>
      <c r="C9" s="301"/>
      <c r="D9" s="627" t="str">
        <f t="shared" si="1"/>
        <v>-</v>
      </c>
      <c r="E9" s="1166"/>
      <c r="F9" s="1167"/>
      <c r="G9" s="627" t="str">
        <f t="shared" si="2"/>
        <v>-</v>
      </c>
      <c r="H9" s="1171"/>
      <c r="I9" s="1964">
        <f>H9*F9/1000000</f>
        <v>0</v>
      </c>
      <c r="J9" s="1992" cm="1">
        <f t="array" aca="1" ref="J9" ca="1">IF(ROW()-ROW($A$6)&lt;'الف-ب-ج'!$L$9,IF(روکش!$F$9="سه ماهه",INDIRECT("BudgetDB!IV"&amp;('الف-ب-ج'!$M$9+ROW()-ROW($A$6))),INDIRECT("BudgetDB!IW"&amp;('الف-ب-ج'!$M$9+ROW()-ROW($A$6)))),"")</f>
        <v>0</v>
      </c>
      <c r="K9" s="1993" cm="1">
        <f t="array" aca="1" ref="K9" ca="1">IF(ROW()-ROW($A$6)&lt;'الف-ب-ج'!$L$9,IF(روکش!$F$9="سه ماهه",INDIRECT("BudgetDB!IX"&amp;('الف-ب-ج'!$M$9+ROW()-ROW($A$6))),INDIRECT("BudgetDB!IY"&amp;('الف-ب-ج'!$M$9+ROW()-ROW($A$6)))),"")</f>
        <v>0</v>
      </c>
      <c r="L9" s="627" t="str">
        <f t="shared" ca="1" si="4"/>
        <v>-</v>
      </c>
      <c r="M9" s="1058" cm="1">
        <f t="array" aca="1" ref="M9" ca="1">IF(ROW()-ROW($A$6)&lt;'الف-ب-ج'!$L$9,IF(روکش!$F$9="سه ماهه",INDIRECT("BudgetDB!IZ"&amp;('الف-ب-ج'!$M$9+ROW()-ROW($A$6))),INDIRECT("BudgetDB!JA"&amp;('الف-ب-ج'!$M$9+ROW()-ROW($A$6)))),"")</f>
        <v>0</v>
      </c>
      <c r="N9" s="1988" cm="1">
        <f t="array" aca="1" ref="N9" ca="1">IF(ROW()-ROW($A$6)&lt;'الف-ب-ج'!$L$9,IF(روکش!$F$9="سه ماهه",INDIRECT("BudgetDB!JB"&amp;('الف-ب-ج'!$M$9+ROW()-ROW($A$6))),INDIRECT("BudgetDB!JC"&amp;('الف-ب-ج'!$M$9+ROW()-ROW($A$6)))),"")</f>
        <v>0</v>
      </c>
      <c r="O9" s="627" t="str">
        <f t="shared" ca="1" si="5"/>
        <v>-</v>
      </c>
      <c r="P9" s="1985" cm="1">
        <f t="array" aca="1" ref="P9" ca="1">IF(ROW()-ROW($A$6)&lt;'الف-ب-ج'!$L$9,IF(روکش!$F$9="سه ماهه",INDIRECT("BudgetDB!JD"&amp;('الف-ب-ج'!$M$9+ROW()-ROW($A$6))),INDIRECT("BudgetDB!JE"&amp;('الف-ب-ج'!$M$9+ROW()-ROW($A$6)))),"")</f>
        <v>0</v>
      </c>
      <c r="Q9" s="1964">
        <f t="shared" ca="1" si="6"/>
        <v>0</v>
      </c>
      <c r="S9" s="1958">
        <f t="shared" ca="1" si="0"/>
        <v>0</v>
      </c>
    </row>
    <row r="10" spans="1:19" ht="21.95" customHeight="1">
      <c r="A10" s="1982">
        <f ca="1">IF(ROW()-ROW($A$6)&lt;'الف-ب-ج'!$L$9,INDIRECT("BudgetDB!IU"&amp;('الف-ب-ج'!$M$9+ROW()-ROW($A$6))),"")</f>
        <v>0</v>
      </c>
      <c r="B10" s="290"/>
      <c r="C10" s="301"/>
      <c r="D10" s="627" t="str">
        <f t="shared" si="1"/>
        <v>-</v>
      </c>
      <c r="E10" s="1166"/>
      <c r="F10" s="1167"/>
      <c r="G10" s="627" t="str">
        <f t="shared" si="2"/>
        <v>-</v>
      </c>
      <c r="H10" s="1171"/>
      <c r="I10" s="1964">
        <f>H10*F10/1000000</f>
        <v>0</v>
      </c>
      <c r="J10" s="1992" cm="1">
        <f t="array" aca="1" ref="J10" ca="1">IF(ROW()-ROW($A$6)&lt;'الف-ب-ج'!$L$9,IF(روکش!$F$9="سه ماهه",INDIRECT("BudgetDB!IV"&amp;('الف-ب-ج'!$M$9+ROW()-ROW($A$6))),INDIRECT("BudgetDB!IW"&amp;('الف-ب-ج'!$M$9+ROW()-ROW($A$6)))),"")</f>
        <v>0</v>
      </c>
      <c r="K10" s="1993" cm="1">
        <f t="array" aca="1" ref="K10" ca="1">IF(ROW()-ROW($A$6)&lt;'الف-ب-ج'!$L$9,IF(روکش!$F$9="سه ماهه",INDIRECT("BudgetDB!IX"&amp;('الف-ب-ج'!$M$9+ROW()-ROW($A$6))),INDIRECT("BudgetDB!IY"&amp;('الف-ب-ج'!$M$9+ROW()-ROW($A$6)))),"")</f>
        <v>0</v>
      </c>
      <c r="L10" s="627" t="str">
        <f t="shared" ca="1" si="4"/>
        <v>-</v>
      </c>
      <c r="M10" s="1058" cm="1">
        <f t="array" aca="1" ref="M10" ca="1">IF(ROW()-ROW($A$6)&lt;'الف-ب-ج'!$L$9,IF(روکش!$F$9="سه ماهه",INDIRECT("BudgetDB!IZ"&amp;('الف-ب-ج'!$M$9+ROW()-ROW($A$6))),INDIRECT("BudgetDB!JA"&amp;('الف-ب-ج'!$M$9+ROW()-ROW($A$6)))),"")</f>
        <v>0</v>
      </c>
      <c r="N10" s="1988" cm="1">
        <f t="array" aca="1" ref="N10" ca="1">IF(ROW()-ROW($A$6)&lt;'الف-ب-ج'!$L$9,IF(روکش!$F$9="سه ماهه",INDIRECT("BudgetDB!JB"&amp;('الف-ب-ج'!$M$9+ROW()-ROW($A$6))),INDIRECT("BudgetDB!JC"&amp;('الف-ب-ج'!$M$9+ROW()-ROW($A$6)))),"")</f>
        <v>0</v>
      </c>
      <c r="O10" s="627" t="str">
        <f t="shared" ca="1" si="5"/>
        <v>-</v>
      </c>
      <c r="P10" s="1985" cm="1">
        <f t="array" aca="1" ref="P10" ca="1">IF(ROW()-ROW($A$6)&lt;'الف-ب-ج'!$L$9,IF(روکش!$F$9="سه ماهه",INDIRECT("BudgetDB!JD"&amp;('الف-ب-ج'!$M$9+ROW()-ROW($A$6))),INDIRECT("BudgetDB!JE"&amp;('الف-ب-ج'!$M$9+ROW()-ROW($A$6)))),"")</f>
        <v>0</v>
      </c>
      <c r="Q10" s="1964">
        <f t="shared" ca="1" si="6"/>
        <v>0</v>
      </c>
      <c r="S10" s="1958">
        <f t="shared" ca="1" si="0"/>
        <v>0</v>
      </c>
    </row>
    <row r="11" spans="1:19" ht="21.95" customHeight="1">
      <c r="A11" s="1982">
        <f ca="1">IF(ROW()-ROW($A$6)&lt;'الف-ب-ج'!$L$9,INDIRECT("BudgetDB!IU"&amp;('الف-ب-ج'!$M$9+ROW()-ROW($A$6))),"")</f>
        <v>0</v>
      </c>
      <c r="B11" s="1162"/>
      <c r="C11" s="301"/>
      <c r="D11" s="627" t="str">
        <f t="shared" si="1"/>
        <v>-</v>
      </c>
      <c r="E11" s="1166"/>
      <c r="F11" s="1167"/>
      <c r="G11" s="627" t="str">
        <f t="shared" si="2"/>
        <v>-</v>
      </c>
      <c r="H11" s="1171"/>
      <c r="I11" s="1964">
        <f t="shared" si="3"/>
        <v>0</v>
      </c>
      <c r="J11" s="1994" cm="1">
        <f t="array" aca="1" ref="J11" ca="1">IF(ROW()-ROW($A$6)&lt;'الف-ب-ج'!$L$9,IF(روکش!$F$9="سه ماهه",INDIRECT("BudgetDB!IV"&amp;('الف-ب-ج'!$M$9+ROW()-ROW($A$6))),INDIRECT("BudgetDB!IW"&amp;('الف-ب-ج'!$M$9+ROW()-ROW($A$6)))),"")</f>
        <v>0</v>
      </c>
      <c r="K11" s="1993" cm="1">
        <f t="array" aca="1" ref="K11" ca="1">IF(ROW()-ROW($A$6)&lt;'الف-ب-ج'!$L$9,IF(روکش!$F$9="سه ماهه",INDIRECT("BudgetDB!IX"&amp;('الف-ب-ج'!$M$9+ROW()-ROW($A$6))),INDIRECT("BudgetDB!IY"&amp;('الف-ب-ج'!$M$9+ROW()-ROW($A$6)))),"")</f>
        <v>0</v>
      </c>
      <c r="L11" s="627" t="str">
        <f t="shared" ca="1" si="4"/>
        <v>-</v>
      </c>
      <c r="M11" s="1058" cm="1">
        <f t="array" aca="1" ref="M11" ca="1">IF(ROW()-ROW($A$6)&lt;'الف-ب-ج'!$L$9,IF(روکش!$F$9="سه ماهه",INDIRECT("BudgetDB!IZ"&amp;('الف-ب-ج'!$M$9+ROW()-ROW($A$6))),INDIRECT("BudgetDB!JA"&amp;('الف-ب-ج'!$M$9+ROW()-ROW($A$6)))),"")</f>
        <v>0</v>
      </c>
      <c r="N11" s="1988" cm="1">
        <f t="array" aca="1" ref="N11" ca="1">IF(ROW()-ROW($A$6)&lt;'الف-ب-ج'!$L$9,IF(روکش!$F$9="سه ماهه",INDIRECT("BudgetDB!JB"&amp;('الف-ب-ج'!$M$9+ROW()-ROW($A$6))),INDIRECT("BudgetDB!JC"&amp;('الف-ب-ج'!$M$9+ROW()-ROW($A$6)))),"")</f>
        <v>0</v>
      </c>
      <c r="O11" s="627" t="str">
        <f t="shared" ca="1" si="5"/>
        <v>-</v>
      </c>
      <c r="P11" s="1985" cm="1">
        <f t="array" aca="1" ref="P11" ca="1">IF(ROW()-ROW($A$6)&lt;'الف-ب-ج'!$L$9,IF(روکش!$F$9="سه ماهه",INDIRECT("BudgetDB!JD"&amp;('الف-ب-ج'!$M$9+ROW()-ROW($A$6))),INDIRECT("BudgetDB!JE"&amp;('الف-ب-ج'!$M$9+ROW()-ROW($A$6)))),"")</f>
        <v>0</v>
      </c>
      <c r="Q11" s="1964">
        <f t="shared" ca="1" si="6"/>
        <v>0</v>
      </c>
      <c r="S11" s="1958">
        <f t="shared" ca="1" si="0"/>
        <v>0</v>
      </c>
    </row>
    <row r="12" spans="1:19" ht="21.95" customHeight="1">
      <c r="A12" s="1982">
        <f ca="1">IF(ROW()-ROW($A$6)&lt;'الف-ب-ج'!$L$9,INDIRECT("BudgetDB!IU"&amp;('الف-ب-ج'!$M$9+ROW()-ROW($A$6))),"")</f>
        <v>0</v>
      </c>
      <c r="B12" s="1162"/>
      <c r="C12" s="301"/>
      <c r="D12" s="627" t="str">
        <f t="shared" si="1"/>
        <v>-</v>
      </c>
      <c r="E12" s="1166"/>
      <c r="F12" s="1167"/>
      <c r="G12" s="627" t="str">
        <f t="shared" si="2"/>
        <v>-</v>
      </c>
      <c r="H12" s="1171"/>
      <c r="I12" s="1964">
        <f t="shared" si="3"/>
        <v>0</v>
      </c>
      <c r="J12" s="1994" cm="1">
        <f t="array" aca="1" ref="J12" ca="1">IF(ROW()-ROW($A$6)&lt;'الف-ب-ج'!$L$9,IF(روکش!$F$9="سه ماهه",INDIRECT("BudgetDB!IV"&amp;('الف-ب-ج'!$M$9+ROW()-ROW($A$6))),INDIRECT("BudgetDB!IW"&amp;('الف-ب-ج'!$M$9+ROW()-ROW($A$6)))),"")</f>
        <v>0</v>
      </c>
      <c r="K12" s="1993" cm="1">
        <f t="array" aca="1" ref="K12" ca="1">IF(ROW()-ROW($A$6)&lt;'الف-ب-ج'!$L$9,IF(روکش!$F$9="سه ماهه",INDIRECT("BudgetDB!IX"&amp;('الف-ب-ج'!$M$9+ROW()-ROW($A$6))),INDIRECT("BudgetDB!IY"&amp;('الف-ب-ج'!$M$9+ROW()-ROW($A$6)))),"")</f>
        <v>0</v>
      </c>
      <c r="L12" s="627" t="str">
        <f t="shared" ca="1" si="4"/>
        <v>-</v>
      </c>
      <c r="M12" s="1058" cm="1">
        <f t="array" aca="1" ref="M12" ca="1">IF(ROW()-ROW($A$6)&lt;'الف-ب-ج'!$L$9,IF(روکش!$F$9="سه ماهه",INDIRECT("BudgetDB!IZ"&amp;('الف-ب-ج'!$M$9+ROW()-ROW($A$6))),INDIRECT("BudgetDB!JA"&amp;('الف-ب-ج'!$M$9+ROW()-ROW($A$6)))),"")</f>
        <v>0</v>
      </c>
      <c r="N12" s="1988" cm="1">
        <f t="array" aca="1" ref="N12" ca="1">IF(ROW()-ROW($A$6)&lt;'الف-ب-ج'!$L$9,IF(روکش!$F$9="سه ماهه",INDIRECT("BudgetDB!JB"&amp;('الف-ب-ج'!$M$9+ROW()-ROW($A$6))),INDIRECT("BudgetDB!JC"&amp;('الف-ب-ج'!$M$9+ROW()-ROW($A$6)))),"")</f>
        <v>0</v>
      </c>
      <c r="O12" s="627" t="str">
        <f t="shared" ca="1" si="5"/>
        <v>-</v>
      </c>
      <c r="P12" s="1985" cm="1">
        <f t="array" aca="1" ref="P12" ca="1">IF(ROW()-ROW($A$6)&lt;'الف-ب-ج'!$L$9,IF(روکش!$F$9="سه ماهه",INDIRECT("BudgetDB!JD"&amp;('الف-ب-ج'!$M$9+ROW()-ROW($A$6))),INDIRECT("BudgetDB!JE"&amp;('الف-ب-ج'!$M$9+ROW()-ROW($A$6)))),"")</f>
        <v>0</v>
      </c>
      <c r="Q12" s="1964">
        <f t="shared" ca="1" si="6"/>
        <v>0</v>
      </c>
      <c r="S12" s="1958">
        <f t="shared" ca="1" si="0"/>
        <v>0</v>
      </c>
    </row>
    <row r="13" spans="1:19" ht="21.95" customHeight="1" thickBot="1">
      <c r="A13" s="1983">
        <f ca="1">IF(ROW()-ROW($A$6)&lt;'الف-ب-ج'!$L$9,INDIRECT("BudgetDB!IU"&amp;('الف-ب-ج'!$M$9+ROW()-ROW($A$6))),"")</f>
        <v>0</v>
      </c>
      <c r="B13" s="1163"/>
      <c r="C13" s="302"/>
      <c r="D13" s="628" t="str">
        <f t="shared" si="1"/>
        <v>-</v>
      </c>
      <c r="E13" s="1168"/>
      <c r="F13" s="1169"/>
      <c r="G13" s="628" t="str">
        <f t="shared" si="2"/>
        <v>-</v>
      </c>
      <c r="H13" s="1172"/>
      <c r="I13" s="1965">
        <f t="shared" si="3"/>
        <v>0</v>
      </c>
      <c r="J13" s="1995" cm="1">
        <f t="array" aca="1" ref="J13" ca="1">IF(ROW()-ROW($A$6)&lt;'الف-ب-ج'!$L$9,IF(روکش!$F$9="سه ماهه",INDIRECT("BudgetDB!IV"&amp;('الف-ب-ج'!$M$9+ROW()-ROW($A$6))),INDIRECT("BudgetDB!IW"&amp;('الف-ب-ج'!$M$9+ROW()-ROW($A$6)))),"")</f>
        <v>0</v>
      </c>
      <c r="K13" s="1996" cm="1">
        <f t="array" aca="1" ref="K13" ca="1">IF(ROW()-ROW($A$6)&lt;'الف-ب-ج'!$L$9,IF(روکش!$F$9="سه ماهه",INDIRECT("BudgetDB!IX"&amp;('الف-ب-ج'!$M$9+ROW()-ROW($A$6))),INDIRECT("BudgetDB!IY"&amp;('الف-ب-ج'!$M$9+ROW()-ROW($A$6)))),"")</f>
        <v>0</v>
      </c>
      <c r="L13" s="628" t="str">
        <f t="shared" ca="1" si="4"/>
        <v>-</v>
      </c>
      <c r="M13" s="1059" cm="1">
        <f t="array" aca="1" ref="M13" ca="1">IF(ROW()-ROW($A$6)&lt;'الف-ب-ج'!$L$9,IF(روکش!$F$9="سه ماهه",INDIRECT("BudgetDB!IZ"&amp;('الف-ب-ج'!$M$9+ROW()-ROW($A$6))),INDIRECT("BudgetDB!JA"&amp;('الف-ب-ج'!$M$9+ROW()-ROW($A$6)))),"")</f>
        <v>0</v>
      </c>
      <c r="N13" s="1989" cm="1">
        <f t="array" aca="1" ref="N13" ca="1">IF(ROW()-ROW($A$6)&lt;'الف-ب-ج'!$L$9,IF(روکش!$F$9="سه ماهه",INDIRECT("BudgetDB!JB"&amp;('الف-ب-ج'!$M$9+ROW()-ROW($A$6))),INDIRECT("BudgetDB!JC"&amp;('الف-ب-ج'!$M$9+ROW()-ROW($A$6)))),"")</f>
        <v>0</v>
      </c>
      <c r="O13" s="628" t="str">
        <f t="shared" ca="1" si="5"/>
        <v>-</v>
      </c>
      <c r="P13" s="1986" cm="1">
        <f t="array" aca="1" ref="P13" ca="1">IF(ROW()-ROW($A$6)&lt;'الف-ب-ج'!$L$9,IF(روکش!$F$9="سه ماهه",INDIRECT("BudgetDB!JD"&amp;('الف-ب-ج'!$M$9+ROW()-ROW($A$6))),INDIRECT("BudgetDB!JE"&amp;('الف-ب-ج'!$M$9+ROW()-ROW($A$6)))),"")</f>
        <v>0</v>
      </c>
      <c r="Q13" s="1965">
        <f t="shared" ca="1" si="6"/>
        <v>0</v>
      </c>
      <c r="S13" s="1958">
        <f t="shared" ca="1" si="0"/>
        <v>0</v>
      </c>
    </row>
    <row r="14" spans="1:19" ht="24.75" customHeight="1" thickBot="1">
      <c r="A14" s="1967" t="s">
        <v>100</v>
      </c>
      <c r="B14" s="1968">
        <f>SUM(B6:B13)</f>
        <v>0</v>
      </c>
      <c r="C14" s="1969" t="str">
        <f>IFERROR(B14/D14,"-")</f>
        <v>-</v>
      </c>
      <c r="D14" s="1962">
        <f>SUM(D6:D13)</f>
        <v>0</v>
      </c>
      <c r="E14" s="1962">
        <f>SUM(E6:E13)</f>
        <v>0</v>
      </c>
      <c r="F14" s="1962">
        <f>SUM(F6:F13)</f>
        <v>0</v>
      </c>
      <c r="G14" s="1962" t="str">
        <f>IFERROR(F14*100/E14,"-")</f>
        <v>-</v>
      </c>
      <c r="H14" s="1962" t="str">
        <f>IFERROR((I14/F14)*1000000,"-")</f>
        <v>-</v>
      </c>
      <c r="I14" s="1966">
        <f>SUM(I6:I13)</f>
        <v>0</v>
      </c>
      <c r="J14" s="1968">
        <f ca="1">SUM(J6:J13)</f>
        <v>0</v>
      </c>
      <c r="K14" s="1969" t="str">
        <f ca="1">IFERROR(J14/L14,"-")</f>
        <v>-</v>
      </c>
      <c r="L14" s="1962">
        <f ca="1">SUM(L6:L13)</f>
        <v>0</v>
      </c>
      <c r="M14" s="1962">
        <f ca="1">SUM(M6:M13)</f>
        <v>0</v>
      </c>
      <c r="N14" s="1962">
        <f ca="1">SUM(N6:N13)</f>
        <v>0</v>
      </c>
      <c r="O14" s="1962" t="str">
        <f ca="1">IFERROR(N14*100/M14,"-")</f>
        <v>-</v>
      </c>
      <c r="P14" s="1962" t="str">
        <f ca="1">IFERROR((Q14/N14)*1000000,"-")</f>
        <v>-</v>
      </c>
      <c r="Q14" s="1966">
        <f ca="1">SUM(Q6:Q13)</f>
        <v>0</v>
      </c>
    </row>
    <row r="15" spans="1:19" ht="15" customHeight="1" thickBot="1">
      <c r="A15" s="3327"/>
      <c r="B15" s="3327"/>
      <c r="C15" s="3327"/>
      <c r="D15" s="3327"/>
      <c r="E15" s="3327"/>
      <c r="F15" s="3327"/>
      <c r="G15" s="3327"/>
      <c r="H15" s="3327"/>
      <c r="I15" s="3327"/>
      <c r="J15" s="3328"/>
      <c r="K15" s="3328"/>
      <c r="L15" s="3328"/>
      <c r="M15" s="3328"/>
      <c r="N15" s="3328"/>
      <c r="O15" s="3328"/>
      <c r="P15" s="3328"/>
      <c r="Q15" s="3328"/>
    </row>
    <row r="16" spans="1:19" ht="24.75" customHeight="1">
      <c r="A16" s="3322" t="s">
        <v>603</v>
      </c>
      <c r="B16" s="3324" t="s">
        <v>675</v>
      </c>
      <c r="C16" s="3325"/>
      <c r="D16" s="3325"/>
      <c r="E16" s="3325"/>
      <c r="F16" s="3325"/>
      <c r="G16" s="3325"/>
      <c r="H16" s="3325"/>
      <c r="I16" s="3326"/>
      <c r="J16" s="3324" t="s">
        <v>717</v>
      </c>
      <c r="K16" s="3325"/>
      <c r="L16" s="3325"/>
      <c r="M16" s="3325"/>
      <c r="N16" s="3325"/>
      <c r="O16" s="3325"/>
      <c r="P16" s="3325"/>
      <c r="Q16" s="3326"/>
    </row>
    <row r="17" spans="1:19" s="1051" customFormat="1" ht="57" customHeight="1" thickBot="1">
      <c r="A17" s="3323"/>
      <c r="B17" s="1959" t="s">
        <v>606</v>
      </c>
      <c r="C17" s="1960" t="s">
        <v>607</v>
      </c>
      <c r="D17" s="1960" t="s">
        <v>608</v>
      </c>
      <c r="E17" s="1960" t="s">
        <v>609</v>
      </c>
      <c r="F17" s="1960" t="s">
        <v>610</v>
      </c>
      <c r="G17" s="1960" t="s">
        <v>613</v>
      </c>
      <c r="H17" s="1960" t="s">
        <v>611</v>
      </c>
      <c r="I17" s="1961" t="s">
        <v>10</v>
      </c>
      <c r="J17" s="1959" t="s">
        <v>606</v>
      </c>
      <c r="K17" s="1960" t="s">
        <v>607</v>
      </c>
      <c r="L17" s="1960" t="s">
        <v>608</v>
      </c>
      <c r="M17" s="1960" t="s">
        <v>609</v>
      </c>
      <c r="N17" s="1960" t="s">
        <v>610</v>
      </c>
      <c r="O17" s="1960" t="s">
        <v>613</v>
      </c>
      <c r="P17" s="1960" t="s">
        <v>611</v>
      </c>
      <c r="Q17" s="1961" t="s">
        <v>10</v>
      </c>
      <c r="S17" s="1080"/>
    </row>
    <row r="18" spans="1:19" ht="21.95" customHeight="1">
      <c r="A18" s="1978">
        <f t="shared" ref="A18:A25" ca="1" si="7">A6</f>
        <v>0</v>
      </c>
      <c r="B18" s="286"/>
      <c r="C18" s="300"/>
      <c r="D18" s="626" t="str">
        <f>IFERROR(ROUND(B18/C18,0),"-")</f>
        <v>-</v>
      </c>
      <c r="E18" s="287"/>
      <c r="F18" s="288"/>
      <c r="G18" s="626" t="str">
        <f>IFERROR(F18*100/E18,"-")</f>
        <v>-</v>
      </c>
      <c r="H18" s="289"/>
      <c r="I18" s="1963">
        <f>H18*F18/1000000</f>
        <v>0</v>
      </c>
      <c r="J18" s="629" t="str">
        <f t="shared" ref="J18:J26" ca="1" si="8">IFERROR(B18*100/J6,"-")</f>
        <v>-</v>
      </c>
      <c r="K18" s="630" t="str">
        <f t="shared" ref="K18:K26" ca="1" si="9">IFERROR(C18*100/K6,"-")</f>
        <v>-</v>
      </c>
      <c r="L18" s="631" t="str">
        <f t="shared" ref="L18:L26" ca="1" si="10">IFERROR(D18*100/L6,"-")</f>
        <v>-</v>
      </c>
      <c r="M18" s="631" t="str">
        <f t="shared" ref="M18:M26" ca="1" si="11">IFERROR(E18*100/M6,"-")</f>
        <v>-</v>
      </c>
      <c r="N18" s="632" t="str">
        <f t="shared" ref="N18:N26" ca="1" si="12">IFERROR(F18*100/N6,"-")</f>
        <v>-</v>
      </c>
      <c r="O18" s="631" t="str">
        <f t="shared" ref="O18:O26" ca="1" si="13">IFERROR(G18*100/O6,"-")</f>
        <v>-</v>
      </c>
      <c r="P18" s="1970" t="str">
        <f t="shared" ref="P18:P26" ca="1" si="14">IFERROR(H18*100/P6,"-")</f>
        <v>-</v>
      </c>
      <c r="Q18" s="1971" t="str">
        <f t="shared" ref="Q18:Q26" ca="1" si="15">IFERROR(I18*100/Q6,"-")</f>
        <v>-</v>
      </c>
      <c r="S18" s="1958">
        <f ca="1">S6</f>
        <v>0</v>
      </c>
    </row>
    <row r="19" spans="1:19" ht="21.95" customHeight="1">
      <c r="A19" s="1979">
        <f t="shared" ca="1" si="7"/>
        <v>0</v>
      </c>
      <c r="B19" s="290"/>
      <c r="C19" s="301"/>
      <c r="D19" s="627" t="str">
        <f t="shared" ref="D19:D25" si="16">IFERROR(ROUND(B19/C19,0),"-")</f>
        <v>-</v>
      </c>
      <c r="E19" s="291"/>
      <c r="F19" s="292"/>
      <c r="G19" s="627" t="str">
        <f>IFERROR(F19*100/E19,"-")</f>
        <v>-</v>
      </c>
      <c r="H19" s="293"/>
      <c r="I19" s="1964">
        <f t="shared" ref="I19:I25" si="17">H19*F19/1000000</f>
        <v>0</v>
      </c>
      <c r="J19" s="633" t="str">
        <f t="shared" ca="1" si="8"/>
        <v>-</v>
      </c>
      <c r="K19" s="634" t="str">
        <f t="shared" ca="1" si="9"/>
        <v>-</v>
      </c>
      <c r="L19" s="635" t="str">
        <f t="shared" ca="1" si="10"/>
        <v>-</v>
      </c>
      <c r="M19" s="635" t="str">
        <f t="shared" ca="1" si="11"/>
        <v>-</v>
      </c>
      <c r="N19" s="636" t="str">
        <f t="shared" ca="1" si="12"/>
        <v>-</v>
      </c>
      <c r="O19" s="635" t="str">
        <f t="shared" ca="1" si="13"/>
        <v>-</v>
      </c>
      <c r="P19" s="1972" t="str">
        <f t="shared" ca="1" si="14"/>
        <v>-</v>
      </c>
      <c r="Q19" s="1973" t="str">
        <f t="shared" ca="1" si="15"/>
        <v>-</v>
      </c>
      <c r="S19" s="1958">
        <f t="shared" ref="S19:S25" ca="1" si="18">S7</f>
        <v>0</v>
      </c>
    </row>
    <row r="20" spans="1:19" ht="21.95" customHeight="1">
      <c r="A20" s="1979">
        <f t="shared" ca="1" si="7"/>
        <v>0</v>
      </c>
      <c r="B20" s="294"/>
      <c r="C20" s="301"/>
      <c r="D20" s="627" t="str">
        <f t="shared" si="16"/>
        <v>-</v>
      </c>
      <c r="E20" s="291"/>
      <c r="F20" s="292"/>
      <c r="G20" s="627" t="str">
        <f t="shared" ref="G20:G25" si="19">IFERROR(F20*100/E20,"-")</f>
        <v>-</v>
      </c>
      <c r="H20" s="293"/>
      <c r="I20" s="1964">
        <f t="shared" si="17"/>
        <v>0</v>
      </c>
      <c r="J20" s="633" t="str">
        <f t="shared" ca="1" si="8"/>
        <v>-</v>
      </c>
      <c r="K20" s="634" t="str">
        <f t="shared" ca="1" si="9"/>
        <v>-</v>
      </c>
      <c r="L20" s="635" t="str">
        <f t="shared" ca="1" si="10"/>
        <v>-</v>
      </c>
      <c r="M20" s="635" t="str">
        <f t="shared" ca="1" si="11"/>
        <v>-</v>
      </c>
      <c r="N20" s="636" t="str">
        <f t="shared" ca="1" si="12"/>
        <v>-</v>
      </c>
      <c r="O20" s="635" t="str">
        <f t="shared" ca="1" si="13"/>
        <v>-</v>
      </c>
      <c r="P20" s="1972" t="str">
        <f t="shared" ca="1" si="14"/>
        <v>-</v>
      </c>
      <c r="Q20" s="1973" t="str">
        <f t="shared" ca="1" si="15"/>
        <v>-</v>
      </c>
      <c r="S20" s="1958">
        <f t="shared" ca="1" si="18"/>
        <v>0</v>
      </c>
    </row>
    <row r="21" spans="1:19" ht="21.95" customHeight="1">
      <c r="A21" s="1979">
        <f t="shared" ca="1" si="7"/>
        <v>0</v>
      </c>
      <c r="B21" s="294"/>
      <c r="C21" s="301"/>
      <c r="D21" s="627" t="str">
        <f t="shared" si="16"/>
        <v>-</v>
      </c>
      <c r="E21" s="291"/>
      <c r="F21" s="292"/>
      <c r="G21" s="627" t="str">
        <f t="shared" si="19"/>
        <v>-</v>
      </c>
      <c r="H21" s="293"/>
      <c r="I21" s="1964">
        <f t="shared" si="17"/>
        <v>0</v>
      </c>
      <c r="J21" s="633" t="str">
        <f t="shared" ca="1" si="8"/>
        <v>-</v>
      </c>
      <c r="K21" s="634" t="str">
        <f t="shared" ca="1" si="9"/>
        <v>-</v>
      </c>
      <c r="L21" s="635" t="str">
        <f t="shared" ca="1" si="10"/>
        <v>-</v>
      </c>
      <c r="M21" s="635" t="str">
        <f t="shared" ca="1" si="11"/>
        <v>-</v>
      </c>
      <c r="N21" s="636" t="str">
        <f t="shared" ca="1" si="12"/>
        <v>-</v>
      </c>
      <c r="O21" s="635" t="str">
        <f t="shared" ca="1" si="13"/>
        <v>-</v>
      </c>
      <c r="P21" s="1972" t="str">
        <f t="shared" ca="1" si="14"/>
        <v>-</v>
      </c>
      <c r="Q21" s="1973" t="str">
        <f t="shared" ca="1" si="15"/>
        <v>-</v>
      </c>
      <c r="S21" s="1958">
        <f t="shared" ca="1" si="18"/>
        <v>0</v>
      </c>
    </row>
    <row r="22" spans="1:19" ht="21.95" customHeight="1">
      <c r="A22" s="1979">
        <f t="shared" ca="1" si="7"/>
        <v>0</v>
      </c>
      <c r="B22" s="294"/>
      <c r="C22" s="301"/>
      <c r="D22" s="627" t="str">
        <f t="shared" si="16"/>
        <v>-</v>
      </c>
      <c r="E22" s="291"/>
      <c r="F22" s="292"/>
      <c r="G22" s="627" t="str">
        <f t="shared" si="19"/>
        <v>-</v>
      </c>
      <c r="H22" s="293"/>
      <c r="I22" s="1964">
        <f t="shared" si="17"/>
        <v>0</v>
      </c>
      <c r="J22" s="633" t="str">
        <f t="shared" ca="1" si="8"/>
        <v>-</v>
      </c>
      <c r="K22" s="634" t="str">
        <f t="shared" ca="1" si="9"/>
        <v>-</v>
      </c>
      <c r="L22" s="635" t="str">
        <f t="shared" ca="1" si="10"/>
        <v>-</v>
      </c>
      <c r="M22" s="635" t="str">
        <f t="shared" ca="1" si="11"/>
        <v>-</v>
      </c>
      <c r="N22" s="636" t="str">
        <f t="shared" ca="1" si="12"/>
        <v>-</v>
      </c>
      <c r="O22" s="635" t="str">
        <f t="shared" ca="1" si="13"/>
        <v>-</v>
      </c>
      <c r="P22" s="1972" t="str">
        <f t="shared" ca="1" si="14"/>
        <v>-</v>
      </c>
      <c r="Q22" s="1973" t="str">
        <f t="shared" ca="1" si="15"/>
        <v>-</v>
      </c>
      <c r="S22" s="1958">
        <f t="shared" ca="1" si="18"/>
        <v>0</v>
      </c>
    </row>
    <row r="23" spans="1:19" ht="21.95" customHeight="1">
      <c r="A23" s="1979">
        <f t="shared" ca="1" si="7"/>
        <v>0</v>
      </c>
      <c r="B23" s="295"/>
      <c r="C23" s="301"/>
      <c r="D23" s="627" t="str">
        <f t="shared" si="16"/>
        <v>-</v>
      </c>
      <c r="E23" s="291"/>
      <c r="F23" s="292"/>
      <c r="G23" s="627" t="str">
        <f t="shared" si="19"/>
        <v>-</v>
      </c>
      <c r="H23" s="293"/>
      <c r="I23" s="1964">
        <f t="shared" si="17"/>
        <v>0</v>
      </c>
      <c r="J23" s="1974" t="str">
        <f t="shared" ca="1" si="8"/>
        <v>-</v>
      </c>
      <c r="K23" s="634" t="str">
        <f t="shared" ca="1" si="9"/>
        <v>-</v>
      </c>
      <c r="L23" s="635" t="str">
        <f t="shared" ca="1" si="10"/>
        <v>-</v>
      </c>
      <c r="M23" s="635" t="str">
        <f t="shared" ca="1" si="11"/>
        <v>-</v>
      </c>
      <c r="N23" s="636" t="str">
        <f t="shared" ca="1" si="12"/>
        <v>-</v>
      </c>
      <c r="O23" s="635" t="str">
        <f t="shared" ca="1" si="13"/>
        <v>-</v>
      </c>
      <c r="P23" s="1972" t="str">
        <f t="shared" ca="1" si="14"/>
        <v>-</v>
      </c>
      <c r="Q23" s="1973" t="str">
        <f t="shared" ca="1" si="15"/>
        <v>-</v>
      </c>
      <c r="S23" s="1958">
        <f t="shared" ca="1" si="18"/>
        <v>0</v>
      </c>
    </row>
    <row r="24" spans="1:19" ht="21.95" customHeight="1">
      <c r="A24" s="1979">
        <f t="shared" ca="1" si="7"/>
        <v>0</v>
      </c>
      <c r="B24" s="295"/>
      <c r="C24" s="301"/>
      <c r="D24" s="627" t="str">
        <f t="shared" si="16"/>
        <v>-</v>
      </c>
      <c r="E24" s="291"/>
      <c r="F24" s="292"/>
      <c r="G24" s="627" t="str">
        <f t="shared" si="19"/>
        <v>-</v>
      </c>
      <c r="H24" s="293"/>
      <c r="I24" s="1964">
        <f t="shared" si="17"/>
        <v>0</v>
      </c>
      <c r="J24" s="1974" t="str">
        <f t="shared" ca="1" si="8"/>
        <v>-</v>
      </c>
      <c r="K24" s="634" t="str">
        <f t="shared" ca="1" si="9"/>
        <v>-</v>
      </c>
      <c r="L24" s="635" t="str">
        <f t="shared" ca="1" si="10"/>
        <v>-</v>
      </c>
      <c r="M24" s="635" t="str">
        <f t="shared" ca="1" si="11"/>
        <v>-</v>
      </c>
      <c r="N24" s="636" t="str">
        <f t="shared" ca="1" si="12"/>
        <v>-</v>
      </c>
      <c r="O24" s="635" t="str">
        <f t="shared" ca="1" si="13"/>
        <v>-</v>
      </c>
      <c r="P24" s="1972" t="str">
        <f t="shared" ca="1" si="14"/>
        <v>-</v>
      </c>
      <c r="Q24" s="1973" t="str">
        <f t="shared" ca="1" si="15"/>
        <v>-</v>
      </c>
      <c r="S24" s="1958">
        <f t="shared" ca="1" si="18"/>
        <v>0</v>
      </c>
    </row>
    <row r="25" spans="1:19" ht="21.95" customHeight="1" thickBot="1">
      <c r="A25" s="1980">
        <f t="shared" ca="1" si="7"/>
        <v>0</v>
      </c>
      <c r="B25" s="296"/>
      <c r="C25" s="302"/>
      <c r="D25" s="628" t="str">
        <f t="shared" si="16"/>
        <v>-</v>
      </c>
      <c r="E25" s="297"/>
      <c r="F25" s="298"/>
      <c r="G25" s="628" t="str">
        <f t="shared" si="19"/>
        <v>-</v>
      </c>
      <c r="H25" s="299"/>
      <c r="I25" s="1965">
        <f t="shared" si="17"/>
        <v>0</v>
      </c>
      <c r="J25" s="1975" t="str">
        <f t="shared" ca="1" si="8"/>
        <v>-</v>
      </c>
      <c r="K25" s="637" t="str">
        <f t="shared" ca="1" si="9"/>
        <v>-</v>
      </c>
      <c r="L25" s="638" t="str">
        <f t="shared" ca="1" si="10"/>
        <v>-</v>
      </c>
      <c r="M25" s="638" t="str">
        <f t="shared" ca="1" si="11"/>
        <v>-</v>
      </c>
      <c r="N25" s="639" t="str">
        <f t="shared" ca="1" si="12"/>
        <v>-</v>
      </c>
      <c r="O25" s="638" t="str">
        <f t="shared" ca="1" si="13"/>
        <v>-</v>
      </c>
      <c r="P25" s="1976" t="str">
        <f t="shared" ca="1" si="14"/>
        <v>-</v>
      </c>
      <c r="Q25" s="1977" t="str">
        <f t="shared" ca="1" si="15"/>
        <v>-</v>
      </c>
      <c r="S25" s="1958">
        <f t="shared" ca="1" si="18"/>
        <v>0</v>
      </c>
    </row>
    <row r="26" spans="1:19" ht="24.75" customHeight="1" thickBot="1">
      <c r="A26" s="1967" t="s">
        <v>100</v>
      </c>
      <c r="B26" s="1968">
        <f>SUM(B18:B25)</f>
        <v>0</v>
      </c>
      <c r="C26" s="1969" t="str">
        <f>IFERROR(B26/D26,"-")</f>
        <v>-</v>
      </c>
      <c r="D26" s="1962">
        <f>SUM(D18:D25)</f>
        <v>0</v>
      </c>
      <c r="E26" s="1962">
        <f>SUM(E18:E25)</f>
        <v>0</v>
      </c>
      <c r="F26" s="1962">
        <f>SUM(F18:F25)</f>
        <v>0</v>
      </c>
      <c r="G26" s="1962" t="str">
        <f>IFERROR(F26*100/E26,"-")</f>
        <v>-</v>
      </c>
      <c r="H26" s="1962" t="str">
        <f>IFERROR((I26/F26)*1000000,"-")</f>
        <v>-</v>
      </c>
      <c r="I26" s="1966">
        <f>SUM(I18:I25)</f>
        <v>0</v>
      </c>
      <c r="J26" s="1968" t="str">
        <f t="shared" ca="1" si="8"/>
        <v>-</v>
      </c>
      <c r="K26" s="1969" t="str">
        <f t="shared" ca="1" si="9"/>
        <v>-</v>
      </c>
      <c r="L26" s="1962" t="str">
        <f t="shared" ca="1" si="10"/>
        <v>-</v>
      </c>
      <c r="M26" s="1962" t="str">
        <f t="shared" ca="1" si="11"/>
        <v>-</v>
      </c>
      <c r="N26" s="1962" t="str">
        <f t="shared" ca="1" si="12"/>
        <v>-</v>
      </c>
      <c r="O26" s="1962" t="str">
        <f t="shared" ca="1" si="13"/>
        <v>-</v>
      </c>
      <c r="P26" s="1962" t="str">
        <f t="shared" ca="1" si="14"/>
        <v>-</v>
      </c>
      <c r="Q26" s="1966" t="str">
        <f t="shared" ca="1" si="15"/>
        <v>-</v>
      </c>
    </row>
    <row r="27" spans="1:19" ht="24.75" customHeight="1">
      <c r="A27" s="1052"/>
      <c r="B27" s="1053"/>
      <c r="C27" s="1053"/>
      <c r="D27" s="1054"/>
      <c r="E27" s="1054"/>
      <c r="F27" s="1054"/>
      <c r="G27" s="1054"/>
      <c r="H27" s="1054"/>
      <c r="I27" s="1055"/>
      <c r="J27" s="1053"/>
      <c r="K27" s="1053"/>
      <c r="L27" s="1054"/>
      <c r="M27" s="1054"/>
      <c r="N27" s="1054"/>
      <c r="O27" s="1054"/>
      <c r="P27" s="1054"/>
      <c r="Q27" s="1055"/>
    </row>
    <row r="28" spans="1:19" s="212" customFormat="1" ht="21">
      <c r="A28" s="3321"/>
      <c r="B28" s="3321"/>
      <c r="C28" s="1056"/>
      <c r="D28" s="5"/>
      <c r="E28" s="5"/>
      <c r="F28" s="5"/>
      <c r="G28" s="5"/>
      <c r="H28" s="3321"/>
      <c r="I28" s="3321"/>
      <c r="J28" s="3321"/>
      <c r="K28" s="1056"/>
      <c r="L28" s="3321"/>
      <c r="M28" s="3321"/>
      <c r="N28" s="3321"/>
      <c r="O28" s="3321"/>
      <c r="P28" s="3321"/>
      <c r="Q28" s="3321"/>
      <c r="S28" s="1081"/>
    </row>
    <row r="29" spans="1:19" s="212" customFormat="1">
      <c r="S29" s="1081">
        <f>COLUMN()</f>
        <v>19</v>
      </c>
    </row>
    <row r="30" spans="1:19" s="212" customFormat="1">
      <c r="S30" s="1081"/>
    </row>
    <row r="31" spans="1:19" s="212" customFormat="1">
      <c r="S31" s="1081"/>
    </row>
    <row r="32" spans="1:19" s="212" customFormat="1">
      <c r="S32" s="1081"/>
    </row>
    <row r="33" spans="19:19" s="212" customFormat="1">
      <c r="S33" s="1081"/>
    </row>
    <row r="34" spans="19:19" s="212" customFormat="1">
      <c r="S34" s="1081"/>
    </row>
    <row r="35" spans="19:19" s="212" customFormat="1">
      <c r="S35" s="1081"/>
    </row>
    <row r="36" spans="19:19" s="212" customFormat="1">
      <c r="S36" s="1081"/>
    </row>
    <row r="37" spans="19:19" s="212" customFormat="1">
      <c r="S37" s="1081"/>
    </row>
    <row r="38" spans="19:19" s="212" customFormat="1">
      <c r="S38" s="1081"/>
    </row>
    <row r="39" spans="19:19" s="212" customFormat="1">
      <c r="S39" s="1081"/>
    </row>
  </sheetData>
  <mergeCells count="12">
    <mergeCell ref="A1:Q1"/>
    <mergeCell ref="A3:D3"/>
    <mergeCell ref="A28:B28"/>
    <mergeCell ref="H28:J28"/>
    <mergeCell ref="L28:Q28"/>
    <mergeCell ref="A4:A5"/>
    <mergeCell ref="B4:I4"/>
    <mergeCell ref="J16:Q16"/>
    <mergeCell ref="A15:Q15"/>
    <mergeCell ref="A16:A17"/>
    <mergeCell ref="J4:Q4"/>
    <mergeCell ref="B16:I16"/>
  </mergeCells>
  <printOptions horizontalCentered="1"/>
  <pageMargins left="0.19685039370078741" right="0.19685039370078741" top="0.59055118110236227" bottom="0.78740157480314965" header="0.19685039370078741" footer="0.19685039370078741"/>
  <pageSetup paperSize="9" scale="77"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97">
    <tabColor rgb="FF0000FF"/>
    <pageSetUpPr fitToPage="1"/>
  </sheetPr>
  <dimension ref="A1:S39"/>
  <sheetViews>
    <sheetView rightToLeft="1" topLeftCell="A12" zoomScale="130" zoomScaleNormal="130" workbookViewId="0">
      <selection activeCell="H19" sqref="H19"/>
    </sheetView>
  </sheetViews>
  <sheetFormatPr defaultColWidth="9" defaultRowHeight="15"/>
  <cols>
    <col min="1" max="1" width="15.7109375" style="5" customWidth="1"/>
    <col min="2" max="3" width="10.5703125" style="5" customWidth="1"/>
    <col min="4" max="4" width="9.5703125" style="5" customWidth="1"/>
    <col min="5" max="15" width="10.5703125" style="5" customWidth="1"/>
    <col min="16" max="16" width="12.140625" style="5" customWidth="1"/>
    <col min="17" max="17" width="14.5703125" style="5" customWidth="1"/>
    <col min="18" max="18" width="9" style="5"/>
    <col min="19" max="19" width="0" style="5" hidden="1" customWidth="1"/>
    <col min="20" max="16384" width="9" style="5"/>
  </cols>
  <sheetData>
    <row r="1" spans="1:19" s="52"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row>
    <row r="2" spans="1:19" s="83" customFormat="1" ht="28.5" customHeight="1">
      <c r="A2" s="1206" t="str">
        <f>"گزارش درآمد فروش بلیط خارجی در دوره " &amp; روکش!F9 &amp; " سال " &amp; روکش!D9</f>
        <v>گزارش درآمد فروش بلیط خارجی در دوره شش ماهه سال 1405</v>
      </c>
      <c r="B2" s="1206"/>
      <c r="C2" s="1206"/>
      <c r="D2" s="1206"/>
      <c r="E2" s="1206"/>
      <c r="F2" s="1206"/>
      <c r="G2" s="1206"/>
      <c r="H2" s="1206"/>
      <c r="I2" s="1206"/>
      <c r="J2" s="1206"/>
      <c r="K2" s="1206"/>
      <c r="L2" s="1206"/>
      <c r="M2" s="1206"/>
      <c r="N2" s="1203"/>
      <c r="O2" s="1203"/>
      <c r="P2" s="1203"/>
      <c r="Q2" s="1203"/>
    </row>
    <row r="3" spans="1:19" ht="20.100000000000001" customHeight="1" thickBot="1">
      <c r="A3" s="3320"/>
      <c r="B3" s="3320"/>
      <c r="C3" s="3320"/>
      <c r="D3" s="3320"/>
      <c r="E3" s="907"/>
      <c r="F3" s="907"/>
      <c r="G3" s="907"/>
      <c r="H3" s="625"/>
      <c r="I3" s="625"/>
      <c r="J3" s="625"/>
      <c r="K3" s="625"/>
      <c r="L3" s="625"/>
      <c r="M3" s="1261"/>
      <c r="N3" s="1261"/>
      <c r="O3" s="1262"/>
      <c r="P3" s="1262"/>
      <c r="Q3" s="1262" t="s">
        <v>612</v>
      </c>
    </row>
    <row r="4" spans="1:19" ht="24.75" customHeight="1">
      <c r="A4" s="3322" t="s">
        <v>603</v>
      </c>
      <c r="B4" s="3324" t="s">
        <v>683</v>
      </c>
      <c r="C4" s="3325"/>
      <c r="D4" s="3325"/>
      <c r="E4" s="3325"/>
      <c r="F4" s="3325"/>
      <c r="G4" s="3325"/>
      <c r="H4" s="3325"/>
      <c r="I4" s="3326"/>
      <c r="J4" s="3324" t="s">
        <v>674</v>
      </c>
      <c r="K4" s="3325"/>
      <c r="L4" s="3325"/>
      <c r="M4" s="3325"/>
      <c r="N4" s="3325"/>
      <c r="O4" s="3325"/>
      <c r="P4" s="3325"/>
      <c r="Q4" s="3326"/>
      <c r="S4" s="41"/>
    </row>
    <row r="5" spans="1:19" s="1051" customFormat="1" ht="63" customHeight="1" thickBot="1">
      <c r="A5" s="3323"/>
      <c r="B5" s="1959" t="s">
        <v>606</v>
      </c>
      <c r="C5" s="1960" t="s">
        <v>607</v>
      </c>
      <c r="D5" s="1960" t="s">
        <v>608</v>
      </c>
      <c r="E5" s="1960" t="s">
        <v>609</v>
      </c>
      <c r="F5" s="1960" t="s">
        <v>610</v>
      </c>
      <c r="G5" s="1960" t="s">
        <v>613</v>
      </c>
      <c r="H5" s="1960" t="s">
        <v>611</v>
      </c>
      <c r="I5" s="1961" t="s">
        <v>10</v>
      </c>
      <c r="J5" s="1959" t="s">
        <v>606</v>
      </c>
      <c r="K5" s="1960" t="s">
        <v>607</v>
      </c>
      <c r="L5" s="1960" t="s">
        <v>608</v>
      </c>
      <c r="M5" s="1960" t="s">
        <v>609</v>
      </c>
      <c r="N5" s="1960" t="s">
        <v>610</v>
      </c>
      <c r="O5" s="1960" t="s">
        <v>613</v>
      </c>
      <c r="P5" s="1960" t="s">
        <v>611</v>
      </c>
      <c r="Q5" s="1961" t="s">
        <v>10</v>
      </c>
      <c r="S5" s="1080"/>
    </row>
    <row r="6" spans="1:19" ht="21.95" customHeight="1">
      <c r="A6" s="1981">
        <f ca="1">IF(ROW()-ROW($A$6)&lt;'الف-ب-ج'!$L$9,INDIRECT("BudgetDB!JF"&amp;('الف-ب-ج'!$M$9+ROW()-ROW($A$6))),"")</f>
        <v>0</v>
      </c>
      <c r="B6" s="1161"/>
      <c r="C6" s="300"/>
      <c r="D6" s="626" t="str">
        <f>IFERROR(ROUND(B6/C6,0),"-")</f>
        <v>-</v>
      </c>
      <c r="E6" s="1164"/>
      <c r="F6" s="1165"/>
      <c r="G6" s="626" t="str">
        <f>IFERROR(F6*100/E6,"-")</f>
        <v>-</v>
      </c>
      <c r="H6" s="1170"/>
      <c r="I6" s="1963">
        <f>H6*F6/1000000</f>
        <v>0</v>
      </c>
      <c r="J6" s="1990" cm="1">
        <f t="array" aca="1" ref="J6" ca="1">IF(ROW()-ROW($A$6)&lt;'الف-ب-ج'!$L$9,IF(روکش!$F$9="سه ماهه",INDIRECT("BudgetDB!JG"&amp;('الف-ب-ج'!$M$9+ROW()-ROW($A$6))),INDIRECT("BudgetDB!JH"&amp;('الف-ب-ج'!$M$9+ROW()-ROW($A$6)))),"")</f>
        <v>0</v>
      </c>
      <c r="K6" s="1991" cm="1">
        <f t="array" aca="1" ref="K6" ca="1">IF(ROW()-ROW($A$6)&lt;'الف-ب-ج'!$L$9,IF(روکش!$F$9="سه ماهه",INDIRECT("BudgetDB!JI"&amp;('الف-ب-ج'!$M$9+ROW()-ROW($A$6))),INDIRECT("BudgetDB!JJ"&amp;('الف-ب-ج'!$M$9+ROW()-ROW($A$6)))),"")</f>
        <v>0</v>
      </c>
      <c r="L6" s="626" t="str">
        <f ca="1">IFERROR(ROUND(J6/K6,0),"-")</f>
        <v>-</v>
      </c>
      <c r="M6" s="1057" cm="1">
        <f t="array" aca="1" ref="M6" ca="1">IF(ROW()-ROW($A$6)&lt;'الف-ب-ج'!$L$9,IF(روکش!$F$9="سه ماهه",INDIRECT("BudgetDB!JK"&amp;('الف-ب-ج'!$M$9+ROW()-ROW($A$6))),INDIRECT("BudgetDB!JL"&amp;('الف-ب-ج'!$M$9+ROW()-ROW($A$6)))),"")</f>
        <v>0</v>
      </c>
      <c r="N6" s="1987" cm="1">
        <f t="array" aca="1" ref="N6" ca="1">IF(ROW()-ROW($A$6)&lt;'الف-ب-ج'!$L$9,IF(روکش!$F$9="سه ماهه",INDIRECT("BudgetDB!JM"&amp;('الف-ب-ج'!$M$9+ROW()-ROW($A$6))),INDIRECT("BudgetDB!JN"&amp;('الف-ب-ج'!$M$9+ROW()-ROW($A$6)))),"")</f>
        <v>0</v>
      </c>
      <c r="O6" s="626" t="str">
        <f ca="1">IFERROR(N6*100/M6,"-")</f>
        <v>-</v>
      </c>
      <c r="P6" s="1984" cm="1">
        <f t="array" aca="1" ref="P6" ca="1">IF(ROW()-ROW($A$6)&lt;'الف-ب-ج'!$L$9,IF(روکش!$F$9="سه ماهه",INDIRECT("BudgetDB!JO"&amp;('الف-ب-ج'!$M$9+ROW()-ROW($A$6))),INDIRECT("BudgetDB!JP"&amp;('الف-ب-ج'!$M$9+ROW()-ROW($A$6)))),"")</f>
        <v>0</v>
      </c>
      <c r="Q6" s="1963">
        <f ca="1">P6*N6/1000000</f>
        <v>0</v>
      </c>
      <c r="S6" s="1958">
        <f t="shared" ref="S6:S13" ca="1" si="0">B18+B6+J6</f>
        <v>0</v>
      </c>
    </row>
    <row r="7" spans="1:19" ht="21.95" customHeight="1">
      <c r="A7" s="1982">
        <f ca="1">IF(ROW()-ROW($A$6)&lt;'الف-ب-ج'!$L$9,INDIRECT("BudgetDB!JF"&amp;('الف-ب-ج'!$M$9+ROW()-ROW($A$6))),"")</f>
        <v>0</v>
      </c>
      <c r="B7" s="290"/>
      <c r="C7" s="301"/>
      <c r="D7" s="627" t="str">
        <f t="shared" ref="D7:D13" si="1">IFERROR(ROUND(B7/C7,0),"-")</f>
        <v>-</v>
      </c>
      <c r="E7" s="1166"/>
      <c r="F7" s="1167"/>
      <c r="G7" s="627" t="str">
        <f t="shared" ref="G7:G13" si="2">IFERROR(F7*100/E7,"-")</f>
        <v>-</v>
      </c>
      <c r="H7" s="1171"/>
      <c r="I7" s="1964">
        <f t="shared" ref="I7:I8" si="3">H7*F7/1000000</f>
        <v>0</v>
      </c>
      <c r="J7" s="1992" cm="1">
        <f t="array" aca="1" ref="J7" ca="1">IF(ROW()-ROW($A$6)&lt;'الف-ب-ج'!$L$9,IF(روکش!$F$9="سه ماهه",INDIRECT("BudgetDB!JG"&amp;('الف-ب-ج'!$M$9+ROW()-ROW($A$6))),INDIRECT("BudgetDB!JH"&amp;('الف-ب-ج'!$M$9+ROW()-ROW($A$6)))),"")</f>
        <v>0</v>
      </c>
      <c r="K7" s="1993" cm="1">
        <f t="array" aca="1" ref="K7" ca="1">IF(ROW()-ROW($A$6)&lt;'الف-ب-ج'!$L$9,IF(روکش!$F$9="سه ماهه",INDIRECT("BudgetDB!JI"&amp;('الف-ب-ج'!$M$9+ROW()-ROW($A$6))),INDIRECT("BudgetDB!JJ"&amp;('الف-ب-ج'!$M$9+ROW()-ROW($A$6)))),"")</f>
        <v>0</v>
      </c>
      <c r="L7" s="627" t="str">
        <f t="shared" ref="L7:L13" ca="1" si="4">IFERROR(ROUND(J7/K7,0),"-")</f>
        <v>-</v>
      </c>
      <c r="M7" s="1058" cm="1">
        <f t="array" aca="1" ref="M7" ca="1">IF(ROW()-ROW($A$6)&lt;'الف-ب-ج'!$L$9,IF(روکش!$F$9="سه ماهه",INDIRECT("BudgetDB!JK"&amp;('الف-ب-ج'!$M$9+ROW()-ROW($A$6))),INDIRECT("BudgetDB!JL"&amp;('الف-ب-ج'!$M$9+ROW()-ROW($A$6)))),"")</f>
        <v>0</v>
      </c>
      <c r="N7" s="1988" cm="1">
        <f t="array" aca="1" ref="N7" ca="1">IF(ROW()-ROW($A$6)&lt;'الف-ب-ج'!$L$9,IF(روکش!$F$9="سه ماهه",INDIRECT("BudgetDB!JM"&amp;('الف-ب-ج'!$M$9+ROW()-ROW($A$6))),INDIRECT("BudgetDB!JN"&amp;('الف-ب-ج'!$M$9+ROW()-ROW($A$6)))),"")</f>
        <v>0</v>
      </c>
      <c r="O7" s="627" t="str">
        <f t="shared" ref="O7:O13" ca="1" si="5">IFERROR(N7*100/M7,"-")</f>
        <v>-</v>
      </c>
      <c r="P7" s="1985" cm="1">
        <f t="array" aca="1" ref="P7" ca="1">IF(ROW()-ROW($A$6)&lt;'الف-ب-ج'!$L$9,IF(روکش!$F$9="سه ماهه",INDIRECT("BudgetDB!JO"&amp;('الف-ب-ج'!$M$9+ROW()-ROW($A$6))),INDIRECT("BudgetDB!JP"&amp;('الف-ب-ج'!$M$9+ROW()-ROW($A$6)))),"")</f>
        <v>0</v>
      </c>
      <c r="Q7" s="1964">
        <f t="shared" ref="Q7:Q13" ca="1" si="6">P7*N7/1000000</f>
        <v>0</v>
      </c>
      <c r="S7" s="1958">
        <f t="shared" ca="1" si="0"/>
        <v>0</v>
      </c>
    </row>
    <row r="8" spans="1:19" ht="21.95" customHeight="1">
      <c r="A8" s="1982">
        <f ca="1">IF(ROW()-ROW($A$6)&lt;'الف-ب-ج'!$L$9,INDIRECT("BudgetDB!JF"&amp;('الف-ب-ج'!$M$9+ROW()-ROW($A$6))),"")</f>
        <v>0</v>
      </c>
      <c r="B8" s="290"/>
      <c r="C8" s="301"/>
      <c r="D8" s="627" t="str">
        <f t="shared" si="1"/>
        <v>-</v>
      </c>
      <c r="E8" s="1166"/>
      <c r="F8" s="1167"/>
      <c r="G8" s="627" t="str">
        <f t="shared" si="2"/>
        <v>-</v>
      </c>
      <c r="H8" s="1171"/>
      <c r="I8" s="1964">
        <f t="shared" si="3"/>
        <v>0</v>
      </c>
      <c r="J8" s="1992" cm="1">
        <f t="array" aca="1" ref="J8" ca="1">IF(ROW()-ROW($A$6)&lt;'الف-ب-ج'!$L$9,IF(روکش!$F$9="سه ماهه",INDIRECT("BudgetDB!JG"&amp;('الف-ب-ج'!$M$9+ROW()-ROW($A$6))),INDIRECT("BudgetDB!JH"&amp;('الف-ب-ج'!$M$9+ROW()-ROW($A$6)))),"")</f>
        <v>0</v>
      </c>
      <c r="K8" s="1993" cm="1">
        <f t="array" aca="1" ref="K8" ca="1">IF(ROW()-ROW($A$6)&lt;'الف-ب-ج'!$L$9,IF(روکش!$F$9="سه ماهه",INDIRECT("BudgetDB!JI"&amp;('الف-ب-ج'!$M$9+ROW()-ROW($A$6))),INDIRECT("BudgetDB!JJ"&amp;('الف-ب-ج'!$M$9+ROW()-ROW($A$6)))),"")</f>
        <v>0</v>
      </c>
      <c r="L8" s="627" t="str">
        <f t="shared" ca="1" si="4"/>
        <v>-</v>
      </c>
      <c r="M8" s="1058" cm="1">
        <f t="array" aca="1" ref="M8" ca="1">IF(ROW()-ROW($A$6)&lt;'الف-ب-ج'!$L$9,IF(روکش!$F$9="سه ماهه",INDIRECT("BudgetDB!JK"&amp;('الف-ب-ج'!$M$9+ROW()-ROW($A$6))),INDIRECT("BudgetDB!JL"&amp;('الف-ب-ج'!$M$9+ROW()-ROW($A$6)))),"")</f>
        <v>0</v>
      </c>
      <c r="N8" s="1988" cm="1">
        <f t="array" aca="1" ref="N8" ca="1">IF(ROW()-ROW($A$6)&lt;'الف-ب-ج'!$L$9,IF(روکش!$F$9="سه ماهه",INDIRECT("BudgetDB!JM"&amp;('الف-ب-ج'!$M$9+ROW()-ROW($A$6))),INDIRECT("BudgetDB!JN"&amp;('الف-ب-ج'!$M$9+ROW()-ROW($A$6)))),"")</f>
        <v>0</v>
      </c>
      <c r="O8" s="627" t="str">
        <f t="shared" ca="1" si="5"/>
        <v>-</v>
      </c>
      <c r="P8" s="1985" cm="1">
        <f t="array" aca="1" ref="P8" ca="1">IF(ROW()-ROW($A$6)&lt;'الف-ب-ج'!$L$9,IF(روکش!$F$9="سه ماهه",INDIRECT("BudgetDB!JO"&amp;('الف-ب-ج'!$M$9+ROW()-ROW($A$6))),INDIRECT("BudgetDB!JP"&amp;('الف-ب-ج'!$M$9+ROW()-ROW($A$6)))),"")</f>
        <v>0</v>
      </c>
      <c r="Q8" s="1964">
        <f t="shared" ca="1" si="6"/>
        <v>0</v>
      </c>
      <c r="S8" s="1958">
        <f t="shared" ca="1" si="0"/>
        <v>0</v>
      </c>
    </row>
    <row r="9" spans="1:19" ht="21.95" customHeight="1">
      <c r="A9" s="1982">
        <f ca="1">IF(ROW()-ROW($A$6)&lt;'الف-ب-ج'!$L$9,INDIRECT("BudgetDB!JF"&amp;('الف-ب-ج'!$M$9+ROW()-ROW($A$6))),"")</f>
        <v>0</v>
      </c>
      <c r="B9" s="290"/>
      <c r="C9" s="301"/>
      <c r="D9" s="627" t="str">
        <f t="shared" si="1"/>
        <v>-</v>
      </c>
      <c r="E9" s="1166"/>
      <c r="F9" s="1167"/>
      <c r="G9" s="627" t="str">
        <f t="shared" si="2"/>
        <v>-</v>
      </c>
      <c r="H9" s="1171"/>
      <c r="I9" s="1964">
        <f>H9*F9/1000000</f>
        <v>0</v>
      </c>
      <c r="J9" s="1992" cm="1">
        <f t="array" aca="1" ref="J9" ca="1">IF(ROW()-ROW($A$6)&lt;'الف-ب-ج'!$L$9,IF(روکش!$F$9="سه ماهه",INDIRECT("BudgetDB!JG"&amp;('الف-ب-ج'!$M$9+ROW()-ROW($A$6))),INDIRECT("BudgetDB!JH"&amp;('الف-ب-ج'!$M$9+ROW()-ROW($A$6)))),"")</f>
        <v>0</v>
      </c>
      <c r="K9" s="1993" cm="1">
        <f t="array" aca="1" ref="K9" ca="1">IF(ROW()-ROW($A$6)&lt;'الف-ب-ج'!$L$9,IF(روکش!$F$9="سه ماهه",INDIRECT("BudgetDB!JI"&amp;('الف-ب-ج'!$M$9+ROW()-ROW($A$6))),INDIRECT("BudgetDB!JJ"&amp;('الف-ب-ج'!$M$9+ROW()-ROW($A$6)))),"")</f>
        <v>0</v>
      </c>
      <c r="L9" s="627" t="str">
        <f t="shared" ca="1" si="4"/>
        <v>-</v>
      </c>
      <c r="M9" s="1058" cm="1">
        <f t="array" aca="1" ref="M9" ca="1">IF(ROW()-ROW($A$6)&lt;'الف-ب-ج'!$L$9,IF(روکش!$F$9="سه ماهه",INDIRECT("BudgetDB!JK"&amp;('الف-ب-ج'!$M$9+ROW()-ROW($A$6))),INDIRECT("BudgetDB!JL"&amp;('الف-ب-ج'!$M$9+ROW()-ROW($A$6)))),"")</f>
        <v>0</v>
      </c>
      <c r="N9" s="1988" cm="1">
        <f t="array" aca="1" ref="N9" ca="1">IF(ROW()-ROW($A$6)&lt;'الف-ب-ج'!$L$9,IF(روکش!$F$9="سه ماهه",INDIRECT("BudgetDB!JM"&amp;('الف-ب-ج'!$M$9+ROW()-ROW($A$6))),INDIRECT("BudgetDB!JN"&amp;('الف-ب-ج'!$M$9+ROW()-ROW($A$6)))),"")</f>
        <v>0</v>
      </c>
      <c r="O9" s="627" t="str">
        <f t="shared" ca="1" si="5"/>
        <v>-</v>
      </c>
      <c r="P9" s="1985" cm="1">
        <f t="array" aca="1" ref="P9" ca="1">IF(ROW()-ROW($A$6)&lt;'الف-ب-ج'!$L$9,IF(روکش!$F$9="سه ماهه",INDIRECT("BudgetDB!JO"&amp;('الف-ب-ج'!$M$9+ROW()-ROW($A$6))),INDIRECT("BudgetDB!JP"&amp;('الف-ب-ج'!$M$9+ROW()-ROW($A$6)))),"")</f>
        <v>0</v>
      </c>
      <c r="Q9" s="1964">
        <f t="shared" ca="1" si="6"/>
        <v>0</v>
      </c>
      <c r="S9" s="1958">
        <f t="shared" ca="1" si="0"/>
        <v>0</v>
      </c>
    </row>
    <row r="10" spans="1:19" ht="21.95" customHeight="1">
      <c r="A10" s="1982">
        <f ca="1">IF(ROW()-ROW($A$6)&lt;'الف-ب-ج'!$L$9,INDIRECT("BudgetDB!JF"&amp;('الف-ب-ج'!$M$9+ROW()-ROW($A$6))),"")</f>
        <v>0</v>
      </c>
      <c r="B10" s="290"/>
      <c r="C10" s="301"/>
      <c r="D10" s="627" t="str">
        <f t="shared" si="1"/>
        <v>-</v>
      </c>
      <c r="E10" s="1166"/>
      <c r="F10" s="1167"/>
      <c r="G10" s="627" t="str">
        <f t="shared" si="2"/>
        <v>-</v>
      </c>
      <c r="H10" s="1171"/>
      <c r="I10" s="1964">
        <f>H10*F10/1000000</f>
        <v>0</v>
      </c>
      <c r="J10" s="1992" cm="1">
        <f t="array" aca="1" ref="J10" ca="1">IF(ROW()-ROW($A$6)&lt;'الف-ب-ج'!$L$9,IF(روکش!$F$9="سه ماهه",INDIRECT("BudgetDB!JG"&amp;('الف-ب-ج'!$M$9+ROW()-ROW($A$6))),INDIRECT("BudgetDB!JH"&amp;('الف-ب-ج'!$M$9+ROW()-ROW($A$6)))),"")</f>
        <v>0</v>
      </c>
      <c r="K10" s="1993" cm="1">
        <f t="array" aca="1" ref="K10" ca="1">IF(ROW()-ROW($A$6)&lt;'الف-ب-ج'!$L$9,IF(روکش!$F$9="سه ماهه",INDIRECT("BudgetDB!JI"&amp;('الف-ب-ج'!$M$9+ROW()-ROW($A$6))),INDIRECT("BudgetDB!JJ"&amp;('الف-ب-ج'!$M$9+ROW()-ROW($A$6)))),"")</f>
        <v>0</v>
      </c>
      <c r="L10" s="627" t="str">
        <f t="shared" ca="1" si="4"/>
        <v>-</v>
      </c>
      <c r="M10" s="1058" cm="1">
        <f t="array" aca="1" ref="M10" ca="1">IF(ROW()-ROW($A$6)&lt;'الف-ب-ج'!$L$9,IF(روکش!$F$9="سه ماهه",INDIRECT("BudgetDB!JK"&amp;('الف-ب-ج'!$M$9+ROW()-ROW($A$6))),INDIRECT("BudgetDB!JL"&amp;('الف-ب-ج'!$M$9+ROW()-ROW($A$6)))),"")</f>
        <v>0</v>
      </c>
      <c r="N10" s="1988" cm="1">
        <f t="array" aca="1" ref="N10" ca="1">IF(ROW()-ROW($A$6)&lt;'الف-ب-ج'!$L$9,IF(روکش!$F$9="سه ماهه",INDIRECT("BudgetDB!JM"&amp;('الف-ب-ج'!$M$9+ROW()-ROW($A$6))),INDIRECT("BudgetDB!JN"&amp;('الف-ب-ج'!$M$9+ROW()-ROW($A$6)))),"")</f>
        <v>0</v>
      </c>
      <c r="O10" s="627" t="str">
        <f t="shared" ca="1" si="5"/>
        <v>-</v>
      </c>
      <c r="P10" s="1985" cm="1">
        <f t="array" aca="1" ref="P10" ca="1">IF(ROW()-ROW($A$6)&lt;'الف-ب-ج'!$L$9,IF(روکش!$F$9="سه ماهه",INDIRECT("BudgetDB!JO"&amp;('الف-ب-ج'!$M$9+ROW()-ROW($A$6))),INDIRECT("BudgetDB!JP"&amp;('الف-ب-ج'!$M$9+ROW()-ROW($A$6)))),"")</f>
        <v>0</v>
      </c>
      <c r="Q10" s="1964">
        <f t="shared" ca="1" si="6"/>
        <v>0</v>
      </c>
      <c r="S10" s="1958">
        <f t="shared" ca="1" si="0"/>
        <v>0</v>
      </c>
    </row>
    <row r="11" spans="1:19" ht="21.95" customHeight="1">
      <c r="A11" s="1982">
        <f ca="1">IF(ROW()-ROW($A$6)&lt;'الف-ب-ج'!$L$9,INDIRECT("BudgetDB!JF"&amp;('الف-ب-ج'!$M$9+ROW()-ROW($A$6))),"")</f>
        <v>0</v>
      </c>
      <c r="B11" s="1162"/>
      <c r="C11" s="301"/>
      <c r="D11" s="627" t="str">
        <f t="shared" si="1"/>
        <v>-</v>
      </c>
      <c r="E11" s="1166"/>
      <c r="F11" s="1167"/>
      <c r="G11" s="627" t="str">
        <f t="shared" si="2"/>
        <v>-</v>
      </c>
      <c r="H11" s="1171"/>
      <c r="I11" s="1964">
        <f t="shared" ref="I11:I13" si="7">H11*F11/1000000</f>
        <v>0</v>
      </c>
      <c r="J11" s="1994" cm="1">
        <f t="array" aca="1" ref="J11" ca="1">IF(ROW()-ROW($A$6)&lt;'الف-ب-ج'!$L$9,IF(روکش!$F$9="سه ماهه",INDIRECT("BudgetDB!JG"&amp;('الف-ب-ج'!$M$9+ROW()-ROW($A$6))),INDIRECT("BudgetDB!JH"&amp;('الف-ب-ج'!$M$9+ROW()-ROW($A$6)))),"")</f>
        <v>0</v>
      </c>
      <c r="K11" s="1993" cm="1">
        <f t="array" aca="1" ref="K11" ca="1">IF(ROW()-ROW($A$6)&lt;'الف-ب-ج'!$L$9,IF(روکش!$F$9="سه ماهه",INDIRECT("BudgetDB!JI"&amp;('الف-ب-ج'!$M$9+ROW()-ROW($A$6))),INDIRECT("BudgetDB!JJ"&amp;('الف-ب-ج'!$M$9+ROW()-ROW($A$6)))),"")</f>
        <v>0</v>
      </c>
      <c r="L11" s="627" t="str">
        <f t="shared" ca="1" si="4"/>
        <v>-</v>
      </c>
      <c r="M11" s="1058" cm="1">
        <f t="array" aca="1" ref="M11" ca="1">IF(ROW()-ROW($A$6)&lt;'الف-ب-ج'!$L$9,IF(روکش!$F$9="سه ماهه",INDIRECT("BudgetDB!JK"&amp;('الف-ب-ج'!$M$9+ROW()-ROW($A$6))),INDIRECT("BudgetDB!JL"&amp;('الف-ب-ج'!$M$9+ROW()-ROW($A$6)))),"")</f>
        <v>0</v>
      </c>
      <c r="N11" s="1988" cm="1">
        <f t="array" aca="1" ref="N11" ca="1">IF(ROW()-ROW($A$6)&lt;'الف-ب-ج'!$L$9,IF(روکش!$F$9="سه ماهه",INDIRECT("BudgetDB!JM"&amp;('الف-ب-ج'!$M$9+ROW()-ROW($A$6))),INDIRECT("BudgetDB!JN"&amp;('الف-ب-ج'!$M$9+ROW()-ROW($A$6)))),"")</f>
        <v>0</v>
      </c>
      <c r="O11" s="627" t="str">
        <f t="shared" ca="1" si="5"/>
        <v>-</v>
      </c>
      <c r="P11" s="1985" cm="1">
        <f t="array" aca="1" ref="P11" ca="1">IF(ROW()-ROW($A$6)&lt;'الف-ب-ج'!$L$9,IF(روکش!$F$9="سه ماهه",INDIRECT("BudgetDB!JO"&amp;('الف-ب-ج'!$M$9+ROW()-ROW($A$6))),INDIRECT("BudgetDB!JP"&amp;('الف-ب-ج'!$M$9+ROW()-ROW($A$6)))),"")</f>
        <v>0</v>
      </c>
      <c r="Q11" s="1964">
        <f t="shared" ca="1" si="6"/>
        <v>0</v>
      </c>
      <c r="S11" s="1958">
        <f t="shared" ca="1" si="0"/>
        <v>0</v>
      </c>
    </row>
    <row r="12" spans="1:19" ht="21.95" customHeight="1">
      <c r="A12" s="1982">
        <f ca="1">IF(ROW()-ROW($A$6)&lt;'الف-ب-ج'!$L$9,INDIRECT("BudgetDB!JF"&amp;('الف-ب-ج'!$M$9+ROW()-ROW($A$6))),"")</f>
        <v>0</v>
      </c>
      <c r="B12" s="1162"/>
      <c r="C12" s="301"/>
      <c r="D12" s="627" t="str">
        <f t="shared" si="1"/>
        <v>-</v>
      </c>
      <c r="E12" s="1166"/>
      <c r="F12" s="1167"/>
      <c r="G12" s="627" t="str">
        <f t="shared" si="2"/>
        <v>-</v>
      </c>
      <c r="H12" s="1171"/>
      <c r="I12" s="1964">
        <f t="shared" si="7"/>
        <v>0</v>
      </c>
      <c r="J12" s="1994" cm="1">
        <f t="array" aca="1" ref="J12" ca="1">IF(ROW()-ROW($A$6)&lt;'الف-ب-ج'!$L$9,IF(روکش!$F$9="سه ماهه",INDIRECT("BudgetDB!JG"&amp;('الف-ب-ج'!$M$9+ROW()-ROW($A$6))),INDIRECT("BudgetDB!JH"&amp;('الف-ب-ج'!$M$9+ROW()-ROW($A$6)))),"")</f>
        <v>0</v>
      </c>
      <c r="K12" s="1993" cm="1">
        <f t="array" aca="1" ref="K12" ca="1">IF(ROW()-ROW($A$6)&lt;'الف-ب-ج'!$L$9,IF(روکش!$F$9="سه ماهه",INDIRECT("BudgetDB!JI"&amp;('الف-ب-ج'!$M$9+ROW()-ROW($A$6))),INDIRECT("BudgetDB!JJ"&amp;('الف-ب-ج'!$M$9+ROW()-ROW($A$6)))),"")</f>
        <v>0</v>
      </c>
      <c r="L12" s="627" t="str">
        <f t="shared" ca="1" si="4"/>
        <v>-</v>
      </c>
      <c r="M12" s="1058" cm="1">
        <f t="array" aca="1" ref="M12" ca="1">IF(ROW()-ROW($A$6)&lt;'الف-ب-ج'!$L$9,IF(روکش!$F$9="سه ماهه",INDIRECT("BudgetDB!JK"&amp;('الف-ب-ج'!$M$9+ROW()-ROW($A$6))),INDIRECT("BudgetDB!JL"&amp;('الف-ب-ج'!$M$9+ROW()-ROW($A$6)))),"")</f>
        <v>0</v>
      </c>
      <c r="N12" s="1988" cm="1">
        <f t="array" aca="1" ref="N12" ca="1">IF(ROW()-ROW($A$6)&lt;'الف-ب-ج'!$L$9,IF(روکش!$F$9="سه ماهه",INDIRECT("BudgetDB!JM"&amp;('الف-ب-ج'!$M$9+ROW()-ROW($A$6))),INDIRECT("BudgetDB!JN"&amp;('الف-ب-ج'!$M$9+ROW()-ROW($A$6)))),"")</f>
        <v>0</v>
      </c>
      <c r="O12" s="627" t="str">
        <f t="shared" ca="1" si="5"/>
        <v>-</v>
      </c>
      <c r="P12" s="1985" cm="1">
        <f t="array" aca="1" ref="P12" ca="1">IF(ROW()-ROW($A$6)&lt;'الف-ب-ج'!$L$9,IF(روکش!$F$9="سه ماهه",INDIRECT("BudgetDB!JO"&amp;('الف-ب-ج'!$M$9+ROW()-ROW($A$6))),INDIRECT("BudgetDB!JP"&amp;('الف-ب-ج'!$M$9+ROW()-ROW($A$6)))),"")</f>
        <v>0</v>
      </c>
      <c r="Q12" s="1964">
        <f t="shared" ca="1" si="6"/>
        <v>0</v>
      </c>
      <c r="S12" s="1958">
        <f t="shared" ca="1" si="0"/>
        <v>0</v>
      </c>
    </row>
    <row r="13" spans="1:19" ht="21.95" customHeight="1" thickBot="1">
      <c r="A13" s="1983">
        <f ca="1">IF(ROW()-ROW($A$6)&lt;'الف-ب-ج'!$L$9,INDIRECT("BudgetDB!JF"&amp;('الف-ب-ج'!$M$9+ROW()-ROW($A$6))),"")</f>
        <v>0</v>
      </c>
      <c r="B13" s="1163"/>
      <c r="C13" s="302"/>
      <c r="D13" s="628" t="str">
        <f t="shared" si="1"/>
        <v>-</v>
      </c>
      <c r="E13" s="1168"/>
      <c r="F13" s="1169"/>
      <c r="G13" s="628" t="str">
        <f t="shared" si="2"/>
        <v>-</v>
      </c>
      <c r="H13" s="1172"/>
      <c r="I13" s="1965">
        <f t="shared" si="7"/>
        <v>0</v>
      </c>
      <c r="J13" s="1995" cm="1">
        <f t="array" aca="1" ref="J13" ca="1">IF(ROW()-ROW($A$6)&lt;'الف-ب-ج'!$L$9,IF(روکش!$F$9="سه ماهه",INDIRECT("BudgetDB!JG"&amp;('الف-ب-ج'!$M$9+ROW()-ROW($A$6))),INDIRECT("BudgetDB!JH"&amp;('الف-ب-ج'!$M$9+ROW()-ROW($A$6)))),"")</f>
        <v>0</v>
      </c>
      <c r="K13" s="1996" cm="1">
        <f t="array" aca="1" ref="K13" ca="1">IF(ROW()-ROW($A$6)&lt;'الف-ب-ج'!$L$9,IF(روکش!$F$9="سه ماهه",INDIRECT("BudgetDB!JI"&amp;('الف-ب-ج'!$M$9+ROW()-ROW($A$6))),INDIRECT("BudgetDB!JJ"&amp;('الف-ب-ج'!$M$9+ROW()-ROW($A$6)))),"")</f>
        <v>0</v>
      </c>
      <c r="L13" s="628" t="str">
        <f t="shared" ca="1" si="4"/>
        <v>-</v>
      </c>
      <c r="M13" s="1059" cm="1">
        <f t="array" aca="1" ref="M13" ca="1">IF(ROW()-ROW($A$6)&lt;'الف-ب-ج'!$L$9,IF(روکش!$F$9="سه ماهه",INDIRECT("BudgetDB!JK"&amp;('الف-ب-ج'!$M$9+ROW()-ROW($A$6))),INDIRECT("BudgetDB!JL"&amp;('الف-ب-ج'!$M$9+ROW()-ROW($A$6)))),"")</f>
        <v>0</v>
      </c>
      <c r="N13" s="1989" cm="1">
        <f t="array" aca="1" ref="N13" ca="1">IF(ROW()-ROW($A$6)&lt;'الف-ب-ج'!$L$9,IF(روکش!$F$9="سه ماهه",INDIRECT("BudgetDB!JM"&amp;('الف-ب-ج'!$M$9+ROW()-ROW($A$6))),INDIRECT("BudgetDB!JN"&amp;('الف-ب-ج'!$M$9+ROW()-ROW($A$6)))),"")</f>
        <v>0</v>
      </c>
      <c r="O13" s="628" t="str">
        <f t="shared" ca="1" si="5"/>
        <v>-</v>
      </c>
      <c r="P13" s="1986" cm="1">
        <f t="array" aca="1" ref="P13" ca="1">IF(ROW()-ROW($A$6)&lt;'الف-ب-ج'!$L$9,IF(روکش!$F$9="سه ماهه",INDIRECT("BudgetDB!JO"&amp;('الف-ب-ج'!$M$9+ROW()-ROW($A$6))),INDIRECT("BudgetDB!JP"&amp;('الف-ب-ج'!$M$9+ROW()-ROW($A$6)))),"")</f>
        <v>0</v>
      </c>
      <c r="Q13" s="1965">
        <f t="shared" ca="1" si="6"/>
        <v>0</v>
      </c>
      <c r="S13" s="1958">
        <f t="shared" ca="1" si="0"/>
        <v>0</v>
      </c>
    </row>
    <row r="14" spans="1:19" ht="24.75" customHeight="1" thickBot="1">
      <c r="A14" s="1967" t="s">
        <v>100</v>
      </c>
      <c r="B14" s="1968">
        <f>SUM(B6:B13)</f>
        <v>0</v>
      </c>
      <c r="C14" s="1969" t="str">
        <f>IFERROR(B14/D14,"-")</f>
        <v>-</v>
      </c>
      <c r="D14" s="1962">
        <f>SUM(D6:D13)</f>
        <v>0</v>
      </c>
      <c r="E14" s="1962">
        <f>SUM(E6:E13)</f>
        <v>0</v>
      </c>
      <c r="F14" s="1962">
        <f>SUM(F6:F13)</f>
        <v>0</v>
      </c>
      <c r="G14" s="1962" t="str">
        <f>IFERROR(F14*100/E14,"-")</f>
        <v>-</v>
      </c>
      <c r="H14" s="1962" t="str">
        <f>IFERROR((I14/F14)*1000000,"-")</f>
        <v>-</v>
      </c>
      <c r="I14" s="1966">
        <f>SUM(I6:I13)</f>
        <v>0</v>
      </c>
      <c r="J14" s="1968">
        <f ca="1">SUM(J6:J13)</f>
        <v>0</v>
      </c>
      <c r="K14" s="1969" t="str">
        <f ca="1">IFERROR(J14/L14,"-")</f>
        <v>-</v>
      </c>
      <c r="L14" s="1962">
        <f ca="1">SUM(L6:L13)</f>
        <v>0</v>
      </c>
      <c r="M14" s="1962">
        <f ca="1">SUM(M6:M13)</f>
        <v>0</v>
      </c>
      <c r="N14" s="1962">
        <f ca="1">SUM(N6:N13)</f>
        <v>0</v>
      </c>
      <c r="O14" s="1962" t="str">
        <f ca="1">IFERROR(N14*100/M14,"-")</f>
        <v>-</v>
      </c>
      <c r="P14" s="1962" t="str">
        <f ca="1">IFERROR((Q14/N14)*1000000,"-")</f>
        <v>-</v>
      </c>
      <c r="Q14" s="1966">
        <f ca="1">SUM(Q6:Q13)</f>
        <v>0</v>
      </c>
      <c r="S14" s="41"/>
    </row>
    <row r="15" spans="1:19" ht="15" customHeight="1" thickBot="1">
      <c r="A15" s="3327"/>
      <c r="B15" s="3327"/>
      <c r="C15" s="3327"/>
      <c r="D15" s="3327"/>
      <c r="E15" s="3327"/>
      <c r="F15" s="3327"/>
      <c r="G15" s="3327"/>
      <c r="H15" s="3327"/>
      <c r="I15" s="3327"/>
      <c r="J15" s="3328"/>
      <c r="K15" s="3328"/>
      <c r="L15" s="3328"/>
      <c r="M15" s="3328"/>
      <c r="N15" s="3328"/>
      <c r="O15" s="3328"/>
      <c r="P15" s="3328"/>
      <c r="Q15" s="3328"/>
      <c r="S15" s="41"/>
    </row>
    <row r="16" spans="1:19" ht="24.75" customHeight="1">
      <c r="A16" s="3322" t="s">
        <v>603</v>
      </c>
      <c r="B16" s="3324" t="s">
        <v>675</v>
      </c>
      <c r="C16" s="3325"/>
      <c r="D16" s="3325"/>
      <c r="E16" s="3325"/>
      <c r="F16" s="3325"/>
      <c r="G16" s="3325"/>
      <c r="H16" s="3325"/>
      <c r="I16" s="3326"/>
      <c r="J16" s="3324" t="s">
        <v>717</v>
      </c>
      <c r="K16" s="3325"/>
      <c r="L16" s="3325"/>
      <c r="M16" s="3325"/>
      <c r="N16" s="3325"/>
      <c r="O16" s="3325"/>
      <c r="P16" s="3325"/>
      <c r="Q16" s="3326"/>
      <c r="S16" s="41"/>
    </row>
    <row r="17" spans="1:19" s="1051" customFormat="1" ht="57" customHeight="1" thickBot="1">
      <c r="A17" s="3323"/>
      <c r="B17" s="1959" t="s">
        <v>606</v>
      </c>
      <c r="C17" s="1960" t="s">
        <v>607</v>
      </c>
      <c r="D17" s="1960" t="s">
        <v>608</v>
      </c>
      <c r="E17" s="1960" t="s">
        <v>609</v>
      </c>
      <c r="F17" s="1960" t="s">
        <v>610</v>
      </c>
      <c r="G17" s="1960" t="s">
        <v>613</v>
      </c>
      <c r="H17" s="1960" t="s">
        <v>611</v>
      </c>
      <c r="I17" s="1961" t="s">
        <v>10</v>
      </c>
      <c r="J17" s="1959" t="s">
        <v>606</v>
      </c>
      <c r="K17" s="1960" t="s">
        <v>607</v>
      </c>
      <c r="L17" s="1960" t="s">
        <v>608</v>
      </c>
      <c r="M17" s="1960" t="s">
        <v>609</v>
      </c>
      <c r="N17" s="1960" t="s">
        <v>610</v>
      </c>
      <c r="O17" s="1960" t="s">
        <v>613</v>
      </c>
      <c r="P17" s="1960" t="s">
        <v>611</v>
      </c>
      <c r="Q17" s="1961" t="s">
        <v>10</v>
      </c>
      <c r="S17" s="1080"/>
    </row>
    <row r="18" spans="1:19" ht="21.95" customHeight="1">
      <c r="A18" s="1978">
        <f t="shared" ref="A18:A25" ca="1" si="8">A6</f>
        <v>0</v>
      </c>
      <c r="B18" s="286"/>
      <c r="C18" s="300"/>
      <c r="D18" s="626" t="str">
        <f>IFERROR(ROUND(B18/C18,0),"-")</f>
        <v>-</v>
      </c>
      <c r="E18" s="287"/>
      <c r="F18" s="288"/>
      <c r="G18" s="626" t="str">
        <f>IFERROR(F18*100/E18,"-")</f>
        <v>-</v>
      </c>
      <c r="H18" s="289"/>
      <c r="I18" s="1963">
        <f>H18*F18/1000000</f>
        <v>0</v>
      </c>
      <c r="J18" s="629" t="str">
        <f t="shared" ref="J18:Q26" ca="1" si="9">IFERROR(B18*100/J6,"-")</f>
        <v>-</v>
      </c>
      <c r="K18" s="630" t="str">
        <f t="shared" ca="1" si="9"/>
        <v>-</v>
      </c>
      <c r="L18" s="631" t="str">
        <f t="shared" ca="1" si="9"/>
        <v>-</v>
      </c>
      <c r="M18" s="631" t="str">
        <f t="shared" ca="1" si="9"/>
        <v>-</v>
      </c>
      <c r="N18" s="632" t="str">
        <f t="shared" ca="1" si="9"/>
        <v>-</v>
      </c>
      <c r="O18" s="631" t="str">
        <f t="shared" ca="1" si="9"/>
        <v>-</v>
      </c>
      <c r="P18" s="1970" t="str">
        <f t="shared" ca="1" si="9"/>
        <v>-</v>
      </c>
      <c r="Q18" s="1971" t="str">
        <f t="shared" ca="1" si="9"/>
        <v>-</v>
      </c>
      <c r="S18" s="1958">
        <f ca="1">S6</f>
        <v>0</v>
      </c>
    </row>
    <row r="19" spans="1:19" ht="21.95" customHeight="1">
      <c r="A19" s="1979">
        <f t="shared" ca="1" si="8"/>
        <v>0</v>
      </c>
      <c r="B19" s="290"/>
      <c r="C19" s="301"/>
      <c r="D19" s="627" t="str">
        <f t="shared" ref="D19:D25" si="10">IFERROR(ROUND(B19/C19,0),"-")</f>
        <v>-</v>
      </c>
      <c r="E19" s="291"/>
      <c r="F19" s="292"/>
      <c r="G19" s="627" t="str">
        <f>IFERROR(F19*100/E19,"-")</f>
        <v>-</v>
      </c>
      <c r="H19" s="293"/>
      <c r="I19" s="1964">
        <f t="shared" ref="I19:I25" si="11">H19*F19/1000000</f>
        <v>0</v>
      </c>
      <c r="J19" s="633" t="str">
        <f t="shared" ca="1" si="9"/>
        <v>-</v>
      </c>
      <c r="K19" s="634" t="str">
        <f t="shared" ca="1" si="9"/>
        <v>-</v>
      </c>
      <c r="L19" s="635" t="str">
        <f t="shared" ca="1" si="9"/>
        <v>-</v>
      </c>
      <c r="M19" s="635" t="str">
        <f t="shared" ca="1" si="9"/>
        <v>-</v>
      </c>
      <c r="N19" s="636" t="str">
        <f t="shared" ca="1" si="9"/>
        <v>-</v>
      </c>
      <c r="O19" s="635" t="str">
        <f t="shared" ca="1" si="9"/>
        <v>-</v>
      </c>
      <c r="P19" s="1972" t="str">
        <f t="shared" ca="1" si="9"/>
        <v>-</v>
      </c>
      <c r="Q19" s="1973" t="str">
        <f t="shared" ca="1" si="9"/>
        <v>-</v>
      </c>
      <c r="S19" s="1958">
        <f t="shared" ref="S19:S25" ca="1" si="12">S7</f>
        <v>0</v>
      </c>
    </row>
    <row r="20" spans="1:19" ht="21.95" customHeight="1">
      <c r="A20" s="1979">
        <f t="shared" ca="1" si="8"/>
        <v>0</v>
      </c>
      <c r="B20" s="294"/>
      <c r="C20" s="301"/>
      <c r="D20" s="627" t="str">
        <f t="shared" si="10"/>
        <v>-</v>
      </c>
      <c r="E20" s="291"/>
      <c r="F20" s="292"/>
      <c r="G20" s="627" t="str">
        <f t="shared" ref="G20:G25" si="13">IFERROR(F20*100/E20,"-")</f>
        <v>-</v>
      </c>
      <c r="H20" s="293"/>
      <c r="I20" s="1964">
        <f t="shared" si="11"/>
        <v>0</v>
      </c>
      <c r="J20" s="633" t="str">
        <f t="shared" ca="1" si="9"/>
        <v>-</v>
      </c>
      <c r="K20" s="634" t="str">
        <f t="shared" ca="1" si="9"/>
        <v>-</v>
      </c>
      <c r="L20" s="635" t="str">
        <f t="shared" ca="1" si="9"/>
        <v>-</v>
      </c>
      <c r="M20" s="635" t="str">
        <f t="shared" ca="1" si="9"/>
        <v>-</v>
      </c>
      <c r="N20" s="636" t="str">
        <f t="shared" ca="1" si="9"/>
        <v>-</v>
      </c>
      <c r="O20" s="635" t="str">
        <f t="shared" ca="1" si="9"/>
        <v>-</v>
      </c>
      <c r="P20" s="1972" t="str">
        <f t="shared" ca="1" si="9"/>
        <v>-</v>
      </c>
      <c r="Q20" s="1973" t="str">
        <f t="shared" ca="1" si="9"/>
        <v>-</v>
      </c>
      <c r="S20" s="1958">
        <f t="shared" ca="1" si="12"/>
        <v>0</v>
      </c>
    </row>
    <row r="21" spans="1:19" ht="21.95" customHeight="1">
      <c r="A21" s="1979">
        <f t="shared" ca="1" si="8"/>
        <v>0</v>
      </c>
      <c r="B21" s="294"/>
      <c r="C21" s="301"/>
      <c r="D21" s="627" t="str">
        <f t="shared" si="10"/>
        <v>-</v>
      </c>
      <c r="E21" s="291"/>
      <c r="F21" s="292"/>
      <c r="G21" s="627" t="str">
        <f t="shared" si="13"/>
        <v>-</v>
      </c>
      <c r="H21" s="293"/>
      <c r="I21" s="1964">
        <f t="shared" si="11"/>
        <v>0</v>
      </c>
      <c r="J21" s="633" t="str">
        <f t="shared" ca="1" si="9"/>
        <v>-</v>
      </c>
      <c r="K21" s="634" t="str">
        <f t="shared" ca="1" si="9"/>
        <v>-</v>
      </c>
      <c r="L21" s="635" t="str">
        <f t="shared" ca="1" si="9"/>
        <v>-</v>
      </c>
      <c r="M21" s="635" t="str">
        <f t="shared" ca="1" si="9"/>
        <v>-</v>
      </c>
      <c r="N21" s="636" t="str">
        <f t="shared" ca="1" si="9"/>
        <v>-</v>
      </c>
      <c r="O21" s="635" t="str">
        <f t="shared" ca="1" si="9"/>
        <v>-</v>
      </c>
      <c r="P21" s="1972" t="str">
        <f t="shared" ca="1" si="9"/>
        <v>-</v>
      </c>
      <c r="Q21" s="1973" t="str">
        <f t="shared" ca="1" si="9"/>
        <v>-</v>
      </c>
      <c r="S21" s="1958">
        <f t="shared" ca="1" si="12"/>
        <v>0</v>
      </c>
    </row>
    <row r="22" spans="1:19" ht="21.95" customHeight="1">
      <c r="A22" s="1979">
        <f t="shared" ca="1" si="8"/>
        <v>0</v>
      </c>
      <c r="B22" s="294"/>
      <c r="C22" s="301"/>
      <c r="D22" s="627" t="str">
        <f t="shared" si="10"/>
        <v>-</v>
      </c>
      <c r="E22" s="291"/>
      <c r="F22" s="292"/>
      <c r="G22" s="627" t="str">
        <f t="shared" si="13"/>
        <v>-</v>
      </c>
      <c r="H22" s="293"/>
      <c r="I22" s="1964">
        <f t="shared" si="11"/>
        <v>0</v>
      </c>
      <c r="J22" s="633" t="str">
        <f t="shared" ca="1" si="9"/>
        <v>-</v>
      </c>
      <c r="K22" s="634" t="str">
        <f t="shared" ca="1" si="9"/>
        <v>-</v>
      </c>
      <c r="L22" s="635" t="str">
        <f t="shared" ca="1" si="9"/>
        <v>-</v>
      </c>
      <c r="M22" s="635" t="str">
        <f t="shared" ca="1" si="9"/>
        <v>-</v>
      </c>
      <c r="N22" s="636" t="str">
        <f t="shared" ca="1" si="9"/>
        <v>-</v>
      </c>
      <c r="O22" s="635" t="str">
        <f t="shared" ca="1" si="9"/>
        <v>-</v>
      </c>
      <c r="P22" s="1972" t="str">
        <f t="shared" ca="1" si="9"/>
        <v>-</v>
      </c>
      <c r="Q22" s="1973" t="str">
        <f t="shared" ca="1" si="9"/>
        <v>-</v>
      </c>
      <c r="S22" s="1958">
        <f t="shared" ca="1" si="12"/>
        <v>0</v>
      </c>
    </row>
    <row r="23" spans="1:19" ht="21.95" customHeight="1">
      <c r="A23" s="1979">
        <f t="shared" ca="1" si="8"/>
        <v>0</v>
      </c>
      <c r="B23" s="295"/>
      <c r="C23" s="301"/>
      <c r="D23" s="627" t="str">
        <f t="shared" si="10"/>
        <v>-</v>
      </c>
      <c r="E23" s="291"/>
      <c r="F23" s="292"/>
      <c r="G23" s="627" t="str">
        <f t="shared" si="13"/>
        <v>-</v>
      </c>
      <c r="H23" s="293"/>
      <c r="I23" s="1964">
        <f t="shared" si="11"/>
        <v>0</v>
      </c>
      <c r="J23" s="1974" t="str">
        <f t="shared" ca="1" si="9"/>
        <v>-</v>
      </c>
      <c r="K23" s="634" t="str">
        <f t="shared" ca="1" si="9"/>
        <v>-</v>
      </c>
      <c r="L23" s="635" t="str">
        <f t="shared" ca="1" si="9"/>
        <v>-</v>
      </c>
      <c r="M23" s="635" t="str">
        <f t="shared" ca="1" si="9"/>
        <v>-</v>
      </c>
      <c r="N23" s="636" t="str">
        <f t="shared" ca="1" si="9"/>
        <v>-</v>
      </c>
      <c r="O23" s="635" t="str">
        <f t="shared" ca="1" si="9"/>
        <v>-</v>
      </c>
      <c r="P23" s="1972" t="str">
        <f t="shared" ca="1" si="9"/>
        <v>-</v>
      </c>
      <c r="Q23" s="1973" t="str">
        <f t="shared" ca="1" si="9"/>
        <v>-</v>
      </c>
      <c r="S23" s="1958">
        <f t="shared" ca="1" si="12"/>
        <v>0</v>
      </c>
    </row>
    <row r="24" spans="1:19" ht="21.95" customHeight="1">
      <c r="A24" s="1979">
        <f t="shared" ca="1" si="8"/>
        <v>0</v>
      </c>
      <c r="B24" s="295"/>
      <c r="C24" s="301"/>
      <c r="D24" s="627" t="str">
        <f t="shared" si="10"/>
        <v>-</v>
      </c>
      <c r="E24" s="291"/>
      <c r="F24" s="292"/>
      <c r="G24" s="627" t="str">
        <f t="shared" si="13"/>
        <v>-</v>
      </c>
      <c r="H24" s="293"/>
      <c r="I24" s="1964">
        <f t="shared" si="11"/>
        <v>0</v>
      </c>
      <c r="J24" s="1974" t="str">
        <f t="shared" ca="1" si="9"/>
        <v>-</v>
      </c>
      <c r="K24" s="634" t="str">
        <f t="shared" ca="1" si="9"/>
        <v>-</v>
      </c>
      <c r="L24" s="635" t="str">
        <f t="shared" ca="1" si="9"/>
        <v>-</v>
      </c>
      <c r="M24" s="635" t="str">
        <f t="shared" ca="1" si="9"/>
        <v>-</v>
      </c>
      <c r="N24" s="636" t="str">
        <f t="shared" ca="1" si="9"/>
        <v>-</v>
      </c>
      <c r="O24" s="635" t="str">
        <f t="shared" ca="1" si="9"/>
        <v>-</v>
      </c>
      <c r="P24" s="1972" t="str">
        <f t="shared" ca="1" si="9"/>
        <v>-</v>
      </c>
      <c r="Q24" s="1973" t="str">
        <f t="shared" ca="1" si="9"/>
        <v>-</v>
      </c>
      <c r="S24" s="1958">
        <f t="shared" ca="1" si="12"/>
        <v>0</v>
      </c>
    </row>
    <row r="25" spans="1:19" ht="21.95" customHeight="1" thickBot="1">
      <c r="A25" s="1980">
        <f t="shared" ca="1" si="8"/>
        <v>0</v>
      </c>
      <c r="B25" s="296"/>
      <c r="C25" s="302"/>
      <c r="D25" s="628" t="str">
        <f t="shared" si="10"/>
        <v>-</v>
      </c>
      <c r="E25" s="297"/>
      <c r="F25" s="298"/>
      <c r="G25" s="628" t="str">
        <f t="shared" si="13"/>
        <v>-</v>
      </c>
      <c r="H25" s="299"/>
      <c r="I25" s="1965">
        <f t="shared" si="11"/>
        <v>0</v>
      </c>
      <c r="J25" s="1975" t="str">
        <f t="shared" ca="1" si="9"/>
        <v>-</v>
      </c>
      <c r="K25" s="637" t="str">
        <f t="shared" ca="1" si="9"/>
        <v>-</v>
      </c>
      <c r="L25" s="638" t="str">
        <f t="shared" ca="1" si="9"/>
        <v>-</v>
      </c>
      <c r="M25" s="638" t="str">
        <f t="shared" ca="1" si="9"/>
        <v>-</v>
      </c>
      <c r="N25" s="639" t="str">
        <f t="shared" ca="1" si="9"/>
        <v>-</v>
      </c>
      <c r="O25" s="638" t="str">
        <f t="shared" ca="1" si="9"/>
        <v>-</v>
      </c>
      <c r="P25" s="1976" t="str">
        <f t="shared" ca="1" si="9"/>
        <v>-</v>
      </c>
      <c r="Q25" s="1977" t="str">
        <f t="shared" ca="1" si="9"/>
        <v>-</v>
      </c>
      <c r="S25" s="1958">
        <f t="shared" ca="1" si="12"/>
        <v>0</v>
      </c>
    </row>
    <row r="26" spans="1:19" ht="24.75" customHeight="1" thickBot="1">
      <c r="A26" s="1967" t="s">
        <v>100</v>
      </c>
      <c r="B26" s="1968">
        <f>SUM(B18:B25)</f>
        <v>0</v>
      </c>
      <c r="C26" s="1969" t="str">
        <f>IFERROR(B26/D26,"-")</f>
        <v>-</v>
      </c>
      <c r="D26" s="1962">
        <f>SUM(D18:D25)</f>
        <v>0</v>
      </c>
      <c r="E26" s="1962">
        <f>SUM(E18:E25)</f>
        <v>0</v>
      </c>
      <c r="F26" s="1962">
        <f>SUM(F18:F25)</f>
        <v>0</v>
      </c>
      <c r="G26" s="1962" t="str">
        <f>IFERROR(F26*100/E26,"-")</f>
        <v>-</v>
      </c>
      <c r="H26" s="1962" t="str">
        <f>IFERROR((I26/F26)*1000000,"-")</f>
        <v>-</v>
      </c>
      <c r="I26" s="1966">
        <f>SUM(I18:I25)</f>
        <v>0</v>
      </c>
      <c r="J26" s="1968" t="str">
        <f t="shared" ca="1" si="9"/>
        <v>-</v>
      </c>
      <c r="K26" s="1969" t="str">
        <f t="shared" ca="1" si="9"/>
        <v>-</v>
      </c>
      <c r="L26" s="1962" t="str">
        <f t="shared" ca="1" si="9"/>
        <v>-</v>
      </c>
      <c r="M26" s="1962" t="str">
        <f t="shared" ca="1" si="9"/>
        <v>-</v>
      </c>
      <c r="N26" s="1962" t="str">
        <f t="shared" ca="1" si="9"/>
        <v>-</v>
      </c>
      <c r="O26" s="1962" t="str">
        <f t="shared" ca="1" si="9"/>
        <v>-</v>
      </c>
      <c r="P26" s="1962" t="str">
        <f t="shared" ca="1" si="9"/>
        <v>-</v>
      </c>
      <c r="Q26" s="1966" t="str">
        <f t="shared" ca="1" si="9"/>
        <v>-</v>
      </c>
      <c r="S26" s="41"/>
    </row>
    <row r="27" spans="1:19" ht="24.75" customHeight="1">
      <c r="A27" s="1052"/>
      <c r="B27" s="1053"/>
      <c r="C27" s="1053"/>
      <c r="D27" s="1054"/>
      <c r="E27" s="1054"/>
      <c r="F27" s="1054"/>
      <c r="G27" s="1054"/>
      <c r="H27" s="1054"/>
      <c r="I27" s="1055"/>
      <c r="J27" s="1053"/>
      <c r="K27" s="1053"/>
      <c r="L27" s="1054"/>
      <c r="M27" s="1054"/>
      <c r="N27" s="1054"/>
      <c r="O27" s="1054"/>
      <c r="P27" s="1054"/>
      <c r="Q27" s="1055"/>
    </row>
    <row r="28" spans="1:19" s="212" customFormat="1" ht="21">
      <c r="A28" s="3321"/>
      <c r="B28" s="3321"/>
      <c r="C28" s="1056"/>
      <c r="D28" s="5"/>
      <c r="E28" s="5"/>
      <c r="F28" s="5"/>
      <c r="G28" s="5"/>
      <c r="H28" s="3321"/>
      <c r="I28" s="3321"/>
      <c r="J28" s="3321"/>
      <c r="K28" s="1056"/>
      <c r="L28" s="3321"/>
      <c r="M28" s="3321"/>
      <c r="N28" s="3321"/>
      <c r="O28" s="3321"/>
      <c r="P28" s="3321"/>
      <c r="Q28" s="3321"/>
    </row>
    <row r="29" spans="1:19" s="212" customFormat="1">
      <c r="S29" s="212">
        <f>COLUMN()</f>
        <v>19</v>
      </c>
    </row>
    <row r="30" spans="1:19" s="212" customFormat="1"/>
    <row r="31" spans="1:19" s="212" customFormat="1"/>
    <row r="32" spans="1:19" s="212" customFormat="1"/>
    <row r="33" s="212" customFormat="1"/>
    <row r="34" s="212" customFormat="1"/>
    <row r="35" s="212" customFormat="1"/>
    <row r="36" s="212" customFormat="1"/>
    <row r="37" s="212" customFormat="1"/>
    <row r="38" s="212" customFormat="1"/>
    <row r="39" s="212" customFormat="1"/>
  </sheetData>
  <mergeCells count="12">
    <mergeCell ref="A1:Q1"/>
    <mergeCell ref="A3:D3"/>
    <mergeCell ref="A28:B28"/>
    <mergeCell ref="H28:J28"/>
    <mergeCell ref="L28:Q28"/>
    <mergeCell ref="A4:A5"/>
    <mergeCell ref="B4:I4"/>
    <mergeCell ref="J4:Q4"/>
    <mergeCell ref="A15:Q15"/>
    <mergeCell ref="A16:A17"/>
    <mergeCell ref="B16:I16"/>
    <mergeCell ref="J16:Q16"/>
  </mergeCells>
  <printOptions horizontalCentered="1"/>
  <pageMargins left="0.19685039370078741" right="0.19685039370078741" top="0.59055118110236227" bottom="0.78740157480314965" header="0.19685039370078741" footer="0.19685039370078741"/>
  <pageSetup paperSize="9" scale="75"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8">
    <tabColor rgb="FF0000FF"/>
    <pageSetUpPr fitToPage="1"/>
  </sheetPr>
  <dimension ref="A1:S27"/>
  <sheetViews>
    <sheetView rightToLeft="1" workbookViewId="0">
      <selection sqref="A1:Q1"/>
    </sheetView>
  </sheetViews>
  <sheetFormatPr defaultColWidth="9" defaultRowHeight="15"/>
  <cols>
    <col min="1" max="1" width="17.5703125" style="5" customWidth="1"/>
    <col min="2" max="2" width="10.5703125" style="5" customWidth="1"/>
    <col min="3" max="3" width="11.85546875" style="5" customWidth="1"/>
    <col min="4" max="6" width="10.5703125" style="5" customWidth="1"/>
    <col min="7" max="7" width="11.85546875" style="5" customWidth="1"/>
    <col min="8" max="10" width="10.5703125" style="5" customWidth="1"/>
    <col min="11" max="11" width="11.42578125" style="5" customWidth="1"/>
    <col min="12" max="14" width="10.5703125" style="5" customWidth="1"/>
    <col min="15" max="15" width="12.140625" style="5" customWidth="1"/>
    <col min="16" max="17" width="10.5703125" style="5" customWidth="1"/>
    <col min="18" max="18" width="9" style="5"/>
    <col min="19" max="19" width="0" style="41" hidden="1" customWidth="1"/>
    <col min="20" max="16384" width="9" style="5"/>
  </cols>
  <sheetData>
    <row r="1" spans="1:19" s="52"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S1" s="1077"/>
    </row>
    <row r="2" spans="1:19" s="83" customFormat="1" ht="28.5" customHeight="1">
      <c r="A2" s="1206" t="str">
        <f>"گزارش هزینه سوخت هواپیما در دوره " &amp; روکش!F9 &amp; " سال " &amp; روکش!D9</f>
        <v>گزارش هزینه سوخت هواپیما در دوره شش ماهه سال 1405</v>
      </c>
      <c r="B2" s="1206"/>
      <c r="C2" s="1206"/>
      <c r="D2" s="1206"/>
      <c r="E2" s="1206"/>
      <c r="F2" s="1206"/>
      <c r="G2" s="1206"/>
      <c r="H2" s="1206"/>
      <c r="I2" s="1206"/>
      <c r="J2" s="1206"/>
      <c r="K2" s="1206"/>
      <c r="L2" s="1206"/>
      <c r="M2" s="1206"/>
      <c r="N2" s="1203"/>
      <c r="O2" s="1203"/>
      <c r="P2" s="1203"/>
      <c r="Q2" s="1203"/>
      <c r="S2" s="1078"/>
    </row>
    <row r="3" spans="1:19" s="42" customFormat="1" ht="20.100000000000001" customHeight="1" thickBot="1">
      <c r="A3" s="3329"/>
      <c r="B3" s="3329"/>
      <c r="C3" s="3329"/>
      <c r="D3" s="3329"/>
      <c r="E3" s="3329"/>
      <c r="F3" s="3329"/>
      <c r="G3" s="3329"/>
      <c r="H3" s="3329"/>
      <c r="I3" s="3329"/>
      <c r="J3" s="567"/>
      <c r="K3" s="567"/>
      <c r="L3" s="567"/>
      <c r="M3" s="1263"/>
      <c r="N3" s="1263"/>
      <c r="O3" s="1263" t="s">
        <v>612</v>
      </c>
      <c r="P3" s="1208"/>
      <c r="Q3" s="1208" t="s">
        <v>30</v>
      </c>
      <c r="S3" s="1079"/>
    </row>
    <row r="4" spans="1:19" ht="24" customHeight="1">
      <c r="A4" s="3322" t="s">
        <v>603</v>
      </c>
      <c r="B4" s="3324" t="s">
        <v>639</v>
      </c>
      <c r="C4" s="3325"/>
      <c r="D4" s="3325"/>
      <c r="E4" s="3326"/>
      <c r="F4" s="3332" t="s">
        <v>642</v>
      </c>
      <c r="G4" s="3332"/>
      <c r="H4" s="3332"/>
      <c r="I4" s="3332"/>
      <c r="J4" s="3332"/>
      <c r="K4" s="3332"/>
      <c r="L4" s="3332"/>
      <c r="M4" s="3332"/>
      <c r="N4" s="3332"/>
      <c r="O4" s="3332"/>
      <c r="P4" s="3332"/>
      <c r="Q4" s="3333"/>
    </row>
    <row r="5" spans="1:19" ht="32.25" customHeight="1">
      <c r="A5" s="3330"/>
      <c r="B5" s="3338"/>
      <c r="C5" s="3339"/>
      <c r="D5" s="3339"/>
      <c r="E5" s="3340"/>
      <c r="F5" s="3335" t="s">
        <v>53</v>
      </c>
      <c r="G5" s="3335"/>
      <c r="H5" s="3335"/>
      <c r="I5" s="3335"/>
      <c r="J5" s="3334" t="s">
        <v>216</v>
      </c>
      <c r="K5" s="3335"/>
      <c r="L5" s="3335"/>
      <c r="M5" s="3336"/>
      <c r="N5" s="3335" t="s">
        <v>641</v>
      </c>
      <c r="O5" s="3335"/>
      <c r="P5" s="3335"/>
      <c r="Q5" s="3337"/>
    </row>
    <row r="6" spans="1:19" s="1051" customFormat="1" ht="20.25" thickBot="1">
      <c r="A6" s="3323"/>
      <c r="B6" s="1959" t="s">
        <v>604</v>
      </c>
      <c r="C6" s="1960" t="s">
        <v>617</v>
      </c>
      <c r="D6" s="1960" t="s">
        <v>605</v>
      </c>
      <c r="E6" s="1961" t="s">
        <v>12</v>
      </c>
      <c r="F6" s="1998" t="s">
        <v>604</v>
      </c>
      <c r="G6" s="1960" t="s">
        <v>617</v>
      </c>
      <c r="H6" s="1960" t="s">
        <v>605</v>
      </c>
      <c r="I6" s="1999" t="s">
        <v>10</v>
      </c>
      <c r="J6" s="1960" t="s">
        <v>604</v>
      </c>
      <c r="K6" s="1960" t="s">
        <v>617</v>
      </c>
      <c r="L6" s="1960" t="s">
        <v>605</v>
      </c>
      <c r="M6" s="1960" t="s">
        <v>10</v>
      </c>
      <c r="N6" s="1998" t="s">
        <v>604</v>
      </c>
      <c r="O6" s="1960" t="s">
        <v>617</v>
      </c>
      <c r="P6" s="1960" t="s">
        <v>605</v>
      </c>
      <c r="Q6" s="1961" t="s">
        <v>10</v>
      </c>
      <c r="S6" s="1080"/>
    </row>
    <row r="7" spans="1:19" ht="35.1" customHeight="1">
      <c r="A7" s="1981">
        <f ca="1">IF(ROW()-ROW($A$7)&lt;'الف-ب-ج'!$L$9,INDIRECT("BudgetDB!JQ"&amp;('الف-ب-ج'!$M$9+ROW()-ROW($A$7))),"")</f>
        <v>0</v>
      </c>
      <c r="B7" s="1173"/>
      <c r="C7" s="1174"/>
      <c r="D7" s="1175"/>
      <c r="E7" s="2000">
        <f>D7*C7/1000000</f>
        <v>0</v>
      </c>
      <c r="F7" s="2013" cm="1">
        <f t="array" aca="1" ref="F7" ca="1">IF(ROW()-ROW($A$7)&lt;'الف-ب-ج'!$L$9,IF(روکش!$F$9="سه ماهه",INDIRECT("BudgetDB!JR"&amp;('الف-ب-ج'!$M$9+ROW()-ROW($A$7))),INDIRECT("BudgetDB!JS"&amp;('الف-ب-ج'!$M$9+ROW()-ROW($A$7)))),"")</f>
        <v>0</v>
      </c>
      <c r="G7" s="2014" cm="1">
        <f t="array" aca="1" ref="G7" ca="1">IF(ROW()-ROW($A$7)&lt;'الف-ب-ج'!$L$9,IF(روکش!$F$9="سه ماهه",INDIRECT("BudgetDB!JT"&amp;('الف-ب-ج'!$M$9+ROW()-ROW($A$7))),INDIRECT("BudgetDB!JU"&amp;('الف-ب-ج'!$M$9+ROW()-ROW($A$7)))),"")</f>
        <v>0</v>
      </c>
      <c r="H7" s="2015" cm="1">
        <f t="array" aca="1" ref="H7" ca="1">IF(ROW()-ROW($A$7)&lt;'الف-ب-ج'!$L$9,IF(روکش!$F$9="سه ماهه",INDIRECT("BudgetDB!JV"&amp;('الف-ب-ج'!$M$9+ROW()-ROW($A$7))),INDIRECT("BudgetDB!JW"&amp;('الف-ب-ج'!$M$9+ROW()-ROW($A$7)))),"")</f>
        <v>0</v>
      </c>
      <c r="I7" s="2000">
        <f ca="1">H7*G7/1000000</f>
        <v>0</v>
      </c>
      <c r="J7" s="307"/>
      <c r="K7" s="308"/>
      <c r="L7" s="303"/>
      <c r="M7" s="2000">
        <f>L7*K7/1000000</f>
        <v>0</v>
      </c>
      <c r="N7" s="640" t="str">
        <f ca="1">IFERROR(J7*100/F7,"-")</f>
        <v>-</v>
      </c>
      <c r="O7" s="641" t="str">
        <f ca="1">IFERROR(K7*100/G7,"-")</f>
        <v>-</v>
      </c>
      <c r="P7" s="2001" t="str">
        <f ca="1">IFERROR(L7*100/H7,"-")</f>
        <v>-</v>
      </c>
      <c r="Q7" s="2002" t="str">
        <f ca="1">IFERROR(M7*100/I7,"-")</f>
        <v>-</v>
      </c>
      <c r="S7" s="1264">
        <f ca="1">B7+F7+J7</f>
        <v>0</v>
      </c>
    </row>
    <row r="8" spans="1:19" ht="35.1" customHeight="1">
      <c r="A8" s="1982">
        <f ca="1">IF(ROW()-ROW($A$7)&lt;'الف-ب-ج'!$L$9,INDIRECT("BudgetDB!JQ"&amp;('الف-ب-ج'!$M$9+ROW()-ROW($A$7))),"")</f>
        <v>0</v>
      </c>
      <c r="B8" s="1176"/>
      <c r="C8" s="1177"/>
      <c r="D8" s="1178"/>
      <c r="E8" s="2000">
        <f t="shared" ref="E8:E14" si="0">D8*C8/1000000</f>
        <v>0</v>
      </c>
      <c r="F8" s="2016" cm="1">
        <f t="array" aca="1" ref="F8" ca="1">IF(ROW()-ROW($A$7)&lt;'الف-ب-ج'!$L$9,IF(روکش!$F$9="سه ماهه",INDIRECT("BudgetDB!JR"&amp;('الف-ب-ج'!$M$9+ROW()-ROW($A$7))),INDIRECT("BudgetDB!JS"&amp;('الف-ب-ج'!$M$9+ROW()-ROW($A$7)))),"")</f>
        <v>0</v>
      </c>
      <c r="G8" s="2017" cm="1">
        <f t="array" aca="1" ref="G8" ca="1">IF(ROW()-ROW($A$7)&lt;'الف-ب-ج'!$L$9,IF(روکش!$F$9="سه ماهه",INDIRECT("BudgetDB!JT"&amp;('الف-ب-ج'!$M$9+ROW()-ROW($A$7))),INDIRECT("BudgetDB!JU"&amp;('الف-ب-ج'!$M$9+ROW()-ROW($A$7)))),"")</f>
        <v>0</v>
      </c>
      <c r="H8" s="2018" cm="1">
        <f t="array" aca="1" ref="H8" ca="1">IF(ROW()-ROW($A$7)&lt;'الف-ب-ج'!$L$9,IF(روکش!$F$9="سه ماهه",INDIRECT("BudgetDB!JV"&amp;('الف-ب-ج'!$M$9+ROW()-ROW($A$7))),INDIRECT("BudgetDB!JW"&amp;('الف-ب-ج'!$M$9+ROW()-ROW($A$7)))),"")</f>
        <v>0</v>
      </c>
      <c r="I8" s="2000">
        <f t="shared" ref="I8:I14" ca="1" si="1">H8*G8/1000000</f>
        <v>0</v>
      </c>
      <c r="J8" s="304"/>
      <c r="K8" s="304"/>
      <c r="L8" s="305"/>
      <c r="M8" s="2000">
        <f t="shared" ref="M8:M14" si="2">L8*K8/1000000</f>
        <v>0</v>
      </c>
      <c r="N8" s="642" t="str">
        <f t="shared" ref="N8:N14" ca="1" si="3">IFERROR(J8*100/F8,"-")</f>
        <v>-</v>
      </c>
      <c r="O8" s="643" t="str">
        <f t="shared" ref="O8:O14" ca="1" si="4">IFERROR(K8*100/G8,"-")</f>
        <v>-</v>
      </c>
      <c r="P8" s="2003" t="str">
        <f t="shared" ref="P8:P14" ca="1" si="5">IFERROR(L8*100/H8,"-")</f>
        <v>-</v>
      </c>
      <c r="Q8" s="2002" t="str">
        <f t="shared" ref="Q8:Q14" ca="1" si="6">IFERROR(M8*100/I8,"-")</f>
        <v>-</v>
      </c>
      <c r="S8" s="1264">
        <f t="shared" ref="S8:S14" ca="1" si="7">B8+F8+J8</f>
        <v>0</v>
      </c>
    </row>
    <row r="9" spans="1:19" ht="35.1" customHeight="1">
      <c r="A9" s="1982">
        <f ca="1">IF(ROW()-ROW($A$7)&lt;'الف-ب-ج'!$L$9,INDIRECT("BudgetDB!JQ"&amp;('الف-ب-ج'!$M$9+ROW()-ROW($A$7))),"")</f>
        <v>0</v>
      </c>
      <c r="B9" s="1179"/>
      <c r="C9" s="1177"/>
      <c r="D9" s="1178"/>
      <c r="E9" s="2000">
        <f t="shared" si="0"/>
        <v>0</v>
      </c>
      <c r="F9" s="2019" cm="1">
        <f t="array" aca="1" ref="F9" ca="1">IF(ROW()-ROW($A$7)&lt;'الف-ب-ج'!$L$9,IF(روکش!$F$9="سه ماهه",INDIRECT("BudgetDB!JR"&amp;('الف-ب-ج'!$M$9+ROW()-ROW($A$7))),INDIRECT("BudgetDB!JS"&amp;('الف-ب-ج'!$M$9+ROW()-ROW($A$7)))),"")</f>
        <v>0</v>
      </c>
      <c r="G9" s="2017" cm="1">
        <f t="array" aca="1" ref="G9" ca="1">IF(ROW()-ROW($A$7)&lt;'الف-ب-ج'!$L$9,IF(روکش!$F$9="سه ماهه",INDIRECT("BudgetDB!JT"&amp;('الف-ب-ج'!$M$9+ROW()-ROW($A$7))),INDIRECT("BudgetDB!JU"&amp;('الف-ب-ج'!$M$9+ROW()-ROW($A$7)))),"")</f>
        <v>0</v>
      </c>
      <c r="H9" s="2018" cm="1">
        <f t="array" aca="1" ref="H9" ca="1">IF(ROW()-ROW($A$7)&lt;'الف-ب-ج'!$L$9,IF(روکش!$F$9="سه ماهه",INDIRECT("BudgetDB!JV"&amp;('الف-ب-ج'!$M$9+ROW()-ROW($A$7))),INDIRECT("BudgetDB!JW"&amp;('الف-ب-ج'!$M$9+ROW()-ROW($A$7)))),"")</f>
        <v>0</v>
      </c>
      <c r="I9" s="2000">
        <f t="shared" ca="1" si="1"/>
        <v>0</v>
      </c>
      <c r="J9" s="309"/>
      <c r="K9" s="304"/>
      <c r="L9" s="305"/>
      <c r="M9" s="2000">
        <f t="shared" si="2"/>
        <v>0</v>
      </c>
      <c r="N9" s="644" t="str">
        <f t="shared" ca="1" si="3"/>
        <v>-</v>
      </c>
      <c r="O9" s="643" t="str">
        <f t="shared" ca="1" si="4"/>
        <v>-</v>
      </c>
      <c r="P9" s="2003" t="str">
        <f t="shared" ca="1" si="5"/>
        <v>-</v>
      </c>
      <c r="Q9" s="2002" t="str">
        <f t="shared" ca="1" si="6"/>
        <v>-</v>
      </c>
      <c r="S9" s="1264">
        <f t="shared" ca="1" si="7"/>
        <v>0</v>
      </c>
    </row>
    <row r="10" spans="1:19" ht="35.1" customHeight="1">
      <c r="A10" s="1982">
        <f ca="1">IF(ROW()-ROW($A$7)&lt;'الف-ب-ج'!$L$9,INDIRECT("BudgetDB!JQ"&amp;('الف-ب-ج'!$M$9+ROW()-ROW($A$7))),"")</f>
        <v>0</v>
      </c>
      <c r="B10" s="1179"/>
      <c r="C10" s="1180"/>
      <c r="D10" s="1178"/>
      <c r="E10" s="2000">
        <f t="shared" si="0"/>
        <v>0</v>
      </c>
      <c r="F10" s="2019" cm="1">
        <f t="array" aca="1" ref="F10" ca="1">IF(ROW()-ROW($A$7)&lt;'الف-ب-ج'!$L$9,IF(روکش!$F$9="سه ماهه",INDIRECT("BudgetDB!JR"&amp;('الف-ب-ج'!$M$9+ROW()-ROW($A$7))),INDIRECT("BudgetDB!JS"&amp;('الف-ب-ج'!$M$9+ROW()-ROW($A$7)))),"")</f>
        <v>0</v>
      </c>
      <c r="G10" s="2020" cm="1">
        <f t="array" aca="1" ref="G10" ca="1">IF(ROW()-ROW($A$7)&lt;'الف-ب-ج'!$L$9,IF(روکش!$F$9="سه ماهه",INDIRECT("BudgetDB!JT"&amp;('الف-ب-ج'!$M$9+ROW()-ROW($A$7))),INDIRECT("BudgetDB!JU"&amp;('الف-ب-ج'!$M$9+ROW()-ROW($A$7)))),"")</f>
        <v>0</v>
      </c>
      <c r="H10" s="2018" cm="1">
        <f t="array" aca="1" ref="H10" ca="1">IF(ROW()-ROW($A$7)&lt;'الف-ب-ج'!$L$9,IF(روکش!$F$9="سه ماهه",INDIRECT("BudgetDB!JV"&amp;('الف-ب-ج'!$M$9+ROW()-ROW($A$7))),INDIRECT("BudgetDB!JW"&amp;('الف-ب-ج'!$M$9+ROW()-ROW($A$7)))),"")</f>
        <v>0</v>
      </c>
      <c r="I10" s="2000">
        <f t="shared" ca="1" si="1"/>
        <v>0</v>
      </c>
      <c r="J10" s="309"/>
      <c r="K10" s="310"/>
      <c r="L10" s="305"/>
      <c r="M10" s="2000">
        <f t="shared" si="2"/>
        <v>0</v>
      </c>
      <c r="N10" s="644" t="str">
        <f t="shared" ca="1" si="3"/>
        <v>-</v>
      </c>
      <c r="O10" s="645" t="str">
        <f t="shared" ca="1" si="4"/>
        <v>-</v>
      </c>
      <c r="P10" s="2003" t="str">
        <f t="shared" ca="1" si="5"/>
        <v>-</v>
      </c>
      <c r="Q10" s="2002" t="str">
        <f t="shared" ca="1" si="6"/>
        <v>-</v>
      </c>
      <c r="S10" s="1264">
        <f t="shared" ca="1" si="7"/>
        <v>0</v>
      </c>
    </row>
    <row r="11" spans="1:19" ht="35.1" customHeight="1">
      <c r="A11" s="1982">
        <f ca="1">IF(ROW()-ROW($A$7)&lt;'الف-ب-ج'!$L$9,INDIRECT("BudgetDB!JQ"&amp;('الف-ب-ج'!$M$9+ROW()-ROW($A$7))),"")</f>
        <v>0</v>
      </c>
      <c r="B11" s="1179"/>
      <c r="C11" s="1180"/>
      <c r="D11" s="1178"/>
      <c r="E11" s="2000">
        <f t="shared" si="0"/>
        <v>0</v>
      </c>
      <c r="F11" s="2019" cm="1">
        <f t="array" aca="1" ref="F11" ca="1">IF(ROW()-ROW($A$7)&lt;'الف-ب-ج'!$L$9,IF(روکش!$F$9="سه ماهه",INDIRECT("BudgetDB!JR"&amp;('الف-ب-ج'!$M$9+ROW()-ROW($A$7))),INDIRECT("BudgetDB!JS"&amp;('الف-ب-ج'!$M$9+ROW()-ROW($A$7)))),"")</f>
        <v>0</v>
      </c>
      <c r="G11" s="2020" cm="1">
        <f t="array" aca="1" ref="G11" ca="1">IF(ROW()-ROW($A$7)&lt;'الف-ب-ج'!$L$9,IF(روکش!$F$9="سه ماهه",INDIRECT("BudgetDB!JT"&amp;('الف-ب-ج'!$M$9+ROW()-ROW($A$7))),INDIRECT("BudgetDB!JU"&amp;('الف-ب-ج'!$M$9+ROW()-ROW($A$7)))),"")</f>
        <v>0</v>
      </c>
      <c r="H11" s="2018" cm="1">
        <f t="array" aca="1" ref="H11" ca="1">IF(ROW()-ROW($A$7)&lt;'الف-ب-ج'!$L$9,IF(روکش!$F$9="سه ماهه",INDIRECT("BudgetDB!JV"&amp;('الف-ب-ج'!$M$9+ROW()-ROW($A$7))),INDIRECT("BudgetDB!JW"&amp;('الف-ب-ج'!$M$9+ROW()-ROW($A$7)))),"")</f>
        <v>0</v>
      </c>
      <c r="I11" s="2000">
        <f t="shared" ca="1" si="1"/>
        <v>0</v>
      </c>
      <c r="J11" s="309"/>
      <c r="K11" s="310"/>
      <c r="L11" s="305"/>
      <c r="M11" s="2000">
        <f t="shared" si="2"/>
        <v>0</v>
      </c>
      <c r="N11" s="644" t="str">
        <f t="shared" ca="1" si="3"/>
        <v>-</v>
      </c>
      <c r="O11" s="645" t="str">
        <f t="shared" ca="1" si="4"/>
        <v>-</v>
      </c>
      <c r="P11" s="2003" t="str">
        <f t="shared" ca="1" si="5"/>
        <v>-</v>
      </c>
      <c r="Q11" s="2002" t="str">
        <f t="shared" ca="1" si="6"/>
        <v>-</v>
      </c>
      <c r="S11" s="1264">
        <f t="shared" ca="1" si="7"/>
        <v>0</v>
      </c>
    </row>
    <row r="12" spans="1:19" ht="35.1" customHeight="1">
      <c r="A12" s="1982">
        <f ca="1">IF(ROW()-ROW($A$7)&lt;'الف-ب-ج'!$L$9,INDIRECT("BudgetDB!JQ"&amp;('الف-ب-ج'!$M$9+ROW()-ROW($A$7))),"")</f>
        <v>0</v>
      </c>
      <c r="B12" s="1181"/>
      <c r="C12" s="1180"/>
      <c r="D12" s="1178"/>
      <c r="E12" s="2000">
        <f t="shared" si="0"/>
        <v>0</v>
      </c>
      <c r="F12" s="2021" cm="1">
        <f t="array" aca="1" ref="F12" ca="1">IF(ROW()-ROW($A$7)&lt;'الف-ب-ج'!$L$9,IF(روکش!$F$9="سه ماهه",INDIRECT("BudgetDB!JR"&amp;('الف-ب-ج'!$M$9+ROW()-ROW($A$7))),INDIRECT("BudgetDB!JS"&amp;('الف-ب-ج'!$M$9+ROW()-ROW($A$7)))),"")</f>
        <v>0</v>
      </c>
      <c r="G12" s="2020" cm="1">
        <f t="array" aca="1" ref="G12" ca="1">IF(ROW()-ROW($A$7)&lt;'الف-ب-ج'!$L$9,IF(روکش!$F$9="سه ماهه",INDIRECT("BudgetDB!JT"&amp;('الف-ب-ج'!$M$9+ROW()-ROW($A$7))),INDIRECT("BudgetDB!JU"&amp;('الف-ب-ج'!$M$9+ROW()-ROW($A$7)))),"")</f>
        <v>0</v>
      </c>
      <c r="H12" s="2018" cm="1">
        <f t="array" aca="1" ref="H12" ca="1">IF(ROW()-ROW($A$7)&lt;'الف-ب-ج'!$L$9,IF(روکش!$F$9="سه ماهه",INDIRECT("BudgetDB!JV"&amp;('الف-ب-ج'!$M$9+ROW()-ROW($A$7))),INDIRECT("BudgetDB!JW"&amp;('الف-ب-ج'!$M$9+ROW()-ROW($A$7)))),"")</f>
        <v>0</v>
      </c>
      <c r="I12" s="2000">
        <f t="shared" ca="1" si="1"/>
        <v>0</v>
      </c>
      <c r="J12" s="305"/>
      <c r="K12" s="310"/>
      <c r="L12" s="305"/>
      <c r="M12" s="2000">
        <f t="shared" si="2"/>
        <v>0</v>
      </c>
      <c r="N12" s="2004" t="str">
        <f t="shared" ca="1" si="3"/>
        <v>-</v>
      </c>
      <c r="O12" s="645" t="str">
        <f t="shared" ca="1" si="4"/>
        <v>-</v>
      </c>
      <c r="P12" s="2003" t="str">
        <f t="shared" ca="1" si="5"/>
        <v>-</v>
      </c>
      <c r="Q12" s="2002" t="str">
        <f t="shared" ca="1" si="6"/>
        <v>-</v>
      </c>
      <c r="S12" s="1264">
        <f t="shared" ca="1" si="7"/>
        <v>0</v>
      </c>
    </row>
    <row r="13" spans="1:19" ht="35.1" customHeight="1">
      <c r="A13" s="1997">
        <f ca="1">IF(ROW()-ROW($A$7)&lt;'الف-ب-ج'!$L$9,INDIRECT("BudgetDB!JQ"&amp;('الف-ب-ج'!$M$9+ROW()-ROW($A$7))),"")</f>
        <v>0</v>
      </c>
      <c r="B13" s="1181"/>
      <c r="C13" s="1177"/>
      <c r="D13" s="1178"/>
      <c r="E13" s="2000">
        <f t="shared" si="0"/>
        <v>0</v>
      </c>
      <c r="F13" s="2021" cm="1">
        <f t="array" aca="1" ref="F13" ca="1">IF(ROW()-ROW($A$7)&lt;'الف-ب-ج'!$L$9,IF(روکش!$F$9="سه ماهه",INDIRECT("BudgetDB!JR"&amp;('الف-ب-ج'!$M$9+ROW()-ROW($A$7))),INDIRECT("BudgetDB!JS"&amp;('الف-ب-ج'!$M$9+ROW()-ROW($A$7)))),"")</f>
        <v>0</v>
      </c>
      <c r="G13" s="2017" cm="1">
        <f t="array" aca="1" ref="G13" ca="1">IF(ROW()-ROW($A$7)&lt;'الف-ب-ج'!$L$9,IF(روکش!$F$9="سه ماهه",INDIRECT("BudgetDB!JT"&amp;('الف-ب-ج'!$M$9+ROW()-ROW($A$7))),INDIRECT("BudgetDB!JU"&amp;('الف-ب-ج'!$M$9+ROW()-ROW($A$7)))),"")</f>
        <v>0</v>
      </c>
      <c r="H13" s="2018" cm="1">
        <f t="array" aca="1" ref="H13" ca="1">IF(ROW()-ROW($A$7)&lt;'الف-ب-ج'!$L$9,IF(روکش!$F$9="سه ماهه",INDIRECT("BudgetDB!JV"&amp;('الف-ب-ج'!$M$9+ROW()-ROW($A$7))),INDIRECT("BudgetDB!JW"&amp;('الف-ب-ج'!$M$9+ROW()-ROW($A$7)))),"")</f>
        <v>0</v>
      </c>
      <c r="I13" s="2000">
        <f t="shared" ca="1" si="1"/>
        <v>0</v>
      </c>
      <c r="J13" s="305"/>
      <c r="K13" s="304"/>
      <c r="L13" s="305"/>
      <c r="M13" s="2000">
        <f t="shared" si="2"/>
        <v>0</v>
      </c>
      <c r="N13" s="2004" t="str">
        <f t="shared" ca="1" si="3"/>
        <v>-</v>
      </c>
      <c r="O13" s="643" t="str">
        <f t="shared" ca="1" si="4"/>
        <v>-</v>
      </c>
      <c r="P13" s="2003" t="str">
        <f t="shared" ca="1" si="5"/>
        <v>-</v>
      </c>
      <c r="Q13" s="2002" t="str">
        <f t="shared" ca="1" si="6"/>
        <v>-</v>
      </c>
      <c r="S13" s="1264">
        <f t="shared" ca="1" si="7"/>
        <v>0</v>
      </c>
    </row>
    <row r="14" spans="1:19" ht="35.1" customHeight="1" thickBot="1">
      <c r="A14" s="1997">
        <f ca="1">IF(ROW()-ROW($A$7)&lt;'الف-ب-ج'!$L$9,INDIRECT("BudgetDB!JQ"&amp;('الف-ب-ج'!$M$9+ROW()-ROW($A$7))),"")</f>
        <v>0</v>
      </c>
      <c r="B14" s="1182"/>
      <c r="C14" s="1183"/>
      <c r="D14" s="1184"/>
      <c r="E14" s="2000">
        <f t="shared" si="0"/>
        <v>0</v>
      </c>
      <c r="F14" s="2022" cm="1">
        <f t="array" aca="1" ref="F14" ca="1">IF(ROW()-ROW($A$7)&lt;'الف-ب-ج'!$L$9,IF(روکش!$F$9="سه ماهه",INDIRECT("BudgetDB!JR"&amp;('الف-ب-ج'!$M$9+ROW()-ROW($A$7))),INDIRECT("BudgetDB!JS"&amp;('الف-ب-ج'!$M$9+ROW()-ROW($A$7)))),"")</f>
        <v>0</v>
      </c>
      <c r="G14" s="2023" cm="1">
        <f t="array" aca="1" ref="G14" ca="1">IF(ROW()-ROW($A$7)&lt;'الف-ب-ج'!$L$9,IF(روکش!$F$9="سه ماهه",INDIRECT("BudgetDB!JT"&amp;('الف-ب-ج'!$M$9+ROW()-ROW($A$7))),INDIRECT("BudgetDB!JU"&amp;('الف-ب-ج'!$M$9+ROW()-ROW($A$7)))),"")</f>
        <v>0</v>
      </c>
      <c r="H14" s="2024" cm="1">
        <f t="array" aca="1" ref="H14" ca="1">IF(ROW()-ROW($A$7)&lt;'الف-ب-ج'!$L$9,IF(روکش!$F$9="سه ماهه",INDIRECT("BudgetDB!JV"&amp;('الف-ب-ج'!$M$9+ROW()-ROW($A$7))),INDIRECT("BudgetDB!JW"&amp;('الف-ب-ج'!$M$9+ROW()-ROW($A$7)))),"")</f>
        <v>0</v>
      </c>
      <c r="I14" s="2000">
        <f t="shared" ca="1" si="1"/>
        <v>0</v>
      </c>
      <c r="J14" s="306"/>
      <c r="K14" s="311"/>
      <c r="L14" s="306"/>
      <c r="M14" s="2000">
        <f t="shared" si="2"/>
        <v>0</v>
      </c>
      <c r="N14" s="2005" t="str">
        <f t="shared" ca="1" si="3"/>
        <v>-</v>
      </c>
      <c r="O14" s="646" t="str">
        <f t="shared" ca="1" si="4"/>
        <v>-</v>
      </c>
      <c r="P14" s="2006" t="str">
        <f t="shared" ca="1" si="5"/>
        <v>-</v>
      </c>
      <c r="Q14" s="2002" t="str">
        <f t="shared" ca="1" si="6"/>
        <v>-</v>
      </c>
      <c r="S14" s="1264">
        <f t="shared" ca="1" si="7"/>
        <v>0</v>
      </c>
    </row>
    <row r="15" spans="1:19" ht="35.1" customHeight="1" thickBot="1">
      <c r="A15" s="1967" t="s">
        <v>100</v>
      </c>
      <c r="B15" s="2007">
        <f>SUM(B7:B14)</f>
        <v>0</v>
      </c>
      <c r="C15" s="2008">
        <f>SUM(C7:C14)</f>
        <v>0</v>
      </c>
      <c r="D15" s="2008" t="str">
        <f>IFERROR(E15*1000000/C15,"-")</f>
        <v>-</v>
      </c>
      <c r="E15" s="2009">
        <f>SUM(E7:E14)</f>
        <v>0</v>
      </c>
      <c r="F15" s="2007">
        <f ca="1">SUM(F7:F14)</f>
        <v>0</v>
      </c>
      <c r="G15" s="2008">
        <f ca="1">SUM(G7:G14)</f>
        <v>0</v>
      </c>
      <c r="H15" s="2008" t="str">
        <f ca="1">IFERROR(I15*1000000/G15,"-")</f>
        <v>-</v>
      </c>
      <c r="I15" s="2009">
        <f ca="1">SUM(I7:I14)</f>
        <v>0</v>
      </c>
      <c r="J15" s="2007">
        <f>SUM(J7:J14)</f>
        <v>0</v>
      </c>
      <c r="K15" s="2008">
        <f>SUM(K7:K14)</f>
        <v>0</v>
      </c>
      <c r="L15" s="2008" t="str">
        <f>IFERROR(M15*1000000/K15,"-")</f>
        <v>-</v>
      </c>
      <c r="M15" s="2009">
        <f>SUM(M7:M14)</f>
        <v>0</v>
      </c>
      <c r="N15" s="2010" t="str">
        <f ca="1">IFERROR(J15*100/F15,"-")</f>
        <v>-</v>
      </c>
      <c r="O15" s="2011" t="str">
        <f ca="1">IFERROR(K15*100/G15,"-")</f>
        <v>-</v>
      </c>
      <c r="P15" s="2011" t="str">
        <f ca="1">IFERROR(L15*100/H15,"-")</f>
        <v>-</v>
      </c>
      <c r="Q15" s="2012" t="str">
        <f ca="1">IFERROR(M15*100/I15,"-")</f>
        <v>-</v>
      </c>
    </row>
    <row r="16" spans="1:19" ht="18" customHeight="1">
      <c r="A16" s="3331"/>
      <c r="B16" s="3331"/>
      <c r="C16" s="3331"/>
      <c r="D16" s="1050"/>
      <c r="E16" s="1050"/>
      <c r="F16" s="1050"/>
      <c r="G16" s="1050"/>
      <c r="H16" s="3331"/>
      <c r="I16" s="3331"/>
      <c r="S16" s="41">
        <f>COLUMN()</f>
        <v>19</v>
      </c>
    </row>
    <row r="17" spans="19:19" s="212" customFormat="1">
      <c r="S17" s="1081"/>
    </row>
    <row r="18" spans="19:19" s="212" customFormat="1">
      <c r="S18" s="1081"/>
    </row>
    <row r="19" spans="19:19" s="212" customFormat="1">
      <c r="S19" s="1081"/>
    </row>
    <row r="20" spans="19:19" s="212" customFormat="1">
      <c r="S20" s="1081"/>
    </row>
    <row r="21" spans="19:19" s="212" customFormat="1">
      <c r="S21" s="1081"/>
    </row>
    <row r="22" spans="19:19" s="212" customFormat="1">
      <c r="S22" s="1081"/>
    </row>
    <row r="23" spans="19:19" s="212" customFormat="1">
      <c r="S23" s="1081"/>
    </row>
    <row r="24" spans="19:19" s="212" customFormat="1">
      <c r="S24" s="1081"/>
    </row>
    <row r="25" spans="19:19" s="212" customFormat="1">
      <c r="S25" s="1081"/>
    </row>
    <row r="26" spans="19:19" s="212" customFormat="1">
      <c r="S26" s="1081"/>
    </row>
    <row r="27" spans="19:19" s="212" customFormat="1">
      <c r="S27" s="1081"/>
    </row>
  </sheetData>
  <mergeCells count="10">
    <mergeCell ref="A1:Q1"/>
    <mergeCell ref="A3:I3"/>
    <mergeCell ref="A4:A6"/>
    <mergeCell ref="A16:C16"/>
    <mergeCell ref="H16:I16"/>
    <mergeCell ref="F4:Q4"/>
    <mergeCell ref="J5:M5"/>
    <mergeCell ref="N5:Q5"/>
    <mergeCell ref="F5:I5"/>
    <mergeCell ref="B4:E5"/>
  </mergeCells>
  <printOptions horizontalCentered="1"/>
  <pageMargins left="0.19685039370078741" right="0.19685039370078741" top="0.59055118110236227" bottom="0.78740157480314965" header="0.19685039370078741" footer="0.19685039370078741"/>
  <pageSetup paperSize="9" scale="74"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99">
    <tabColor rgb="FF0000FF"/>
    <pageSetUpPr fitToPage="1"/>
  </sheetPr>
  <dimension ref="A1:S27"/>
  <sheetViews>
    <sheetView rightToLeft="1" workbookViewId="0">
      <selection sqref="A1:Q1"/>
    </sheetView>
  </sheetViews>
  <sheetFormatPr defaultColWidth="9" defaultRowHeight="15"/>
  <cols>
    <col min="1" max="1" width="17.5703125" style="5" customWidth="1"/>
    <col min="2" max="2" width="10.5703125" style="5" customWidth="1"/>
    <col min="3" max="3" width="11.85546875" style="5" customWidth="1"/>
    <col min="4" max="6" width="10.5703125" style="5" customWidth="1"/>
    <col min="7" max="7" width="11.85546875" style="5" customWidth="1"/>
    <col min="8" max="8" width="11.140625" style="5" bestFit="1" customWidth="1"/>
    <col min="9" max="10" width="10.5703125" style="5" customWidth="1"/>
    <col min="11" max="11" width="11.42578125" style="5" customWidth="1"/>
    <col min="12" max="17" width="10.5703125" style="5" customWidth="1"/>
    <col min="18" max="18" width="9" style="5"/>
    <col min="19" max="19" width="0" style="41" hidden="1" customWidth="1"/>
    <col min="20" max="16384" width="9" style="5"/>
  </cols>
  <sheetData>
    <row r="1" spans="1:19" s="52" customFormat="1" ht="24" customHeight="1">
      <c r="A1" s="2685" t="str">
        <f>روکش!D4</f>
        <v>انبارهای عمومی و خدمات گمرکی ایران</v>
      </c>
      <c r="B1" s="2685"/>
      <c r="C1" s="2685"/>
      <c r="D1" s="2685"/>
      <c r="E1" s="2685"/>
      <c r="F1" s="2685"/>
      <c r="G1" s="2685"/>
      <c r="H1" s="2685"/>
      <c r="I1" s="2685"/>
      <c r="J1" s="2685"/>
      <c r="K1" s="2685"/>
      <c r="L1" s="2685"/>
      <c r="M1" s="2685"/>
      <c r="N1" s="2685"/>
      <c r="O1" s="2685"/>
      <c r="P1" s="2685"/>
      <c r="Q1" s="2685"/>
      <c r="S1" s="1077"/>
    </row>
    <row r="2" spans="1:19" s="83" customFormat="1" ht="28.5" customHeight="1">
      <c r="A2" s="1206" t="str">
        <f>"گزارش هزینه کترینگ پروازی در دوره " &amp; روکش!F9 &amp; " سال " &amp; روکش!D9</f>
        <v>گزارش هزینه کترینگ پروازی در دوره شش ماهه سال 1405</v>
      </c>
      <c r="B2" s="1206"/>
      <c r="C2" s="1206"/>
      <c r="D2" s="1206"/>
      <c r="E2" s="1206"/>
      <c r="F2" s="1206"/>
      <c r="G2" s="1206"/>
      <c r="H2" s="1206"/>
      <c r="I2" s="1206"/>
      <c r="J2" s="1206"/>
      <c r="K2" s="1206"/>
      <c r="L2" s="1206"/>
      <c r="M2" s="1206"/>
      <c r="N2" s="1203"/>
      <c r="O2" s="1203"/>
      <c r="P2" s="1203"/>
      <c r="Q2" s="1203"/>
      <c r="S2" s="1078"/>
    </row>
    <row r="3" spans="1:19" s="42" customFormat="1" ht="20.100000000000001" customHeight="1" thickBot="1">
      <c r="A3" s="3329"/>
      <c r="B3" s="3329"/>
      <c r="C3" s="3329"/>
      <c r="D3" s="3329"/>
      <c r="E3" s="3329"/>
      <c r="F3" s="3329"/>
      <c r="G3" s="3329"/>
      <c r="H3" s="3329"/>
      <c r="I3" s="3329"/>
      <c r="J3" s="567"/>
      <c r="K3" s="567"/>
      <c r="L3" s="567"/>
      <c r="M3" s="1263"/>
      <c r="N3" s="1263"/>
      <c r="O3" s="1263" t="s">
        <v>612</v>
      </c>
      <c r="P3" s="1208"/>
      <c r="Q3" s="1208" t="s">
        <v>30</v>
      </c>
      <c r="S3" s="1079"/>
    </row>
    <row r="4" spans="1:19" ht="24" customHeight="1">
      <c r="A4" s="3322" t="s">
        <v>603</v>
      </c>
      <c r="B4" s="3324" t="s">
        <v>639</v>
      </c>
      <c r="C4" s="3325"/>
      <c r="D4" s="3325"/>
      <c r="E4" s="3326"/>
      <c r="F4" s="3332" t="s">
        <v>642</v>
      </c>
      <c r="G4" s="3332"/>
      <c r="H4" s="3332"/>
      <c r="I4" s="3332"/>
      <c r="J4" s="3332"/>
      <c r="K4" s="3332"/>
      <c r="L4" s="3332"/>
      <c r="M4" s="3332"/>
      <c r="N4" s="3332"/>
      <c r="O4" s="3332"/>
      <c r="P4" s="3332"/>
      <c r="Q4" s="3333"/>
    </row>
    <row r="5" spans="1:19" ht="32.25" customHeight="1">
      <c r="A5" s="3330"/>
      <c r="B5" s="3338"/>
      <c r="C5" s="3339"/>
      <c r="D5" s="3339"/>
      <c r="E5" s="3340"/>
      <c r="F5" s="3335" t="s">
        <v>53</v>
      </c>
      <c r="G5" s="3335"/>
      <c r="H5" s="3335"/>
      <c r="I5" s="3335"/>
      <c r="J5" s="3334" t="s">
        <v>216</v>
      </c>
      <c r="K5" s="3335"/>
      <c r="L5" s="3335"/>
      <c r="M5" s="3336"/>
      <c r="N5" s="3335" t="s">
        <v>641</v>
      </c>
      <c r="O5" s="3335"/>
      <c r="P5" s="3335"/>
      <c r="Q5" s="3337"/>
    </row>
    <row r="6" spans="1:19" s="1051" customFormat="1" ht="28.5" customHeight="1" thickBot="1">
      <c r="A6" s="3323"/>
      <c r="B6" s="1959" t="s">
        <v>608</v>
      </c>
      <c r="C6" s="1960" t="s">
        <v>618</v>
      </c>
      <c r="D6" s="1960" t="s">
        <v>605</v>
      </c>
      <c r="E6" s="1961" t="s">
        <v>12</v>
      </c>
      <c r="F6" s="1998" t="s">
        <v>608</v>
      </c>
      <c r="G6" s="1960" t="s">
        <v>618</v>
      </c>
      <c r="H6" s="1960" t="s">
        <v>605</v>
      </c>
      <c r="I6" s="1999" t="s">
        <v>10</v>
      </c>
      <c r="J6" s="1960" t="s">
        <v>608</v>
      </c>
      <c r="K6" s="1960" t="s">
        <v>618</v>
      </c>
      <c r="L6" s="1960" t="s">
        <v>605</v>
      </c>
      <c r="M6" s="1960" t="s">
        <v>10</v>
      </c>
      <c r="N6" s="1998" t="s">
        <v>608</v>
      </c>
      <c r="O6" s="1960" t="s">
        <v>618</v>
      </c>
      <c r="P6" s="1960" t="s">
        <v>605</v>
      </c>
      <c r="Q6" s="1961" t="s">
        <v>10</v>
      </c>
      <c r="S6" s="1080"/>
    </row>
    <row r="7" spans="1:19" ht="35.1" customHeight="1">
      <c r="A7" s="1978">
        <f ca="1">سوخت!A7</f>
        <v>0</v>
      </c>
      <c r="B7" s="1173"/>
      <c r="C7" s="1174"/>
      <c r="D7" s="1175"/>
      <c r="E7" s="2000">
        <f>D7*C7/1000000</f>
        <v>0</v>
      </c>
      <c r="F7" s="2013" cm="1">
        <f t="array" aca="1" ref="F7" ca="1">IF(ROW()-ROW($A$7)&lt;'الف-ب-ج'!$L$9,IF(روکش!$F$9="سه ماهه",INDIRECT("BudgetDB!JX"&amp;('الف-ب-ج'!$M$9+ROW()-ROW($A$7))),INDIRECT("BudgetDB!JY"&amp;('الف-ب-ج'!$M$9+ROW()-ROW($A$7)))),"")</f>
        <v>0</v>
      </c>
      <c r="G7" s="2014" cm="1">
        <f t="array" aca="1" ref="G7" ca="1">IF(ROW()-ROW($A$7)&lt;'الف-ب-ج'!$L$9,IF(روکش!$F$9="سه ماهه",INDIRECT("BudgetDB!JZ"&amp;('الف-ب-ج'!$M$9+ROW()-ROW($A$7))),INDIRECT("BudgetDB!KA"&amp;('الف-ب-ج'!$M$9+ROW()-ROW($A$7)))),"")</f>
        <v>0</v>
      </c>
      <c r="H7" s="2015" cm="1">
        <f t="array" aca="1" ref="H7" ca="1">IF(ROW()-ROW($A$7)&lt;'الف-ب-ج'!$L$9,IF(روکش!$F$9="سه ماهه",INDIRECT("BudgetDB!KB"&amp;('الف-ب-ج'!$M$9+ROW()-ROW($A$7))),INDIRECT("BudgetDB!KC"&amp;('الف-ب-ج'!$M$9+ROW()-ROW($A$7)))),"")</f>
        <v>0</v>
      </c>
      <c r="I7" s="2000">
        <f ca="1">H7*G7/1000000</f>
        <v>0</v>
      </c>
      <c r="J7" s="307"/>
      <c r="K7" s="308"/>
      <c r="L7" s="303"/>
      <c r="M7" s="2000">
        <f>L7*K7/1000000</f>
        <v>0</v>
      </c>
      <c r="N7" s="640" t="str">
        <f ca="1">IFERROR(J7*100/F7,"-")</f>
        <v>-</v>
      </c>
      <c r="O7" s="641" t="str">
        <f t="shared" ref="O7:Q15" ca="1" si="0">IFERROR(K7*100/G7,"-")</f>
        <v>-</v>
      </c>
      <c r="P7" s="2001" t="str">
        <f t="shared" ca="1" si="0"/>
        <v>-</v>
      </c>
      <c r="Q7" s="2002" t="str">
        <f t="shared" ca="1" si="0"/>
        <v>-</v>
      </c>
      <c r="S7" s="1264">
        <f ca="1">B7+F7+J7</f>
        <v>0</v>
      </c>
    </row>
    <row r="8" spans="1:19" ht="35.1" customHeight="1">
      <c r="A8" s="1979">
        <f ca="1">سوخت!A8</f>
        <v>0</v>
      </c>
      <c r="B8" s="1176"/>
      <c r="C8" s="1177"/>
      <c r="D8" s="1178"/>
      <c r="E8" s="2000">
        <f t="shared" ref="E8:E14" si="1">D8*C8/1000000</f>
        <v>0</v>
      </c>
      <c r="F8" s="2016" cm="1">
        <f t="array" aca="1" ref="F8" ca="1">IF(ROW()-ROW($A$7)&lt;'الف-ب-ج'!$L$9,IF(روکش!$F$9="سه ماهه",INDIRECT("BudgetDB!JX"&amp;('الف-ب-ج'!$M$9+ROW()-ROW($A$7))),INDIRECT("BudgetDB!JY"&amp;('الف-ب-ج'!$M$9+ROW()-ROW($A$7)))),"")</f>
        <v>0</v>
      </c>
      <c r="G8" s="2017" cm="1">
        <f t="array" aca="1" ref="G8" ca="1">IF(ROW()-ROW($A$7)&lt;'الف-ب-ج'!$L$9,IF(روکش!$F$9="سه ماهه",INDIRECT("BudgetDB!JZ"&amp;('الف-ب-ج'!$M$9+ROW()-ROW($A$7))),INDIRECT("BudgetDB!KA"&amp;('الف-ب-ج'!$M$9+ROW()-ROW($A$7)))),"")</f>
        <v>0</v>
      </c>
      <c r="H8" s="2018" cm="1">
        <f t="array" aca="1" ref="H8" ca="1">IF(ROW()-ROW($A$7)&lt;'الف-ب-ج'!$L$9,IF(روکش!$F$9="سه ماهه",INDIRECT("BudgetDB!KB"&amp;('الف-ب-ج'!$M$9+ROW()-ROW($A$7))),INDIRECT("BudgetDB!KC"&amp;('الف-ب-ج'!$M$9+ROW()-ROW($A$7)))),"")</f>
        <v>0</v>
      </c>
      <c r="I8" s="2000">
        <f t="shared" ref="I8:I14" ca="1" si="2">H8*G8/1000000</f>
        <v>0</v>
      </c>
      <c r="J8" s="304"/>
      <c r="K8" s="304"/>
      <c r="L8" s="305"/>
      <c r="M8" s="2000">
        <f t="shared" ref="M8:M14" si="3">L8*K8/1000000</f>
        <v>0</v>
      </c>
      <c r="N8" s="642" t="str">
        <f t="shared" ref="N8:N15" ca="1" si="4">IFERROR(J8*100/F8,"-")</f>
        <v>-</v>
      </c>
      <c r="O8" s="643" t="str">
        <f t="shared" ca="1" si="0"/>
        <v>-</v>
      </c>
      <c r="P8" s="2003" t="str">
        <f t="shared" ca="1" si="0"/>
        <v>-</v>
      </c>
      <c r="Q8" s="2002" t="str">
        <f t="shared" ca="1" si="0"/>
        <v>-</v>
      </c>
      <c r="S8" s="1264">
        <f t="shared" ref="S8:S14" ca="1" si="5">B8+F8+J8</f>
        <v>0</v>
      </c>
    </row>
    <row r="9" spans="1:19" ht="35.1" customHeight="1">
      <c r="A9" s="1979">
        <f ca="1">سوخت!A9</f>
        <v>0</v>
      </c>
      <c r="B9" s="1179"/>
      <c r="C9" s="1177"/>
      <c r="D9" s="1178"/>
      <c r="E9" s="2000">
        <f t="shared" si="1"/>
        <v>0</v>
      </c>
      <c r="F9" s="2019" cm="1">
        <f t="array" aca="1" ref="F9" ca="1">IF(ROW()-ROW($A$7)&lt;'الف-ب-ج'!$L$9,IF(روکش!$F$9="سه ماهه",INDIRECT("BudgetDB!JX"&amp;('الف-ب-ج'!$M$9+ROW()-ROW($A$7))),INDIRECT("BudgetDB!JY"&amp;('الف-ب-ج'!$M$9+ROW()-ROW($A$7)))),"")</f>
        <v>0</v>
      </c>
      <c r="G9" s="2017" cm="1">
        <f t="array" aca="1" ref="G9" ca="1">IF(ROW()-ROW($A$7)&lt;'الف-ب-ج'!$L$9,IF(روکش!$F$9="سه ماهه",INDIRECT("BudgetDB!JZ"&amp;('الف-ب-ج'!$M$9+ROW()-ROW($A$7))),INDIRECT("BudgetDB!KA"&amp;('الف-ب-ج'!$M$9+ROW()-ROW($A$7)))),"")</f>
        <v>0</v>
      </c>
      <c r="H9" s="2018" cm="1">
        <f t="array" aca="1" ref="H9" ca="1">IF(ROW()-ROW($A$7)&lt;'الف-ب-ج'!$L$9,IF(روکش!$F$9="سه ماهه",INDIRECT("BudgetDB!KB"&amp;('الف-ب-ج'!$M$9+ROW()-ROW($A$7))),INDIRECT("BudgetDB!KC"&amp;('الف-ب-ج'!$M$9+ROW()-ROW($A$7)))),"")</f>
        <v>0</v>
      </c>
      <c r="I9" s="2000">
        <f t="shared" ca="1" si="2"/>
        <v>0</v>
      </c>
      <c r="J9" s="309"/>
      <c r="K9" s="304"/>
      <c r="L9" s="305"/>
      <c r="M9" s="2000">
        <f t="shared" si="3"/>
        <v>0</v>
      </c>
      <c r="N9" s="644" t="str">
        <f t="shared" ca="1" si="4"/>
        <v>-</v>
      </c>
      <c r="O9" s="643" t="str">
        <f t="shared" ca="1" si="0"/>
        <v>-</v>
      </c>
      <c r="P9" s="2003" t="str">
        <f t="shared" ca="1" si="0"/>
        <v>-</v>
      </c>
      <c r="Q9" s="2002" t="str">
        <f t="shared" ca="1" si="0"/>
        <v>-</v>
      </c>
      <c r="S9" s="1264">
        <f t="shared" ca="1" si="5"/>
        <v>0</v>
      </c>
    </row>
    <row r="10" spans="1:19" ht="35.1" customHeight="1">
      <c r="A10" s="1979">
        <f ca="1">سوخت!A10</f>
        <v>0</v>
      </c>
      <c r="B10" s="1179"/>
      <c r="C10" s="1180"/>
      <c r="D10" s="1178"/>
      <c r="E10" s="2000">
        <f t="shared" si="1"/>
        <v>0</v>
      </c>
      <c r="F10" s="2019" cm="1">
        <f t="array" aca="1" ref="F10" ca="1">IF(ROW()-ROW($A$7)&lt;'الف-ب-ج'!$L$9,IF(روکش!$F$9="سه ماهه",INDIRECT("BudgetDB!JX"&amp;('الف-ب-ج'!$M$9+ROW()-ROW($A$7))),INDIRECT("BudgetDB!JY"&amp;('الف-ب-ج'!$M$9+ROW()-ROW($A$7)))),"")</f>
        <v>0</v>
      </c>
      <c r="G10" s="2020" cm="1">
        <f t="array" aca="1" ref="G10" ca="1">IF(ROW()-ROW($A$7)&lt;'الف-ب-ج'!$L$9,IF(روکش!$F$9="سه ماهه",INDIRECT("BudgetDB!JZ"&amp;('الف-ب-ج'!$M$9+ROW()-ROW($A$7))),INDIRECT("BudgetDB!KA"&amp;('الف-ب-ج'!$M$9+ROW()-ROW($A$7)))),"")</f>
        <v>0</v>
      </c>
      <c r="H10" s="2018" cm="1">
        <f t="array" aca="1" ref="H10" ca="1">IF(ROW()-ROW($A$7)&lt;'الف-ب-ج'!$L$9,IF(روکش!$F$9="سه ماهه",INDIRECT("BudgetDB!KB"&amp;('الف-ب-ج'!$M$9+ROW()-ROW($A$7))),INDIRECT("BudgetDB!KC"&amp;('الف-ب-ج'!$M$9+ROW()-ROW($A$7)))),"")</f>
        <v>0</v>
      </c>
      <c r="I10" s="2000">
        <f t="shared" ca="1" si="2"/>
        <v>0</v>
      </c>
      <c r="J10" s="309"/>
      <c r="K10" s="310"/>
      <c r="L10" s="305"/>
      <c r="M10" s="2000">
        <f t="shared" si="3"/>
        <v>0</v>
      </c>
      <c r="N10" s="644" t="str">
        <f t="shared" ca="1" si="4"/>
        <v>-</v>
      </c>
      <c r="O10" s="645" t="str">
        <f t="shared" ca="1" si="0"/>
        <v>-</v>
      </c>
      <c r="P10" s="2003" t="str">
        <f t="shared" ca="1" si="0"/>
        <v>-</v>
      </c>
      <c r="Q10" s="2002" t="str">
        <f t="shared" ca="1" si="0"/>
        <v>-</v>
      </c>
      <c r="S10" s="1264">
        <f t="shared" ca="1" si="5"/>
        <v>0</v>
      </c>
    </row>
    <row r="11" spans="1:19" ht="35.1" customHeight="1">
      <c r="A11" s="1979">
        <f ca="1">سوخت!A11</f>
        <v>0</v>
      </c>
      <c r="B11" s="1179"/>
      <c r="C11" s="1180"/>
      <c r="D11" s="1178"/>
      <c r="E11" s="2000">
        <f t="shared" si="1"/>
        <v>0</v>
      </c>
      <c r="F11" s="2019" cm="1">
        <f t="array" aca="1" ref="F11" ca="1">IF(ROW()-ROW($A$7)&lt;'الف-ب-ج'!$L$9,IF(روکش!$F$9="سه ماهه",INDIRECT("BudgetDB!JX"&amp;('الف-ب-ج'!$M$9+ROW()-ROW($A$7))),INDIRECT("BudgetDB!JY"&amp;('الف-ب-ج'!$M$9+ROW()-ROW($A$7)))),"")</f>
        <v>0</v>
      </c>
      <c r="G11" s="2020" cm="1">
        <f t="array" aca="1" ref="G11" ca="1">IF(ROW()-ROW($A$7)&lt;'الف-ب-ج'!$L$9,IF(روکش!$F$9="سه ماهه",INDIRECT("BudgetDB!JZ"&amp;('الف-ب-ج'!$M$9+ROW()-ROW($A$7))),INDIRECT("BudgetDB!KA"&amp;('الف-ب-ج'!$M$9+ROW()-ROW($A$7)))),"")</f>
        <v>0</v>
      </c>
      <c r="H11" s="2018" cm="1">
        <f t="array" aca="1" ref="H11" ca="1">IF(ROW()-ROW($A$7)&lt;'الف-ب-ج'!$L$9,IF(روکش!$F$9="سه ماهه",INDIRECT("BudgetDB!KB"&amp;('الف-ب-ج'!$M$9+ROW()-ROW($A$7))),INDIRECT("BudgetDB!KC"&amp;('الف-ب-ج'!$M$9+ROW()-ROW($A$7)))),"")</f>
        <v>0</v>
      </c>
      <c r="I11" s="2000">
        <f t="shared" ca="1" si="2"/>
        <v>0</v>
      </c>
      <c r="J11" s="309"/>
      <c r="K11" s="310"/>
      <c r="L11" s="305"/>
      <c r="M11" s="2000">
        <f t="shared" si="3"/>
        <v>0</v>
      </c>
      <c r="N11" s="644" t="str">
        <f t="shared" ca="1" si="4"/>
        <v>-</v>
      </c>
      <c r="O11" s="645" t="str">
        <f t="shared" ca="1" si="0"/>
        <v>-</v>
      </c>
      <c r="P11" s="2003" t="str">
        <f t="shared" ca="1" si="0"/>
        <v>-</v>
      </c>
      <c r="Q11" s="2002" t="str">
        <f t="shared" ca="1" si="0"/>
        <v>-</v>
      </c>
      <c r="S11" s="1264">
        <f t="shared" ca="1" si="5"/>
        <v>0</v>
      </c>
    </row>
    <row r="12" spans="1:19" ht="35.1" customHeight="1">
      <c r="A12" s="1979">
        <f ca="1">سوخت!A12</f>
        <v>0</v>
      </c>
      <c r="B12" s="1181"/>
      <c r="C12" s="1180"/>
      <c r="D12" s="1178"/>
      <c r="E12" s="2000">
        <f t="shared" si="1"/>
        <v>0</v>
      </c>
      <c r="F12" s="2021" cm="1">
        <f t="array" aca="1" ref="F12" ca="1">IF(ROW()-ROW($A$7)&lt;'الف-ب-ج'!$L$9,IF(روکش!$F$9="سه ماهه",INDIRECT("BudgetDB!JX"&amp;('الف-ب-ج'!$M$9+ROW()-ROW($A$7))),INDIRECT("BudgetDB!JY"&amp;('الف-ب-ج'!$M$9+ROW()-ROW($A$7)))),"")</f>
        <v>0</v>
      </c>
      <c r="G12" s="2020" cm="1">
        <f t="array" aca="1" ref="G12" ca="1">IF(ROW()-ROW($A$7)&lt;'الف-ب-ج'!$L$9,IF(روکش!$F$9="سه ماهه",INDIRECT("BudgetDB!JZ"&amp;('الف-ب-ج'!$M$9+ROW()-ROW($A$7))),INDIRECT("BudgetDB!KA"&amp;('الف-ب-ج'!$M$9+ROW()-ROW($A$7)))),"")</f>
        <v>0</v>
      </c>
      <c r="H12" s="2018" cm="1">
        <f t="array" aca="1" ref="H12" ca="1">IF(ROW()-ROW($A$7)&lt;'الف-ب-ج'!$L$9,IF(روکش!$F$9="سه ماهه",INDIRECT("BudgetDB!KB"&amp;('الف-ب-ج'!$M$9+ROW()-ROW($A$7))),INDIRECT("BudgetDB!KC"&amp;('الف-ب-ج'!$M$9+ROW()-ROW($A$7)))),"")</f>
        <v>0</v>
      </c>
      <c r="I12" s="2000">
        <f t="shared" ca="1" si="2"/>
        <v>0</v>
      </c>
      <c r="J12" s="305"/>
      <c r="K12" s="310"/>
      <c r="L12" s="305"/>
      <c r="M12" s="2000">
        <f t="shared" si="3"/>
        <v>0</v>
      </c>
      <c r="N12" s="2004" t="str">
        <f t="shared" ca="1" si="4"/>
        <v>-</v>
      </c>
      <c r="O12" s="645" t="str">
        <f t="shared" ca="1" si="0"/>
        <v>-</v>
      </c>
      <c r="P12" s="2003" t="str">
        <f t="shared" ca="1" si="0"/>
        <v>-</v>
      </c>
      <c r="Q12" s="2002" t="str">
        <f t="shared" ca="1" si="0"/>
        <v>-</v>
      </c>
      <c r="S12" s="1264">
        <f t="shared" ca="1" si="5"/>
        <v>0</v>
      </c>
    </row>
    <row r="13" spans="1:19" ht="35.1" customHeight="1">
      <c r="A13" s="2025">
        <f ca="1">سوخت!A13</f>
        <v>0</v>
      </c>
      <c r="B13" s="1181"/>
      <c r="C13" s="1177"/>
      <c r="D13" s="1178"/>
      <c r="E13" s="2000">
        <f t="shared" si="1"/>
        <v>0</v>
      </c>
      <c r="F13" s="2021" cm="1">
        <f t="array" aca="1" ref="F13" ca="1">IF(ROW()-ROW($A$7)&lt;'الف-ب-ج'!$L$9,IF(روکش!$F$9="سه ماهه",INDIRECT("BudgetDB!JX"&amp;('الف-ب-ج'!$M$9+ROW()-ROW($A$7))),INDIRECT("BudgetDB!JY"&amp;('الف-ب-ج'!$M$9+ROW()-ROW($A$7)))),"")</f>
        <v>0</v>
      </c>
      <c r="G13" s="2017" cm="1">
        <f t="array" aca="1" ref="G13" ca="1">IF(ROW()-ROW($A$7)&lt;'الف-ب-ج'!$L$9,IF(روکش!$F$9="سه ماهه",INDIRECT("BudgetDB!JZ"&amp;('الف-ب-ج'!$M$9+ROW()-ROW($A$7))),INDIRECT("BudgetDB!KA"&amp;('الف-ب-ج'!$M$9+ROW()-ROW($A$7)))),"")</f>
        <v>0</v>
      </c>
      <c r="H13" s="2018" cm="1">
        <f t="array" aca="1" ref="H13" ca="1">IF(ROW()-ROW($A$7)&lt;'الف-ب-ج'!$L$9,IF(روکش!$F$9="سه ماهه",INDIRECT("BudgetDB!KB"&amp;('الف-ب-ج'!$M$9+ROW()-ROW($A$7))),INDIRECT("BudgetDB!KC"&amp;('الف-ب-ج'!$M$9+ROW()-ROW($A$7)))),"")</f>
        <v>0</v>
      </c>
      <c r="I13" s="2000">
        <f t="shared" ca="1" si="2"/>
        <v>0</v>
      </c>
      <c r="J13" s="305"/>
      <c r="K13" s="304"/>
      <c r="L13" s="305"/>
      <c r="M13" s="2000">
        <f t="shared" si="3"/>
        <v>0</v>
      </c>
      <c r="N13" s="2004" t="str">
        <f t="shared" ca="1" si="4"/>
        <v>-</v>
      </c>
      <c r="O13" s="643" t="str">
        <f t="shared" ca="1" si="0"/>
        <v>-</v>
      </c>
      <c r="P13" s="2003" t="str">
        <f t="shared" ca="1" si="0"/>
        <v>-</v>
      </c>
      <c r="Q13" s="2002" t="str">
        <f t="shared" ca="1" si="0"/>
        <v>-</v>
      </c>
      <c r="S13" s="1264">
        <f t="shared" ca="1" si="5"/>
        <v>0</v>
      </c>
    </row>
    <row r="14" spans="1:19" ht="35.1" customHeight="1" thickBot="1">
      <c r="A14" s="2025">
        <f ca="1">سوخت!A14</f>
        <v>0</v>
      </c>
      <c r="B14" s="1182"/>
      <c r="C14" s="1183"/>
      <c r="D14" s="1184"/>
      <c r="E14" s="2000">
        <f t="shared" si="1"/>
        <v>0</v>
      </c>
      <c r="F14" s="2022" cm="1">
        <f t="array" aca="1" ref="F14" ca="1">IF(ROW()-ROW($A$7)&lt;'الف-ب-ج'!$L$9,IF(روکش!$F$9="سه ماهه",INDIRECT("BudgetDB!JX"&amp;('الف-ب-ج'!$M$9+ROW()-ROW($A$7))),INDIRECT("BudgetDB!JY"&amp;('الف-ب-ج'!$M$9+ROW()-ROW($A$7)))),"")</f>
        <v>0</v>
      </c>
      <c r="G14" s="2023" cm="1">
        <f t="array" aca="1" ref="G14" ca="1">IF(ROW()-ROW($A$7)&lt;'الف-ب-ج'!$L$9,IF(روکش!$F$9="سه ماهه",INDIRECT("BudgetDB!JZ"&amp;('الف-ب-ج'!$M$9+ROW()-ROW($A$7))),INDIRECT("BudgetDB!KA"&amp;('الف-ب-ج'!$M$9+ROW()-ROW($A$7)))),"")</f>
        <v>0</v>
      </c>
      <c r="H14" s="2024" cm="1">
        <f t="array" aca="1" ref="H14" ca="1">IF(ROW()-ROW($A$7)&lt;'الف-ب-ج'!$L$9,IF(روکش!$F$9="سه ماهه",INDIRECT("BudgetDB!KB"&amp;('الف-ب-ج'!$M$9+ROW()-ROW($A$7))),INDIRECT("BudgetDB!KC"&amp;('الف-ب-ج'!$M$9+ROW()-ROW($A$7)))),"")</f>
        <v>0</v>
      </c>
      <c r="I14" s="2000">
        <f t="shared" ca="1" si="2"/>
        <v>0</v>
      </c>
      <c r="J14" s="306"/>
      <c r="K14" s="311"/>
      <c r="L14" s="306"/>
      <c r="M14" s="2000">
        <f t="shared" si="3"/>
        <v>0</v>
      </c>
      <c r="N14" s="2005" t="str">
        <f t="shared" ca="1" si="4"/>
        <v>-</v>
      </c>
      <c r="O14" s="646" t="str">
        <f t="shared" ca="1" si="0"/>
        <v>-</v>
      </c>
      <c r="P14" s="2006" t="str">
        <f t="shared" ca="1" si="0"/>
        <v>-</v>
      </c>
      <c r="Q14" s="2002" t="str">
        <f t="shared" ca="1" si="0"/>
        <v>-</v>
      </c>
      <c r="S14" s="1264">
        <f t="shared" ca="1" si="5"/>
        <v>0</v>
      </c>
    </row>
    <row r="15" spans="1:19" ht="35.1" customHeight="1" thickBot="1">
      <c r="A15" s="1967" t="s">
        <v>100</v>
      </c>
      <c r="B15" s="2007">
        <f>SUM(B7:B14)</f>
        <v>0</v>
      </c>
      <c r="C15" s="2008">
        <f>SUM(C7:C14)</f>
        <v>0</v>
      </c>
      <c r="D15" s="2008" t="str">
        <f>IFERROR(E15*1000000/C15,"-")</f>
        <v>-</v>
      </c>
      <c r="E15" s="2009">
        <f>SUM(E7:E14)</f>
        <v>0</v>
      </c>
      <c r="F15" s="2007">
        <f ca="1">SUM(F7:F14)</f>
        <v>0</v>
      </c>
      <c r="G15" s="2008">
        <f ca="1">SUM(G7:G14)</f>
        <v>0</v>
      </c>
      <c r="H15" s="2008" t="str">
        <f ca="1">IFERROR(I15*1000000/G15,"-")</f>
        <v>-</v>
      </c>
      <c r="I15" s="2009">
        <f ca="1">SUM(I7:I14)</f>
        <v>0</v>
      </c>
      <c r="J15" s="2007">
        <f>SUM(J7:J14)</f>
        <v>0</v>
      </c>
      <c r="K15" s="2008">
        <f>SUM(K7:K14)</f>
        <v>0</v>
      </c>
      <c r="L15" s="2008" t="str">
        <f>IFERROR(M15*1000000/K15,"-")</f>
        <v>-</v>
      </c>
      <c r="M15" s="2009">
        <f>SUM(M7:M14)</f>
        <v>0</v>
      </c>
      <c r="N15" s="2010" t="str">
        <f t="shared" ca="1" si="4"/>
        <v>-</v>
      </c>
      <c r="O15" s="2011" t="str">
        <f t="shared" ca="1" si="0"/>
        <v>-</v>
      </c>
      <c r="P15" s="2011" t="str">
        <f t="shared" ca="1" si="0"/>
        <v>-</v>
      </c>
      <c r="Q15" s="2012" t="str">
        <f t="shared" ca="1" si="0"/>
        <v>-</v>
      </c>
    </row>
    <row r="16" spans="1:19" ht="18" customHeight="1">
      <c r="A16" s="3331"/>
      <c r="B16" s="3331"/>
      <c r="C16" s="3331"/>
      <c r="D16" s="1050"/>
      <c r="E16" s="1050"/>
      <c r="F16" s="1050"/>
      <c r="G16" s="1050"/>
      <c r="H16" s="3331"/>
      <c r="I16" s="3331"/>
      <c r="S16" s="41">
        <f>COLUMN()</f>
        <v>19</v>
      </c>
    </row>
    <row r="17" spans="19:19" s="212" customFormat="1">
      <c r="S17" s="1081"/>
    </row>
    <row r="18" spans="19:19" s="212" customFormat="1">
      <c r="S18" s="1081"/>
    </row>
    <row r="19" spans="19:19" s="212" customFormat="1">
      <c r="S19" s="1081"/>
    </row>
    <row r="20" spans="19:19" s="212" customFormat="1">
      <c r="S20" s="1081"/>
    </row>
    <row r="21" spans="19:19" s="212" customFormat="1">
      <c r="S21" s="1081"/>
    </row>
    <row r="22" spans="19:19" s="212" customFormat="1">
      <c r="S22" s="1081"/>
    </row>
    <row r="23" spans="19:19" s="212" customFormat="1">
      <c r="S23" s="1081"/>
    </row>
    <row r="24" spans="19:19" s="212" customFormat="1">
      <c r="S24" s="1081"/>
    </row>
    <row r="25" spans="19:19" s="212" customFormat="1">
      <c r="S25" s="1081"/>
    </row>
    <row r="26" spans="19:19" s="212" customFormat="1">
      <c r="S26" s="1081"/>
    </row>
    <row r="27" spans="19:19" s="212" customFormat="1">
      <c r="S27" s="1081"/>
    </row>
  </sheetData>
  <mergeCells count="10">
    <mergeCell ref="A1:Q1"/>
    <mergeCell ref="A3:I3"/>
    <mergeCell ref="A16:C16"/>
    <mergeCell ref="H16:I16"/>
    <mergeCell ref="A4:A6"/>
    <mergeCell ref="B4:E5"/>
    <mergeCell ref="F4:Q4"/>
    <mergeCell ref="F5:I5"/>
    <mergeCell ref="J5:M5"/>
    <mergeCell ref="N5:Q5"/>
  </mergeCells>
  <printOptions horizontalCentered="1"/>
  <pageMargins left="0.19685039370078741" right="0.19685039370078741" top="0.59055118110236227" bottom="0.78740157480314965" header="0.19685039370078741" footer="0.19685039370078741"/>
  <pageSetup paperSize="9" scale="75"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106">
    <tabColor rgb="FF0000FF"/>
    <pageSetUpPr fitToPage="1"/>
  </sheetPr>
  <dimension ref="A1:O27"/>
  <sheetViews>
    <sheetView rightToLeft="1" workbookViewId="0">
      <selection sqref="A1:M1"/>
    </sheetView>
  </sheetViews>
  <sheetFormatPr defaultColWidth="9" defaultRowHeight="15"/>
  <cols>
    <col min="1" max="1" width="17.5703125" style="5" customWidth="1"/>
    <col min="2" max="10" width="13.5703125" style="5" customWidth="1"/>
    <col min="11" max="13" width="10.5703125" style="5" customWidth="1"/>
    <col min="14" max="14" width="9" style="5"/>
    <col min="15" max="15" width="0" style="41" hidden="1" customWidth="1"/>
    <col min="16" max="16384" width="9" style="5"/>
  </cols>
  <sheetData>
    <row r="1" spans="1:15" s="52" customFormat="1" ht="24" customHeight="1">
      <c r="A1" s="2685" t="str">
        <f>روکش!D4</f>
        <v>انبارهای عمومی و خدمات گمرکی ایران</v>
      </c>
      <c r="B1" s="2685"/>
      <c r="C1" s="2685"/>
      <c r="D1" s="2685"/>
      <c r="E1" s="2685"/>
      <c r="F1" s="2685"/>
      <c r="G1" s="2685"/>
      <c r="H1" s="2685"/>
      <c r="I1" s="2685"/>
      <c r="J1" s="2685"/>
      <c r="K1" s="2685"/>
      <c r="L1" s="2685"/>
      <c r="M1" s="2685"/>
      <c r="O1" s="1077"/>
    </row>
    <row r="2" spans="1:15" s="83" customFormat="1" ht="28.5" customHeight="1">
      <c r="A2" s="1206" t="str">
        <f>"گزارش هزینه هندلینگ در دوره " &amp; روکش!F9 &amp; " سال " &amp; روکش!D9</f>
        <v>گزارش هزینه هندلینگ در دوره شش ماهه سال 1405</v>
      </c>
      <c r="B2" s="1205"/>
      <c r="C2" s="1205"/>
      <c r="D2" s="1205"/>
      <c r="E2" s="1205"/>
      <c r="F2" s="1205"/>
      <c r="G2" s="1205"/>
      <c r="H2" s="1205"/>
      <c r="I2" s="1205"/>
      <c r="J2" s="1202"/>
      <c r="K2" s="1202"/>
      <c r="L2" s="1202"/>
      <c r="M2" s="1202"/>
      <c r="O2" s="1078"/>
    </row>
    <row r="3" spans="1:15" s="42" customFormat="1" ht="20.100000000000001" customHeight="1" thickBot="1">
      <c r="A3" s="3329"/>
      <c r="B3" s="3329"/>
      <c r="C3" s="3329"/>
      <c r="D3" s="3329"/>
      <c r="E3" s="3329"/>
      <c r="F3" s="3329"/>
      <c r="G3" s="3329"/>
      <c r="H3" s="567"/>
      <c r="I3" s="567"/>
      <c r="J3" s="1263"/>
      <c r="K3" s="1263" t="s">
        <v>612</v>
      </c>
      <c r="L3" s="1208"/>
      <c r="M3" s="1208" t="s">
        <v>30</v>
      </c>
      <c r="O3" s="1079"/>
    </row>
    <row r="4" spans="1:15" ht="24" customHeight="1">
      <c r="A4" s="3322" t="s">
        <v>603</v>
      </c>
      <c r="B4" s="3324" t="s">
        <v>639</v>
      </c>
      <c r="C4" s="3325"/>
      <c r="D4" s="3326"/>
      <c r="E4" s="3332" t="s">
        <v>642</v>
      </c>
      <c r="F4" s="3332"/>
      <c r="G4" s="3332"/>
      <c r="H4" s="3332"/>
      <c r="I4" s="3332"/>
      <c r="J4" s="3332"/>
      <c r="K4" s="3332"/>
      <c r="L4" s="3332"/>
      <c r="M4" s="3333"/>
    </row>
    <row r="5" spans="1:15" ht="32.25" customHeight="1">
      <c r="A5" s="3330"/>
      <c r="B5" s="3338"/>
      <c r="C5" s="3339"/>
      <c r="D5" s="3340"/>
      <c r="E5" s="3335" t="s">
        <v>53</v>
      </c>
      <c r="F5" s="3335"/>
      <c r="G5" s="3335"/>
      <c r="H5" s="3334" t="s">
        <v>216</v>
      </c>
      <c r="I5" s="3335"/>
      <c r="J5" s="3336"/>
      <c r="K5" s="3335" t="s">
        <v>641</v>
      </c>
      <c r="L5" s="3335"/>
      <c r="M5" s="3337"/>
    </row>
    <row r="6" spans="1:15" s="1051" customFormat="1" ht="28.5" customHeight="1" thickBot="1">
      <c r="A6" s="3323"/>
      <c r="B6" s="1959" t="s">
        <v>608</v>
      </c>
      <c r="C6" s="1960" t="s">
        <v>605</v>
      </c>
      <c r="D6" s="1961" t="s">
        <v>12</v>
      </c>
      <c r="E6" s="1998" t="s">
        <v>608</v>
      </c>
      <c r="F6" s="1960" t="s">
        <v>605</v>
      </c>
      <c r="G6" s="1999" t="s">
        <v>10</v>
      </c>
      <c r="H6" s="1960" t="s">
        <v>608</v>
      </c>
      <c r="I6" s="1960" t="s">
        <v>605</v>
      </c>
      <c r="J6" s="1960" t="s">
        <v>10</v>
      </c>
      <c r="K6" s="1998" t="s">
        <v>608</v>
      </c>
      <c r="L6" s="1960" t="s">
        <v>605</v>
      </c>
      <c r="M6" s="1961" t="s">
        <v>10</v>
      </c>
      <c r="O6" s="1080"/>
    </row>
    <row r="7" spans="1:15" ht="35.1" customHeight="1">
      <c r="A7" s="1978">
        <f ca="1">سوخت!A7</f>
        <v>0</v>
      </c>
      <c r="B7" s="2026"/>
      <c r="C7" s="303"/>
      <c r="D7" s="2000">
        <f>C7*B7/1000000</f>
        <v>0</v>
      </c>
      <c r="E7" s="2016" cm="1">
        <f t="array" aca="1" ref="E7" ca="1">IF(ROW()-ROW($A$7)&lt;'الف-ب-ج'!$L$9,IF(روکش!$F$9="سه ماهه",INDIRECT("BudgetDB!JX"&amp;('الف-ب-ج'!$M$9+ROW()-ROW($A$7))),INDIRECT("BudgetDB!JY"&amp;('الف-ب-ج'!$M$9+ROW()-ROW($A$7)))),"")</f>
        <v>0</v>
      </c>
      <c r="F7" s="2015" cm="1">
        <f t="array" aca="1" ref="F7" ca="1">IF(ROW()-ROW($A$7)&lt;'الف-ب-ج'!$L$9,IF(روکش!$F$9="سه ماهه",INDIRECT("BudgetDB!KD"&amp;('الف-ب-ج'!$M$9+ROW()-ROW($A$7))),INDIRECT("BudgetDB!KE"&amp;('الف-ب-ج'!$M$9+ROW()-ROW($A$7)))),"")</f>
        <v>0</v>
      </c>
      <c r="G7" s="2000">
        <f ca="1">F7*E7/1000000</f>
        <v>0</v>
      </c>
      <c r="H7" s="307"/>
      <c r="I7" s="303"/>
      <c r="J7" s="2000">
        <f>I7*H7/1000000</f>
        <v>0</v>
      </c>
      <c r="K7" s="640" t="str">
        <f t="shared" ref="K7:K15" ca="1" si="0">IFERROR(H7*100/E7,"-")</f>
        <v>-</v>
      </c>
      <c r="L7" s="2001" t="str">
        <f t="shared" ref="L7:L15" ca="1" si="1">IFERROR(I7*100/F7,"-")</f>
        <v>-</v>
      </c>
      <c r="M7" s="2002" t="str">
        <f t="shared" ref="M7:M15" ca="1" si="2">IFERROR(J7*100/G7,"-")</f>
        <v>-</v>
      </c>
      <c r="O7" s="1264">
        <f ca="1">B7+E7+H7</f>
        <v>0</v>
      </c>
    </row>
    <row r="8" spans="1:15" ht="35.1" customHeight="1">
      <c r="A8" s="1979">
        <f ca="1">سوخت!A8</f>
        <v>0</v>
      </c>
      <c r="B8" s="2027"/>
      <c r="C8" s="305"/>
      <c r="D8" s="2000">
        <f t="shared" ref="D8:D14" si="3">C8*B8/1000000</f>
        <v>0</v>
      </c>
      <c r="E8" s="2016" cm="1">
        <f t="array" aca="1" ref="E8" ca="1">IF(ROW()-ROW($A$7)&lt;'الف-ب-ج'!$L$9,IF(روکش!$F$9="سه ماهه",INDIRECT("BudgetDB!JX"&amp;('الف-ب-ج'!$M$9+ROW()-ROW($A$7))),INDIRECT("BudgetDB!JY"&amp;('الف-ب-ج'!$M$9+ROW()-ROW($A$7)))),"")</f>
        <v>0</v>
      </c>
      <c r="F8" s="2018" cm="1">
        <f t="array" aca="1" ref="F8" ca="1">IF(ROW()-ROW($A$7)&lt;'الف-ب-ج'!$L$9,IF(روکش!$F$9="سه ماهه",INDIRECT("BudgetDB!KD"&amp;('الف-ب-ج'!$M$9+ROW()-ROW($A$7))),INDIRECT("BudgetDB!KE"&amp;('الف-ب-ج'!$M$9+ROW()-ROW($A$7)))),"")</f>
        <v>0</v>
      </c>
      <c r="G8" s="2000">
        <f t="shared" ref="G8:G14" ca="1" si="4">F8*E8/1000000</f>
        <v>0</v>
      </c>
      <c r="H8" s="304"/>
      <c r="I8" s="305"/>
      <c r="J8" s="2000">
        <f t="shared" ref="J8:J14" si="5">I8*H8/1000000</f>
        <v>0</v>
      </c>
      <c r="K8" s="642" t="str">
        <f t="shared" ca="1" si="0"/>
        <v>-</v>
      </c>
      <c r="L8" s="2003" t="str">
        <f t="shared" ca="1" si="1"/>
        <v>-</v>
      </c>
      <c r="M8" s="2002" t="str">
        <f t="shared" ca="1" si="2"/>
        <v>-</v>
      </c>
      <c r="O8" s="1264">
        <f t="shared" ref="O8:O14" ca="1" si="6">B8+E8+H8</f>
        <v>0</v>
      </c>
    </row>
    <row r="9" spans="1:15" ht="35.1" customHeight="1">
      <c r="A9" s="1979">
        <f ca="1">سوخت!A9</f>
        <v>0</v>
      </c>
      <c r="B9" s="2028"/>
      <c r="C9" s="305"/>
      <c r="D9" s="2000">
        <f t="shared" si="3"/>
        <v>0</v>
      </c>
      <c r="E9" s="2019" cm="1">
        <f t="array" aca="1" ref="E9" ca="1">IF(ROW()-ROW($A$7)&lt;'الف-ب-ج'!$L$9,IF(روکش!$F$9="سه ماهه",INDIRECT("BudgetDB!JX"&amp;('الف-ب-ج'!$M$9+ROW()-ROW($A$7))),INDIRECT("BudgetDB!JY"&amp;('الف-ب-ج'!$M$9+ROW()-ROW($A$7)))),"")</f>
        <v>0</v>
      </c>
      <c r="F9" s="2018" cm="1">
        <f t="array" aca="1" ref="F9" ca="1">IF(ROW()-ROW($A$7)&lt;'الف-ب-ج'!$L$9,IF(روکش!$F$9="سه ماهه",INDIRECT("BudgetDB!KD"&amp;('الف-ب-ج'!$M$9+ROW()-ROW($A$7))),INDIRECT("BudgetDB!KE"&amp;('الف-ب-ج'!$M$9+ROW()-ROW($A$7)))),"")</f>
        <v>0</v>
      </c>
      <c r="G9" s="2000">
        <f t="shared" ca="1" si="4"/>
        <v>0</v>
      </c>
      <c r="H9" s="309"/>
      <c r="I9" s="305"/>
      <c r="J9" s="2000">
        <f t="shared" si="5"/>
        <v>0</v>
      </c>
      <c r="K9" s="644" t="str">
        <f t="shared" ca="1" si="0"/>
        <v>-</v>
      </c>
      <c r="L9" s="2003" t="str">
        <f t="shared" ca="1" si="1"/>
        <v>-</v>
      </c>
      <c r="M9" s="2002" t="str">
        <f t="shared" ca="1" si="2"/>
        <v>-</v>
      </c>
      <c r="O9" s="1264">
        <f t="shared" ca="1" si="6"/>
        <v>0</v>
      </c>
    </row>
    <row r="10" spans="1:15" ht="35.1" customHeight="1">
      <c r="A10" s="1979">
        <f ca="1">سوخت!A10</f>
        <v>0</v>
      </c>
      <c r="B10" s="2028"/>
      <c r="C10" s="305"/>
      <c r="D10" s="2000">
        <f t="shared" si="3"/>
        <v>0</v>
      </c>
      <c r="E10" s="2019" cm="1">
        <f t="array" aca="1" ref="E10" ca="1">IF(ROW()-ROW($A$7)&lt;'الف-ب-ج'!$L$9,IF(روکش!$F$9="سه ماهه",INDIRECT("BudgetDB!JX"&amp;('الف-ب-ج'!$M$9+ROW()-ROW($A$7))),INDIRECT("BudgetDB!JY"&amp;('الف-ب-ج'!$M$9+ROW()-ROW($A$7)))),"")</f>
        <v>0</v>
      </c>
      <c r="F10" s="2018" cm="1">
        <f t="array" aca="1" ref="F10" ca="1">IF(ROW()-ROW($A$7)&lt;'الف-ب-ج'!$L$9,IF(روکش!$F$9="سه ماهه",INDIRECT("BudgetDB!KD"&amp;('الف-ب-ج'!$M$9+ROW()-ROW($A$7))),INDIRECT("BudgetDB!KE"&amp;('الف-ب-ج'!$M$9+ROW()-ROW($A$7)))),"")</f>
        <v>0</v>
      </c>
      <c r="G10" s="2000">
        <f t="shared" ca="1" si="4"/>
        <v>0</v>
      </c>
      <c r="H10" s="309"/>
      <c r="I10" s="305"/>
      <c r="J10" s="2000">
        <f t="shared" si="5"/>
        <v>0</v>
      </c>
      <c r="K10" s="644" t="str">
        <f t="shared" ca="1" si="0"/>
        <v>-</v>
      </c>
      <c r="L10" s="2003" t="str">
        <f t="shared" ca="1" si="1"/>
        <v>-</v>
      </c>
      <c r="M10" s="2002" t="str">
        <f t="shared" ca="1" si="2"/>
        <v>-</v>
      </c>
      <c r="O10" s="1264">
        <f t="shared" ca="1" si="6"/>
        <v>0</v>
      </c>
    </row>
    <row r="11" spans="1:15" ht="35.1" customHeight="1">
      <c r="A11" s="1979">
        <f ca="1">سوخت!A11</f>
        <v>0</v>
      </c>
      <c r="B11" s="2028"/>
      <c r="C11" s="305"/>
      <c r="D11" s="2000">
        <f t="shared" si="3"/>
        <v>0</v>
      </c>
      <c r="E11" s="2019" cm="1">
        <f t="array" aca="1" ref="E11" ca="1">IF(ROW()-ROW($A$7)&lt;'الف-ب-ج'!$L$9,IF(روکش!$F$9="سه ماهه",INDIRECT("BudgetDB!JX"&amp;('الف-ب-ج'!$M$9+ROW()-ROW($A$7))),INDIRECT("BudgetDB!JY"&amp;('الف-ب-ج'!$M$9+ROW()-ROW($A$7)))),"")</f>
        <v>0</v>
      </c>
      <c r="F11" s="2018" cm="1">
        <f t="array" aca="1" ref="F11" ca="1">IF(ROW()-ROW($A$7)&lt;'الف-ب-ج'!$L$9,IF(روکش!$F$9="سه ماهه",INDIRECT("BudgetDB!KD"&amp;('الف-ب-ج'!$M$9+ROW()-ROW($A$7))),INDIRECT("BudgetDB!KE"&amp;('الف-ب-ج'!$M$9+ROW()-ROW($A$7)))),"")</f>
        <v>0</v>
      </c>
      <c r="G11" s="2000">
        <f t="shared" ca="1" si="4"/>
        <v>0</v>
      </c>
      <c r="H11" s="309"/>
      <c r="I11" s="305"/>
      <c r="J11" s="2000">
        <f t="shared" si="5"/>
        <v>0</v>
      </c>
      <c r="K11" s="644" t="str">
        <f t="shared" ca="1" si="0"/>
        <v>-</v>
      </c>
      <c r="L11" s="2003" t="str">
        <f t="shared" ca="1" si="1"/>
        <v>-</v>
      </c>
      <c r="M11" s="2002" t="str">
        <f t="shared" ca="1" si="2"/>
        <v>-</v>
      </c>
      <c r="O11" s="1264">
        <f t="shared" ca="1" si="6"/>
        <v>0</v>
      </c>
    </row>
    <row r="12" spans="1:15" ht="35.1" customHeight="1">
      <c r="A12" s="1979">
        <f ca="1">سوخت!A12</f>
        <v>0</v>
      </c>
      <c r="B12" s="2029"/>
      <c r="C12" s="305"/>
      <c r="D12" s="2000">
        <f t="shared" si="3"/>
        <v>0</v>
      </c>
      <c r="E12" s="2021" cm="1">
        <f t="array" aca="1" ref="E12" ca="1">IF(ROW()-ROW($A$7)&lt;'الف-ب-ج'!$L$9,IF(روکش!$F$9="سه ماهه",INDIRECT("BudgetDB!JX"&amp;('الف-ب-ج'!$M$9+ROW()-ROW($A$7))),INDIRECT("BudgetDB!JY"&amp;('الف-ب-ج'!$M$9+ROW()-ROW($A$7)))),"")</f>
        <v>0</v>
      </c>
      <c r="F12" s="2018" cm="1">
        <f t="array" aca="1" ref="F12" ca="1">IF(ROW()-ROW($A$7)&lt;'الف-ب-ج'!$L$9,IF(روکش!$F$9="سه ماهه",INDIRECT("BudgetDB!KD"&amp;('الف-ب-ج'!$M$9+ROW()-ROW($A$7))),INDIRECT("BudgetDB!KE"&amp;('الف-ب-ج'!$M$9+ROW()-ROW($A$7)))),"")</f>
        <v>0</v>
      </c>
      <c r="G12" s="2000">
        <f t="shared" ca="1" si="4"/>
        <v>0</v>
      </c>
      <c r="H12" s="305"/>
      <c r="I12" s="305"/>
      <c r="J12" s="2000">
        <f t="shared" si="5"/>
        <v>0</v>
      </c>
      <c r="K12" s="2004" t="str">
        <f t="shared" ca="1" si="0"/>
        <v>-</v>
      </c>
      <c r="L12" s="2003" t="str">
        <f t="shared" ca="1" si="1"/>
        <v>-</v>
      </c>
      <c r="M12" s="2002" t="str">
        <f t="shared" ca="1" si="2"/>
        <v>-</v>
      </c>
      <c r="O12" s="1264">
        <f t="shared" ca="1" si="6"/>
        <v>0</v>
      </c>
    </row>
    <row r="13" spans="1:15" ht="35.1" customHeight="1">
      <c r="A13" s="2025">
        <f ca="1">سوخت!A13</f>
        <v>0</v>
      </c>
      <c r="B13" s="2029"/>
      <c r="C13" s="305"/>
      <c r="D13" s="2000">
        <f t="shared" si="3"/>
        <v>0</v>
      </c>
      <c r="E13" s="2021" cm="1">
        <f t="array" aca="1" ref="E13" ca="1">IF(ROW()-ROW($A$7)&lt;'الف-ب-ج'!$L$9,IF(روکش!$F$9="سه ماهه",INDIRECT("BudgetDB!JX"&amp;('الف-ب-ج'!$M$9+ROW()-ROW($A$7))),INDIRECT("BudgetDB!JY"&amp;('الف-ب-ج'!$M$9+ROW()-ROW($A$7)))),"")</f>
        <v>0</v>
      </c>
      <c r="F13" s="2018" cm="1">
        <f t="array" aca="1" ref="F13" ca="1">IF(ROW()-ROW($A$7)&lt;'الف-ب-ج'!$L$9,IF(روکش!$F$9="سه ماهه",INDIRECT("BudgetDB!KD"&amp;('الف-ب-ج'!$M$9+ROW()-ROW($A$7))),INDIRECT("BudgetDB!KE"&amp;('الف-ب-ج'!$M$9+ROW()-ROW($A$7)))),"")</f>
        <v>0</v>
      </c>
      <c r="G13" s="2000">
        <f t="shared" ca="1" si="4"/>
        <v>0</v>
      </c>
      <c r="H13" s="305"/>
      <c r="I13" s="305"/>
      <c r="J13" s="2000">
        <f t="shared" si="5"/>
        <v>0</v>
      </c>
      <c r="K13" s="2004" t="str">
        <f t="shared" ca="1" si="0"/>
        <v>-</v>
      </c>
      <c r="L13" s="2003" t="str">
        <f t="shared" ca="1" si="1"/>
        <v>-</v>
      </c>
      <c r="M13" s="2002" t="str">
        <f t="shared" ca="1" si="2"/>
        <v>-</v>
      </c>
      <c r="O13" s="1264">
        <f t="shared" ca="1" si="6"/>
        <v>0</v>
      </c>
    </row>
    <row r="14" spans="1:15" ht="35.1" customHeight="1" thickBot="1">
      <c r="A14" s="2025">
        <f ca="1">سوخت!A14</f>
        <v>0</v>
      </c>
      <c r="B14" s="2030"/>
      <c r="C14" s="306"/>
      <c r="D14" s="2000">
        <f t="shared" si="3"/>
        <v>0</v>
      </c>
      <c r="E14" s="2022" cm="1">
        <f t="array" aca="1" ref="E14" ca="1">IF(ROW()-ROW($A$7)&lt;'الف-ب-ج'!$L$9,IF(روکش!$F$9="سه ماهه",INDIRECT("BudgetDB!JX"&amp;('الف-ب-ج'!$M$9+ROW()-ROW($A$7))),INDIRECT("BudgetDB!JY"&amp;('الف-ب-ج'!$M$9+ROW()-ROW($A$7)))),"")</f>
        <v>0</v>
      </c>
      <c r="F14" s="2024" cm="1">
        <f t="array" aca="1" ref="F14" ca="1">IF(ROW()-ROW($A$7)&lt;'الف-ب-ج'!$L$9,IF(روکش!$F$9="سه ماهه",INDIRECT("BudgetDB!KD"&amp;('الف-ب-ج'!$M$9+ROW()-ROW($A$7))),INDIRECT("BudgetDB!KE"&amp;('الف-ب-ج'!$M$9+ROW()-ROW($A$7)))),"")</f>
        <v>0</v>
      </c>
      <c r="G14" s="2000">
        <f t="shared" ca="1" si="4"/>
        <v>0</v>
      </c>
      <c r="H14" s="306"/>
      <c r="I14" s="306"/>
      <c r="J14" s="2000">
        <f t="shared" si="5"/>
        <v>0</v>
      </c>
      <c r="K14" s="2005" t="str">
        <f t="shared" ca="1" si="0"/>
        <v>-</v>
      </c>
      <c r="L14" s="2006" t="str">
        <f t="shared" ca="1" si="1"/>
        <v>-</v>
      </c>
      <c r="M14" s="2002" t="str">
        <f t="shared" ca="1" si="2"/>
        <v>-</v>
      </c>
      <c r="O14" s="1264">
        <f t="shared" ca="1" si="6"/>
        <v>0</v>
      </c>
    </row>
    <row r="15" spans="1:15" ht="35.1" customHeight="1" thickBot="1">
      <c r="A15" s="1967" t="s">
        <v>100</v>
      </c>
      <c r="B15" s="2007">
        <f>SUM(B7:B14)</f>
        <v>0</v>
      </c>
      <c r="C15" s="2008" t="str">
        <f>IFERROR(D15*1000000/#REF!,"-")</f>
        <v>-</v>
      </c>
      <c r="D15" s="2009">
        <f>SUM(D7:D14)</f>
        <v>0</v>
      </c>
      <c r="E15" s="2007">
        <f ca="1">SUM(E7:E14)</f>
        <v>0</v>
      </c>
      <c r="F15" s="2008" t="str">
        <f ca="1">IFERROR(G15*1000000/#REF!,"-")</f>
        <v>-</v>
      </c>
      <c r="G15" s="2009">
        <f ca="1">SUM(G7:G14)</f>
        <v>0</v>
      </c>
      <c r="H15" s="2007">
        <f>SUM(H7:H14)</f>
        <v>0</v>
      </c>
      <c r="I15" s="2008" t="str">
        <f>IFERROR(J15*1000000/#REF!,"-")</f>
        <v>-</v>
      </c>
      <c r="J15" s="2009">
        <f>SUM(J7:J14)</f>
        <v>0</v>
      </c>
      <c r="K15" s="2010" t="str">
        <f t="shared" ca="1" si="0"/>
        <v>-</v>
      </c>
      <c r="L15" s="2011" t="str">
        <f t="shared" ca="1" si="1"/>
        <v>-</v>
      </c>
      <c r="M15" s="2012" t="str">
        <f t="shared" ca="1" si="2"/>
        <v>-</v>
      </c>
    </row>
    <row r="16" spans="1:15" ht="18" customHeight="1">
      <c r="A16" s="3331"/>
      <c r="B16" s="3331"/>
      <c r="C16" s="1050"/>
      <c r="D16" s="1050"/>
      <c r="E16" s="1050"/>
      <c r="F16" s="3331"/>
      <c r="G16" s="3331"/>
    </row>
    <row r="17" spans="15:15" s="212" customFormat="1">
      <c r="O17" s="1081"/>
    </row>
    <row r="18" spans="15:15" s="212" customFormat="1">
      <c r="O18" s="1081"/>
    </row>
    <row r="19" spans="15:15" s="212" customFormat="1">
      <c r="O19" s="1081"/>
    </row>
    <row r="20" spans="15:15" s="212" customFormat="1">
      <c r="O20" s="1081">
        <f>COLUMN()</f>
        <v>15</v>
      </c>
    </row>
    <row r="21" spans="15:15" s="212" customFormat="1">
      <c r="O21" s="1081"/>
    </row>
    <row r="22" spans="15:15" s="212" customFormat="1">
      <c r="O22" s="1081"/>
    </row>
    <row r="23" spans="15:15" s="212" customFormat="1">
      <c r="O23" s="1081"/>
    </row>
    <row r="24" spans="15:15" s="212" customFormat="1">
      <c r="O24" s="1081"/>
    </row>
    <row r="25" spans="15:15" s="212" customFormat="1">
      <c r="O25" s="1081"/>
    </row>
    <row r="26" spans="15:15" s="212" customFormat="1">
      <c r="O26" s="1081"/>
    </row>
    <row r="27" spans="15:15" s="212" customFormat="1">
      <c r="O27" s="1081"/>
    </row>
  </sheetData>
  <mergeCells count="10">
    <mergeCell ref="A1:M1"/>
    <mergeCell ref="A3:G3"/>
    <mergeCell ref="A16:B16"/>
    <mergeCell ref="F16:G16"/>
    <mergeCell ref="A4:A6"/>
    <mergeCell ref="B4:D5"/>
    <mergeCell ref="E4:M4"/>
    <mergeCell ref="E5:G5"/>
    <mergeCell ref="H5:J5"/>
    <mergeCell ref="K5:M5"/>
  </mergeCells>
  <printOptions horizontalCentered="1"/>
  <pageMargins left="0.19685039370078741" right="0.19685039370078741" top="0.59055118110236227" bottom="0.78740157480314965" header="0.19685039370078741" footer="0.19685039370078741"/>
  <pageSetup paperSize="9" scale="83"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10">
    <tabColor rgb="FF0000FF"/>
    <pageSetUpPr fitToPage="1"/>
  </sheetPr>
  <dimension ref="A1:O27"/>
  <sheetViews>
    <sheetView rightToLeft="1" workbookViewId="0">
      <selection sqref="A1:M1"/>
    </sheetView>
  </sheetViews>
  <sheetFormatPr defaultColWidth="9" defaultRowHeight="15"/>
  <cols>
    <col min="1" max="1" width="17.5703125" style="5" customWidth="1"/>
    <col min="2" max="5" width="13.5703125" style="5" customWidth="1"/>
    <col min="6" max="6" width="15.85546875" style="5" customWidth="1"/>
    <col min="7" max="10" width="13.5703125" style="5" customWidth="1"/>
    <col min="11" max="13" width="10.5703125" style="5" customWidth="1"/>
    <col min="14" max="14" width="9" style="5"/>
    <col min="15" max="15" width="0" style="5" hidden="1" customWidth="1"/>
    <col min="16" max="16384" width="9" style="5"/>
  </cols>
  <sheetData>
    <row r="1" spans="1:15" s="52" customFormat="1" ht="24" customHeight="1">
      <c r="A1" s="2685" t="str">
        <f>روکش!D4</f>
        <v>انبارهای عمومی و خدمات گمرکی ایران</v>
      </c>
      <c r="B1" s="2685"/>
      <c r="C1" s="2685"/>
      <c r="D1" s="2685"/>
      <c r="E1" s="2685"/>
      <c r="F1" s="2685"/>
      <c r="G1" s="2685"/>
      <c r="H1" s="2685"/>
      <c r="I1" s="2685"/>
      <c r="J1" s="2685"/>
      <c r="K1" s="2685"/>
      <c r="L1" s="2685"/>
      <c r="M1" s="2685"/>
    </row>
    <row r="2" spans="1:15" s="83" customFormat="1" ht="28.5" customHeight="1">
      <c r="A2" s="1206" t="str">
        <f>"گزارش هزینه خدمات فرودگاهی در دوره " &amp; روکش!F9 &amp; " سال " &amp; روکش!D9</f>
        <v>گزارش هزینه خدمات فرودگاهی در دوره شش ماهه سال 1405</v>
      </c>
      <c r="B2" s="1205"/>
      <c r="C2" s="1205"/>
      <c r="D2" s="1205"/>
      <c r="E2" s="1205"/>
      <c r="F2" s="1205"/>
      <c r="G2" s="1205"/>
      <c r="H2" s="1205"/>
      <c r="I2" s="1205"/>
      <c r="J2" s="1202"/>
      <c r="K2" s="1202"/>
      <c r="L2" s="1202"/>
      <c r="M2" s="1202"/>
    </row>
    <row r="3" spans="1:15" s="42" customFormat="1" ht="20.100000000000001" customHeight="1" thickBot="1">
      <c r="A3" s="3329"/>
      <c r="B3" s="3329"/>
      <c r="C3" s="3329"/>
      <c r="D3" s="3329"/>
      <c r="E3" s="3329"/>
      <c r="F3" s="3329"/>
      <c r="G3" s="3329"/>
      <c r="H3" s="567"/>
      <c r="I3" s="567"/>
      <c r="J3" s="1263"/>
      <c r="K3" s="1263" t="s">
        <v>612</v>
      </c>
      <c r="L3" s="1208"/>
      <c r="M3" s="1208" t="s">
        <v>30</v>
      </c>
    </row>
    <row r="4" spans="1:15" ht="24" customHeight="1">
      <c r="A4" s="3322" t="s">
        <v>603</v>
      </c>
      <c r="B4" s="3324" t="s">
        <v>639</v>
      </c>
      <c r="C4" s="3325"/>
      <c r="D4" s="3326"/>
      <c r="E4" s="3332" t="s">
        <v>642</v>
      </c>
      <c r="F4" s="3332"/>
      <c r="G4" s="3332"/>
      <c r="H4" s="3332"/>
      <c r="I4" s="3332"/>
      <c r="J4" s="3332"/>
      <c r="K4" s="3332"/>
      <c r="L4" s="3332"/>
      <c r="M4" s="3333"/>
      <c r="O4" s="41"/>
    </row>
    <row r="5" spans="1:15" ht="32.25" customHeight="1">
      <c r="A5" s="3330"/>
      <c r="B5" s="3338"/>
      <c r="C5" s="3339"/>
      <c r="D5" s="3340"/>
      <c r="E5" s="3335" t="s">
        <v>53</v>
      </c>
      <c r="F5" s="3335"/>
      <c r="G5" s="3335"/>
      <c r="H5" s="3334" t="s">
        <v>216</v>
      </c>
      <c r="I5" s="3335"/>
      <c r="J5" s="3336"/>
      <c r="K5" s="3335" t="s">
        <v>641</v>
      </c>
      <c r="L5" s="3335"/>
      <c r="M5" s="3337"/>
      <c r="O5" s="41"/>
    </row>
    <row r="6" spans="1:15" s="1051" customFormat="1" ht="28.5" customHeight="1" thickBot="1">
      <c r="A6" s="3323"/>
      <c r="B6" s="1959" t="s">
        <v>608</v>
      </c>
      <c r="C6" s="1960" t="s">
        <v>605</v>
      </c>
      <c r="D6" s="1961" t="s">
        <v>12</v>
      </c>
      <c r="E6" s="1998" t="s">
        <v>608</v>
      </c>
      <c r="F6" s="1960" t="s">
        <v>605</v>
      </c>
      <c r="G6" s="1999" t="s">
        <v>10</v>
      </c>
      <c r="H6" s="1960" t="s">
        <v>608</v>
      </c>
      <c r="I6" s="1960" t="s">
        <v>605</v>
      </c>
      <c r="J6" s="1960" t="s">
        <v>10</v>
      </c>
      <c r="K6" s="1998" t="s">
        <v>608</v>
      </c>
      <c r="L6" s="1960" t="s">
        <v>605</v>
      </c>
      <c r="M6" s="1961" t="s">
        <v>10</v>
      </c>
      <c r="O6" s="1080"/>
    </row>
    <row r="7" spans="1:15" ht="35.1" customHeight="1">
      <c r="A7" s="1978">
        <f ca="1">سوخت!A7</f>
        <v>0</v>
      </c>
      <c r="B7" s="2026"/>
      <c r="C7" s="303"/>
      <c r="D7" s="2000">
        <f>C7*B7/1000000</f>
        <v>0</v>
      </c>
      <c r="E7" s="2016" cm="1">
        <f t="array" aca="1" ref="E7" ca="1">IF(ROW()-ROW($A$7)&lt;'الف-ب-ج'!$L$9,IF(روکش!$F$9="سه ماهه",INDIRECT("BudgetDB!JX"&amp;('الف-ب-ج'!$M$9+ROW()-ROW($A$7))),INDIRECT("BudgetDB!JY"&amp;('الف-ب-ج'!$M$9+ROW()-ROW($A$7)))),"")</f>
        <v>0</v>
      </c>
      <c r="F7" s="2015" cm="1">
        <f t="array" aca="1" ref="F7" ca="1">IF(ROW()-ROW($A$7)&lt;'الف-ب-ج'!$L$9,IF(روکش!$F$9="سه ماهه",INDIRECT("BudgetDB!KF"&amp;('الف-ب-ج'!$M$9+ROW()-ROW($A$7))),INDIRECT("BudgetDB!KG"&amp;('الف-ب-ج'!$M$9+ROW()-ROW($A$7)))),"")</f>
        <v>0</v>
      </c>
      <c r="G7" s="2000">
        <f ca="1">F7*E7/1000000</f>
        <v>0</v>
      </c>
      <c r="H7" s="307"/>
      <c r="I7" s="303"/>
      <c r="J7" s="2000">
        <f>I7*H7/1000000</f>
        <v>0</v>
      </c>
      <c r="K7" s="640" t="str">
        <f t="shared" ref="K7:M15" ca="1" si="0">IFERROR(H7*100/E7,"-")</f>
        <v>-</v>
      </c>
      <c r="L7" s="2001" t="str">
        <f t="shared" ca="1" si="0"/>
        <v>-</v>
      </c>
      <c r="M7" s="2002" t="str">
        <f t="shared" ca="1" si="0"/>
        <v>-</v>
      </c>
      <c r="O7" s="1264">
        <f ca="1">B7+E7+H7</f>
        <v>0</v>
      </c>
    </row>
    <row r="8" spans="1:15" ht="35.1" customHeight="1">
      <c r="A8" s="1979">
        <f ca="1">سوخت!A8</f>
        <v>0</v>
      </c>
      <c r="B8" s="2027"/>
      <c r="C8" s="305"/>
      <c r="D8" s="2000">
        <f t="shared" ref="D8:D14" si="1">C8*B8/1000000</f>
        <v>0</v>
      </c>
      <c r="E8" s="2016" cm="1">
        <f t="array" aca="1" ref="E8" ca="1">IF(ROW()-ROW($A$7)&lt;'الف-ب-ج'!$L$9,IF(روکش!$F$9="سه ماهه",INDIRECT("BudgetDB!JX"&amp;('الف-ب-ج'!$M$9+ROW()-ROW($A$7))),INDIRECT("BudgetDB!JY"&amp;('الف-ب-ج'!$M$9+ROW()-ROW($A$7)))),"")</f>
        <v>0</v>
      </c>
      <c r="F8" s="2018" cm="1">
        <f t="array" aca="1" ref="F8" ca="1">IF(ROW()-ROW($A$7)&lt;'الف-ب-ج'!$L$9,IF(روکش!$F$9="سه ماهه",INDIRECT("BudgetDB!KF"&amp;('الف-ب-ج'!$M$9+ROW()-ROW($A$7))),INDIRECT("BudgetDB!KG"&amp;('الف-ب-ج'!$M$9+ROW()-ROW($A$7)))),"")</f>
        <v>0</v>
      </c>
      <c r="G8" s="2000">
        <f t="shared" ref="G8:G14" ca="1" si="2">F8*E8/1000000</f>
        <v>0</v>
      </c>
      <c r="H8" s="304"/>
      <c r="I8" s="305"/>
      <c r="J8" s="2000">
        <f t="shared" ref="J8:J14" si="3">I8*H8/1000000</f>
        <v>0</v>
      </c>
      <c r="K8" s="642" t="str">
        <f t="shared" ca="1" si="0"/>
        <v>-</v>
      </c>
      <c r="L8" s="2003" t="str">
        <f t="shared" ca="1" si="0"/>
        <v>-</v>
      </c>
      <c r="M8" s="2002" t="str">
        <f t="shared" ca="1" si="0"/>
        <v>-</v>
      </c>
      <c r="O8" s="1264">
        <f t="shared" ref="O8:O14" ca="1" si="4">B8+E8+H8</f>
        <v>0</v>
      </c>
    </row>
    <row r="9" spans="1:15" ht="35.1" customHeight="1">
      <c r="A9" s="1979">
        <f ca="1">سوخت!A9</f>
        <v>0</v>
      </c>
      <c r="B9" s="2028"/>
      <c r="C9" s="305"/>
      <c r="D9" s="2000">
        <f t="shared" si="1"/>
        <v>0</v>
      </c>
      <c r="E9" s="2019" cm="1">
        <f t="array" aca="1" ref="E9" ca="1">IF(ROW()-ROW($A$7)&lt;'الف-ب-ج'!$L$9,IF(روکش!$F$9="سه ماهه",INDIRECT("BudgetDB!JX"&amp;('الف-ب-ج'!$M$9+ROW()-ROW($A$7))),INDIRECT("BudgetDB!JY"&amp;('الف-ب-ج'!$M$9+ROW()-ROW($A$7)))),"")</f>
        <v>0</v>
      </c>
      <c r="F9" s="2018" cm="1">
        <f t="array" aca="1" ref="F9" ca="1">IF(ROW()-ROW($A$7)&lt;'الف-ب-ج'!$L$9,IF(روکش!$F$9="سه ماهه",INDIRECT("BudgetDB!KF"&amp;('الف-ب-ج'!$M$9+ROW()-ROW($A$7))),INDIRECT("BudgetDB!KG"&amp;('الف-ب-ج'!$M$9+ROW()-ROW($A$7)))),"")</f>
        <v>0</v>
      </c>
      <c r="G9" s="2000">
        <f t="shared" ca="1" si="2"/>
        <v>0</v>
      </c>
      <c r="H9" s="309"/>
      <c r="I9" s="305"/>
      <c r="J9" s="2000">
        <f t="shared" si="3"/>
        <v>0</v>
      </c>
      <c r="K9" s="644" t="str">
        <f t="shared" ca="1" si="0"/>
        <v>-</v>
      </c>
      <c r="L9" s="2003" t="str">
        <f t="shared" ca="1" si="0"/>
        <v>-</v>
      </c>
      <c r="M9" s="2002" t="str">
        <f t="shared" ca="1" si="0"/>
        <v>-</v>
      </c>
      <c r="O9" s="1264">
        <f t="shared" ca="1" si="4"/>
        <v>0</v>
      </c>
    </row>
    <row r="10" spans="1:15" ht="35.1" customHeight="1">
      <c r="A10" s="1979">
        <f ca="1">سوخت!A10</f>
        <v>0</v>
      </c>
      <c r="B10" s="2028"/>
      <c r="C10" s="305"/>
      <c r="D10" s="2000">
        <f t="shared" si="1"/>
        <v>0</v>
      </c>
      <c r="E10" s="2019" cm="1">
        <f t="array" aca="1" ref="E10" ca="1">IF(ROW()-ROW($A$7)&lt;'الف-ب-ج'!$L$9,IF(روکش!$F$9="سه ماهه",INDIRECT("BudgetDB!JX"&amp;('الف-ب-ج'!$M$9+ROW()-ROW($A$7))),INDIRECT("BudgetDB!JY"&amp;('الف-ب-ج'!$M$9+ROW()-ROW($A$7)))),"")</f>
        <v>0</v>
      </c>
      <c r="F10" s="2018" cm="1">
        <f t="array" aca="1" ref="F10" ca="1">IF(ROW()-ROW($A$7)&lt;'الف-ب-ج'!$L$9,IF(روکش!$F$9="سه ماهه",INDIRECT("BudgetDB!KF"&amp;('الف-ب-ج'!$M$9+ROW()-ROW($A$7))),INDIRECT("BudgetDB!KG"&amp;('الف-ب-ج'!$M$9+ROW()-ROW($A$7)))),"")</f>
        <v>0</v>
      </c>
      <c r="G10" s="2000">
        <f t="shared" ca="1" si="2"/>
        <v>0</v>
      </c>
      <c r="H10" s="309"/>
      <c r="I10" s="305"/>
      <c r="J10" s="2000">
        <f t="shared" si="3"/>
        <v>0</v>
      </c>
      <c r="K10" s="644" t="str">
        <f t="shared" ca="1" si="0"/>
        <v>-</v>
      </c>
      <c r="L10" s="2003" t="str">
        <f t="shared" ca="1" si="0"/>
        <v>-</v>
      </c>
      <c r="M10" s="2002" t="str">
        <f t="shared" ca="1" si="0"/>
        <v>-</v>
      </c>
      <c r="O10" s="1264">
        <f t="shared" ca="1" si="4"/>
        <v>0</v>
      </c>
    </row>
    <row r="11" spans="1:15" ht="35.1" customHeight="1">
      <c r="A11" s="1979">
        <f ca="1">سوخت!A11</f>
        <v>0</v>
      </c>
      <c r="B11" s="2028"/>
      <c r="C11" s="305"/>
      <c r="D11" s="2000">
        <f t="shared" si="1"/>
        <v>0</v>
      </c>
      <c r="E11" s="2019" cm="1">
        <f t="array" aca="1" ref="E11" ca="1">IF(ROW()-ROW($A$7)&lt;'الف-ب-ج'!$L$9,IF(روکش!$F$9="سه ماهه",INDIRECT("BudgetDB!JX"&amp;('الف-ب-ج'!$M$9+ROW()-ROW($A$7))),INDIRECT("BudgetDB!JY"&amp;('الف-ب-ج'!$M$9+ROW()-ROW($A$7)))),"")</f>
        <v>0</v>
      </c>
      <c r="F11" s="2018" cm="1">
        <f t="array" aca="1" ref="F11" ca="1">IF(ROW()-ROW($A$7)&lt;'الف-ب-ج'!$L$9,IF(روکش!$F$9="سه ماهه",INDIRECT("BudgetDB!KF"&amp;('الف-ب-ج'!$M$9+ROW()-ROW($A$7))),INDIRECT("BudgetDB!KG"&amp;('الف-ب-ج'!$M$9+ROW()-ROW($A$7)))),"")</f>
        <v>0</v>
      </c>
      <c r="G11" s="2000">
        <f t="shared" ca="1" si="2"/>
        <v>0</v>
      </c>
      <c r="H11" s="309"/>
      <c r="I11" s="305"/>
      <c r="J11" s="2000">
        <f t="shared" si="3"/>
        <v>0</v>
      </c>
      <c r="K11" s="644" t="str">
        <f t="shared" ca="1" si="0"/>
        <v>-</v>
      </c>
      <c r="L11" s="2003" t="str">
        <f t="shared" ca="1" si="0"/>
        <v>-</v>
      </c>
      <c r="M11" s="2002" t="str">
        <f t="shared" ca="1" si="0"/>
        <v>-</v>
      </c>
      <c r="O11" s="1264">
        <f t="shared" ca="1" si="4"/>
        <v>0</v>
      </c>
    </row>
    <row r="12" spans="1:15" ht="35.1" customHeight="1">
      <c r="A12" s="1979">
        <f ca="1">سوخت!A12</f>
        <v>0</v>
      </c>
      <c r="B12" s="2029"/>
      <c r="C12" s="305"/>
      <c r="D12" s="2000">
        <f t="shared" si="1"/>
        <v>0</v>
      </c>
      <c r="E12" s="2021" cm="1">
        <f t="array" aca="1" ref="E12" ca="1">IF(ROW()-ROW($A$7)&lt;'الف-ب-ج'!$L$9,IF(روکش!$F$9="سه ماهه",INDIRECT("BudgetDB!JX"&amp;('الف-ب-ج'!$M$9+ROW()-ROW($A$7))),INDIRECT("BudgetDB!JY"&amp;('الف-ب-ج'!$M$9+ROW()-ROW($A$7)))),"")</f>
        <v>0</v>
      </c>
      <c r="F12" s="2018" cm="1">
        <f t="array" aca="1" ref="F12" ca="1">IF(ROW()-ROW($A$7)&lt;'الف-ب-ج'!$L$9,IF(روکش!$F$9="سه ماهه",INDIRECT("BudgetDB!KF"&amp;('الف-ب-ج'!$M$9+ROW()-ROW($A$7))),INDIRECT("BudgetDB!KG"&amp;('الف-ب-ج'!$M$9+ROW()-ROW($A$7)))),"")</f>
        <v>0</v>
      </c>
      <c r="G12" s="2000">
        <f t="shared" ca="1" si="2"/>
        <v>0</v>
      </c>
      <c r="H12" s="305"/>
      <c r="I12" s="305"/>
      <c r="J12" s="2000">
        <f t="shared" si="3"/>
        <v>0</v>
      </c>
      <c r="K12" s="2004" t="str">
        <f t="shared" ca="1" si="0"/>
        <v>-</v>
      </c>
      <c r="L12" s="2003" t="str">
        <f t="shared" ca="1" si="0"/>
        <v>-</v>
      </c>
      <c r="M12" s="2002" t="str">
        <f t="shared" ca="1" si="0"/>
        <v>-</v>
      </c>
      <c r="O12" s="1264">
        <f t="shared" ca="1" si="4"/>
        <v>0</v>
      </c>
    </row>
    <row r="13" spans="1:15" ht="35.1" customHeight="1">
      <c r="A13" s="2025">
        <f ca="1">سوخت!A13</f>
        <v>0</v>
      </c>
      <c r="B13" s="2029"/>
      <c r="C13" s="305"/>
      <c r="D13" s="2000">
        <f t="shared" si="1"/>
        <v>0</v>
      </c>
      <c r="E13" s="2021" cm="1">
        <f t="array" aca="1" ref="E13" ca="1">IF(ROW()-ROW($A$7)&lt;'الف-ب-ج'!$L$9,IF(روکش!$F$9="سه ماهه",INDIRECT("BudgetDB!JX"&amp;('الف-ب-ج'!$M$9+ROW()-ROW($A$7))),INDIRECT("BudgetDB!JY"&amp;('الف-ب-ج'!$M$9+ROW()-ROW($A$7)))),"")</f>
        <v>0</v>
      </c>
      <c r="F13" s="2018" cm="1">
        <f t="array" aca="1" ref="F13" ca="1">IF(ROW()-ROW($A$7)&lt;'الف-ب-ج'!$L$9,IF(روکش!$F$9="سه ماهه",INDIRECT("BudgetDB!KF"&amp;('الف-ب-ج'!$M$9+ROW()-ROW($A$7))),INDIRECT("BudgetDB!KG"&amp;('الف-ب-ج'!$M$9+ROW()-ROW($A$7)))),"")</f>
        <v>0</v>
      </c>
      <c r="G13" s="2000">
        <f t="shared" ca="1" si="2"/>
        <v>0</v>
      </c>
      <c r="H13" s="305"/>
      <c r="I13" s="305"/>
      <c r="J13" s="2000">
        <f t="shared" si="3"/>
        <v>0</v>
      </c>
      <c r="K13" s="2004" t="str">
        <f t="shared" ca="1" si="0"/>
        <v>-</v>
      </c>
      <c r="L13" s="2003" t="str">
        <f t="shared" ca="1" si="0"/>
        <v>-</v>
      </c>
      <c r="M13" s="2002" t="str">
        <f t="shared" ca="1" si="0"/>
        <v>-</v>
      </c>
      <c r="O13" s="1264">
        <f t="shared" ca="1" si="4"/>
        <v>0</v>
      </c>
    </row>
    <row r="14" spans="1:15" ht="35.1" customHeight="1" thickBot="1">
      <c r="A14" s="2025">
        <f ca="1">سوخت!A14</f>
        <v>0</v>
      </c>
      <c r="B14" s="2030"/>
      <c r="C14" s="306"/>
      <c r="D14" s="2000">
        <f t="shared" si="1"/>
        <v>0</v>
      </c>
      <c r="E14" s="2022" cm="1">
        <f t="array" aca="1" ref="E14" ca="1">IF(ROW()-ROW($A$7)&lt;'الف-ب-ج'!$L$9,IF(روکش!$F$9="سه ماهه",INDIRECT("BudgetDB!JX"&amp;('الف-ب-ج'!$M$9+ROW()-ROW($A$7))),INDIRECT("BudgetDB!JY"&amp;('الف-ب-ج'!$M$9+ROW()-ROW($A$7)))),"")</f>
        <v>0</v>
      </c>
      <c r="F14" s="2024" cm="1">
        <f t="array" aca="1" ref="F14" ca="1">IF(ROW()-ROW($A$7)&lt;'الف-ب-ج'!$L$9,IF(روکش!$F$9="سه ماهه",INDIRECT("BudgetDB!KF"&amp;('الف-ب-ج'!$M$9+ROW()-ROW($A$7))),INDIRECT("BudgetDB!KG"&amp;('الف-ب-ج'!$M$9+ROW()-ROW($A$7)))),"")</f>
        <v>0</v>
      </c>
      <c r="G14" s="2000">
        <f t="shared" ca="1" si="2"/>
        <v>0</v>
      </c>
      <c r="H14" s="306"/>
      <c r="I14" s="306"/>
      <c r="J14" s="2000">
        <f t="shared" si="3"/>
        <v>0</v>
      </c>
      <c r="K14" s="2005" t="str">
        <f t="shared" ca="1" si="0"/>
        <v>-</v>
      </c>
      <c r="L14" s="2006" t="str">
        <f t="shared" ca="1" si="0"/>
        <v>-</v>
      </c>
      <c r="M14" s="2002" t="str">
        <f t="shared" ca="1" si="0"/>
        <v>-</v>
      </c>
      <c r="O14" s="1264">
        <f t="shared" ca="1" si="4"/>
        <v>0</v>
      </c>
    </row>
    <row r="15" spans="1:15" ht="35.1" customHeight="1" thickBot="1">
      <c r="A15" s="1967" t="s">
        <v>100</v>
      </c>
      <c r="B15" s="2007">
        <f>SUM(B7:B14)</f>
        <v>0</v>
      </c>
      <c r="C15" s="2008" t="str">
        <f>IFERROR(D15*1000000/#REF!,"-")</f>
        <v>-</v>
      </c>
      <c r="D15" s="2009">
        <f>SUM(D7:D14)</f>
        <v>0</v>
      </c>
      <c r="E15" s="2007">
        <f ca="1">SUM(E7:E14)</f>
        <v>0</v>
      </c>
      <c r="F15" s="2008" t="str">
        <f ca="1">IFERROR(G15*1000000/#REF!,"-")</f>
        <v>-</v>
      </c>
      <c r="G15" s="2009">
        <f ca="1">SUM(G7:G14)</f>
        <v>0</v>
      </c>
      <c r="H15" s="2007">
        <f>SUM(H7:H14)</f>
        <v>0</v>
      </c>
      <c r="I15" s="2008" t="str">
        <f>IFERROR(J15*1000000/#REF!,"-")</f>
        <v>-</v>
      </c>
      <c r="J15" s="2009">
        <f>SUM(J7:J14)</f>
        <v>0</v>
      </c>
      <c r="K15" s="2010" t="str">
        <f t="shared" ca="1" si="0"/>
        <v>-</v>
      </c>
      <c r="L15" s="2011" t="str">
        <f t="shared" ca="1" si="0"/>
        <v>-</v>
      </c>
      <c r="M15" s="2012" t="str">
        <f t="shared" ca="1" si="0"/>
        <v>-</v>
      </c>
      <c r="O15" s="41"/>
    </row>
    <row r="16" spans="1:15" ht="18" customHeight="1">
      <c r="A16" s="3331"/>
      <c r="B16" s="3331"/>
      <c r="C16" s="1050"/>
      <c r="D16" s="1050"/>
      <c r="E16" s="1050"/>
      <c r="F16" s="3331"/>
      <c r="G16" s="3331"/>
      <c r="O16" s="41"/>
    </row>
    <row r="17" spans="15:15" s="212" customFormat="1">
      <c r="O17" s="1081"/>
    </row>
    <row r="18" spans="15:15" s="212" customFormat="1">
      <c r="O18" s="1081"/>
    </row>
    <row r="19" spans="15:15" s="212" customFormat="1">
      <c r="O19" s="1081"/>
    </row>
    <row r="20" spans="15:15" s="212" customFormat="1">
      <c r="O20" s="1081">
        <f>COLUMN()</f>
        <v>15</v>
      </c>
    </row>
    <row r="21" spans="15:15" s="212" customFormat="1">
      <c r="O21" s="1081"/>
    </row>
    <row r="22" spans="15:15" s="212" customFormat="1"/>
    <row r="23" spans="15:15" s="212" customFormat="1"/>
    <row r="24" spans="15:15" s="212" customFormat="1"/>
    <row r="25" spans="15:15" s="212" customFormat="1"/>
    <row r="26" spans="15:15" s="212" customFormat="1"/>
    <row r="27" spans="15:15" s="212" customFormat="1"/>
  </sheetData>
  <mergeCells count="10">
    <mergeCell ref="A1:M1"/>
    <mergeCell ref="A3:G3"/>
    <mergeCell ref="A16:B16"/>
    <mergeCell ref="F16:G16"/>
    <mergeCell ref="A4:A6"/>
    <mergeCell ref="B4:D5"/>
    <mergeCell ref="E4:M4"/>
    <mergeCell ref="E5:G5"/>
    <mergeCell ref="H5:J5"/>
    <mergeCell ref="K5:M5"/>
  </mergeCells>
  <printOptions horizontalCentered="1"/>
  <pageMargins left="0.19685039370078741" right="0.19685039370078741" top="0.59055118110236227" bottom="0.78740157480314965" header="0.19685039370078741" footer="0.19685039370078741"/>
  <pageSetup paperSize="9" scale="82"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93">
    <tabColor rgb="FFCDC0B0"/>
    <pageSetUpPr fitToPage="1"/>
  </sheetPr>
  <dimension ref="A1:N25"/>
  <sheetViews>
    <sheetView rightToLeft="1" workbookViewId="0">
      <selection sqref="A1:K1"/>
    </sheetView>
  </sheetViews>
  <sheetFormatPr defaultColWidth="9.140625" defaultRowHeight="15"/>
  <cols>
    <col min="1" max="1" width="7.140625" style="5" customWidth="1"/>
    <col min="2" max="2" width="32.5703125" style="5" customWidth="1"/>
    <col min="3" max="3" width="18.85546875" style="5" customWidth="1"/>
    <col min="4" max="11" width="15.5703125" style="5" customWidth="1"/>
    <col min="12" max="16384" width="9.140625" style="5"/>
  </cols>
  <sheetData>
    <row r="1" spans="1:14" ht="24">
      <c r="A1" s="2685" t="str">
        <f>روکش!D4</f>
        <v>انبارهای عمومی و خدمات گمرکی ایران</v>
      </c>
      <c r="B1" s="2685"/>
      <c r="C1" s="2685"/>
      <c r="D1" s="2685"/>
      <c r="E1" s="2685"/>
      <c r="F1" s="2685"/>
      <c r="G1" s="2685"/>
      <c r="H1" s="2685"/>
      <c r="I1" s="2685"/>
      <c r="J1" s="2685"/>
      <c r="K1" s="2685"/>
      <c r="L1" s="54"/>
      <c r="M1" s="54"/>
      <c r="N1" s="54"/>
    </row>
    <row r="2" spans="1:14" ht="28.5">
      <c r="A2" s="1206" t="str">
        <f>"گزارش ریز اطلاعات واحدها در دوره " &amp; روکش!F9 &amp; " سال " &amp; روکش!D9</f>
        <v>گزارش ریز اطلاعات واحدها در دوره شش ماهه سال 1405</v>
      </c>
      <c r="B2" s="1206"/>
      <c r="C2" s="1206"/>
      <c r="D2" s="1206"/>
      <c r="E2" s="1206"/>
      <c r="F2" s="1206"/>
      <c r="G2" s="1206"/>
      <c r="H2" s="1206"/>
      <c r="I2" s="1206"/>
      <c r="J2" s="1206"/>
      <c r="K2" s="1206"/>
      <c r="L2" s="62"/>
      <c r="M2" s="62"/>
      <c r="N2" s="62"/>
    </row>
    <row r="3" spans="1:14" ht="20.100000000000001" customHeight="1" thickBot="1">
      <c r="A3"/>
      <c r="B3"/>
      <c r="C3"/>
      <c r="D3"/>
      <c r="E3"/>
      <c r="F3"/>
      <c r="G3"/>
      <c r="H3" s="1088"/>
      <c r="I3" s="1089"/>
      <c r="J3" s="1089"/>
      <c r="K3" s="1208" t="s">
        <v>30</v>
      </c>
    </row>
    <row r="4" spans="1:14" s="1060" customFormat="1" ht="50.25" customHeight="1" thickBot="1">
      <c r="A4" s="1252" t="s">
        <v>5</v>
      </c>
      <c r="B4" s="1252" t="s">
        <v>566</v>
      </c>
      <c r="C4" s="1251" t="s">
        <v>567</v>
      </c>
      <c r="D4" s="1265" t="s">
        <v>568</v>
      </c>
      <c r="E4" s="1265" t="s">
        <v>569</v>
      </c>
      <c r="F4" s="1265" t="s">
        <v>570</v>
      </c>
      <c r="G4" s="1265" t="s">
        <v>571</v>
      </c>
      <c r="H4" s="1265" t="s">
        <v>572</v>
      </c>
      <c r="I4" s="1265" t="s">
        <v>573</v>
      </c>
      <c r="J4" s="1265" t="s">
        <v>574</v>
      </c>
      <c r="K4" s="1265" t="s">
        <v>575</v>
      </c>
    </row>
    <row r="5" spans="1:14" ht="24.95" customHeight="1">
      <c r="A5" s="1011"/>
      <c r="B5" s="1011"/>
      <c r="C5" s="1061"/>
      <c r="D5" s="1062"/>
      <c r="E5" s="1062"/>
      <c r="F5" s="1062"/>
      <c r="G5" s="1062"/>
      <c r="H5" s="1062"/>
      <c r="I5" s="1062"/>
      <c r="J5" s="1062"/>
      <c r="K5" s="1062"/>
    </row>
    <row r="6" spans="1:14" ht="24.95" customHeight="1">
      <c r="A6" s="1014"/>
      <c r="B6" s="1014"/>
      <c r="C6" s="1063"/>
      <c r="D6" s="1064"/>
      <c r="E6" s="1064"/>
      <c r="F6" s="1064"/>
      <c r="G6" s="1064"/>
      <c r="H6" s="1064"/>
      <c r="I6" s="1064"/>
      <c r="J6" s="1064"/>
      <c r="K6" s="1064"/>
    </row>
    <row r="7" spans="1:14" ht="24.95" customHeight="1">
      <c r="A7" s="1014"/>
      <c r="B7" s="1014"/>
      <c r="C7" s="1063"/>
      <c r="D7" s="1064"/>
      <c r="E7" s="1064"/>
      <c r="F7" s="1064"/>
      <c r="G7" s="1064"/>
      <c r="H7" s="1064"/>
      <c r="I7" s="1064"/>
      <c r="J7" s="1064"/>
      <c r="K7" s="1064"/>
    </row>
    <row r="8" spans="1:14" ht="24.95" customHeight="1">
      <c r="A8" s="1014"/>
      <c r="B8" s="1014"/>
      <c r="C8" s="1063"/>
      <c r="D8" s="1064"/>
      <c r="E8" s="1064"/>
      <c r="F8" s="1064"/>
      <c r="G8" s="1064"/>
      <c r="H8" s="1064"/>
      <c r="I8" s="1064"/>
      <c r="J8" s="1064"/>
      <c r="K8" s="1064"/>
    </row>
    <row r="9" spans="1:14" ht="24.95" customHeight="1">
      <c r="A9" s="1014"/>
      <c r="B9" s="1014"/>
      <c r="C9" s="1063"/>
      <c r="D9" s="1064"/>
      <c r="E9" s="1064"/>
      <c r="F9" s="1064"/>
      <c r="G9" s="1064"/>
      <c r="H9" s="1064"/>
      <c r="I9" s="1064"/>
      <c r="J9" s="1064"/>
      <c r="K9" s="1064"/>
    </row>
    <row r="10" spans="1:14" ht="24.95" customHeight="1">
      <c r="A10" s="1014"/>
      <c r="B10" s="1014"/>
      <c r="C10" s="1063"/>
      <c r="D10" s="1064"/>
      <c r="E10" s="1064"/>
      <c r="F10" s="1064"/>
      <c r="G10" s="1064"/>
      <c r="H10" s="1064"/>
      <c r="I10" s="1064"/>
      <c r="J10" s="1064"/>
      <c r="K10" s="1064"/>
    </row>
    <row r="11" spans="1:14" ht="24.95" customHeight="1">
      <c r="A11" s="1014"/>
      <c r="B11" s="1014"/>
      <c r="C11" s="1063"/>
      <c r="D11" s="1064"/>
      <c r="E11" s="1064"/>
      <c r="F11" s="1064"/>
      <c r="G11" s="1064"/>
      <c r="H11" s="1064"/>
      <c r="I11" s="1064"/>
      <c r="J11" s="1064"/>
      <c r="K11" s="1064"/>
    </row>
    <row r="12" spans="1:14" ht="24.95" customHeight="1">
      <c r="A12" s="1014"/>
      <c r="B12" s="1014"/>
      <c r="C12" s="1063"/>
      <c r="D12" s="1064"/>
      <c r="E12" s="1064"/>
      <c r="F12" s="1064"/>
      <c r="G12" s="1064"/>
      <c r="H12" s="1064"/>
      <c r="I12" s="1064"/>
      <c r="J12" s="1064"/>
      <c r="K12" s="1064"/>
    </row>
    <row r="13" spans="1:14" ht="24.95" customHeight="1">
      <c r="A13" s="1014"/>
      <c r="B13" s="1014"/>
      <c r="C13" s="1063"/>
      <c r="D13" s="1064"/>
      <c r="E13" s="1064"/>
      <c r="F13" s="1064"/>
      <c r="G13" s="1064"/>
      <c r="H13" s="1064"/>
      <c r="I13" s="1064"/>
      <c r="J13" s="1064"/>
      <c r="K13" s="1064"/>
    </row>
    <row r="14" spans="1:14" ht="24.95" customHeight="1">
      <c r="A14" s="1014"/>
      <c r="B14" s="1014"/>
      <c r="C14" s="1063"/>
      <c r="D14" s="1064"/>
      <c r="E14" s="1064"/>
      <c r="F14" s="1064"/>
      <c r="G14" s="1064"/>
      <c r="H14" s="1064"/>
      <c r="I14" s="1064"/>
      <c r="J14" s="1064"/>
      <c r="K14" s="1064"/>
    </row>
    <row r="15" spans="1:14" ht="24.95" customHeight="1">
      <c r="A15" s="1014"/>
      <c r="B15" s="1014"/>
      <c r="C15" s="1063"/>
      <c r="D15" s="1064"/>
      <c r="E15" s="1064"/>
      <c r="F15" s="1064"/>
      <c r="G15" s="1064"/>
      <c r="H15" s="1064"/>
      <c r="I15" s="1064"/>
      <c r="J15" s="1064"/>
      <c r="K15" s="1064"/>
    </row>
    <row r="16" spans="1:14" ht="24.95" customHeight="1">
      <c r="A16" s="1014"/>
      <c r="B16" s="1014"/>
      <c r="C16" s="1063"/>
      <c r="D16" s="1064"/>
      <c r="E16" s="1064"/>
      <c r="F16" s="1064"/>
      <c r="G16" s="1064"/>
      <c r="H16" s="1064"/>
      <c r="I16" s="1064"/>
      <c r="J16" s="1064"/>
      <c r="K16" s="1064"/>
    </row>
    <row r="17" spans="1:11" ht="24.95" customHeight="1">
      <c r="A17" s="1014"/>
      <c r="B17" s="1014"/>
      <c r="C17" s="1063"/>
      <c r="D17" s="1064"/>
      <c r="E17" s="1064"/>
      <c r="F17" s="1064"/>
      <c r="G17" s="1064"/>
      <c r="H17" s="1064"/>
      <c r="I17" s="1064"/>
      <c r="J17" s="1064"/>
      <c r="K17" s="1064"/>
    </row>
    <row r="18" spans="1:11" ht="24.95" customHeight="1">
      <c r="A18" s="1014"/>
      <c r="B18" s="1014"/>
      <c r="C18" s="1063"/>
      <c r="D18" s="1064"/>
      <c r="E18" s="1064"/>
      <c r="F18" s="1064"/>
      <c r="G18" s="1064"/>
      <c r="H18" s="1064"/>
      <c r="I18" s="1064"/>
      <c r="J18" s="1064"/>
      <c r="K18" s="1064"/>
    </row>
    <row r="19" spans="1:11" ht="24.95" customHeight="1">
      <c r="A19" s="1014"/>
      <c r="B19" s="1014"/>
      <c r="C19" s="1063"/>
      <c r="D19" s="1064"/>
      <c r="E19" s="1064"/>
      <c r="F19" s="1064"/>
      <c r="G19" s="1064"/>
      <c r="H19" s="1064"/>
      <c r="I19" s="1064"/>
      <c r="J19" s="1064"/>
      <c r="K19" s="1064"/>
    </row>
    <row r="20" spans="1:11" ht="24.95" customHeight="1">
      <c r="A20" s="1014"/>
      <c r="B20" s="1014"/>
      <c r="C20" s="1063"/>
      <c r="D20" s="1064"/>
      <c r="E20" s="1064"/>
      <c r="F20" s="1064"/>
      <c r="G20" s="1064"/>
      <c r="H20" s="1064"/>
      <c r="I20" s="1064"/>
      <c r="J20" s="1064"/>
      <c r="K20" s="1064"/>
    </row>
    <row r="21" spans="1:11" ht="24.95" customHeight="1">
      <c r="A21" s="1014"/>
      <c r="B21" s="1014"/>
      <c r="C21" s="1063"/>
      <c r="D21" s="1064"/>
      <c r="E21" s="1064"/>
      <c r="F21" s="1064"/>
      <c r="G21" s="1064"/>
      <c r="H21" s="1064"/>
      <c r="I21" s="1064"/>
      <c r="J21" s="1064"/>
      <c r="K21" s="1064"/>
    </row>
    <row r="22" spans="1:11" ht="24.95" customHeight="1">
      <c r="A22" s="1014"/>
      <c r="B22" s="1014"/>
      <c r="C22" s="1063"/>
      <c r="D22" s="1064"/>
      <c r="E22" s="1064"/>
      <c r="F22" s="1064"/>
      <c r="G22" s="1064"/>
      <c r="H22" s="1064"/>
      <c r="I22" s="1064"/>
      <c r="J22" s="1064"/>
      <c r="K22" s="1064"/>
    </row>
    <row r="23" spans="1:11" ht="24.75" customHeight="1">
      <c r="A23" s="1014"/>
      <c r="B23" s="1014"/>
      <c r="C23" s="1063"/>
      <c r="D23" s="1064"/>
      <c r="E23" s="1064"/>
      <c r="F23" s="1064"/>
      <c r="G23" s="1064"/>
      <c r="H23" s="1064"/>
      <c r="I23" s="1064"/>
      <c r="J23" s="1064"/>
      <c r="K23" s="1064"/>
    </row>
    <row r="25" spans="1:11" ht="19.5">
      <c r="A25" s="63"/>
      <c r="B25" s="63"/>
      <c r="C25" s="63"/>
      <c r="G25" s="63"/>
      <c r="H25" s="63"/>
      <c r="J25" s="63"/>
    </row>
  </sheetData>
  <mergeCells count="1">
    <mergeCell ref="A1:K1"/>
  </mergeCells>
  <printOptions horizontalCentered="1"/>
  <pageMargins left="0.19685039370078741" right="0.19685039370078741" top="0.59055118110236227" bottom="0.78740157480314965" header="0.19685039370078741" footer="0.19685039370078741"/>
  <pageSetup paperSize="9" scale="7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0">
    <tabColor rgb="FFFF9912"/>
    <pageSetUpPr fitToPage="1"/>
  </sheetPr>
  <dimension ref="A1:M296"/>
  <sheetViews>
    <sheetView rightToLeft="1" workbookViewId="0">
      <selection sqref="A1:K1"/>
    </sheetView>
  </sheetViews>
  <sheetFormatPr defaultColWidth="9.140625" defaultRowHeight="15"/>
  <cols>
    <col min="1" max="1" width="25.5703125" style="5" customWidth="1"/>
    <col min="2" max="5" width="10.5703125" style="5" customWidth="1"/>
    <col min="6" max="6" width="15.5703125" style="5" customWidth="1"/>
    <col min="7" max="10" width="10.5703125" style="5" customWidth="1"/>
    <col min="11" max="11" width="15.5703125" style="5" customWidth="1"/>
    <col min="12" max="16384" width="9.140625" style="5"/>
  </cols>
  <sheetData>
    <row r="1" spans="1:13" ht="24" customHeight="1">
      <c r="A1" s="2685" t="str">
        <f>روکش!D4</f>
        <v>انبارهای عمومی و خدمات گمرکی ایران</v>
      </c>
      <c r="B1" s="2685"/>
      <c r="C1" s="2685"/>
      <c r="D1" s="2685"/>
      <c r="E1" s="2685"/>
      <c r="F1" s="2685"/>
      <c r="G1" s="2685"/>
      <c r="H1" s="2685"/>
      <c r="I1" s="2685"/>
      <c r="J1" s="2685"/>
      <c r="K1" s="2685"/>
      <c r="L1" s="54"/>
      <c r="M1" s="54"/>
    </row>
    <row r="2" spans="1:13" s="52" customFormat="1" ht="28.5" customHeight="1">
      <c r="A2" s="1206" t="str">
        <f>"سود و زیان فروشگاه‌ها / بستر اینترنتی در دوره " &amp; روکش!F9 &amp; " سال " &amp; روکش!D9</f>
        <v>سود و زیان فروشگاه‌ها / بستر اینترنتی در دوره شش ماهه سال 1405</v>
      </c>
      <c r="B2" s="1206"/>
      <c r="C2" s="1206"/>
      <c r="D2" s="1206"/>
      <c r="E2" s="1206"/>
      <c r="F2" s="1206"/>
      <c r="G2" s="1206"/>
      <c r="H2" s="1203"/>
      <c r="I2" s="1203"/>
      <c r="J2" s="1203"/>
      <c r="K2" s="1203"/>
      <c r="L2" s="1236"/>
      <c r="M2" s="1236"/>
    </row>
    <row r="3" spans="1:13" ht="20.100000000000001" customHeight="1" thickBot="1">
      <c r="A3"/>
      <c r="B3" s="582"/>
      <c r="C3" s="582"/>
      <c r="D3" s="582"/>
      <c r="E3" s="1015"/>
      <c r="F3"/>
      <c r="G3" s="3169"/>
      <c r="H3" s="3169"/>
      <c r="I3" s="1225"/>
      <c r="J3" s="1225"/>
      <c r="K3" s="1225" t="s">
        <v>339</v>
      </c>
    </row>
    <row r="4" spans="1:13" ht="26.25" customHeight="1">
      <c r="A4" s="2937" t="s">
        <v>620</v>
      </c>
      <c r="B4" s="3341" t="s">
        <v>683</v>
      </c>
      <c r="C4" s="3342"/>
      <c r="D4" s="3342"/>
      <c r="E4" s="3343"/>
      <c r="F4" s="3344"/>
      <c r="G4" s="3341" t="s">
        <v>642</v>
      </c>
      <c r="H4" s="3342"/>
      <c r="I4" s="3342"/>
      <c r="J4" s="3343"/>
      <c r="K4" s="3344"/>
    </row>
    <row r="5" spans="1:13" ht="70.5" customHeight="1" thickBot="1">
      <c r="A5" s="2939"/>
      <c r="B5" s="1071" t="s">
        <v>336</v>
      </c>
      <c r="C5" s="905" t="s">
        <v>337</v>
      </c>
      <c r="D5" s="905" t="s">
        <v>338</v>
      </c>
      <c r="E5" s="905" t="s">
        <v>571</v>
      </c>
      <c r="F5" s="1072" t="s">
        <v>782</v>
      </c>
      <c r="G5" s="1071" t="s">
        <v>336</v>
      </c>
      <c r="H5" s="905" t="s">
        <v>337</v>
      </c>
      <c r="I5" s="905" t="s">
        <v>338</v>
      </c>
      <c r="J5" s="905" t="s">
        <v>571</v>
      </c>
      <c r="K5" s="1072" t="s">
        <v>782</v>
      </c>
    </row>
    <row r="6" spans="1:13" ht="24.95" customHeight="1">
      <c r="A6" s="1011"/>
      <c r="B6" s="1067"/>
      <c r="C6" s="1013"/>
      <c r="D6" s="1016">
        <f t="shared" ref="D6" si="0">C6+B6</f>
        <v>0</v>
      </c>
      <c r="E6" s="13"/>
      <c r="F6" s="1064"/>
      <c r="G6" s="1068"/>
      <c r="H6" s="13"/>
      <c r="I6" s="1016">
        <f t="shared" ref="I6" si="1">H6+G6</f>
        <v>0</v>
      </c>
      <c r="J6" s="1013"/>
      <c r="K6" s="1062"/>
    </row>
    <row r="7" spans="1:13" ht="24.95" customHeight="1">
      <c r="A7" s="1069"/>
      <c r="B7" s="1070"/>
      <c r="C7" s="1065"/>
      <c r="D7" s="1016">
        <f t="shared" ref="D7:D70" si="2">C7+B7</f>
        <v>0</v>
      </c>
      <c r="E7" s="13"/>
      <c r="F7" s="1064"/>
      <c r="G7" s="1068"/>
      <c r="H7" s="13"/>
      <c r="I7" s="1016">
        <f t="shared" ref="I7:I70" si="3">H7+G7</f>
        <v>0</v>
      </c>
      <c r="J7" s="1065"/>
      <c r="K7" s="1066"/>
    </row>
    <row r="8" spans="1:13" ht="24.95" customHeight="1">
      <c r="A8" s="1069"/>
      <c r="B8" s="1070"/>
      <c r="C8" s="1065"/>
      <c r="D8" s="1016">
        <f t="shared" si="2"/>
        <v>0</v>
      </c>
      <c r="E8" s="13"/>
      <c r="F8" s="1064"/>
      <c r="G8" s="1068"/>
      <c r="H8" s="13"/>
      <c r="I8" s="1016">
        <f t="shared" si="3"/>
        <v>0</v>
      </c>
      <c r="J8" s="1065"/>
      <c r="K8" s="1066"/>
    </row>
    <row r="9" spans="1:13" ht="24.95" customHeight="1">
      <c r="A9" s="1069"/>
      <c r="B9" s="1070"/>
      <c r="C9" s="1065"/>
      <c r="D9" s="1016">
        <f t="shared" si="2"/>
        <v>0</v>
      </c>
      <c r="E9" s="13"/>
      <c r="F9" s="1064"/>
      <c r="G9" s="1068"/>
      <c r="H9" s="13"/>
      <c r="I9" s="1016">
        <f t="shared" si="3"/>
        <v>0</v>
      </c>
      <c r="J9" s="1065"/>
      <c r="K9" s="1066"/>
    </row>
    <row r="10" spans="1:13" ht="24.95" customHeight="1">
      <c r="A10" s="1069"/>
      <c r="B10" s="1070"/>
      <c r="C10" s="1065"/>
      <c r="D10" s="1016">
        <f t="shared" si="2"/>
        <v>0</v>
      </c>
      <c r="E10" s="13"/>
      <c r="F10" s="1064"/>
      <c r="G10" s="1068"/>
      <c r="H10" s="13"/>
      <c r="I10" s="1016">
        <f t="shared" si="3"/>
        <v>0</v>
      </c>
      <c r="J10" s="1065"/>
      <c r="K10" s="1066"/>
    </row>
    <row r="11" spans="1:13" ht="24.95" customHeight="1">
      <c r="A11" s="1069"/>
      <c r="B11" s="1070"/>
      <c r="C11" s="1065"/>
      <c r="D11" s="1016">
        <f t="shared" si="2"/>
        <v>0</v>
      </c>
      <c r="E11" s="13"/>
      <c r="F11" s="1064"/>
      <c r="G11" s="1068"/>
      <c r="H11" s="13"/>
      <c r="I11" s="1016">
        <f t="shared" si="3"/>
        <v>0</v>
      </c>
      <c r="J11" s="1065"/>
      <c r="K11" s="1066"/>
    </row>
    <row r="12" spans="1:13" ht="24.95" customHeight="1">
      <c r="A12" s="1069"/>
      <c r="B12" s="1070"/>
      <c r="C12" s="1065"/>
      <c r="D12" s="1016">
        <f t="shared" si="2"/>
        <v>0</v>
      </c>
      <c r="E12" s="13"/>
      <c r="F12" s="1064"/>
      <c r="G12" s="1068"/>
      <c r="H12" s="13"/>
      <c r="I12" s="1016">
        <f t="shared" si="3"/>
        <v>0</v>
      </c>
      <c r="J12" s="1065"/>
      <c r="K12" s="1066"/>
    </row>
    <row r="13" spans="1:13" ht="24.95" customHeight="1">
      <c r="A13" s="1069"/>
      <c r="B13" s="1070"/>
      <c r="C13" s="1065"/>
      <c r="D13" s="1016">
        <f t="shared" si="2"/>
        <v>0</v>
      </c>
      <c r="E13" s="13"/>
      <c r="F13" s="1064"/>
      <c r="G13" s="1068"/>
      <c r="H13" s="13"/>
      <c r="I13" s="1016">
        <f t="shared" si="3"/>
        <v>0</v>
      </c>
      <c r="J13" s="1065"/>
      <c r="K13" s="1066"/>
    </row>
    <row r="14" spans="1:13" ht="24.95" customHeight="1">
      <c r="A14" s="1069"/>
      <c r="B14" s="1070"/>
      <c r="C14" s="1065"/>
      <c r="D14" s="1016">
        <f t="shared" si="2"/>
        <v>0</v>
      </c>
      <c r="E14" s="13"/>
      <c r="F14" s="1064"/>
      <c r="G14" s="1068"/>
      <c r="H14" s="13"/>
      <c r="I14" s="1016">
        <f t="shared" si="3"/>
        <v>0</v>
      </c>
      <c r="J14" s="1065"/>
      <c r="K14" s="1066"/>
    </row>
    <row r="15" spans="1:13" ht="24.95" customHeight="1">
      <c r="A15" s="1069"/>
      <c r="B15" s="1070"/>
      <c r="C15" s="1065"/>
      <c r="D15" s="1016">
        <f t="shared" si="2"/>
        <v>0</v>
      </c>
      <c r="E15" s="13"/>
      <c r="F15" s="1064"/>
      <c r="G15" s="1068"/>
      <c r="H15" s="13"/>
      <c r="I15" s="1016">
        <f t="shared" si="3"/>
        <v>0</v>
      </c>
      <c r="J15" s="1065"/>
      <c r="K15" s="1066"/>
    </row>
    <row r="16" spans="1:13" ht="24.95" customHeight="1">
      <c r="A16" s="1069"/>
      <c r="B16" s="1070"/>
      <c r="C16" s="1065"/>
      <c r="D16" s="1016">
        <f t="shared" si="2"/>
        <v>0</v>
      </c>
      <c r="E16" s="13"/>
      <c r="F16" s="1064"/>
      <c r="G16" s="1068"/>
      <c r="H16" s="13"/>
      <c r="I16" s="1016">
        <f t="shared" si="3"/>
        <v>0</v>
      </c>
      <c r="J16" s="1065"/>
      <c r="K16" s="1066"/>
    </row>
    <row r="17" spans="1:11" ht="24.95" customHeight="1">
      <c r="A17" s="1069"/>
      <c r="B17" s="1070"/>
      <c r="C17" s="1065"/>
      <c r="D17" s="1016">
        <f t="shared" si="2"/>
        <v>0</v>
      </c>
      <c r="E17" s="13"/>
      <c r="F17" s="1064"/>
      <c r="G17" s="1068"/>
      <c r="H17" s="13"/>
      <c r="I17" s="1016">
        <f t="shared" si="3"/>
        <v>0</v>
      </c>
      <c r="J17" s="1065"/>
      <c r="K17" s="1066"/>
    </row>
    <row r="18" spans="1:11" ht="24.95" customHeight="1">
      <c r="A18" s="1069"/>
      <c r="B18" s="1070"/>
      <c r="C18" s="1065"/>
      <c r="D18" s="1016">
        <f t="shared" si="2"/>
        <v>0</v>
      </c>
      <c r="E18" s="13"/>
      <c r="F18" s="1064"/>
      <c r="G18" s="1068"/>
      <c r="H18" s="13"/>
      <c r="I18" s="1016">
        <f t="shared" si="3"/>
        <v>0</v>
      </c>
      <c r="J18" s="1065"/>
      <c r="K18" s="1066"/>
    </row>
    <row r="19" spans="1:11" ht="24.95" customHeight="1">
      <c r="A19" s="1069"/>
      <c r="B19" s="1070"/>
      <c r="C19" s="1065"/>
      <c r="D19" s="1016">
        <f t="shared" si="2"/>
        <v>0</v>
      </c>
      <c r="E19" s="13"/>
      <c r="F19" s="1064"/>
      <c r="G19" s="1068"/>
      <c r="H19" s="13"/>
      <c r="I19" s="1016">
        <f t="shared" si="3"/>
        <v>0</v>
      </c>
      <c r="J19" s="1065"/>
      <c r="K19" s="1066"/>
    </row>
    <row r="20" spans="1:11" ht="24.95" customHeight="1">
      <c r="A20" s="1069"/>
      <c r="B20" s="1070"/>
      <c r="C20" s="1065"/>
      <c r="D20" s="1016">
        <f t="shared" si="2"/>
        <v>0</v>
      </c>
      <c r="E20" s="13"/>
      <c r="F20" s="1064"/>
      <c r="G20" s="1068"/>
      <c r="H20" s="13"/>
      <c r="I20" s="1016">
        <f t="shared" si="3"/>
        <v>0</v>
      </c>
      <c r="J20" s="1065"/>
      <c r="K20" s="1066"/>
    </row>
    <row r="21" spans="1:11" ht="24.95" customHeight="1">
      <c r="A21" s="1069"/>
      <c r="B21" s="1070"/>
      <c r="C21" s="1065"/>
      <c r="D21" s="1016">
        <f t="shared" si="2"/>
        <v>0</v>
      </c>
      <c r="E21" s="13"/>
      <c r="F21" s="1064"/>
      <c r="G21" s="1068"/>
      <c r="H21" s="13"/>
      <c r="I21" s="1016">
        <f t="shared" si="3"/>
        <v>0</v>
      </c>
      <c r="J21" s="1065"/>
      <c r="K21" s="1066"/>
    </row>
    <row r="22" spans="1:11" ht="24.95" customHeight="1">
      <c r="A22" s="1069"/>
      <c r="B22" s="1070"/>
      <c r="C22" s="1065"/>
      <c r="D22" s="1016">
        <f t="shared" si="2"/>
        <v>0</v>
      </c>
      <c r="E22" s="13"/>
      <c r="F22" s="1064"/>
      <c r="G22" s="1068"/>
      <c r="H22" s="13"/>
      <c r="I22" s="1016">
        <f t="shared" si="3"/>
        <v>0</v>
      </c>
      <c r="J22" s="1065"/>
      <c r="K22" s="1066"/>
    </row>
    <row r="23" spans="1:11" ht="24.95" customHeight="1">
      <c r="A23" s="1069"/>
      <c r="B23" s="1070"/>
      <c r="C23" s="1065"/>
      <c r="D23" s="1016">
        <f t="shared" si="2"/>
        <v>0</v>
      </c>
      <c r="E23" s="13"/>
      <c r="F23" s="1064"/>
      <c r="G23" s="1068"/>
      <c r="H23" s="13"/>
      <c r="I23" s="1016">
        <f t="shared" si="3"/>
        <v>0</v>
      </c>
      <c r="J23" s="1065"/>
      <c r="K23" s="1066"/>
    </row>
    <row r="24" spans="1:11" ht="24.95" customHeight="1">
      <c r="A24" s="1069"/>
      <c r="B24" s="1070"/>
      <c r="C24" s="1065"/>
      <c r="D24" s="1016">
        <f t="shared" si="2"/>
        <v>0</v>
      </c>
      <c r="E24" s="13"/>
      <c r="F24" s="1064"/>
      <c r="G24" s="1068"/>
      <c r="H24" s="13"/>
      <c r="I24" s="1016">
        <f t="shared" si="3"/>
        <v>0</v>
      </c>
      <c r="J24" s="1065"/>
      <c r="K24" s="1066"/>
    </row>
    <row r="25" spans="1:11" ht="24.95" customHeight="1">
      <c r="A25" s="1069"/>
      <c r="B25" s="1070"/>
      <c r="C25" s="1065"/>
      <c r="D25" s="1016">
        <f t="shared" si="2"/>
        <v>0</v>
      </c>
      <c r="E25" s="13"/>
      <c r="F25" s="1064"/>
      <c r="G25" s="1068"/>
      <c r="H25" s="13"/>
      <c r="I25" s="1016">
        <f t="shared" si="3"/>
        <v>0</v>
      </c>
      <c r="J25" s="1065"/>
      <c r="K25" s="1066"/>
    </row>
    <row r="26" spans="1:11" ht="24.95" customHeight="1">
      <c r="A26" s="1069"/>
      <c r="B26" s="1070"/>
      <c r="C26" s="1065"/>
      <c r="D26" s="1016">
        <f t="shared" si="2"/>
        <v>0</v>
      </c>
      <c r="E26" s="13"/>
      <c r="F26" s="1064"/>
      <c r="G26" s="1068"/>
      <c r="H26" s="13"/>
      <c r="I26" s="1016">
        <f t="shared" si="3"/>
        <v>0</v>
      </c>
      <c r="J26" s="1065"/>
      <c r="K26" s="1066"/>
    </row>
    <row r="27" spans="1:11" ht="24.95" customHeight="1">
      <c r="A27" s="1069"/>
      <c r="B27" s="1070"/>
      <c r="C27" s="1065"/>
      <c r="D27" s="1016">
        <f t="shared" si="2"/>
        <v>0</v>
      </c>
      <c r="E27" s="13"/>
      <c r="F27" s="1064"/>
      <c r="G27" s="1068"/>
      <c r="H27" s="13"/>
      <c r="I27" s="1016">
        <f t="shared" si="3"/>
        <v>0</v>
      </c>
      <c r="J27" s="1065"/>
      <c r="K27" s="1066"/>
    </row>
    <row r="28" spans="1:11" ht="24.95" customHeight="1">
      <c r="A28" s="1069"/>
      <c r="B28" s="1070"/>
      <c r="C28" s="1065"/>
      <c r="D28" s="1016">
        <f t="shared" si="2"/>
        <v>0</v>
      </c>
      <c r="E28" s="13"/>
      <c r="F28" s="1064"/>
      <c r="G28" s="1068"/>
      <c r="H28" s="13"/>
      <c r="I28" s="1016">
        <f t="shared" si="3"/>
        <v>0</v>
      </c>
      <c r="J28" s="1065"/>
      <c r="K28" s="1066"/>
    </row>
    <row r="29" spans="1:11" ht="24.95" customHeight="1">
      <c r="A29" s="1069"/>
      <c r="B29" s="1070"/>
      <c r="C29" s="1065"/>
      <c r="D29" s="1016">
        <f t="shared" si="2"/>
        <v>0</v>
      </c>
      <c r="E29" s="13"/>
      <c r="F29" s="1064"/>
      <c r="G29" s="1068"/>
      <c r="H29" s="13"/>
      <c r="I29" s="1016">
        <f t="shared" si="3"/>
        <v>0</v>
      </c>
      <c r="J29" s="1065"/>
      <c r="K29" s="1066"/>
    </row>
    <row r="30" spans="1:11" ht="24.95" customHeight="1">
      <c r="A30" s="1069"/>
      <c r="B30" s="1070"/>
      <c r="C30" s="1065"/>
      <c r="D30" s="1016">
        <f t="shared" si="2"/>
        <v>0</v>
      </c>
      <c r="E30" s="13"/>
      <c r="F30" s="1064"/>
      <c r="G30" s="1068"/>
      <c r="H30" s="13"/>
      <c r="I30" s="1016">
        <f t="shared" si="3"/>
        <v>0</v>
      </c>
      <c r="J30" s="1065"/>
      <c r="K30" s="1066"/>
    </row>
    <row r="31" spans="1:11" ht="24.95" customHeight="1">
      <c r="A31" s="1069"/>
      <c r="B31" s="1070"/>
      <c r="C31" s="1065"/>
      <c r="D31" s="1016">
        <f t="shared" si="2"/>
        <v>0</v>
      </c>
      <c r="E31" s="13"/>
      <c r="F31" s="1064"/>
      <c r="G31" s="1068"/>
      <c r="H31" s="13"/>
      <c r="I31" s="1016">
        <f t="shared" si="3"/>
        <v>0</v>
      </c>
      <c r="J31" s="1065"/>
      <c r="K31" s="1066"/>
    </row>
    <row r="32" spans="1:11" ht="24.95" customHeight="1">
      <c r="A32" s="1069"/>
      <c r="B32" s="1070"/>
      <c r="C32" s="1065"/>
      <c r="D32" s="1016">
        <f t="shared" si="2"/>
        <v>0</v>
      </c>
      <c r="E32" s="13"/>
      <c r="F32" s="1064"/>
      <c r="G32" s="1068"/>
      <c r="H32" s="13"/>
      <c r="I32" s="1016">
        <f t="shared" si="3"/>
        <v>0</v>
      </c>
      <c r="J32" s="1065"/>
      <c r="K32" s="1066"/>
    </row>
    <row r="33" spans="1:11" ht="24.95" customHeight="1">
      <c r="A33" s="1069"/>
      <c r="B33" s="1070"/>
      <c r="C33" s="1065"/>
      <c r="D33" s="1016">
        <f t="shared" si="2"/>
        <v>0</v>
      </c>
      <c r="E33" s="13"/>
      <c r="F33" s="1064"/>
      <c r="G33" s="1068"/>
      <c r="H33" s="13"/>
      <c r="I33" s="1016">
        <f t="shared" si="3"/>
        <v>0</v>
      </c>
      <c r="J33" s="1065"/>
      <c r="K33" s="1066"/>
    </row>
    <row r="34" spans="1:11" ht="24.95" customHeight="1">
      <c r="A34" s="1069"/>
      <c r="B34" s="1070"/>
      <c r="C34" s="1065"/>
      <c r="D34" s="1016">
        <f t="shared" si="2"/>
        <v>0</v>
      </c>
      <c r="E34" s="13"/>
      <c r="F34" s="1064"/>
      <c r="G34" s="1068"/>
      <c r="H34" s="13"/>
      <c r="I34" s="1016">
        <f t="shared" si="3"/>
        <v>0</v>
      </c>
      <c r="J34" s="1065"/>
      <c r="K34" s="1066"/>
    </row>
    <row r="35" spans="1:11" ht="24.95" customHeight="1">
      <c r="A35" s="1069"/>
      <c r="B35" s="1070"/>
      <c r="C35" s="1065"/>
      <c r="D35" s="1016">
        <f t="shared" si="2"/>
        <v>0</v>
      </c>
      <c r="E35" s="13"/>
      <c r="F35" s="1064"/>
      <c r="G35" s="1068"/>
      <c r="H35" s="13"/>
      <c r="I35" s="1016">
        <f t="shared" si="3"/>
        <v>0</v>
      </c>
      <c r="J35" s="1065"/>
      <c r="K35" s="1066"/>
    </row>
    <row r="36" spans="1:11" ht="24.95" customHeight="1">
      <c r="A36" s="1069"/>
      <c r="B36" s="1070"/>
      <c r="C36" s="1065"/>
      <c r="D36" s="1016">
        <f t="shared" si="2"/>
        <v>0</v>
      </c>
      <c r="E36" s="13"/>
      <c r="F36" s="1064"/>
      <c r="G36" s="1068"/>
      <c r="H36" s="13"/>
      <c r="I36" s="1016">
        <f t="shared" si="3"/>
        <v>0</v>
      </c>
      <c r="J36" s="1065"/>
      <c r="K36" s="1066"/>
    </row>
    <row r="37" spans="1:11" ht="24.95" customHeight="1">
      <c r="A37" s="1069"/>
      <c r="B37" s="1070"/>
      <c r="C37" s="1065"/>
      <c r="D37" s="1016">
        <f t="shared" si="2"/>
        <v>0</v>
      </c>
      <c r="E37" s="13"/>
      <c r="F37" s="1064"/>
      <c r="G37" s="1068"/>
      <c r="H37" s="13"/>
      <c r="I37" s="1016">
        <f t="shared" si="3"/>
        <v>0</v>
      </c>
      <c r="J37" s="1065"/>
      <c r="K37" s="1066"/>
    </row>
    <row r="38" spans="1:11" ht="24.95" customHeight="1">
      <c r="A38" s="1069"/>
      <c r="B38" s="1070"/>
      <c r="C38" s="1065"/>
      <c r="D38" s="1016">
        <f t="shared" si="2"/>
        <v>0</v>
      </c>
      <c r="E38" s="13"/>
      <c r="F38" s="1064"/>
      <c r="G38" s="1068"/>
      <c r="H38" s="13"/>
      <c r="I38" s="1016">
        <f t="shared" si="3"/>
        <v>0</v>
      </c>
      <c r="J38" s="1065"/>
      <c r="K38" s="1066"/>
    </row>
    <row r="39" spans="1:11" ht="24.95" customHeight="1">
      <c r="A39" s="1069"/>
      <c r="B39" s="1070"/>
      <c r="C39" s="1065"/>
      <c r="D39" s="1016">
        <f t="shared" si="2"/>
        <v>0</v>
      </c>
      <c r="E39" s="13"/>
      <c r="F39" s="1064"/>
      <c r="G39" s="1068"/>
      <c r="H39" s="13"/>
      <c r="I39" s="1016">
        <f t="shared" si="3"/>
        <v>0</v>
      </c>
      <c r="J39" s="1065"/>
      <c r="K39" s="1066"/>
    </row>
    <row r="40" spans="1:11" ht="24.95" customHeight="1">
      <c r="A40" s="1069"/>
      <c r="B40" s="1070"/>
      <c r="C40" s="1065"/>
      <c r="D40" s="1016">
        <f t="shared" si="2"/>
        <v>0</v>
      </c>
      <c r="E40" s="13"/>
      <c r="F40" s="1064"/>
      <c r="G40" s="1068"/>
      <c r="H40" s="13"/>
      <c r="I40" s="1016">
        <f t="shared" si="3"/>
        <v>0</v>
      </c>
      <c r="J40" s="1065"/>
      <c r="K40" s="1066"/>
    </row>
    <row r="41" spans="1:11" ht="24.95" customHeight="1">
      <c r="A41" s="1069"/>
      <c r="B41" s="1070"/>
      <c r="C41" s="1065"/>
      <c r="D41" s="1016">
        <f t="shared" si="2"/>
        <v>0</v>
      </c>
      <c r="E41" s="13"/>
      <c r="F41" s="1064"/>
      <c r="G41" s="1068"/>
      <c r="H41" s="13"/>
      <c r="I41" s="1016">
        <f t="shared" si="3"/>
        <v>0</v>
      </c>
      <c r="J41" s="1065"/>
      <c r="K41" s="1066"/>
    </row>
    <row r="42" spans="1:11" ht="24.95" customHeight="1">
      <c r="A42" s="1069"/>
      <c r="B42" s="1070"/>
      <c r="C42" s="1065"/>
      <c r="D42" s="1016">
        <f t="shared" si="2"/>
        <v>0</v>
      </c>
      <c r="E42" s="13"/>
      <c r="F42" s="1064"/>
      <c r="G42" s="1068"/>
      <c r="H42" s="13"/>
      <c r="I42" s="1016">
        <f t="shared" si="3"/>
        <v>0</v>
      </c>
      <c r="J42" s="1065"/>
      <c r="K42" s="1066"/>
    </row>
    <row r="43" spans="1:11" ht="24.95" customHeight="1">
      <c r="A43" s="1069"/>
      <c r="B43" s="1070"/>
      <c r="C43" s="1065"/>
      <c r="D43" s="1016">
        <f t="shared" si="2"/>
        <v>0</v>
      </c>
      <c r="E43" s="13"/>
      <c r="F43" s="1064"/>
      <c r="G43" s="1068"/>
      <c r="H43" s="13"/>
      <c r="I43" s="1016">
        <f t="shared" si="3"/>
        <v>0</v>
      </c>
      <c r="J43" s="1065"/>
      <c r="K43" s="1066"/>
    </row>
    <row r="44" spans="1:11" ht="24.95" customHeight="1">
      <c r="A44" s="1069"/>
      <c r="B44" s="1070"/>
      <c r="C44" s="1065"/>
      <c r="D44" s="1016">
        <f t="shared" si="2"/>
        <v>0</v>
      </c>
      <c r="E44" s="13"/>
      <c r="F44" s="1064"/>
      <c r="G44" s="1068"/>
      <c r="H44" s="13"/>
      <c r="I44" s="1016">
        <f t="shared" si="3"/>
        <v>0</v>
      </c>
      <c r="J44" s="1065"/>
      <c r="K44" s="1066"/>
    </row>
    <row r="45" spans="1:11" ht="24.95" customHeight="1">
      <c r="A45" s="1069"/>
      <c r="B45" s="1070"/>
      <c r="C45" s="1065"/>
      <c r="D45" s="1016">
        <f t="shared" si="2"/>
        <v>0</v>
      </c>
      <c r="E45" s="13"/>
      <c r="F45" s="1064"/>
      <c r="G45" s="1068"/>
      <c r="H45" s="13"/>
      <c r="I45" s="1016">
        <f t="shared" si="3"/>
        <v>0</v>
      </c>
      <c r="J45" s="1065"/>
      <c r="K45" s="1066"/>
    </row>
    <row r="46" spans="1:11" ht="24.95" customHeight="1">
      <c r="A46" s="1069"/>
      <c r="B46" s="1070"/>
      <c r="C46" s="1065"/>
      <c r="D46" s="1016">
        <f t="shared" si="2"/>
        <v>0</v>
      </c>
      <c r="E46" s="13"/>
      <c r="F46" s="1064"/>
      <c r="G46" s="1068"/>
      <c r="H46" s="13"/>
      <c r="I46" s="1016">
        <f t="shared" si="3"/>
        <v>0</v>
      </c>
      <c r="J46" s="1065"/>
      <c r="K46" s="1066"/>
    </row>
    <row r="47" spans="1:11" ht="24.95" customHeight="1">
      <c r="A47" s="1069"/>
      <c r="B47" s="1070"/>
      <c r="C47" s="1065"/>
      <c r="D47" s="1016">
        <f t="shared" si="2"/>
        <v>0</v>
      </c>
      <c r="E47" s="13"/>
      <c r="F47" s="1064"/>
      <c r="G47" s="1068"/>
      <c r="H47" s="13"/>
      <c r="I47" s="1016">
        <f t="shared" si="3"/>
        <v>0</v>
      </c>
      <c r="J47" s="1065"/>
      <c r="K47" s="1066"/>
    </row>
    <row r="48" spans="1:11" ht="24.95" customHeight="1">
      <c r="A48" s="1069"/>
      <c r="B48" s="1070"/>
      <c r="C48" s="1065"/>
      <c r="D48" s="1016">
        <f t="shared" si="2"/>
        <v>0</v>
      </c>
      <c r="E48" s="13"/>
      <c r="F48" s="1064"/>
      <c r="G48" s="1068"/>
      <c r="H48" s="13"/>
      <c r="I48" s="1016">
        <f t="shared" si="3"/>
        <v>0</v>
      </c>
      <c r="J48" s="1065"/>
      <c r="K48" s="1066"/>
    </row>
    <row r="49" spans="1:11" ht="24.95" customHeight="1">
      <c r="A49" s="1069"/>
      <c r="B49" s="1070"/>
      <c r="C49" s="1065"/>
      <c r="D49" s="1016">
        <f t="shared" si="2"/>
        <v>0</v>
      </c>
      <c r="E49" s="13"/>
      <c r="F49" s="1064"/>
      <c r="G49" s="1068"/>
      <c r="H49" s="13"/>
      <c r="I49" s="1016">
        <f t="shared" si="3"/>
        <v>0</v>
      </c>
      <c r="J49" s="1065"/>
      <c r="K49" s="1066"/>
    </row>
    <row r="50" spans="1:11" ht="24.95" customHeight="1">
      <c r="A50" s="1069"/>
      <c r="B50" s="1070"/>
      <c r="C50" s="1065"/>
      <c r="D50" s="1016">
        <f t="shared" si="2"/>
        <v>0</v>
      </c>
      <c r="E50" s="13"/>
      <c r="F50" s="1064"/>
      <c r="G50" s="1068"/>
      <c r="H50" s="13"/>
      <c r="I50" s="1016">
        <f t="shared" si="3"/>
        <v>0</v>
      </c>
      <c r="J50" s="1065"/>
      <c r="K50" s="1066"/>
    </row>
    <row r="51" spans="1:11" ht="24.95" customHeight="1">
      <c r="A51" s="1069"/>
      <c r="B51" s="1070"/>
      <c r="C51" s="1065"/>
      <c r="D51" s="1016">
        <f t="shared" si="2"/>
        <v>0</v>
      </c>
      <c r="E51" s="13"/>
      <c r="F51" s="1064"/>
      <c r="G51" s="1068"/>
      <c r="H51" s="13"/>
      <c r="I51" s="1016">
        <f t="shared" si="3"/>
        <v>0</v>
      </c>
      <c r="J51" s="1065"/>
      <c r="K51" s="1066"/>
    </row>
    <row r="52" spans="1:11" ht="24.95" customHeight="1">
      <c r="A52" s="1069"/>
      <c r="B52" s="1070"/>
      <c r="C52" s="1065"/>
      <c r="D52" s="1016">
        <f t="shared" si="2"/>
        <v>0</v>
      </c>
      <c r="E52" s="13"/>
      <c r="F52" s="1064"/>
      <c r="G52" s="1068"/>
      <c r="H52" s="13"/>
      <c r="I52" s="1016">
        <f t="shared" si="3"/>
        <v>0</v>
      </c>
      <c r="J52" s="1065"/>
      <c r="K52" s="1066"/>
    </row>
    <row r="53" spans="1:11" ht="24.95" customHeight="1">
      <c r="A53" s="1069"/>
      <c r="B53" s="1070"/>
      <c r="C53" s="1065"/>
      <c r="D53" s="1016">
        <f t="shared" si="2"/>
        <v>0</v>
      </c>
      <c r="E53" s="13"/>
      <c r="F53" s="1064"/>
      <c r="G53" s="1068"/>
      <c r="H53" s="13"/>
      <c r="I53" s="1016">
        <f t="shared" si="3"/>
        <v>0</v>
      </c>
      <c r="J53" s="1065"/>
      <c r="K53" s="1066"/>
    </row>
    <row r="54" spans="1:11" ht="24.95" customHeight="1">
      <c r="A54" s="1069"/>
      <c r="B54" s="1070"/>
      <c r="C54" s="1065"/>
      <c r="D54" s="1016">
        <f t="shared" si="2"/>
        <v>0</v>
      </c>
      <c r="E54" s="13"/>
      <c r="F54" s="1064"/>
      <c r="G54" s="1068"/>
      <c r="H54" s="13"/>
      <c r="I54" s="1016">
        <f t="shared" si="3"/>
        <v>0</v>
      </c>
      <c r="J54" s="1065"/>
      <c r="K54" s="1066"/>
    </row>
    <row r="55" spans="1:11" ht="24.95" customHeight="1">
      <c r="A55" s="1069"/>
      <c r="B55" s="1070"/>
      <c r="C55" s="1065"/>
      <c r="D55" s="1016">
        <f t="shared" si="2"/>
        <v>0</v>
      </c>
      <c r="E55" s="13"/>
      <c r="F55" s="1064"/>
      <c r="G55" s="1068"/>
      <c r="H55" s="13"/>
      <c r="I55" s="1016">
        <f t="shared" si="3"/>
        <v>0</v>
      </c>
      <c r="J55" s="1065"/>
      <c r="K55" s="1066"/>
    </row>
    <row r="56" spans="1:11" ht="24.95" customHeight="1">
      <c r="A56" s="1069"/>
      <c r="B56" s="1070"/>
      <c r="C56" s="1065"/>
      <c r="D56" s="1016">
        <f t="shared" si="2"/>
        <v>0</v>
      </c>
      <c r="E56" s="13"/>
      <c r="F56" s="1064"/>
      <c r="G56" s="1068"/>
      <c r="H56" s="13"/>
      <c r="I56" s="1016">
        <f t="shared" si="3"/>
        <v>0</v>
      </c>
      <c r="J56" s="1065"/>
      <c r="K56" s="1066"/>
    </row>
    <row r="57" spans="1:11" ht="24.95" customHeight="1">
      <c r="A57" s="1069"/>
      <c r="B57" s="1070"/>
      <c r="C57" s="1065"/>
      <c r="D57" s="1016">
        <f t="shared" si="2"/>
        <v>0</v>
      </c>
      <c r="E57" s="13"/>
      <c r="F57" s="1064"/>
      <c r="G57" s="1068"/>
      <c r="H57" s="13"/>
      <c r="I57" s="1016">
        <f t="shared" si="3"/>
        <v>0</v>
      </c>
      <c r="J57" s="1065"/>
      <c r="K57" s="1066"/>
    </row>
    <row r="58" spans="1:11" ht="24.95" customHeight="1">
      <c r="A58" s="1069"/>
      <c r="B58" s="1070"/>
      <c r="C58" s="1065"/>
      <c r="D58" s="1016">
        <f t="shared" si="2"/>
        <v>0</v>
      </c>
      <c r="E58" s="13"/>
      <c r="F58" s="1064"/>
      <c r="G58" s="1068"/>
      <c r="H58" s="13"/>
      <c r="I58" s="1016">
        <f t="shared" si="3"/>
        <v>0</v>
      </c>
      <c r="J58" s="1065"/>
      <c r="K58" s="1066"/>
    </row>
    <row r="59" spans="1:11" ht="24.95" customHeight="1">
      <c r="A59" s="1069"/>
      <c r="B59" s="1070"/>
      <c r="C59" s="1065"/>
      <c r="D59" s="1016">
        <f t="shared" si="2"/>
        <v>0</v>
      </c>
      <c r="E59" s="13"/>
      <c r="F59" s="1064"/>
      <c r="G59" s="1068"/>
      <c r="H59" s="13"/>
      <c r="I59" s="1016">
        <f t="shared" si="3"/>
        <v>0</v>
      </c>
      <c r="J59" s="1065"/>
      <c r="K59" s="1066"/>
    </row>
    <row r="60" spans="1:11" ht="24.95" customHeight="1">
      <c r="A60" s="1069"/>
      <c r="B60" s="1070"/>
      <c r="C60" s="1065"/>
      <c r="D60" s="1016">
        <f t="shared" si="2"/>
        <v>0</v>
      </c>
      <c r="E60" s="13"/>
      <c r="F60" s="1064"/>
      <c r="G60" s="1068"/>
      <c r="H60" s="13"/>
      <c r="I60" s="1016">
        <f t="shared" si="3"/>
        <v>0</v>
      </c>
      <c r="J60" s="1065"/>
      <c r="K60" s="1066"/>
    </row>
    <row r="61" spans="1:11" ht="24.95" customHeight="1">
      <c r="A61" s="1069"/>
      <c r="B61" s="1070"/>
      <c r="C61" s="1065"/>
      <c r="D61" s="1016">
        <f t="shared" si="2"/>
        <v>0</v>
      </c>
      <c r="E61" s="13"/>
      <c r="F61" s="1064"/>
      <c r="G61" s="1068"/>
      <c r="H61" s="13"/>
      <c r="I61" s="1016">
        <f t="shared" si="3"/>
        <v>0</v>
      </c>
      <c r="J61" s="1065"/>
      <c r="K61" s="1066"/>
    </row>
    <row r="62" spans="1:11" ht="24.95" customHeight="1">
      <c r="A62" s="1069"/>
      <c r="B62" s="1070"/>
      <c r="C62" s="1065"/>
      <c r="D62" s="1016">
        <f t="shared" si="2"/>
        <v>0</v>
      </c>
      <c r="E62" s="13"/>
      <c r="F62" s="1064"/>
      <c r="G62" s="1068"/>
      <c r="H62" s="13"/>
      <c r="I62" s="1016">
        <f t="shared" si="3"/>
        <v>0</v>
      </c>
      <c r="J62" s="1065"/>
      <c r="K62" s="1066"/>
    </row>
    <row r="63" spans="1:11" ht="24.95" customHeight="1">
      <c r="A63" s="1069"/>
      <c r="B63" s="1070"/>
      <c r="C63" s="1065"/>
      <c r="D63" s="1016">
        <f t="shared" si="2"/>
        <v>0</v>
      </c>
      <c r="E63" s="13"/>
      <c r="F63" s="1064"/>
      <c r="G63" s="1068"/>
      <c r="H63" s="13"/>
      <c r="I63" s="1016">
        <f t="shared" si="3"/>
        <v>0</v>
      </c>
      <c r="J63" s="1065"/>
      <c r="K63" s="1066"/>
    </row>
    <row r="64" spans="1:11" ht="24.95" customHeight="1">
      <c r="A64" s="1069"/>
      <c r="B64" s="1070"/>
      <c r="C64" s="1065"/>
      <c r="D64" s="1016">
        <f t="shared" si="2"/>
        <v>0</v>
      </c>
      <c r="E64" s="13"/>
      <c r="F64" s="1064"/>
      <c r="G64" s="1068"/>
      <c r="H64" s="13"/>
      <c r="I64" s="1016">
        <f t="shared" si="3"/>
        <v>0</v>
      </c>
      <c r="J64" s="1065"/>
      <c r="K64" s="1066"/>
    </row>
    <row r="65" spans="1:11" ht="24.95" customHeight="1">
      <c r="A65" s="1069"/>
      <c r="B65" s="1070"/>
      <c r="C65" s="1065"/>
      <c r="D65" s="1016">
        <f t="shared" si="2"/>
        <v>0</v>
      </c>
      <c r="E65" s="13"/>
      <c r="F65" s="1064"/>
      <c r="G65" s="1068"/>
      <c r="H65" s="13"/>
      <c r="I65" s="1016">
        <f t="shared" si="3"/>
        <v>0</v>
      </c>
      <c r="J65" s="1065"/>
      <c r="K65" s="1066"/>
    </row>
    <row r="66" spans="1:11" ht="24.95" customHeight="1">
      <c r="A66" s="1069"/>
      <c r="B66" s="1070"/>
      <c r="C66" s="1065"/>
      <c r="D66" s="1016">
        <f t="shared" si="2"/>
        <v>0</v>
      </c>
      <c r="E66" s="13"/>
      <c r="F66" s="1064"/>
      <c r="G66" s="1068"/>
      <c r="H66" s="13"/>
      <c r="I66" s="1016">
        <f t="shared" si="3"/>
        <v>0</v>
      </c>
      <c r="J66" s="1065"/>
      <c r="K66" s="1066"/>
    </row>
    <row r="67" spans="1:11" ht="24.95" customHeight="1">
      <c r="A67" s="1069"/>
      <c r="B67" s="1070"/>
      <c r="C67" s="1065"/>
      <c r="D67" s="1016">
        <f t="shared" si="2"/>
        <v>0</v>
      </c>
      <c r="E67" s="13"/>
      <c r="F67" s="1064"/>
      <c r="G67" s="1068"/>
      <c r="H67" s="13"/>
      <c r="I67" s="1016">
        <f t="shared" si="3"/>
        <v>0</v>
      </c>
      <c r="J67" s="1065"/>
      <c r="K67" s="1066"/>
    </row>
    <row r="68" spans="1:11" ht="24.95" customHeight="1">
      <c r="A68" s="1069"/>
      <c r="B68" s="1070"/>
      <c r="C68" s="1065"/>
      <c r="D68" s="1016">
        <f t="shared" si="2"/>
        <v>0</v>
      </c>
      <c r="E68" s="13"/>
      <c r="F68" s="1064"/>
      <c r="G68" s="1068"/>
      <c r="H68" s="13"/>
      <c r="I68" s="1016">
        <f t="shared" si="3"/>
        <v>0</v>
      </c>
      <c r="J68" s="1065"/>
      <c r="K68" s="1066"/>
    </row>
    <row r="69" spans="1:11" ht="24.95" customHeight="1">
      <c r="A69" s="1069"/>
      <c r="B69" s="1070"/>
      <c r="C69" s="1065"/>
      <c r="D69" s="1016">
        <f t="shared" si="2"/>
        <v>0</v>
      </c>
      <c r="E69" s="13"/>
      <c r="F69" s="1064"/>
      <c r="G69" s="1068"/>
      <c r="H69" s="13"/>
      <c r="I69" s="1016">
        <f t="shared" si="3"/>
        <v>0</v>
      </c>
      <c r="J69" s="1065"/>
      <c r="K69" s="1066"/>
    </row>
    <row r="70" spans="1:11" ht="24.95" customHeight="1">
      <c r="A70" s="1069"/>
      <c r="B70" s="1070"/>
      <c r="C70" s="1065"/>
      <c r="D70" s="1016">
        <f t="shared" si="2"/>
        <v>0</v>
      </c>
      <c r="E70" s="13"/>
      <c r="F70" s="1064"/>
      <c r="G70" s="1068"/>
      <c r="H70" s="13"/>
      <c r="I70" s="1016">
        <f t="shared" si="3"/>
        <v>0</v>
      </c>
      <c r="J70" s="1065"/>
      <c r="K70" s="1066"/>
    </row>
    <row r="71" spans="1:11" ht="24.95" customHeight="1">
      <c r="A71" s="1069"/>
      <c r="B71" s="1070"/>
      <c r="C71" s="1065"/>
      <c r="D71" s="1016">
        <f t="shared" ref="D71:D134" si="4">C71+B71</f>
        <v>0</v>
      </c>
      <c r="E71" s="13"/>
      <c r="F71" s="1064"/>
      <c r="G71" s="1068"/>
      <c r="H71" s="13"/>
      <c r="I71" s="1016">
        <f t="shared" ref="I71:I134" si="5">H71+G71</f>
        <v>0</v>
      </c>
      <c r="J71" s="1065"/>
      <c r="K71" s="1066"/>
    </row>
    <row r="72" spans="1:11" ht="24.95" customHeight="1">
      <c r="A72" s="1069"/>
      <c r="B72" s="1070"/>
      <c r="C72" s="1065"/>
      <c r="D72" s="1016">
        <f t="shared" si="4"/>
        <v>0</v>
      </c>
      <c r="E72" s="13"/>
      <c r="F72" s="1064"/>
      <c r="G72" s="1068"/>
      <c r="H72" s="13"/>
      <c r="I72" s="1016">
        <f t="shared" si="5"/>
        <v>0</v>
      </c>
      <c r="J72" s="1065"/>
      <c r="K72" s="1066"/>
    </row>
    <row r="73" spans="1:11" ht="24.95" customHeight="1">
      <c r="A73" s="1069"/>
      <c r="B73" s="1070"/>
      <c r="C73" s="1065"/>
      <c r="D73" s="1016">
        <f t="shared" si="4"/>
        <v>0</v>
      </c>
      <c r="E73" s="13"/>
      <c r="F73" s="1064"/>
      <c r="G73" s="1068"/>
      <c r="H73" s="13"/>
      <c r="I73" s="1016">
        <f t="shared" si="5"/>
        <v>0</v>
      </c>
      <c r="J73" s="1065"/>
      <c r="K73" s="1066"/>
    </row>
    <row r="74" spans="1:11" ht="24.95" customHeight="1">
      <c r="A74" s="1069"/>
      <c r="B74" s="1070"/>
      <c r="C74" s="1065"/>
      <c r="D74" s="1016">
        <f t="shared" si="4"/>
        <v>0</v>
      </c>
      <c r="E74" s="13"/>
      <c r="F74" s="1064"/>
      <c r="G74" s="1068"/>
      <c r="H74" s="13"/>
      <c r="I74" s="1016">
        <f t="shared" si="5"/>
        <v>0</v>
      </c>
      <c r="J74" s="1065"/>
      <c r="K74" s="1066"/>
    </row>
    <row r="75" spans="1:11" ht="24.95" customHeight="1">
      <c r="A75" s="1069"/>
      <c r="B75" s="1070"/>
      <c r="C75" s="1065"/>
      <c r="D75" s="1016">
        <f t="shared" si="4"/>
        <v>0</v>
      </c>
      <c r="E75" s="13"/>
      <c r="F75" s="1064"/>
      <c r="G75" s="1068"/>
      <c r="H75" s="13"/>
      <c r="I75" s="1016">
        <f t="shared" si="5"/>
        <v>0</v>
      </c>
      <c r="J75" s="1065"/>
      <c r="K75" s="1066"/>
    </row>
    <row r="76" spans="1:11" ht="24.95" customHeight="1">
      <c r="A76" s="1069"/>
      <c r="B76" s="1070"/>
      <c r="C76" s="1065"/>
      <c r="D76" s="1016">
        <f t="shared" si="4"/>
        <v>0</v>
      </c>
      <c r="E76" s="13"/>
      <c r="F76" s="1064"/>
      <c r="G76" s="1068"/>
      <c r="H76" s="13"/>
      <c r="I76" s="1016">
        <f t="shared" si="5"/>
        <v>0</v>
      </c>
      <c r="J76" s="1065"/>
      <c r="K76" s="1066"/>
    </row>
    <row r="77" spans="1:11" ht="24.95" customHeight="1">
      <c r="A77" s="1069"/>
      <c r="B77" s="1070"/>
      <c r="C77" s="1065"/>
      <c r="D77" s="1016">
        <f t="shared" si="4"/>
        <v>0</v>
      </c>
      <c r="E77" s="13"/>
      <c r="F77" s="1064"/>
      <c r="G77" s="1068"/>
      <c r="H77" s="13"/>
      <c r="I77" s="1016">
        <f t="shared" si="5"/>
        <v>0</v>
      </c>
      <c r="J77" s="1065"/>
      <c r="K77" s="1066"/>
    </row>
    <row r="78" spans="1:11" ht="24.95" customHeight="1">
      <c r="A78" s="1069"/>
      <c r="B78" s="1070"/>
      <c r="C78" s="1065"/>
      <c r="D78" s="1016">
        <f t="shared" si="4"/>
        <v>0</v>
      </c>
      <c r="E78" s="13"/>
      <c r="F78" s="1064"/>
      <c r="G78" s="1068"/>
      <c r="H78" s="13"/>
      <c r="I78" s="1016">
        <f t="shared" si="5"/>
        <v>0</v>
      </c>
      <c r="J78" s="1065"/>
      <c r="K78" s="1066"/>
    </row>
    <row r="79" spans="1:11" ht="24.95" customHeight="1">
      <c r="A79" s="1069"/>
      <c r="B79" s="1070"/>
      <c r="C79" s="1065"/>
      <c r="D79" s="1016">
        <f t="shared" si="4"/>
        <v>0</v>
      </c>
      <c r="E79" s="13"/>
      <c r="F79" s="1064"/>
      <c r="G79" s="1068"/>
      <c r="H79" s="13"/>
      <c r="I79" s="1016">
        <f t="shared" si="5"/>
        <v>0</v>
      </c>
      <c r="J79" s="1065"/>
      <c r="K79" s="1066"/>
    </row>
    <row r="80" spans="1:11" ht="24.95" customHeight="1">
      <c r="A80" s="1069"/>
      <c r="B80" s="1070"/>
      <c r="C80" s="1065"/>
      <c r="D80" s="1016">
        <f t="shared" si="4"/>
        <v>0</v>
      </c>
      <c r="E80" s="13"/>
      <c r="F80" s="1064"/>
      <c r="G80" s="1068"/>
      <c r="H80" s="13"/>
      <c r="I80" s="1016">
        <f t="shared" si="5"/>
        <v>0</v>
      </c>
      <c r="J80" s="1065"/>
      <c r="K80" s="1066"/>
    </row>
    <row r="81" spans="1:11" ht="24.95" customHeight="1">
      <c r="A81" s="1069"/>
      <c r="B81" s="1070"/>
      <c r="C81" s="1065"/>
      <c r="D81" s="1016">
        <f t="shared" si="4"/>
        <v>0</v>
      </c>
      <c r="E81" s="13"/>
      <c r="F81" s="1064"/>
      <c r="G81" s="1068"/>
      <c r="H81" s="13"/>
      <c r="I81" s="1016">
        <f t="shared" si="5"/>
        <v>0</v>
      </c>
      <c r="J81" s="1065"/>
      <c r="K81" s="1066"/>
    </row>
    <row r="82" spans="1:11" ht="24.95" customHeight="1">
      <c r="A82" s="1069"/>
      <c r="B82" s="1070"/>
      <c r="C82" s="1065"/>
      <c r="D82" s="1016">
        <f t="shared" si="4"/>
        <v>0</v>
      </c>
      <c r="E82" s="13"/>
      <c r="F82" s="1064"/>
      <c r="G82" s="1068"/>
      <c r="H82" s="13"/>
      <c r="I82" s="1016">
        <f t="shared" si="5"/>
        <v>0</v>
      </c>
      <c r="J82" s="1065"/>
      <c r="K82" s="1066"/>
    </row>
    <row r="83" spans="1:11" ht="24.95" customHeight="1">
      <c r="A83" s="1069"/>
      <c r="B83" s="1070"/>
      <c r="C83" s="1065"/>
      <c r="D83" s="1016">
        <f t="shared" si="4"/>
        <v>0</v>
      </c>
      <c r="E83" s="13"/>
      <c r="F83" s="1064"/>
      <c r="G83" s="1068"/>
      <c r="H83" s="13"/>
      <c r="I83" s="1016">
        <f t="shared" si="5"/>
        <v>0</v>
      </c>
      <c r="J83" s="1065"/>
      <c r="K83" s="1066"/>
    </row>
    <row r="84" spans="1:11" ht="24.95" customHeight="1">
      <c r="A84" s="1069"/>
      <c r="B84" s="1070"/>
      <c r="C84" s="1065"/>
      <c r="D84" s="1016">
        <f t="shared" si="4"/>
        <v>0</v>
      </c>
      <c r="E84" s="13"/>
      <c r="F84" s="1064"/>
      <c r="G84" s="1068"/>
      <c r="H84" s="13"/>
      <c r="I84" s="1016">
        <f t="shared" si="5"/>
        <v>0</v>
      </c>
      <c r="J84" s="1065"/>
      <c r="K84" s="1066"/>
    </row>
    <row r="85" spans="1:11" ht="24.95" customHeight="1">
      <c r="A85" s="1069"/>
      <c r="B85" s="1070"/>
      <c r="C85" s="1065"/>
      <c r="D85" s="1016">
        <f t="shared" si="4"/>
        <v>0</v>
      </c>
      <c r="E85" s="13"/>
      <c r="F85" s="1064"/>
      <c r="G85" s="1068"/>
      <c r="H85" s="13"/>
      <c r="I85" s="1016">
        <f t="shared" si="5"/>
        <v>0</v>
      </c>
      <c r="J85" s="1065"/>
      <c r="K85" s="1066"/>
    </row>
    <row r="86" spans="1:11" ht="24.95" customHeight="1">
      <c r="A86" s="1069"/>
      <c r="B86" s="1070"/>
      <c r="C86" s="1065"/>
      <c r="D86" s="1016">
        <f t="shared" si="4"/>
        <v>0</v>
      </c>
      <c r="E86" s="13"/>
      <c r="F86" s="1064"/>
      <c r="G86" s="1068"/>
      <c r="H86" s="13"/>
      <c r="I86" s="1016">
        <f t="shared" si="5"/>
        <v>0</v>
      </c>
      <c r="J86" s="1065"/>
      <c r="K86" s="1066"/>
    </row>
    <row r="87" spans="1:11" ht="24.95" customHeight="1">
      <c r="A87" s="1069"/>
      <c r="B87" s="1070"/>
      <c r="C87" s="1065"/>
      <c r="D87" s="1016">
        <f t="shared" si="4"/>
        <v>0</v>
      </c>
      <c r="E87" s="13"/>
      <c r="F87" s="1064"/>
      <c r="G87" s="1068"/>
      <c r="H87" s="13"/>
      <c r="I87" s="1016">
        <f t="shared" si="5"/>
        <v>0</v>
      </c>
      <c r="J87" s="1065"/>
      <c r="K87" s="1066"/>
    </row>
    <row r="88" spans="1:11" ht="24.95" customHeight="1">
      <c r="A88" s="1069"/>
      <c r="B88" s="1070"/>
      <c r="C88" s="1065"/>
      <c r="D88" s="1016">
        <f t="shared" si="4"/>
        <v>0</v>
      </c>
      <c r="E88" s="13"/>
      <c r="F88" s="1064"/>
      <c r="G88" s="1068"/>
      <c r="H88" s="13"/>
      <c r="I88" s="1016">
        <f t="shared" si="5"/>
        <v>0</v>
      </c>
      <c r="J88" s="1065"/>
      <c r="K88" s="1066"/>
    </row>
    <row r="89" spans="1:11" ht="24.95" customHeight="1">
      <c r="A89" s="1069"/>
      <c r="B89" s="1070"/>
      <c r="C89" s="1065"/>
      <c r="D89" s="1016">
        <f t="shared" si="4"/>
        <v>0</v>
      </c>
      <c r="E89" s="13"/>
      <c r="F89" s="1064"/>
      <c r="G89" s="1068"/>
      <c r="H89" s="13"/>
      <c r="I89" s="1016">
        <f t="shared" si="5"/>
        <v>0</v>
      </c>
      <c r="J89" s="1065"/>
      <c r="K89" s="1066"/>
    </row>
    <row r="90" spans="1:11" ht="24.95" customHeight="1">
      <c r="A90" s="1069"/>
      <c r="B90" s="1070"/>
      <c r="C90" s="1065"/>
      <c r="D90" s="1016">
        <f t="shared" si="4"/>
        <v>0</v>
      </c>
      <c r="E90" s="13"/>
      <c r="F90" s="1064"/>
      <c r="G90" s="1068"/>
      <c r="H90" s="13"/>
      <c r="I90" s="1016">
        <f t="shared" si="5"/>
        <v>0</v>
      </c>
      <c r="J90" s="1065"/>
      <c r="K90" s="1066"/>
    </row>
    <row r="91" spans="1:11" ht="24.95" customHeight="1">
      <c r="A91" s="1069"/>
      <c r="B91" s="1070"/>
      <c r="C91" s="1065"/>
      <c r="D91" s="1016">
        <f t="shared" si="4"/>
        <v>0</v>
      </c>
      <c r="E91" s="13"/>
      <c r="F91" s="1064"/>
      <c r="G91" s="1068"/>
      <c r="H91" s="13"/>
      <c r="I91" s="1016">
        <f t="shared" si="5"/>
        <v>0</v>
      </c>
      <c r="J91" s="1065"/>
      <c r="K91" s="1066"/>
    </row>
    <row r="92" spans="1:11" ht="24.95" customHeight="1">
      <c r="A92" s="1069"/>
      <c r="B92" s="1070"/>
      <c r="C92" s="1065"/>
      <c r="D92" s="1016">
        <f t="shared" si="4"/>
        <v>0</v>
      </c>
      <c r="E92" s="13"/>
      <c r="F92" s="1064"/>
      <c r="G92" s="1068"/>
      <c r="H92" s="13"/>
      <c r="I92" s="1016">
        <f t="shared" si="5"/>
        <v>0</v>
      </c>
      <c r="J92" s="1065"/>
      <c r="K92" s="1066"/>
    </row>
    <row r="93" spans="1:11" ht="24.95" customHeight="1">
      <c r="A93" s="1069"/>
      <c r="B93" s="1070"/>
      <c r="C93" s="1065"/>
      <c r="D93" s="1016">
        <f t="shared" si="4"/>
        <v>0</v>
      </c>
      <c r="E93" s="13"/>
      <c r="F93" s="1064"/>
      <c r="G93" s="1068"/>
      <c r="H93" s="13"/>
      <c r="I93" s="1016">
        <f t="shared" si="5"/>
        <v>0</v>
      </c>
      <c r="J93" s="1065"/>
      <c r="K93" s="1066"/>
    </row>
    <row r="94" spans="1:11" ht="24.95" customHeight="1">
      <c r="A94" s="1069"/>
      <c r="B94" s="1070"/>
      <c r="C94" s="1065"/>
      <c r="D94" s="1016">
        <f t="shared" si="4"/>
        <v>0</v>
      </c>
      <c r="E94" s="13"/>
      <c r="F94" s="1064"/>
      <c r="G94" s="1068"/>
      <c r="H94" s="13"/>
      <c r="I94" s="1016">
        <f t="shared" si="5"/>
        <v>0</v>
      </c>
      <c r="J94" s="1065"/>
      <c r="K94" s="1066"/>
    </row>
    <row r="95" spans="1:11" ht="24.95" customHeight="1">
      <c r="A95" s="1069"/>
      <c r="B95" s="1070"/>
      <c r="C95" s="1065"/>
      <c r="D95" s="1016">
        <f t="shared" si="4"/>
        <v>0</v>
      </c>
      <c r="E95" s="13"/>
      <c r="F95" s="1064"/>
      <c r="G95" s="1068"/>
      <c r="H95" s="13"/>
      <c r="I95" s="1016">
        <f t="shared" si="5"/>
        <v>0</v>
      </c>
      <c r="J95" s="1065"/>
      <c r="K95" s="1066"/>
    </row>
    <row r="96" spans="1:11" ht="24.95" customHeight="1">
      <c r="A96" s="1069"/>
      <c r="B96" s="1070"/>
      <c r="C96" s="1065"/>
      <c r="D96" s="1016">
        <f t="shared" si="4"/>
        <v>0</v>
      </c>
      <c r="E96" s="13"/>
      <c r="F96" s="1064"/>
      <c r="G96" s="1068"/>
      <c r="H96" s="13"/>
      <c r="I96" s="1016">
        <f t="shared" si="5"/>
        <v>0</v>
      </c>
      <c r="J96" s="1065"/>
      <c r="K96" s="1066"/>
    </row>
    <row r="97" spans="1:11" ht="24.95" customHeight="1">
      <c r="A97" s="1069"/>
      <c r="B97" s="1070"/>
      <c r="C97" s="1065"/>
      <c r="D97" s="1016">
        <f t="shared" si="4"/>
        <v>0</v>
      </c>
      <c r="E97" s="13"/>
      <c r="F97" s="1064"/>
      <c r="G97" s="1068"/>
      <c r="H97" s="13"/>
      <c r="I97" s="1016">
        <f t="shared" si="5"/>
        <v>0</v>
      </c>
      <c r="J97" s="1065"/>
      <c r="K97" s="1066"/>
    </row>
    <row r="98" spans="1:11" ht="24.95" customHeight="1">
      <c r="A98" s="1069"/>
      <c r="B98" s="1070"/>
      <c r="C98" s="1065"/>
      <c r="D98" s="1016">
        <f t="shared" si="4"/>
        <v>0</v>
      </c>
      <c r="E98" s="13"/>
      <c r="F98" s="1064"/>
      <c r="G98" s="1068"/>
      <c r="H98" s="13"/>
      <c r="I98" s="1016">
        <f t="shared" si="5"/>
        <v>0</v>
      </c>
      <c r="J98" s="1065"/>
      <c r="K98" s="1066"/>
    </row>
    <row r="99" spans="1:11" ht="24.95" customHeight="1">
      <c r="A99" s="1069"/>
      <c r="B99" s="1070"/>
      <c r="C99" s="1065"/>
      <c r="D99" s="1016">
        <f t="shared" si="4"/>
        <v>0</v>
      </c>
      <c r="E99" s="13"/>
      <c r="F99" s="1064"/>
      <c r="G99" s="1068"/>
      <c r="H99" s="13"/>
      <c r="I99" s="1016">
        <f t="shared" si="5"/>
        <v>0</v>
      </c>
      <c r="J99" s="1065"/>
      <c r="K99" s="1066"/>
    </row>
    <row r="100" spans="1:11" ht="24.95" customHeight="1">
      <c r="A100" s="1069"/>
      <c r="B100" s="1070"/>
      <c r="C100" s="1065"/>
      <c r="D100" s="1016">
        <f t="shared" si="4"/>
        <v>0</v>
      </c>
      <c r="E100" s="13"/>
      <c r="F100" s="1064"/>
      <c r="G100" s="1068"/>
      <c r="H100" s="13"/>
      <c r="I100" s="1016">
        <f t="shared" si="5"/>
        <v>0</v>
      </c>
      <c r="J100" s="1065"/>
      <c r="K100" s="1066"/>
    </row>
    <row r="101" spans="1:11" ht="24.95" customHeight="1">
      <c r="A101" s="1069"/>
      <c r="B101" s="1070"/>
      <c r="C101" s="1065"/>
      <c r="D101" s="1016">
        <f t="shared" si="4"/>
        <v>0</v>
      </c>
      <c r="E101" s="13"/>
      <c r="F101" s="1064"/>
      <c r="G101" s="1068"/>
      <c r="H101" s="13"/>
      <c r="I101" s="1016">
        <f t="shared" si="5"/>
        <v>0</v>
      </c>
      <c r="J101" s="1065"/>
      <c r="K101" s="1066"/>
    </row>
    <row r="102" spans="1:11" ht="24.95" customHeight="1">
      <c r="A102" s="1069"/>
      <c r="B102" s="1070"/>
      <c r="C102" s="1065"/>
      <c r="D102" s="1016">
        <f t="shared" si="4"/>
        <v>0</v>
      </c>
      <c r="E102" s="13"/>
      <c r="F102" s="1064"/>
      <c r="G102" s="1068"/>
      <c r="H102" s="13"/>
      <c r="I102" s="1016">
        <f t="shared" si="5"/>
        <v>0</v>
      </c>
      <c r="J102" s="1065"/>
      <c r="K102" s="1066"/>
    </row>
    <row r="103" spans="1:11" ht="24.95" customHeight="1">
      <c r="A103" s="1069"/>
      <c r="B103" s="1070"/>
      <c r="C103" s="1065"/>
      <c r="D103" s="1016">
        <f t="shared" si="4"/>
        <v>0</v>
      </c>
      <c r="E103" s="13"/>
      <c r="F103" s="1064"/>
      <c r="G103" s="1068"/>
      <c r="H103" s="13"/>
      <c r="I103" s="1016">
        <f t="shared" si="5"/>
        <v>0</v>
      </c>
      <c r="J103" s="1065"/>
      <c r="K103" s="1066"/>
    </row>
    <row r="104" spans="1:11" ht="24.95" customHeight="1">
      <c r="A104" s="1069"/>
      <c r="B104" s="1070"/>
      <c r="C104" s="1065"/>
      <c r="D104" s="1016">
        <f t="shared" si="4"/>
        <v>0</v>
      </c>
      <c r="E104" s="13"/>
      <c r="F104" s="1064"/>
      <c r="G104" s="1068"/>
      <c r="H104" s="13"/>
      <c r="I104" s="1016">
        <f t="shared" si="5"/>
        <v>0</v>
      </c>
      <c r="J104" s="1065"/>
      <c r="K104" s="1066"/>
    </row>
    <row r="105" spans="1:11" ht="24.95" customHeight="1">
      <c r="A105" s="1069"/>
      <c r="B105" s="1070"/>
      <c r="C105" s="1065"/>
      <c r="D105" s="1016">
        <f t="shared" si="4"/>
        <v>0</v>
      </c>
      <c r="E105" s="13"/>
      <c r="F105" s="1064"/>
      <c r="G105" s="1068"/>
      <c r="H105" s="13"/>
      <c r="I105" s="1016">
        <f t="shared" si="5"/>
        <v>0</v>
      </c>
      <c r="J105" s="1065"/>
      <c r="K105" s="1066"/>
    </row>
    <row r="106" spans="1:11" ht="24.95" customHeight="1">
      <c r="A106" s="1069"/>
      <c r="B106" s="1070"/>
      <c r="C106" s="1065"/>
      <c r="D106" s="1016">
        <f t="shared" si="4"/>
        <v>0</v>
      </c>
      <c r="E106" s="13"/>
      <c r="F106" s="1064"/>
      <c r="G106" s="1068"/>
      <c r="H106" s="13"/>
      <c r="I106" s="1016">
        <f t="shared" si="5"/>
        <v>0</v>
      </c>
      <c r="J106" s="1065"/>
      <c r="K106" s="1066"/>
    </row>
    <row r="107" spans="1:11" ht="24.95" customHeight="1">
      <c r="A107" s="1069"/>
      <c r="B107" s="1070"/>
      <c r="C107" s="1065"/>
      <c r="D107" s="1016">
        <f t="shared" si="4"/>
        <v>0</v>
      </c>
      <c r="E107" s="13"/>
      <c r="F107" s="1064"/>
      <c r="G107" s="1068"/>
      <c r="H107" s="13"/>
      <c r="I107" s="1016">
        <f t="shared" si="5"/>
        <v>0</v>
      </c>
      <c r="J107" s="1065"/>
      <c r="K107" s="1066"/>
    </row>
    <row r="108" spans="1:11" ht="24.95" customHeight="1">
      <c r="A108" s="1069"/>
      <c r="B108" s="1070"/>
      <c r="C108" s="1065"/>
      <c r="D108" s="1016">
        <f t="shared" si="4"/>
        <v>0</v>
      </c>
      <c r="E108" s="13"/>
      <c r="F108" s="1064"/>
      <c r="G108" s="1068"/>
      <c r="H108" s="13"/>
      <c r="I108" s="1016">
        <f t="shared" si="5"/>
        <v>0</v>
      </c>
      <c r="J108" s="1065"/>
      <c r="K108" s="1066"/>
    </row>
    <row r="109" spans="1:11" ht="24.95" customHeight="1">
      <c r="A109" s="1069"/>
      <c r="B109" s="1070"/>
      <c r="C109" s="1065"/>
      <c r="D109" s="1016">
        <f t="shared" si="4"/>
        <v>0</v>
      </c>
      <c r="E109" s="13"/>
      <c r="F109" s="1064"/>
      <c r="G109" s="1068"/>
      <c r="H109" s="13"/>
      <c r="I109" s="1016">
        <f t="shared" si="5"/>
        <v>0</v>
      </c>
      <c r="J109" s="1065"/>
      <c r="K109" s="1066"/>
    </row>
    <row r="110" spans="1:11" ht="24.95" customHeight="1">
      <c r="A110" s="1069"/>
      <c r="B110" s="1070"/>
      <c r="C110" s="1065"/>
      <c r="D110" s="1016">
        <f t="shared" si="4"/>
        <v>0</v>
      </c>
      <c r="E110" s="13"/>
      <c r="F110" s="1064"/>
      <c r="G110" s="1068"/>
      <c r="H110" s="13"/>
      <c r="I110" s="1016">
        <f t="shared" si="5"/>
        <v>0</v>
      </c>
      <c r="J110" s="1065"/>
      <c r="K110" s="1066"/>
    </row>
    <row r="111" spans="1:11" ht="24.95" customHeight="1">
      <c r="A111" s="1069"/>
      <c r="B111" s="1070"/>
      <c r="C111" s="1065"/>
      <c r="D111" s="1016">
        <f t="shared" si="4"/>
        <v>0</v>
      </c>
      <c r="E111" s="13"/>
      <c r="F111" s="1064"/>
      <c r="G111" s="1068"/>
      <c r="H111" s="13"/>
      <c r="I111" s="1016">
        <f t="shared" si="5"/>
        <v>0</v>
      </c>
      <c r="J111" s="1065"/>
      <c r="K111" s="1066"/>
    </row>
    <row r="112" spans="1:11" ht="24.95" customHeight="1">
      <c r="A112" s="1069"/>
      <c r="B112" s="1070"/>
      <c r="C112" s="1065"/>
      <c r="D112" s="1016">
        <f t="shared" si="4"/>
        <v>0</v>
      </c>
      <c r="E112" s="13"/>
      <c r="F112" s="1064"/>
      <c r="G112" s="1068"/>
      <c r="H112" s="13"/>
      <c r="I112" s="1016">
        <f t="shared" si="5"/>
        <v>0</v>
      </c>
      <c r="J112" s="1065"/>
      <c r="K112" s="1066"/>
    </row>
    <row r="113" spans="1:11" ht="24.95" customHeight="1">
      <c r="A113" s="1069"/>
      <c r="B113" s="1070"/>
      <c r="C113" s="1065"/>
      <c r="D113" s="1016">
        <f t="shared" si="4"/>
        <v>0</v>
      </c>
      <c r="E113" s="13"/>
      <c r="F113" s="1064"/>
      <c r="G113" s="1068"/>
      <c r="H113" s="13"/>
      <c r="I113" s="1016">
        <f t="shared" si="5"/>
        <v>0</v>
      </c>
      <c r="J113" s="1065"/>
      <c r="K113" s="1066"/>
    </row>
    <row r="114" spans="1:11" ht="24.95" customHeight="1">
      <c r="A114" s="1069"/>
      <c r="B114" s="1070"/>
      <c r="C114" s="1065"/>
      <c r="D114" s="1016">
        <f t="shared" si="4"/>
        <v>0</v>
      </c>
      <c r="E114" s="13"/>
      <c r="F114" s="1064"/>
      <c r="G114" s="1068"/>
      <c r="H114" s="13"/>
      <c r="I114" s="1016">
        <f t="shared" si="5"/>
        <v>0</v>
      </c>
      <c r="J114" s="1065"/>
      <c r="K114" s="1066"/>
    </row>
    <row r="115" spans="1:11" ht="24.95" customHeight="1">
      <c r="A115" s="1069"/>
      <c r="B115" s="1070"/>
      <c r="C115" s="1065"/>
      <c r="D115" s="1016">
        <f t="shared" si="4"/>
        <v>0</v>
      </c>
      <c r="E115" s="13"/>
      <c r="F115" s="1064"/>
      <c r="G115" s="1068"/>
      <c r="H115" s="13"/>
      <c r="I115" s="1016">
        <f t="shared" si="5"/>
        <v>0</v>
      </c>
      <c r="J115" s="1065"/>
      <c r="K115" s="1066"/>
    </row>
    <row r="116" spans="1:11" ht="24.95" customHeight="1">
      <c r="A116" s="1069"/>
      <c r="B116" s="1070"/>
      <c r="C116" s="1065"/>
      <c r="D116" s="1016">
        <f t="shared" si="4"/>
        <v>0</v>
      </c>
      <c r="E116" s="13"/>
      <c r="F116" s="1064"/>
      <c r="G116" s="1068"/>
      <c r="H116" s="13"/>
      <c r="I116" s="1016">
        <f t="shared" si="5"/>
        <v>0</v>
      </c>
      <c r="J116" s="1065"/>
      <c r="K116" s="1066"/>
    </row>
    <row r="117" spans="1:11" ht="24.95" customHeight="1">
      <c r="A117" s="1069"/>
      <c r="B117" s="1070"/>
      <c r="C117" s="1065"/>
      <c r="D117" s="1016">
        <f t="shared" si="4"/>
        <v>0</v>
      </c>
      <c r="E117" s="13"/>
      <c r="F117" s="1064"/>
      <c r="G117" s="1068"/>
      <c r="H117" s="13"/>
      <c r="I117" s="1016">
        <f t="shared" si="5"/>
        <v>0</v>
      </c>
      <c r="J117" s="1065"/>
      <c r="K117" s="1066"/>
    </row>
    <row r="118" spans="1:11" ht="24.95" customHeight="1">
      <c r="A118" s="1069"/>
      <c r="B118" s="1070"/>
      <c r="C118" s="1065"/>
      <c r="D118" s="1016">
        <f t="shared" si="4"/>
        <v>0</v>
      </c>
      <c r="E118" s="13"/>
      <c r="F118" s="1064"/>
      <c r="G118" s="1068"/>
      <c r="H118" s="13"/>
      <c r="I118" s="1016">
        <f t="shared" si="5"/>
        <v>0</v>
      </c>
      <c r="J118" s="1065"/>
      <c r="K118" s="1066"/>
    </row>
    <row r="119" spans="1:11" ht="24.95" customHeight="1">
      <c r="A119" s="1069"/>
      <c r="B119" s="1070"/>
      <c r="C119" s="1065"/>
      <c r="D119" s="1016">
        <f t="shared" si="4"/>
        <v>0</v>
      </c>
      <c r="E119" s="13"/>
      <c r="F119" s="1064"/>
      <c r="G119" s="1068"/>
      <c r="H119" s="13"/>
      <c r="I119" s="1016">
        <f t="shared" si="5"/>
        <v>0</v>
      </c>
      <c r="J119" s="1065"/>
      <c r="K119" s="1066"/>
    </row>
    <row r="120" spans="1:11" ht="24.95" customHeight="1">
      <c r="A120" s="1069"/>
      <c r="B120" s="1070"/>
      <c r="C120" s="1065"/>
      <c r="D120" s="1016">
        <f t="shared" si="4"/>
        <v>0</v>
      </c>
      <c r="E120" s="13"/>
      <c r="F120" s="1064"/>
      <c r="G120" s="1068"/>
      <c r="H120" s="13"/>
      <c r="I120" s="1016">
        <f t="shared" si="5"/>
        <v>0</v>
      </c>
      <c r="J120" s="1065"/>
      <c r="K120" s="1066"/>
    </row>
    <row r="121" spans="1:11" ht="24.95" customHeight="1">
      <c r="A121" s="1069"/>
      <c r="B121" s="1070"/>
      <c r="C121" s="1065"/>
      <c r="D121" s="1016">
        <f t="shared" si="4"/>
        <v>0</v>
      </c>
      <c r="E121" s="13"/>
      <c r="F121" s="1064"/>
      <c r="G121" s="1068"/>
      <c r="H121" s="13"/>
      <c r="I121" s="1016">
        <f t="shared" si="5"/>
        <v>0</v>
      </c>
      <c r="J121" s="1065"/>
      <c r="K121" s="1066"/>
    </row>
    <row r="122" spans="1:11" ht="24.95" customHeight="1">
      <c r="A122" s="1069"/>
      <c r="B122" s="1070"/>
      <c r="C122" s="1065"/>
      <c r="D122" s="1016">
        <f t="shared" si="4"/>
        <v>0</v>
      </c>
      <c r="E122" s="13"/>
      <c r="F122" s="1064"/>
      <c r="G122" s="1068"/>
      <c r="H122" s="13"/>
      <c r="I122" s="1016">
        <f t="shared" si="5"/>
        <v>0</v>
      </c>
      <c r="J122" s="1065"/>
      <c r="K122" s="1066"/>
    </row>
    <row r="123" spans="1:11" ht="24.95" customHeight="1">
      <c r="A123" s="1069"/>
      <c r="B123" s="1070"/>
      <c r="C123" s="1065"/>
      <c r="D123" s="1016">
        <f t="shared" si="4"/>
        <v>0</v>
      </c>
      <c r="E123" s="13"/>
      <c r="F123" s="1064"/>
      <c r="G123" s="1068"/>
      <c r="H123" s="13"/>
      <c r="I123" s="1016">
        <f t="shared" si="5"/>
        <v>0</v>
      </c>
      <c r="J123" s="1065"/>
      <c r="K123" s="1066"/>
    </row>
    <row r="124" spans="1:11" ht="24.95" customHeight="1">
      <c r="A124" s="1069"/>
      <c r="B124" s="1070"/>
      <c r="C124" s="1065"/>
      <c r="D124" s="1016">
        <f t="shared" si="4"/>
        <v>0</v>
      </c>
      <c r="E124" s="13"/>
      <c r="F124" s="1064"/>
      <c r="G124" s="1068"/>
      <c r="H124" s="13"/>
      <c r="I124" s="1016">
        <f t="shared" si="5"/>
        <v>0</v>
      </c>
      <c r="J124" s="1065"/>
      <c r="K124" s="1066"/>
    </row>
    <row r="125" spans="1:11" ht="24.95" customHeight="1">
      <c r="A125" s="1069"/>
      <c r="B125" s="1070"/>
      <c r="C125" s="1065"/>
      <c r="D125" s="1016">
        <f t="shared" si="4"/>
        <v>0</v>
      </c>
      <c r="E125" s="13"/>
      <c r="F125" s="1064"/>
      <c r="G125" s="1068"/>
      <c r="H125" s="13"/>
      <c r="I125" s="1016">
        <f t="shared" si="5"/>
        <v>0</v>
      </c>
      <c r="J125" s="1065"/>
      <c r="K125" s="1066"/>
    </row>
    <row r="126" spans="1:11" ht="24.95" customHeight="1">
      <c r="A126" s="1069"/>
      <c r="B126" s="1070"/>
      <c r="C126" s="1065"/>
      <c r="D126" s="1016">
        <f t="shared" si="4"/>
        <v>0</v>
      </c>
      <c r="E126" s="13"/>
      <c r="F126" s="1064"/>
      <c r="G126" s="1068"/>
      <c r="H126" s="13"/>
      <c r="I126" s="1016">
        <f t="shared" si="5"/>
        <v>0</v>
      </c>
      <c r="J126" s="1065"/>
      <c r="K126" s="1066"/>
    </row>
    <row r="127" spans="1:11" ht="24.95" customHeight="1">
      <c r="A127" s="1069"/>
      <c r="B127" s="1070"/>
      <c r="C127" s="1065"/>
      <c r="D127" s="1016">
        <f t="shared" si="4"/>
        <v>0</v>
      </c>
      <c r="E127" s="13"/>
      <c r="F127" s="1064"/>
      <c r="G127" s="1068"/>
      <c r="H127" s="13"/>
      <c r="I127" s="1016">
        <f t="shared" si="5"/>
        <v>0</v>
      </c>
      <c r="J127" s="1065"/>
      <c r="K127" s="1066"/>
    </row>
    <row r="128" spans="1:11" ht="24.95" customHeight="1">
      <c r="A128" s="1069"/>
      <c r="B128" s="1070"/>
      <c r="C128" s="1065"/>
      <c r="D128" s="1016">
        <f t="shared" si="4"/>
        <v>0</v>
      </c>
      <c r="E128" s="13"/>
      <c r="F128" s="1064"/>
      <c r="G128" s="1068"/>
      <c r="H128" s="13"/>
      <c r="I128" s="1016">
        <f t="shared" si="5"/>
        <v>0</v>
      </c>
      <c r="J128" s="1065"/>
      <c r="K128" s="1066"/>
    </row>
    <row r="129" spans="1:11" ht="24.95" customHeight="1">
      <c r="A129" s="1069"/>
      <c r="B129" s="1070"/>
      <c r="C129" s="1065"/>
      <c r="D129" s="1016">
        <f t="shared" si="4"/>
        <v>0</v>
      </c>
      <c r="E129" s="13"/>
      <c r="F129" s="1064"/>
      <c r="G129" s="1068"/>
      <c r="H129" s="13"/>
      <c r="I129" s="1016">
        <f t="shared" si="5"/>
        <v>0</v>
      </c>
      <c r="J129" s="1065"/>
      <c r="K129" s="1066"/>
    </row>
    <row r="130" spans="1:11" ht="24.95" customHeight="1">
      <c r="A130" s="1069"/>
      <c r="B130" s="1070"/>
      <c r="C130" s="1065"/>
      <c r="D130" s="1016">
        <f t="shared" si="4"/>
        <v>0</v>
      </c>
      <c r="E130" s="13"/>
      <c r="F130" s="1064"/>
      <c r="G130" s="1068"/>
      <c r="H130" s="13"/>
      <c r="I130" s="1016">
        <f t="shared" si="5"/>
        <v>0</v>
      </c>
      <c r="J130" s="1065"/>
      <c r="K130" s="1066"/>
    </row>
    <row r="131" spans="1:11" ht="24.95" customHeight="1">
      <c r="A131" s="1069"/>
      <c r="B131" s="1070"/>
      <c r="C131" s="1065"/>
      <c r="D131" s="1016">
        <f t="shared" si="4"/>
        <v>0</v>
      </c>
      <c r="E131" s="13"/>
      <c r="F131" s="1064"/>
      <c r="G131" s="1068"/>
      <c r="H131" s="13"/>
      <c r="I131" s="1016">
        <f t="shared" si="5"/>
        <v>0</v>
      </c>
      <c r="J131" s="1065"/>
      <c r="K131" s="1066"/>
    </row>
    <row r="132" spans="1:11" ht="24.95" customHeight="1">
      <c r="A132" s="1069"/>
      <c r="B132" s="1070"/>
      <c r="C132" s="1065"/>
      <c r="D132" s="1016">
        <f t="shared" si="4"/>
        <v>0</v>
      </c>
      <c r="E132" s="13"/>
      <c r="F132" s="1064"/>
      <c r="G132" s="1068"/>
      <c r="H132" s="13"/>
      <c r="I132" s="1016">
        <f t="shared" si="5"/>
        <v>0</v>
      </c>
      <c r="J132" s="1065"/>
      <c r="K132" s="1066"/>
    </row>
    <row r="133" spans="1:11" ht="24.95" customHeight="1">
      <c r="A133" s="1069"/>
      <c r="B133" s="1070"/>
      <c r="C133" s="1065"/>
      <c r="D133" s="1016">
        <f t="shared" si="4"/>
        <v>0</v>
      </c>
      <c r="E133" s="13"/>
      <c r="F133" s="1064"/>
      <c r="G133" s="1068"/>
      <c r="H133" s="13"/>
      <c r="I133" s="1016">
        <f t="shared" si="5"/>
        <v>0</v>
      </c>
      <c r="J133" s="1065"/>
      <c r="K133" s="1066"/>
    </row>
    <row r="134" spans="1:11" ht="24.95" customHeight="1">
      <c r="A134" s="1069"/>
      <c r="B134" s="1070"/>
      <c r="C134" s="1065"/>
      <c r="D134" s="1016">
        <f t="shared" si="4"/>
        <v>0</v>
      </c>
      <c r="E134" s="13"/>
      <c r="F134" s="1064"/>
      <c r="G134" s="1068"/>
      <c r="H134" s="13"/>
      <c r="I134" s="1016">
        <f t="shared" si="5"/>
        <v>0</v>
      </c>
      <c r="J134" s="1065"/>
      <c r="K134" s="1066"/>
    </row>
    <row r="135" spans="1:11" ht="24.95" customHeight="1">
      <c r="A135" s="1069"/>
      <c r="B135" s="1070"/>
      <c r="C135" s="1065"/>
      <c r="D135" s="1016">
        <f t="shared" ref="D135:D198" si="6">C135+B135</f>
        <v>0</v>
      </c>
      <c r="E135" s="13"/>
      <c r="F135" s="1064"/>
      <c r="G135" s="1068"/>
      <c r="H135" s="13"/>
      <c r="I135" s="1016">
        <f t="shared" ref="I135:I198" si="7">H135+G135</f>
        <v>0</v>
      </c>
      <c r="J135" s="1065"/>
      <c r="K135" s="1066"/>
    </row>
    <row r="136" spans="1:11" ht="24.95" customHeight="1">
      <c r="A136" s="1069"/>
      <c r="B136" s="1070"/>
      <c r="C136" s="1065"/>
      <c r="D136" s="1016">
        <f t="shared" si="6"/>
        <v>0</v>
      </c>
      <c r="E136" s="13"/>
      <c r="F136" s="1064"/>
      <c r="G136" s="1068"/>
      <c r="H136" s="13"/>
      <c r="I136" s="1016">
        <f t="shared" si="7"/>
        <v>0</v>
      </c>
      <c r="J136" s="1065"/>
      <c r="K136" s="1066"/>
    </row>
    <row r="137" spans="1:11" ht="24.95" customHeight="1">
      <c r="A137" s="1069"/>
      <c r="B137" s="1070"/>
      <c r="C137" s="1065"/>
      <c r="D137" s="1016">
        <f t="shared" si="6"/>
        <v>0</v>
      </c>
      <c r="E137" s="13"/>
      <c r="F137" s="1064"/>
      <c r="G137" s="1068"/>
      <c r="H137" s="13"/>
      <c r="I137" s="1016">
        <f t="shared" si="7"/>
        <v>0</v>
      </c>
      <c r="J137" s="1065"/>
      <c r="K137" s="1066"/>
    </row>
    <row r="138" spans="1:11" ht="24.95" customHeight="1">
      <c r="A138" s="1069"/>
      <c r="B138" s="1070"/>
      <c r="C138" s="1065"/>
      <c r="D138" s="1016">
        <f t="shared" si="6"/>
        <v>0</v>
      </c>
      <c r="E138" s="13"/>
      <c r="F138" s="1064"/>
      <c r="G138" s="1068"/>
      <c r="H138" s="13"/>
      <c r="I138" s="1016">
        <f t="shared" si="7"/>
        <v>0</v>
      </c>
      <c r="J138" s="1065"/>
      <c r="K138" s="1066"/>
    </row>
    <row r="139" spans="1:11" ht="24.95" customHeight="1">
      <c r="A139" s="1069"/>
      <c r="B139" s="1070"/>
      <c r="C139" s="1065"/>
      <c r="D139" s="1016">
        <f t="shared" si="6"/>
        <v>0</v>
      </c>
      <c r="E139" s="13"/>
      <c r="F139" s="1064"/>
      <c r="G139" s="1068"/>
      <c r="H139" s="13"/>
      <c r="I139" s="1016">
        <f t="shared" si="7"/>
        <v>0</v>
      </c>
      <c r="J139" s="1065"/>
      <c r="K139" s="1066"/>
    </row>
    <row r="140" spans="1:11" ht="24.95" customHeight="1">
      <c r="A140" s="1069"/>
      <c r="B140" s="1070"/>
      <c r="C140" s="1065"/>
      <c r="D140" s="1016">
        <f t="shared" si="6"/>
        <v>0</v>
      </c>
      <c r="E140" s="13"/>
      <c r="F140" s="1064"/>
      <c r="G140" s="1068"/>
      <c r="H140" s="13"/>
      <c r="I140" s="1016">
        <f t="shared" si="7"/>
        <v>0</v>
      </c>
      <c r="J140" s="1065"/>
      <c r="K140" s="1066"/>
    </row>
    <row r="141" spans="1:11" ht="24.95" customHeight="1">
      <c r="A141" s="1069"/>
      <c r="B141" s="1070"/>
      <c r="C141" s="1065"/>
      <c r="D141" s="1016">
        <f t="shared" si="6"/>
        <v>0</v>
      </c>
      <c r="E141" s="13"/>
      <c r="F141" s="1064"/>
      <c r="G141" s="1068"/>
      <c r="H141" s="13"/>
      <c r="I141" s="1016">
        <f t="shared" si="7"/>
        <v>0</v>
      </c>
      <c r="J141" s="1065"/>
      <c r="K141" s="1066"/>
    </row>
    <row r="142" spans="1:11" ht="24.95" customHeight="1">
      <c r="A142" s="1069"/>
      <c r="B142" s="1070"/>
      <c r="C142" s="1065"/>
      <c r="D142" s="1016">
        <f t="shared" si="6"/>
        <v>0</v>
      </c>
      <c r="E142" s="13"/>
      <c r="F142" s="1064"/>
      <c r="G142" s="1068"/>
      <c r="H142" s="13"/>
      <c r="I142" s="1016">
        <f t="shared" si="7"/>
        <v>0</v>
      </c>
      <c r="J142" s="1065"/>
      <c r="K142" s="1066"/>
    </row>
    <row r="143" spans="1:11" ht="24.95" customHeight="1">
      <c r="A143" s="1069"/>
      <c r="B143" s="1070"/>
      <c r="C143" s="1065"/>
      <c r="D143" s="1016">
        <f t="shared" si="6"/>
        <v>0</v>
      </c>
      <c r="E143" s="13"/>
      <c r="F143" s="1064"/>
      <c r="G143" s="1068"/>
      <c r="H143" s="13"/>
      <c r="I143" s="1016">
        <f t="shared" si="7"/>
        <v>0</v>
      </c>
      <c r="J143" s="1065"/>
      <c r="K143" s="1066"/>
    </row>
    <row r="144" spans="1:11" ht="24.95" customHeight="1">
      <c r="A144" s="1069"/>
      <c r="B144" s="1070"/>
      <c r="C144" s="1065"/>
      <c r="D144" s="1016">
        <f t="shared" si="6"/>
        <v>0</v>
      </c>
      <c r="E144" s="13"/>
      <c r="F144" s="1064"/>
      <c r="G144" s="1068"/>
      <c r="H144" s="13"/>
      <c r="I144" s="1016">
        <f t="shared" si="7"/>
        <v>0</v>
      </c>
      <c r="J144" s="1065"/>
      <c r="K144" s="1066"/>
    </row>
    <row r="145" spans="1:11" ht="24.95" customHeight="1">
      <c r="A145" s="1069"/>
      <c r="B145" s="1070"/>
      <c r="C145" s="1065"/>
      <c r="D145" s="1016">
        <f t="shared" si="6"/>
        <v>0</v>
      </c>
      <c r="E145" s="13"/>
      <c r="F145" s="1064"/>
      <c r="G145" s="1068"/>
      <c r="H145" s="13"/>
      <c r="I145" s="1016">
        <f t="shared" si="7"/>
        <v>0</v>
      </c>
      <c r="J145" s="1065"/>
      <c r="K145" s="1066"/>
    </row>
    <row r="146" spans="1:11" ht="24.95" customHeight="1">
      <c r="A146" s="1069"/>
      <c r="B146" s="1070"/>
      <c r="C146" s="1065"/>
      <c r="D146" s="1016">
        <f t="shared" si="6"/>
        <v>0</v>
      </c>
      <c r="E146" s="13"/>
      <c r="F146" s="1064"/>
      <c r="G146" s="1068"/>
      <c r="H146" s="13"/>
      <c r="I146" s="1016">
        <f t="shared" si="7"/>
        <v>0</v>
      </c>
      <c r="J146" s="1065"/>
      <c r="K146" s="1066"/>
    </row>
    <row r="147" spans="1:11" ht="24.95" customHeight="1">
      <c r="A147" s="1069"/>
      <c r="B147" s="1070"/>
      <c r="C147" s="1065"/>
      <c r="D147" s="1016">
        <f t="shared" si="6"/>
        <v>0</v>
      </c>
      <c r="E147" s="13"/>
      <c r="F147" s="1064"/>
      <c r="G147" s="1068"/>
      <c r="H147" s="13"/>
      <c r="I147" s="1016">
        <f t="shared" si="7"/>
        <v>0</v>
      </c>
      <c r="J147" s="1065"/>
      <c r="K147" s="1066"/>
    </row>
    <row r="148" spans="1:11" ht="24.95" customHeight="1">
      <c r="A148" s="1069"/>
      <c r="B148" s="1070"/>
      <c r="C148" s="1065"/>
      <c r="D148" s="1016">
        <f t="shared" si="6"/>
        <v>0</v>
      </c>
      <c r="E148" s="13"/>
      <c r="F148" s="1064"/>
      <c r="G148" s="1068"/>
      <c r="H148" s="13"/>
      <c r="I148" s="1016">
        <f t="shared" si="7"/>
        <v>0</v>
      </c>
      <c r="J148" s="1065"/>
      <c r="K148" s="1066"/>
    </row>
    <row r="149" spans="1:11" ht="24.95" customHeight="1">
      <c r="A149" s="1069"/>
      <c r="B149" s="1070"/>
      <c r="C149" s="1065"/>
      <c r="D149" s="1016">
        <f t="shared" si="6"/>
        <v>0</v>
      </c>
      <c r="E149" s="13"/>
      <c r="F149" s="1064"/>
      <c r="G149" s="1068"/>
      <c r="H149" s="13"/>
      <c r="I149" s="1016">
        <f t="shared" si="7"/>
        <v>0</v>
      </c>
      <c r="J149" s="1065"/>
      <c r="K149" s="1066"/>
    </row>
    <row r="150" spans="1:11" ht="24.95" customHeight="1">
      <c r="A150" s="1069"/>
      <c r="B150" s="1070"/>
      <c r="C150" s="1065"/>
      <c r="D150" s="1016">
        <f t="shared" si="6"/>
        <v>0</v>
      </c>
      <c r="E150" s="13"/>
      <c r="F150" s="1064"/>
      <c r="G150" s="1068"/>
      <c r="H150" s="13"/>
      <c r="I150" s="1016">
        <f t="shared" si="7"/>
        <v>0</v>
      </c>
      <c r="J150" s="1065"/>
      <c r="K150" s="1066"/>
    </row>
    <row r="151" spans="1:11" ht="24.95" customHeight="1">
      <c r="A151" s="1069"/>
      <c r="B151" s="1070"/>
      <c r="C151" s="1065"/>
      <c r="D151" s="1016">
        <f t="shared" si="6"/>
        <v>0</v>
      </c>
      <c r="E151" s="13"/>
      <c r="F151" s="1064"/>
      <c r="G151" s="1068"/>
      <c r="H151" s="13"/>
      <c r="I151" s="1016">
        <f t="shared" si="7"/>
        <v>0</v>
      </c>
      <c r="J151" s="1065"/>
      <c r="K151" s="1066"/>
    </row>
    <row r="152" spans="1:11" ht="24.95" customHeight="1">
      <c r="A152" s="1069"/>
      <c r="B152" s="1070"/>
      <c r="C152" s="1065"/>
      <c r="D152" s="1016">
        <f t="shared" si="6"/>
        <v>0</v>
      </c>
      <c r="E152" s="13"/>
      <c r="F152" s="1064"/>
      <c r="G152" s="1068"/>
      <c r="H152" s="13"/>
      <c r="I152" s="1016">
        <f t="shared" si="7"/>
        <v>0</v>
      </c>
      <c r="J152" s="1065"/>
      <c r="K152" s="1066"/>
    </row>
    <row r="153" spans="1:11" ht="24.95" customHeight="1">
      <c r="A153" s="1069"/>
      <c r="B153" s="1070"/>
      <c r="C153" s="1065"/>
      <c r="D153" s="1016">
        <f t="shared" si="6"/>
        <v>0</v>
      </c>
      <c r="E153" s="13"/>
      <c r="F153" s="1064"/>
      <c r="G153" s="1068"/>
      <c r="H153" s="13"/>
      <c r="I153" s="1016">
        <f t="shared" si="7"/>
        <v>0</v>
      </c>
      <c r="J153" s="1065"/>
      <c r="K153" s="1066"/>
    </row>
    <row r="154" spans="1:11" ht="24.95" customHeight="1">
      <c r="A154" s="1069"/>
      <c r="B154" s="1070"/>
      <c r="C154" s="1065"/>
      <c r="D154" s="1016">
        <f t="shared" si="6"/>
        <v>0</v>
      </c>
      <c r="E154" s="13"/>
      <c r="F154" s="1064"/>
      <c r="G154" s="1068"/>
      <c r="H154" s="13"/>
      <c r="I154" s="1016">
        <f t="shared" si="7"/>
        <v>0</v>
      </c>
      <c r="J154" s="1065"/>
      <c r="K154" s="1066"/>
    </row>
    <row r="155" spans="1:11" ht="24.95" customHeight="1">
      <c r="A155" s="1069"/>
      <c r="B155" s="1070"/>
      <c r="C155" s="1065"/>
      <c r="D155" s="1016">
        <f t="shared" si="6"/>
        <v>0</v>
      </c>
      <c r="E155" s="13"/>
      <c r="F155" s="1064"/>
      <c r="G155" s="1068"/>
      <c r="H155" s="13"/>
      <c r="I155" s="1016">
        <f t="shared" si="7"/>
        <v>0</v>
      </c>
      <c r="J155" s="1065"/>
      <c r="K155" s="1066"/>
    </row>
    <row r="156" spans="1:11" ht="24.95" customHeight="1">
      <c r="A156" s="1069"/>
      <c r="B156" s="1070"/>
      <c r="C156" s="1065"/>
      <c r="D156" s="1016">
        <f t="shared" si="6"/>
        <v>0</v>
      </c>
      <c r="E156" s="13"/>
      <c r="F156" s="1064"/>
      <c r="G156" s="1068"/>
      <c r="H156" s="13"/>
      <c r="I156" s="1016">
        <f t="shared" si="7"/>
        <v>0</v>
      </c>
      <c r="J156" s="1065"/>
      <c r="K156" s="1066"/>
    </row>
    <row r="157" spans="1:11" ht="24.95" customHeight="1">
      <c r="A157" s="1069"/>
      <c r="B157" s="1070"/>
      <c r="C157" s="1065"/>
      <c r="D157" s="1016">
        <f t="shared" si="6"/>
        <v>0</v>
      </c>
      <c r="E157" s="13"/>
      <c r="F157" s="1064"/>
      <c r="G157" s="1068"/>
      <c r="H157" s="13"/>
      <c r="I157" s="1016">
        <f t="shared" si="7"/>
        <v>0</v>
      </c>
      <c r="J157" s="1065"/>
      <c r="K157" s="1066"/>
    </row>
    <row r="158" spans="1:11" ht="24.95" customHeight="1">
      <c r="A158" s="1069"/>
      <c r="B158" s="1070"/>
      <c r="C158" s="1065"/>
      <c r="D158" s="1016">
        <f t="shared" si="6"/>
        <v>0</v>
      </c>
      <c r="E158" s="13"/>
      <c r="F158" s="1064"/>
      <c r="G158" s="1068"/>
      <c r="H158" s="13"/>
      <c r="I158" s="1016">
        <f t="shared" si="7"/>
        <v>0</v>
      </c>
      <c r="J158" s="1065"/>
      <c r="K158" s="1066"/>
    </row>
    <row r="159" spans="1:11" ht="24.95" customHeight="1">
      <c r="A159" s="1069"/>
      <c r="B159" s="1070"/>
      <c r="C159" s="1065"/>
      <c r="D159" s="1016">
        <f t="shared" si="6"/>
        <v>0</v>
      </c>
      <c r="E159" s="13"/>
      <c r="F159" s="1064"/>
      <c r="G159" s="1068"/>
      <c r="H159" s="13"/>
      <c r="I159" s="1016">
        <f t="shared" si="7"/>
        <v>0</v>
      </c>
      <c r="J159" s="1065"/>
      <c r="K159" s="1066"/>
    </row>
    <row r="160" spans="1:11" ht="24.95" customHeight="1">
      <c r="A160" s="1069"/>
      <c r="B160" s="1070"/>
      <c r="C160" s="1065"/>
      <c r="D160" s="1016">
        <f t="shared" si="6"/>
        <v>0</v>
      </c>
      <c r="E160" s="13"/>
      <c r="F160" s="1064"/>
      <c r="G160" s="1068"/>
      <c r="H160" s="13"/>
      <c r="I160" s="1016">
        <f t="shared" si="7"/>
        <v>0</v>
      </c>
      <c r="J160" s="1065"/>
      <c r="K160" s="1066"/>
    </row>
    <row r="161" spans="1:11" ht="24.95" customHeight="1">
      <c r="A161" s="1069"/>
      <c r="B161" s="1070"/>
      <c r="C161" s="1065"/>
      <c r="D161" s="1016">
        <f t="shared" si="6"/>
        <v>0</v>
      </c>
      <c r="E161" s="13"/>
      <c r="F161" s="1064"/>
      <c r="G161" s="1068"/>
      <c r="H161" s="13"/>
      <c r="I161" s="1016">
        <f t="shared" si="7"/>
        <v>0</v>
      </c>
      <c r="J161" s="1065"/>
      <c r="K161" s="1066"/>
    </row>
    <row r="162" spans="1:11" ht="24.95" customHeight="1">
      <c r="A162" s="1069"/>
      <c r="B162" s="1070"/>
      <c r="C162" s="1065"/>
      <c r="D162" s="1016">
        <f t="shared" si="6"/>
        <v>0</v>
      </c>
      <c r="E162" s="13"/>
      <c r="F162" s="1064"/>
      <c r="G162" s="1068"/>
      <c r="H162" s="13"/>
      <c r="I162" s="1016">
        <f t="shared" si="7"/>
        <v>0</v>
      </c>
      <c r="J162" s="1065"/>
      <c r="K162" s="1066"/>
    </row>
    <row r="163" spans="1:11" ht="24.95" customHeight="1">
      <c r="A163" s="1069"/>
      <c r="B163" s="1070"/>
      <c r="C163" s="1065"/>
      <c r="D163" s="1016">
        <f t="shared" si="6"/>
        <v>0</v>
      </c>
      <c r="E163" s="13"/>
      <c r="F163" s="1064"/>
      <c r="G163" s="1068"/>
      <c r="H163" s="13"/>
      <c r="I163" s="1016">
        <f t="shared" si="7"/>
        <v>0</v>
      </c>
      <c r="J163" s="1065"/>
      <c r="K163" s="1066"/>
    </row>
    <row r="164" spans="1:11" ht="24.95" customHeight="1">
      <c r="A164" s="1069"/>
      <c r="B164" s="1070"/>
      <c r="C164" s="1065"/>
      <c r="D164" s="1016">
        <f t="shared" si="6"/>
        <v>0</v>
      </c>
      <c r="E164" s="13"/>
      <c r="F164" s="1064"/>
      <c r="G164" s="1068"/>
      <c r="H164" s="13"/>
      <c r="I164" s="1016">
        <f t="shared" si="7"/>
        <v>0</v>
      </c>
      <c r="J164" s="1065"/>
      <c r="K164" s="1066"/>
    </row>
    <row r="165" spans="1:11" ht="24.95" customHeight="1">
      <c r="A165" s="1069"/>
      <c r="B165" s="1070"/>
      <c r="C165" s="1065"/>
      <c r="D165" s="1016">
        <f t="shared" si="6"/>
        <v>0</v>
      </c>
      <c r="E165" s="13"/>
      <c r="F165" s="1064"/>
      <c r="G165" s="1068"/>
      <c r="H165" s="13"/>
      <c r="I165" s="1016">
        <f t="shared" si="7"/>
        <v>0</v>
      </c>
      <c r="J165" s="1065"/>
      <c r="K165" s="1066"/>
    </row>
    <row r="166" spans="1:11" ht="24.95" customHeight="1">
      <c r="A166" s="1069"/>
      <c r="B166" s="1070"/>
      <c r="C166" s="1065"/>
      <c r="D166" s="1016">
        <f t="shared" si="6"/>
        <v>0</v>
      </c>
      <c r="E166" s="13"/>
      <c r="F166" s="1064"/>
      <c r="G166" s="1068"/>
      <c r="H166" s="13"/>
      <c r="I166" s="1016">
        <f t="shared" si="7"/>
        <v>0</v>
      </c>
      <c r="J166" s="1065"/>
      <c r="K166" s="1066"/>
    </row>
    <row r="167" spans="1:11" ht="24.95" customHeight="1">
      <c r="A167" s="1069"/>
      <c r="B167" s="1070"/>
      <c r="C167" s="1065"/>
      <c r="D167" s="1016">
        <f t="shared" si="6"/>
        <v>0</v>
      </c>
      <c r="E167" s="13"/>
      <c r="F167" s="1064"/>
      <c r="G167" s="1068"/>
      <c r="H167" s="13"/>
      <c r="I167" s="1016">
        <f t="shared" si="7"/>
        <v>0</v>
      </c>
      <c r="J167" s="1065"/>
      <c r="K167" s="1066"/>
    </row>
    <row r="168" spans="1:11" ht="24.95" customHeight="1">
      <c r="A168" s="1069"/>
      <c r="B168" s="1070"/>
      <c r="C168" s="1065"/>
      <c r="D168" s="1016">
        <f t="shared" si="6"/>
        <v>0</v>
      </c>
      <c r="E168" s="13"/>
      <c r="F168" s="1064"/>
      <c r="G168" s="1068"/>
      <c r="H168" s="13"/>
      <c r="I168" s="1016">
        <f t="shared" si="7"/>
        <v>0</v>
      </c>
      <c r="J168" s="1065"/>
      <c r="K168" s="1066"/>
    </row>
    <row r="169" spans="1:11" ht="24.95" customHeight="1">
      <c r="A169" s="1069"/>
      <c r="B169" s="1070"/>
      <c r="C169" s="1065"/>
      <c r="D169" s="1016">
        <f t="shared" si="6"/>
        <v>0</v>
      </c>
      <c r="E169" s="13"/>
      <c r="F169" s="1064"/>
      <c r="G169" s="1068"/>
      <c r="H169" s="13"/>
      <c r="I169" s="1016">
        <f t="shared" si="7"/>
        <v>0</v>
      </c>
      <c r="J169" s="1065"/>
      <c r="K169" s="1066"/>
    </row>
    <row r="170" spans="1:11" ht="24.95" customHeight="1">
      <c r="A170" s="1069"/>
      <c r="B170" s="1070"/>
      <c r="C170" s="1065"/>
      <c r="D170" s="1016">
        <f t="shared" si="6"/>
        <v>0</v>
      </c>
      <c r="E170" s="13"/>
      <c r="F170" s="1064"/>
      <c r="G170" s="1068"/>
      <c r="H170" s="13"/>
      <c r="I170" s="1016">
        <f t="shared" si="7"/>
        <v>0</v>
      </c>
      <c r="J170" s="1065"/>
      <c r="K170" s="1066"/>
    </row>
    <row r="171" spans="1:11" ht="24.95" customHeight="1">
      <c r="A171" s="1069"/>
      <c r="B171" s="1070"/>
      <c r="C171" s="1065"/>
      <c r="D171" s="1016">
        <f t="shared" si="6"/>
        <v>0</v>
      </c>
      <c r="E171" s="13"/>
      <c r="F171" s="1064"/>
      <c r="G171" s="1068"/>
      <c r="H171" s="13"/>
      <c r="I171" s="1016">
        <f t="shared" si="7"/>
        <v>0</v>
      </c>
      <c r="J171" s="1065"/>
      <c r="K171" s="1066"/>
    </row>
    <row r="172" spans="1:11" ht="24.95" customHeight="1">
      <c r="A172" s="1069"/>
      <c r="B172" s="1070"/>
      <c r="C172" s="1065"/>
      <c r="D172" s="1016">
        <f t="shared" si="6"/>
        <v>0</v>
      </c>
      <c r="E172" s="13"/>
      <c r="F172" s="1064"/>
      <c r="G172" s="1068"/>
      <c r="H172" s="13"/>
      <c r="I172" s="1016">
        <f t="shared" si="7"/>
        <v>0</v>
      </c>
      <c r="J172" s="1065"/>
      <c r="K172" s="1066"/>
    </row>
    <row r="173" spans="1:11" ht="24.95" customHeight="1">
      <c r="A173" s="1069"/>
      <c r="B173" s="1070"/>
      <c r="C173" s="1065"/>
      <c r="D173" s="1016">
        <f t="shared" si="6"/>
        <v>0</v>
      </c>
      <c r="E173" s="13"/>
      <c r="F173" s="1064"/>
      <c r="G173" s="1068"/>
      <c r="H173" s="13"/>
      <c r="I173" s="1016">
        <f t="shared" si="7"/>
        <v>0</v>
      </c>
      <c r="J173" s="1065"/>
      <c r="K173" s="1066"/>
    </row>
    <row r="174" spans="1:11" ht="24.95" customHeight="1">
      <c r="A174" s="1069"/>
      <c r="B174" s="1070"/>
      <c r="C174" s="1065"/>
      <c r="D174" s="1016">
        <f t="shared" si="6"/>
        <v>0</v>
      </c>
      <c r="E174" s="13"/>
      <c r="F174" s="1064"/>
      <c r="G174" s="1068"/>
      <c r="H174" s="13"/>
      <c r="I174" s="1016">
        <f t="shared" si="7"/>
        <v>0</v>
      </c>
      <c r="J174" s="1065"/>
      <c r="K174" s="1066"/>
    </row>
    <row r="175" spans="1:11" ht="24.95" customHeight="1">
      <c r="A175" s="1069"/>
      <c r="B175" s="1070"/>
      <c r="C175" s="1065"/>
      <c r="D175" s="1016">
        <f t="shared" si="6"/>
        <v>0</v>
      </c>
      <c r="E175" s="13"/>
      <c r="F175" s="1064"/>
      <c r="G175" s="1068"/>
      <c r="H175" s="13"/>
      <c r="I175" s="1016">
        <f t="shared" si="7"/>
        <v>0</v>
      </c>
      <c r="J175" s="1065"/>
      <c r="K175" s="1066"/>
    </row>
    <row r="176" spans="1:11" ht="24.95" customHeight="1">
      <c r="A176" s="1069"/>
      <c r="B176" s="1070"/>
      <c r="C176" s="1065"/>
      <c r="D176" s="1016">
        <f t="shared" si="6"/>
        <v>0</v>
      </c>
      <c r="E176" s="13"/>
      <c r="F176" s="1064"/>
      <c r="G176" s="1068"/>
      <c r="H176" s="13"/>
      <c r="I176" s="1016">
        <f t="shared" si="7"/>
        <v>0</v>
      </c>
      <c r="J176" s="1065"/>
      <c r="K176" s="1066"/>
    </row>
    <row r="177" spans="1:11" ht="24.95" customHeight="1">
      <c r="A177" s="1069"/>
      <c r="B177" s="1070"/>
      <c r="C177" s="1065"/>
      <c r="D177" s="1016">
        <f t="shared" si="6"/>
        <v>0</v>
      </c>
      <c r="E177" s="13"/>
      <c r="F177" s="1064"/>
      <c r="G177" s="1068"/>
      <c r="H177" s="13"/>
      <c r="I177" s="1016">
        <f t="shared" si="7"/>
        <v>0</v>
      </c>
      <c r="J177" s="1065"/>
      <c r="K177" s="1066"/>
    </row>
    <row r="178" spans="1:11" ht="24.95" customHeight="1">
      <c r="A178" s="1069"/>
      <c r="B178" s="1070"/>
      <c r="C178" s="1065"/>
      <c r="D178" s="1016">
        <f t="shared" si="6"/>
        <v>0</v>
      </c>
      <c r="E178" s="13"/>
      <c r="F178" s="1064"/>
      <c r="G178" s="1068"/>
      <c r="H178" s="13"/>
      <c r="I178" s="1016">
        <f t="shared" si="7"/>
        <v>0</v>
      </c>
      <c r="J178" s="1065"/>
      <c r="K178" s="1066"/>
    </row>
    <row r="179" spans="1:11" ht="24.95" customHeight="1">
      <c r="A179" s="1069"/>
      <c r="B179" s="1070"/>
      <c r="C179" s="1065"/>
      <c r="D179" s="1016">
        <f t="shared" si="6"/>
        <v>0</v>
      </c>
      <c r="E179" s="13"/>
      <c r="F179" s="1064"/>
      <c r="G179" s="1068"/>
      <c r="H179" s="13"/>
      <c r="I179" s="1016">
        <f t="shared" si="7"/>
        <v>0</v>
      </c>
      <c r="J179" s="1065"/>
      <c r="K179" s="1066"/>
    </row>
    <row r="180" spans="1:11" ht="24.95" customHeight="1">
      <c r="A180" s="1069"/>
      <c r="B180" s="1070"/>
      <c r="C180" s="1065"/>
      <c r="D180" s="1016">
        <f t="shared" si="6"/>
        <v>0</v>
      </c>
      <c r="E180" s="13"/>
      <c r="F180" s="1064"/>
      <c r="G180" s="1068"/>
      <c r="H180" s="13"/>
      <c r="I180" s="1016">
        <f t="shared" si="7"/>
        <v>0</v>
      </c>
      <c r="J180" s="1065"/>
      <c r="K180" s="1066"/>
    </row>
    <row r="181" spans="1:11" ht="24.95" customHeight="1">
      <c r="A181" s="1069"/>
      <c r="B181" s="1070"/>
      <c r="C181" s="1065"/>
      <c r="D181" s="1016">
        <f t="shared" si="6"/>
        <v>0</v>
      </c>
      <c r="E181" s="13"/>
      <c r="F181" s="1064"/>
      <c r="G181" s="1068"/>
      <c r="H181" s="13"/>
      <c r="I181" s="1016">
        <f t="shared" si="7"/>
        <v>0</v>
      </c>
      <c r="J181" s="1065"/>
      <c r="K181" s="1066"/>
    </row>
    <row r="182" spans="1:11" ht="24.95" customHeight="1">
      <c r="A182" s="1069"/>
      <c r="B182" s="1070"/>
      <c r="C182" s="1065"/>
      <c r="D182" s="1016">
        <f t="shared" si="6"/>
        <v>0</v>
      </c>
      <c r="E182" s="13"/>
      <c r="F182" s="1064"/>
      <c r="G182" s="1068"/>
      <c r="H182" s="13"/>
      <c r="I182" s="1016">
        <f t="shared" si="7"/>
        <v>0</v>
      </c>
      <c r="J182" s="1065"/>
      <c r="K182" s="1066"/>
    </row>
    <row r="183" spans="1:11" ht="24.95" customHeight="1">
      <c r="A183" s="1069"/>
      <c r="B183" s="1070"/>
      <c r="C183" s="1065"/>
      <c r="D183" s="1016">
        <f t="shared" si="6"/>
        <v>0</v>
      </c>
      <c r="E183" s="13"/>
      <c r="F183" s="1064"/>
      <c r="G183" s="1068"/>
      <c r="H183" s="13"/>
      <c r="I183" s="1016">
        <f t="shared" si="7"/>
        <v>0</v>
      </c>
      <c r="J183" s="1065"/>
      <c r="K183" s="1066"/>
    </row>
    <row r="184" spans="1:11" ht="24.95" customHeight="1">
      <c r="A184" s="1069"/>
      <c r="B184" s="1070"/>
      <c r="C184" s="1065"/>
      <c r="D184" s="1016">
        <f t="shared" si="6"/>
        <v>0</v>
      </c>
      <c r="E184" s="13"/>
      <c r="F184" s="1064"/>
      <c r="G184" s="1068"/>
      <c r="H184" s="13"/>
      <c r="I184" s="1016">
        <f t="shared" si="7"/>
        <v>0</v>
      </c>
      <c r="J184" s="1065"/>
      <c r="K184" s="1066"/>
    </row>
    <row r="185" spans="1:11" ht="24.95" customHeight="1">
      <c r="A185" s="1069"/>
      <c r="B185" s="1070"/>
      <c r="C185" s="1065"/>
      <c r="D185" s="1016">
        <f t="shared" si="6"/>
        <v>0</v>
      </c>
      <c r="E185" s="13"/>
      <c r="F185" s="1064"/>
      <c r="G185" s="1068"/>
      <c r="H185" s="13"/>
      <c r="I185" s="1016">
        <f t="shared" si="7"/>
        <v>0</v>
      </c>
      <c r="J185" s="1065"/>
      <c r="K185" s="1066"/>
    </row>
    <row r="186" spans="1:11" ht="24.95" customHeight="1">
      <c r="A186" s="1069"/>
      <c r="B186" s="1070"/>
      <c r="C186" s="1065"/>
      <c r="D186" s="1016">
        <f t="shared" si="6"/>
        <v>0</v>
      </c>
      <c r="E186" s="13"/>
      <c r="F186" s="1064"/>
      <c r="G186" s="1068"/>
      <c r="H186" s="13"/>
      <c r="I186" s="1016">
        <f t="shared" si="7"/>
        <v>0</v>
      </c>
      <c r="J186" s="1065"/>
      <c r="K186" s="1066"/>
    </row>
    <row r="187" spans="1:11" ht="24.95" customHeight="1">
      <c r="A187" s="1069"/>
      <c r="B187" s="1070"/>
      <c r="C187" s="1065"/>
      <c r="D187" s="1016">
        <f t="shared" si="6"/>
        <v>0</v>
      </c>
      <c r="E187" s="13"/>
      <c r="F187" s="1064"/>
      <c r="G187" s="1068"/>
      <c r="H187" s="13"/>
      <c r="I187" s="1016">
        <f t="shared" si="7"/>
        <v>0</v>
      </c>
      <c r="J187" s="1065"/>
      <c r="K187" s="1066"/>
    </row>
    <row r="188" spans="1:11" ht="24.95" customHeight="1">
      <c r="A188" s="1069"/>
      <c r="B188" s="1070"/>
      <c r="C188" s="1065"/>
      <c r="D188" s="1016">
        <f t="shared" si="6"/>
        <v>0</v>
      </c>
      <c r="E188" s="13"/>
      <c r="F188" s="1064"/>
      <c r="G188" s="1068"/>
      <c r="H188" s="13"/>
      <c r="I188" s="1016">
        <f t="shared" si="7"/>
        <v>0</v>
      </c>
      <c r="J188" s="1065"/>
      <c r="K188" s="1066"/>
    </row>
    <row r="189" spans="1:11" ht="24.95" customHeight="1">
      <c r="A189" s="1069"/>
      <c r="B189" s="1070"/>
      <c r="C189" s="1065"/>
      <c r="D189" s="1016">
        <f t="shared" si="6"/>
        <v>0</v>
      </c>
      <c r="E189" s="13"/>
      <c r="F189" s="1064"/>
      <c r="G189" s="1068"/>
      <c r="H189" s="13"/>
      <c r="I189" s="1016">
        <f t="shared" si="7"/>
        <v>0</v>
      </c>
      <c r="J189" s="1065"/>
      <c r="K189" s="1066"/>
    </row>
    <row r="190" spans="1:11" ht="24.95" customHeight="1">
      <c r="A190" s="1069"/>
      <c r="B190" s="1070"/>
      <c r="C190" s="1065"/>
      <c r="D190" s="1016">
        <f t="shared" si="6"/>
        <v>0</v>
      </c>
      <c r="E190" s="13"/>
      <c r="F190" s="1064"/>
      <c r="G190" s="1068"/>
      <c r="H190" s="13"/>
      <c r="I190" s="1016">
        <f t="shared" si="7"/>
        <v>0</v>
      </c>
      <c r="J190" s="1065"/>
      <c r="K190" s="1066"/>
    </row>
    <row r="191" spans="1:11" ht="24.95" customHeight="1">
      <c r="A191" s="1069"/>
      <c r="B191" s="1070"/>
      <c r="C191" s="1065"/>
      <c r="D191" s="1016">
        <f t="shared" si="6"/>
        <v>0</v>
      </c>
      <c r="E191" s="13"/>
      <c r="F191" s="1064"/>
      <c r="G191" s="1068"/>
      <c r="H191" s="13"/>
      <c r="I191" s="1016">
        <f t="shared" si="7"/>
        <v>0</v>
      </c>
      <c r="J191" s="1065"/>
      <c r="K191" s="1066"/>
    </row>
    <row r="192" spans="1:11" ht="24.95" customHeight="1">
      <c r="A192" s="1069"/>
      <c r="B192" s="1070"/>
      <c r="C192" s="1065"/>
      <c r="D192" s="1016">
        <f t="shared" si="6"/>
        <v>0</v>
      </c>
      <c r="E192" s="13"/>
      <c r="F192" s="1064"/>
      <c r="G192" s="1068"/>
      <c r="H192" s="13"/>
      <c r="I192" s="1016">
        <f t="shared" si="7"/>
        <v>0</v>
      </c>
      <c r="J192" s="1065"/>
      <c r="K192" s="1066"/>
    </row>
    <row r="193" spans="1:11" ht="24.95" customHeight="1">
      <c r="A193" s="1069"/>
      <c r="B193" s="1070"/>
      <c r="C193" s="1065"/>
      <c r="D193" s="1016">
        <f t="shared" si="6"/>
        <v>0</v>
      </c>
      <c r="E193" s="13"/>
      <c r="F193" s="1064"/>
      <c r="G193" s="1068"/>
      <c r="H193" s="13"/>
      <c r="I193" s="1016">
        <f t="shared" si="7"/>
        <v>0</v>
      </c>
      <c r="J193" s="1065"/>
      <c r="K193" s="1066"/>
    </row>
    <row r="194" spans="1:11" ht="24.95" customHeight="1">
      <c r="A194" s="1069"/>
      <c r="B194" s="1070"/>
      <c r="C194" s="1065"/>
      <c r="D194" s="1016">
        <f t="shared" si="6"/>
        <v>0</v>
      </c>
      <c r="E194" s="13"/>
      <c r="F194" s="1064"/>
      <c r="G194" s="1068"/>
      <c r="H194" s="13"/>
      <c r="I194" s="1016">
        <f t="shared" si="7"/>
        <v>0</v>
      </c>
      <c r="J194" s="1065"/>
      <c r="K194" s="1066"/>
    </row>
    <row r="195" spans="1:11" ht="24.95" customHeight="1">
      <c r="A195" s="1069"/>
      <c r="B195" s="1070"/>
      <c r="C195" s="1065"/>
      <c r="D195" s="1016">
        <f t="shared" si="6"/>
        <v>0</v>
      </c>
      <c r="E195" s="13"/>
      <c r="F195" s="1064"/>
      <c r="G195" s="1068"/>
      <c r="H195" s="13"/>
      <c r="I195" s="1016">
        <f t="shared" si="7"/>
        <v>0</v>
      </c>
      <c r="J195" s="1065"/>
      <c r="K195" s="1066"/>
    </row>
    <row r="196" spans="1:11" ht="24.95" customHeight="1">
      <c r="A196" s="1069"/>
      <c r="B196" s="1070"/>
      <c r="C196" s="1065"/>
      <c r="D196" s="1016">
        <f t="shared" si="6"/>
        <v>0</v>
      </c>
      <c r="E196" s="13"/>
      <c r="F196" s="1064"/>
      <c r="G196" s="1068"/>
      <c r="H196" s="13"/>
      <c r="I196" s="1016">
        <f t="shared" si="7"/>
        <v>0</v>
      </c>
      <c r="J196" s="1065"/>
      <c r="K196" s="1066"/>
    </row>
    <row r="197" spans="1:11" ht="24.95" customHeight="1">
      <c r="A197" s="1069"/>
      <c r="B197" s="1070"/>
      <c r="C197" s="1065"/>
      <c r="D197" s="1016">
        <f t="shared" si="6"/>
        <v>0</v>
      </c>
      <c r="E197" s="13"/>
      <c r="F197" s="1064"/>
      <c r="G197" s="1068"/>
      <c r="H197" s="13"/>
      <c r="I197" s="1016">
        <f t="shared" si="7"/>
        <v>0</v>
      </c>
      <c r="J197" s="1065"/>
      <c r="K197" s="1066"/>
    </row>
    <row r="198" spans="1:11" ht="24.95" customHeight="1">
      <c r="A198" s="1069"/>
      <c r="B198" s="1070"/>
      <c r="C198" s="1065"/>
      <c r="D198" s="1016">
        <f t="shared" si="6"/>
        <v>0</v>
      </c>
      <c r="E198" s="13"/>
      <c r="F198" s="1064"/>
      <c r="G198" s="1068"/>
      <c r="H198" s="13"/>
      <c r="I198" s="1016">
        <f t="shared" si="7"/>
        <v>0</v>
      </c>
      <c r="J198" s="1065"/>
      <c r="K198" s="1066"/>
    </row>
    <row r="199" spans="1:11" ht="24.95" customHeight="1">
      <c r="A199" s="1069"/>
      <c r="B199" s="1070"/>
      <c r="C199" s="1065"/>
      <c r="D199" s="1016">
        <f t="shared" ref="D199:D262" si="8">C199+B199</f>
        <v>0</v>
      </c>
      <c r="E199" s="13"/>
      <c r="F199" s="1064"/>
      <c r="G199" s="1068"/>
      <c r="H199" s="13"/>
      <c r="I199" s="1016">
        <f t="shared" ref="I199:I262" si="9">H199+G199</f>
        <v>0</v>
      </c>
      <c r="J199" s="1065"/>
      <c r="K199" s="1066"/>
    </row>
    <row r="200" spans="1:11" ht="24.95" customHeight="1">
      <c r="A200" s="1069"/>
      <c r="B200" s="1070"/>
      <c r="C200" s="1065"/>
      <c r="D200" s="1016">
        <f t="shared" si="8"/>
        <v>0</v>
      </c>
      <c r="E200" s="13"/>
      <c r="F200" s="1064"/>
      <c r="G200" s="1068"/>
      <c r="H200" s="13"/>
      <c r="I200" s="1016">
        <f t="shared" si="9"/>
        <v>0</v>
      </c>
      <c r="J200" s="1065"/>
      <c r="K200" s="1066"/>
    </row>
    <row r="201" spans="1:11" ht="24.95" customHeight="1">
      <c r="A201" s="1069"/>
      <c r="B201" s="1070"/>
      <c r="C201" s="1065"/>
      <c r="D201" s="1016">
        <f t="shared" si="8"/>
        <v>0</v>
      </c>
      <c r="E201" s="13"/>
      <c r="F201" s="1064"/>
      <c r="G201" s="1068"/>
      <c r="H201" s="13"/>
      <c r="I201" s="1016">
        <f t="shared" si="9"/>
        <v>0</v>
      </c>
      <c r="J201" s="1065"/>
      <c r="K201" s="1066"/>
    </row>
    <row r="202" spans="1:11" ht="24.95" customHeight="1">
      <c r="A202" s="1069"/>
      <c r="B202" s="1070"/>
      <c r="C202" s="1065"/>
      <c r="D202" s="1016">
        <f t="shared" si="8"/>
        <v>0</v>
      </c>
      <c r="E202" s="13"/>
      <c r="F202" s="1064"/>
      <c r="G202" s="1068"/>
      <c r="H202" s="13"/>
      <c r="I202" s="1016">
        <f t="shared" si="9"/>
        <v>0</v>
      </c>
      <c r="J202" s="1065"/>
      <c r="K202" s="1066"/>
    </row>
    <row r="203" spans="1:11" ht="24.95" customHeight="1">
      <c r="A203" s="1069"/>
      <c r="B203" s="1070"/>
      <c r="C203" s="1065"/>
      <c r="D203" s="1016">
        <f t="shared" si="8"/>
        <v>0</v>
      </c>
      <c r="E203" s="13"/>
      <c r="F203" s="1064"/>
      <c r="G203" s="1068"/>
      <c r="H203" s="13"/>
      <c r="I203" s="1016">
        <f t="shared" si="9"/>
        <v>0</v>
      </c>
      <c r="J203" s="1065"/>
      <c r="K203" s="1066"/>
    </row>
    <row r="204" spans="1:11" ht="24.95" customHeight="1">
      <c r="A204" s="1069"/>
      <c r="B204" s="1070"/>
      <c r="C204" s="1065"/>
      <c r="D204" s="1016">
        <f t="shared" si="8"/>
        <v>0</v>
      </c>
      <c r="E204" s="13"/>
      <c r="F204" s="1064"/>
      <c r="G204" s="1068"/>
      <c r="H204" s="13"/>
      <c r="I204" s="1016">
        <f t="shared" si="9"/>
        <v>0</v>
      </c>
      <c r="J204" s="1065"/>
      <c r="K204" s="1066"/>
    </row>
    <row r="205" spans="1:11" ht="24.95" customHeight="1">
      <c r="A205" s="1069"/>
      <c r="B205" s="1070"/>
      <c r="C205" s="1065"/>
      <c r="D205" s="1016">
        <f t="shared" si="8"/>
        <v>0</v>
      </c>
      <c r="E205" s="13"/>
      <c r="F205" s="1064"/>
      <c r="G205" s="1068"/>
      <c r="H205" s="13"/>
      <c r="I205" s="1016">
        <f t="shared" si="9"/>
        <v>0</v>
      </c>
      <c r="J205" s="1065"/>
      <c r="K205" s="1066"/>
    </row>
    <row r="206" spans="1:11" ht="24.95" customHeight="1">
      <c r="A206" s="1069"/>
      <c r="B206" s="1070"/>
      <c r="C206" s="1065"/>
      <c r="D206" s="1016">
        <f t="shared" si="8"/>
        <v>0</v>
      </c>
      <c r="E206" s="13"/>
      <c r="F206" s="1064"/>
      <c r="G206" s="1068"/>
      <c r="H206" s="13"/>
      <c r="I206" s="1016">
        <f t="shared" si="9"/>
        <v>0</v>
      </c>
      <c r="J206" s="1065"/>
      <c r="K206" s="1066"/>
    </row>
    <row r="207" spans="1:11" ht="24.95" customHeight="1">
      <c r="A207" s="1069"/>
      <c r="B207" s="1070"/>
      <c r="C207" s="1065"/>
      <c r="D207" s="1016">
        <f t="shared" si="8"/>
        <v>0</v>
      </c>
      <c r="E207" s="13"/>
      <c r="F207" s="1064"/>
      <c r="G207" s="1068"/>
      <c r="H207" s="13"/>
      <c r="I207" s="1016">
        <f t="shared" si="9"/>
        <v>0</v>
      </c>
      <c r="J207" s="1065"/>
      <c r="K207" s="1066"/>
    </row>
    <row r="208" spans="1:11" ht="24.95" customHeight="1">
      <c r="A208" s="1069"/>
      <c r="B208" s="1070"/>
      <c r="C208" s="1065"/>
      <c r="D208" s="1016">
        <f t="shared" si="8"/>
        <v>0</v>
      </c>
      <c r="E208" s="13"/>
      <c r="F208" s="1064"/>
      <c r="G208" s="1068"/>
      <c r="H208" s="13"/>
      <c r="I208" s="1016">
        <f t="shared" si="9"/>
        <v>0</v>
      </c>
      <c r="J208" s="1065"/>
      <c r="K208" s="1066"/>
    </row>
    <row r="209" spans="1:11" ht="24.95" customHeight="1">
      <c r="A209" s="1069"/>
      <c r="B209" s="1070"/>
      <c r="C209" s="1065"/>
      <c r="D209" s="1016">
        <f t="shared" si="8"/>
        <v>0</v>
      </c>
      <c r="E209" s="13"/>
      <c r="F209" s="1064"/>
      <c r="G209" s="1068"/>
      <c r="H209" s="13"/>
      <c r="I209" s="1016">
        <f t="shared" si="9"/>
        <v>0</v>
      </c>
      <c r="J209" s="1065"/>
      <c r="K209" s="1066"/>
    </row>
    <row r="210" spans="1:11" ht="24.95" customHeight="1">
      <c r="A210" s="1069"/>
      <c r="B210" s="1070"/>
      <c r="C210" s="1065"/>
      <c r="D210" s="1016">
        <f t="shared" si="8"/>
        <v>0</v>
      </c>
      <c r="E210" s="13"/>
      <c r="F210" s="1064"/>
      <c r="G210" s="1068"/>
      <c r="H210" s="13"/>
      <c r="I210" s="1016">
        <f t="shared" si="9"/>
        <v>0</v>
      </c>
      <c r="J210" s="1065"/>
      <c r="K210" s="1066"/>
    </row>
    <row r="211" spans="1:11" ht="24.95" customHeight="1">
      <c r="A211" s="1069"/>
      <c r="B211" s="1070"/>
      <c r="C211" s="1065"/>
      <c r="D211" s="1016">
        <f t="shared" si="8"/>
        <v>0</v>
      </c>
      <c r="E211" s="13"/>
      <c r="F211" s="1064"/>
      <c r="G211" s="1068"/>
      <c r="H211" s="13"/>
      <c r="I211" s="1016">
        <f t="shared" si="9"/>
        <v>0</v>
      </c>
      <c r="J211" s="1065"/>
      <c r="K211" s="1066"/>
    </row>
    <row r="212" spans="1:11" ht="24.95" customHeight="1">
      <c r="A212" s="1069"/>
      <c r="B212" s="1070"/>
      <c r="C212" s="1065"/>
      <c r="D212" s="1016">
        <f t="shared" si="8"/>
        <v>0</v>
      </c>
      <c r="E212" s="13"/>
      <c r="F212" s="1064"/>
      <c r="G212" s="1068"/>
      <c r="H212" s="13"/>
      <c r="I212" s="1016">
        <f t="shared" si="9"/>
        <v>0</v>
      </c>
      <c r="J212" s="1065"/>
      <c r="K212" s="1066"/>
    </row>
    <row r="213" spans="1:11" ht="24.95" customHeight="1">
      <c r="A213" s="1069"/>
      <c r="B213" s="1070"/>
      <c r="C213" s="1065"/>
      <c r="D213" s="1016">
        <f t="shared" si="8"/>
        <v>0</v>
      </c>
      <c r="E213" s="13"/>
      <c r="F213" s="1064"/>
      <c r="G213" s="1068"/>
      <c r="H213" s="13"/>
      <c r="I213" s="1016">
        <f t="shared" si="9"/>
        <v>0</v>
      </c>
      <c r="J213" s="1065"/>
      <c r="K213" s="1066"/>
    </row>
    <row r="214" spans="1:11" ht="24.95" customHeight="1">
      <c r="A214" s="1069"/>
      <c r="B214" s="1070"/>
      <c r="C214" s="1065"/>
      <c r="D214" s="1016">
        <f t="shared" si="8"/>
        <v>0</v>
      </c>
      <c r="E214" s="13"/>
      <c r="F214" s="1064"/>
      <c r="G214" s="1068"/>
      <c r="H214" s="13"/>
      <c r="I214" s="1016">
        <f t="shared" si="9"/>
        <v>0</v>
      </c>
      <c r="J214" s="1065"/>
      <c r="K214" s="1066"/>
    </row>
    <row r="215" spans="1:11" ht="24.95" customHeight="1">
      <c r="A215" s="1069"/>
      <c r="B215" s="1070"/>
      <c r="C215" s="1065"/>
      <c r="D215" s="1016">
        <f t="shared" si="8"/>
        <v>0</v>
      </c>
      <c r="E215" s="13"/>
      <c r="F215" s="1064"/>
      <c r="G215" s="1068"/>
      <c r="H215" s="13"/>
      <c r="I215" s="1016">
        <f t="shared" si="9"/>
        <v>0</v>
      </c>
      <c r="J215" s="1065"/>
      <c r="K215" s="1066"/>
    </row>
    <row r="216" spans="1:11" ht="24.95" customHeight="1">
      <c r="A216" s="1069"/>
      <c r="B216" s="1070"/>
      <c r="C216" s="1065"/>
      <c r="D216" s="1016">
        <f t="shared" si="8"/>
        <v>0</v>
      </c>
      <c r="E216" s="13"/>
      <c r="F216" s="1064"/>
      <c r="G216" s="1068"/>
      <c r="H216" s="13"/>
      <c r="I216" s="1016">
        <f t="shared" si="9"/>
        <v>0</v>
      </c>
      <c r="J216" s="1065"/>
      <c r="K216" s="1066"/>
    </row>
    <row r="217" spans="1:11" ht="24.95" customHeight="1">
      <c r="A217" s="1069"/>
      <c r="B217" s="1070"/>
      <c r="C217" s="1065"/>
      <c r="D217" s="1016">
        <f t="shared" si="8"/>
        <v>0</v>
      </c>
      <c r="E217" s="13"/>
      <c r="F217" s="1064"/>
      <c r="G217" s="1068"/>
      <c r="H217" s="13"/>
      <c r="I217" s="1016">
        <f t="shared" si="9"/>
        <v>0</v>
      </c>
      <c r="J217" s="1065"/>
      <c r="K217" s="1066"/>
    </row>
    <row r="218" spans="1:11" ht="24.95" customHeight="1">
      <c r="A218" s="1069"/>
      <c r="B218" s="1070"/>
      <c r="C218" s="1065"/>
      <c r="D218" s="1016">
        <f t="shared" si="8"/>
        <v>0</v>
      </c>
      <c r="E218" s="13"/>
      <c r="F218" s="1064"/>
      <c r="G218" s="1068"/>
      <c r="H218" s="13"/>
      <c r="I218" s="1016">
        <f t="shared" si="9"/>
        <v>0</v>
      </c>
      <c r="J218" s="1065"/>
      <c r="K218" s="1066"/>
    </row>
    <row r="219" spans="1:11" ht="24.95" customHeight="1">
      <c r="A219" s="1069"/>
      <c r="B219" s="1070"/>
      <c r="C219" s="1065"/>
      <c r="D219" s="1016">
        <f t="shared" si="8"/>
        <v>0</v>
      </c>
      <c r="E219" s="13"/>
      <c r="F219" s="1064"/>
      <c r="G219" s="1068"/>
      <c r="H219" s="13"/>
      <c r="I219" s="1016">
        <f t="shared" si="9"/>
        <v>0</v>
      </c>
      <c r="J219" s="1065"/>
      <c r="K219" s="1066"/>
    </row>
    <row r="220" spans="1:11" ht="24.95" customHeight="1">
      <c r="A220" s="1069"/>
      <c r="B220" s="1070"/>
      <c r="C220" s="1065"/>
      <c r="D220" s="1016">
        <f t="shared" si="8"/>
        <v>0</v>
      </c>
      <c r="E220" s="13"/>
      <c r="F220" s="1064"/>
      <c r="G220" s="1068"/>
      <c r="H220" s="13"/>
      <c r="I220" s="1016">
        <f t="shared" si="9"/>
        <v>0</v>
      </c>
      <c r="J220" s="1065"/>
      <c r="K220" s="1066"/>
    </row>
    <row r="221" spans="1:11" ht="24.95" customHeight="1">
      <c r="A221" s="1069"/>
      <c r="B221" s="1070"/>
      <c r="C221" s="1065"/>
      <c r="D221" s="1016">
        <f t="shared" si="8"/>
        <v>0</v>
      </c>
      <c r="E221" s="13"/>
      <c r="F221" s="1064"/>
      <c r="G221" s="1068"/>
      <c r="H221" s="13"/>
      <c r="I221" s="1016">
        <f t="shared" si="9"/>
        <v>0</v>
      </c>
      <c r="J221" s="1065"/>
      <c r="K221" s="1066"/>
    </row>
    <row r="222" spans="1:11" ht="24.95" customHeight="1">
      <c r="A222" s="1069"/>
      <c r="B222" s="1070"/>
      <c r="C222" s="1065"/>
      <c r="D222" s="1016">
        <f t="shared" si="8"/>
        <v>0</v>
      </c>
      <c r="E222" s="13"/>
      <c r="F222" s="1064"/>
      <c r="G222" s="1068"/>
      <c r="H222" s="13"/>
      <c r="I222" s="1016">
        <f t="shared" si="9"/>
        <v>0</v>
      </c>
      <c r="J222" s="1065"/>
      <c r="K222" s="1066"/>
    </row>
    <row r="223" spans="1:11" ht="24.95" customHeight="1">
      <c r="A223" s="1069"/>
      <c r="B223" s="1070"/>
      <c r="C223" s="1065"/>
      <c r="D223" s="1016">
        <f t="shared" si="8"/>
        <v>0</v>
      </c>
      <c r="E223" s="13"/>
      <c r="F223" s="1064"/>
      <c r="G223" s="1068"/>
      <c r="H223" s="13"/>
      <c r="I223" s="1016">
        <f t="shared" si="9"/>
        <v>0</v>
      </c>
      <c r="J223" s="1065"/>
      <c r="K223" s="1066"/>
    </row>
    <row r="224" spans="1:11" ht="24.95" customHeight="1">
      <c r="A224" s="1069"/>
      <c r="B224" s="1070"/>
      <c r="C224" s="1065"/>
      <c r="D224" s="1016">
        <f t="shared" si="8"/>
        <v>0</v>
      </c>
      <c r="E224" s="13"/>
      <c r="F224" s="1064"/>
      <c r="G224" s="1068"/>
      <c r="H224" s="13"/>
      <c r="I224" s="1016">
        <f t="shared" si="9"/>
        <v>0</v>
      </c>
      <c r="J224" s="1065"/>
      <c r="K224" s="1066"/>
    </row>
    <row r="225" spans="1:11" ht="24.95" customHeight="1">
      <c r="A225" s="1069"/>
      <c r="B225" s="1070"/>
      <c r="C225" s="1065"/>
      <c r="D225" s="1016">
        <f t="shared" si="8"/>
        <v>0</v>
      </c>
      <c r="E225" s="13"/>
      <c r="F225" s="1064"/>
      <c r="G225" s="1068"/>
      <c r="H225" s="13"/>
      <c r="I225" s="1016">
        <f t="shared" si="9"/>
        <v>0</v>
      </c>
      <c r="J225" s="1065"/>
      <c r="K225" s="1066"/>
    </row>
    <row r="226" spans="1:11" ht="24.95" customHeight="1">
      <c r="A226" s="1069"/>
      <c r="B226" s="1070"/>
      <c r="C226" s="1065"/>
      <c r="D226" s="1016">
        <f t="shared" si="8"/>
        <v>0</v>
      </c>
      <c r="E226" s="13"/>
      <c r="F226" s="1064"/>
      <c r="G226" s="1068"/>
      <c r="H226" s="13"/>
      <c r="I226" s="1016">
        <f t="shared" si="9"/>
        <v>0</v>
      </c>
      <c r="J226" s="1065"/>
      <c r="K226" s="1066"/>
    </row>
    <row r="227" spans="1:11" ht="24.95" customHeight="1">
      <c r="A227" s="1069"/>
      <c r="B227" s="1070"/>
      <c r="C227" s="1065"/>
      <c r="D227" s="1016">
        <f t="shared" si="8"/>
        <v>0</v>
      </c>
      <c r="E227" s="13"/>
      <c r="F227" s="1064"/>
      <c r="G227" s="1068"/>
      <c r="H227" s="13"/>
      <c r="I227" s="1016">
        <f t="shared" si="9"/>
        <v>0</v>
      </c>
      <c r="J227" s="1065"/>
      <c r="K227" s="1066"/>
    </row>
    <row r="228" spans="1:11" ht="24.95" customHeight="1">
      <c r="A228" s="1069"/>
      <c r="B228" s="1070"/>
      <c r="C228" s="1065"/>
      <c r="D228" s="1016">
        <f t="shared" si="8"/>
        <v>0</v>
      </c>
      <c r="E228" s="13"/>
      <c r="F228" s="1064"/>
      <c r="G228" s="1068"/>
      <c r="H228" s="13"/>
      <c r="I228" s="1016">
        <f t="shared" si="9"/>
        <v>0</v>
      </c>
      <c r="J228" s="1065"/>
      <c r="K228" s="1066"/>
    </row>
    <row r="229" spans="1:11" ht="24.95" customHeight="1">
      <c r="A229" s="1069"/>
      <c r="B229" s="1070"/>
      <c r="C229" s="1065"/>
      <c r="D229" s="1016">
        <f t="shared" si="8"/>
        <v>0</v>
      </c>
      <c r="E229" s="13"/>
      <c r="F229" s="1064"/>
      <c r="G229" s="1068"/>
      <c r="H229" s="13"/>
      <c r="I229" s="1016">
        <f t="shared" si="9"/>
        <v>0</v>
      </c>
      <c r="J229" s="1065"/>
      <c r="K229" s="1066"/>
    </row>
    <row r="230" spans="1:11" ht="24.95" customHeight="1">
      <c r="A230" s="1069"/>
      <c r="B230" s="1070"/>
      <c r="C230" s="1065"/>
      <c r="D230" s="1016">
        <f t="shared" si="8"/>
        <v>0</v>
      </c>
      <c r="E230" s="13"/>
      <c r="F230" s="1064"/>
      <c r="G230" s="1068"/>
      <c r="H230" s="13"/>
      <c r="I230" s="1016">
        <f t="shared" si="9"/>
        <v>0</v>
      </c>
      <c r="J230" s="1065"/>
      <c r="K230" s="1066"/>
    </row>
    <row r="231" spans="1:11" ht="24.95" customHeight="1">
      <c r="A231" s="1069"/>
      <c r="B231" s="1070"/>
      <c r="C231" s="1065"/>
      <c r="D231" s="1016">
        <f t="shared" si="8"/>
        <v>0</v>
      </c>
      <c r="E231" s="13"/>
      <c r="F231" s="1064"/>
      <c r="G231" s="1068"/>
      <c r="H231" s="13"/>
      <c r="I231" s="1016">
        <f t="shared" si="9"/>
        <v>0</v>
      </c>
      <c r="J231" s="1065"/>
      <c r="K231" s="1066"/>
    </row>
    <row r="232" spans="1:11" ht="24.95" customHeight="1">
      <c r="A232" s="1069"/>
      <c r="B232" s="1070"/>
      <c r="C232" s="1065"/>
      <c r="D232" s="1016">
        <f t="shared" si="8"/>
        <v>0</v>
      </c>
      <c r="E232" s="13"/>
      <c r="F232" s="1064"/>
      <c r="G232" s="1068"/>
      <c r="H232" s="13"/>
      <c r="I232" s="1016">
        <f t="shared" si="9"/>
        <v>0</v>
      </c>
      <c r="J232" s="1065"/>
      <c r="K232" s="1066"/>
    </row>
    <row r="233" spans="1:11" ht="24.95" customHeight="1">
      <c r="A233" s="1069"/>
      <c r="B233" s="1070"/>
      <c r="C233" s="1065"/>
      <c r="D233" s="1016">
        <f t="shared" si="8"/>
        <v>0</v>
      </c>
      <c r="E233" s="13"/>
      <c r="F233" s="1064"/>
      <c r="G233" s="1068"/>
      <c r="H233" s="13"/>
      <c r="I233" s="1016">
        <f t="shared" si="9"/>
        <v>0</v>
      </c>
      <c r="J233" s="1065"/>
      <c r="K233" s="1066"/>
    </row>
    <row r="234" spans="1:11" ht="24.95" customHeight="1">
      <c r="A234" s="1069"/>
      <c r="B234" s="1070"/>
      <c r="C234" s="1065"/>
      <c r="D234" s="1016">
        <f t="shared" si="8"/>
        <v>0</v>
      </c>
      <c r="E234" s="13"/>
      <c r="F234" s="1064"/>
      <c r="G234" s="1068"/>
      <c r="H234" s="13"/>
      <c r="I234" s="1016">
        <f t="shared" si="9"/>
        <v>0</v>
      </c>
      <c r="J234" s="1065"/>
      <c r="K234" s="1066"/>
    </row>
    <row r="235" spans="1:11" ht="24.95" customHeight="1">
      <c r="A235" s="1069"/>
      <c r="B235" s="1070"/>
      <c r="C235" s="1065"/>
      <c r="D235" s="1016">
        <f t="shared" si="8"/>
        <v>0</v>
      </c>
      <c r="E235" s="13"/>
      <c r="F235" s="1064"/>
      <c r="G235" s="1068"/>
      <c r="H235" s="13"/>
      <c r="I235" s="1016">
        <f t="shared" si="9"/>
        <v>0</v>
      </c>
      <c r="J235" s="1065"/>
      <c r="K235" s="1066"/>
    </row>
    <row r="236" spans="1:11" ht="24.95" customHeight="1">
      <c r="A236" s="1069"/>
      <c r="B236" s="1070"/>
      <c r="C236" s="1065"/>
      <c r="D236" s="1016">
        <f t="shared" si="8"/>
        <v>0</v>
      </c>
      <c r="E236" s="13"/>
      <c r="F236" s="1064"/>
      <c r="G236" s="1068"/>
      <c r="H236" s="13"/>
      <c r="I236" s="1016">
        <f t="shared" si="9"/>
        <v>0</v>
      </c>
      <c r="J236" s="1065"/>
      <c r="K236" s="1066"/>
    </row>
    <row r="237" spans="1:11" ht="24.95" customHeight="1">
      <c r="A237" s="1069"/>
      <c r="B237" s="1070"/>
      <c r="C237" s="1065"/>
      <c r="D237" s="1016">
        <f t="shared" si="8"/>
        <v>0</v>
      </c>
      <c r="E237" s="13"/>
      <c r="F237" s="1064"/>
      <c r="G237" s="1068"/>
      <c r="H237" s="13"/>
      <c r="I237" s="1016">
        <f t="shared" si="9"/>
        <v>0</v>
      </c>
      <c r="J237" s="1065"/>
      <c r="K237" s="1066"/>
    </row>
    <row r="238" spans="1:11" ht="24.95" customHeight="1">
      <c r="A238" s="1069"/>
      <c r="B238" s="1070"/>
      <c r="C238" s="1065"/>
      <c r="D238" s="1016">
        <f t="shared" si="8"/>
        <v>0</v>
      </c>
      <c r="E238" s="13"/>
      <c r="F238" s="1064"/>
      <c r="G238" s="1068"/>
      <c r="H238" s="13"/>
      <c r="I238" s="1016">
        <f t="shared" si="9"/>
        <v>0</v>
      </c>
      <c r="J238" s="1065"/>
      <c r="K238" s="1066"/>
    </row>
    <row r="239" spans="1:11" ht="24.95" customHeight="1">
      <c r="A239" s="1069"/>
      <c r="B239" s="1070"/>
      <c r="C239" s="1065"/>
      <c r="D239" s="1016">
        <f t="shared" si="8"/>
        <v>0</v>
      </c>
      <c r="E239" s="13"/>
      <c r="F239" s="1064"/>
      <c r="G239" s="1068"/>
      <c r="H239" s="13"/>
      <c r="I239" s="1016">
        <f t="shared" si="9"/>
        <v>0</v>
      </c>
      <c r="J239" s="1065"/>
      <c r="K239" s="1066"/>
    </row>
    <row r="240" spans="1:11" ht="24.95" customHeight="1">
      <c r="A240" s="1069"/>
      <c r="B240" s="1070"/>
      <c r="C240" s="1065"/>
      <c r="D240" s="1016">
        <f t="shared" si="8"/>
        <v>0</v>
      </c>
      <c r="E240" s="13"/>
      <c r="F240" s="1064"/>
      <c r="G240" s="1068"/>
      <c r="H240" s="13"/>
      <c r="I240" s="1016">
        <f t="shared" si="9"/>
        <v>0</v>
      </c>
      <c r="J240" s="1065"/>
      <c r="K240" s="1066"/>
    </row>
    <row r="241" spans="1:11" ht="24.95" customHeight="1">
      <c r="A241" s="1069"/>
      <c r="B241" s="1070"/>
      <c r="C241" s="1065"/>
      <c r="D241" s="1016">
        <f t="shared" si="8"/>
        <v>0</v>
      </c>
      <c r="E241" s="13"/>
      <c r="F241" s="1064"/>
      <c r="G241" s="1068"/>
      <c r="H241" s="13"/>
      <c r="I241" s="1016">
        <f t="shared" si="9"/>
        <v>0</v>
      </c>
      <c r="J241" s="1065"/>
      <c r="K241" s="1066"/>
    </row>
    <row r="242" spans="1:11" ht="24.95" customHeight="1">
      <c r="A242" s="1069"/>
      <c r="B242" s="1070"/>
      <c r="C242" s="1065"/>
      <c r="D242" s="1016">
        <f t="shared" si="8"/>
        <v>0</v>
      </c>
      <c r="E242" s="13"/>
      <c r="F242" s="1064"/>
      <c r="G242" s="1068"/>
      <c r="H242" s="13"/>
      <c r="I242" s="1016">
        <f t="shared" si="9"/>
        <v>0</v>
      </c>
      <c r="J242" s="1065"/>
      <c r="K242" s="1066"/>
    </row>
    <row r="243" spans="1:11" ht="24.95" customHeight="1">
      <c r="A243" s="1069"/>
      <c r="B243" s="1070"/>
      <c r="C243" s="1065"/>
      <c r="D243" s="1016">
        <f t="shared" si="8"/>
        <v>0</v>
      </c>
      <c r="E243" s="13"/>
      <c r="F243" s="1064"/>
      <c r="G243" s="1068"/>
      <c r="H243" s="13"/>
      <c r="I243" s="1016">
        <f t="shared" si="9"/>
        <v>0</v>
      </c>
      <c r="J243" s="1065"/>
      <c r="K243" s="1066"/>
    </row>
    <row r="244" spans="1:11" ht="24.95" customHeight="1">
      <c r="A244" s="1069"/>
      <c r="B244" s="1070"/>
      <c r="C244" s="1065"/>
      <c r="D244" s="1016">
        <f t="shared" si="8"/>
        <v>0</v>
      </c>
      <c r="E244" s="13"/>
      <c r="F244" s="1064"/>
      <c r="G244" s="1068"/>
      <c r="H244" s="13"/>
      <c r="I244" s="1016">
        <f t="shared" si="9"/>
        <v>0</v>
      </c>
      <c r="J244" s="1065"/>
      <c r="K244" s="1066"/>
    </row>
    <row r="245" spans="1:11" ht="24.95" customHeight="1">
      <c r="A245" s="1069"/>
      <c r="B245" s="1070"/>
      <c r="C245" s="1065"/>
      <c r="D245" s="1016">
        <f t="shared" si="8"/>
        <v>0</v>
      </c>
      <c r="E245" s="13"/>
      <c r="F245" s="1064"/>
      <c r="G245" s="1068"/>
      <c r="H245" s="13"/>
      <c r="I245" s="1016">
        <f t="shared" si="9"/>
        <v>0</v>
      </c>
      <c r="J245" s="1065"/>
      <c r="K245" s="1066"/>
    </row>
    <row r="246" spans="1:11" ht="24.95" customHeight="1">
      <c r="A246" s="1069"/>
      <c r="B246" s="1070"/>
      <c r="C246" s="1065"/>
      <c r="D246" s="1016">
        <f t="shared" si="8"/>
        <v>0</v>
      </c>
      <c r="E246" s="13"/>
      <c r="F246" s="1064"/>
      <c r="G246" s="1068"/>
      <c r="H246" s="13"/>
      <c r="I246" s="1016">
        <f t="shared" si="9"/>
        <v>0</v>
      </c>
      <c r="J246" s="1065"/>
      <c r="K246" s="1066"/>
    </row>
    <row r="247" spans="1:11" ht="24.95" customHeight="1">
      <c r="A247" s="1069"/>
      <c r="B247" s="1070"/>
      <c r="C247" s="1065"/>
      <c r="D247" s="1016">
        <f t="shared" si="8"/>
        <v>0</v>
      </c>
      <c r="E247" s="13"/>
      <c r="F247" s="1064"/>
      <c r="G247" s="1068"/>
      <c r="H247" s="13"/>
      <c r="I247" s="1016">
        <f t="shared" si="9"/>
        <v>0</v>
      </c>
      <c r="J247" s="1065"/>
      <c r="K247" s="1066"/>
    </row>
    <row r="248" spans="1:11" ht="24.95" customHeight="1">
      <c r="A248" s="1069"/>
      <c r="B248" s="1070"/>
      <c r="C248" s="1065"/>
      <c r="D248" s="1016">
        <f t="shared" si="8"/>
        <v>0</v>
      </c>
      <c r="E248" s="13"/>
      <c r="F248" s="1064"/>
      <c r="G248" s="1068"/>
      <c r="H248" s="13"/>
      <c r="I248" s="1016">
        <f t="shared" si="9"/>
        <v>0</v>
      </c>
      <c r="J248" s="1065"/>
      <c r="K248" s="1066"/>
    </row>
    <row r="249" spans="1:11" ht="24.95" customHeight="1">
      <c r="A249" s="1069"/>
      <c r="B249" s="1070"/>
      <c r="C249" s="1065"/>
      <c r="D249" s="1016">
        <f t="shared" si="8"/>
        <v>0</v>
      </c>
      <c r="E249" s="13"/>
      <c r="F249" s="1064"/>
      <c r="G249" s="1068"/>
      <c r="H249" s="13"/>
      <c r="I249" s="1016">
        <f t="shared" si="9"/>
        <v>0</v>
      </c>
      <c r="J249" s="1065"/>
      <c r="K249" s="1066"/>
    </row>
    <row r="250" spans="1:11" ht="24.95" customHeight="1">
      <c r="A250" s="1069"/>
      <c r="B250" s="1070"/>
      <c r="C250" s="1065"/>
      <c r="D250" s="1016">
        <f t="shared" si="8"/>
        <v>0</v>
      </c>
      <c r="E250" s="13"/>
      <c r="F250" s="1064"/>
      <c r="G250" s="1068"/>
      <c r="H250" s="13"/>
      <c r="I250" s="1016">
        <f t="shared" si="9"/>
        <v>0</v>
      </c>
      <c r="J250" s="1065"/>
      <c r="K250" s="1066"/>
    </row>
    <row r="251" spans="1:11" ht="24.95" customHeight="1">
      <c r="A251" s="1069"/>
      <c r="B251" s="1070"/>
      <c r="C251" s="1065"/>
      <c r="D251" s="1016">
        <f t="shared" si="8"/>
        <v>0</v>
      </c>
      <c r="E251" s="13"/>
      <c r="F251" s="1064"/>
      <c r="G251" s="1068"/>
      <c r="H251" s="13"/>
      <c r="I251" s="1016">
        <f t="shared" si="9"/>
        <v>0</v>
      </c>
      <c r="J251" s="1065"/>
      <c r="K251" s="1066"/>
    </row>
    <row r="252" spans="1:11" ht="24.95" customHeight="1">
      <c r="A252" s="1069"/>
      <c r="B252" s="1070"/>
      <c r="C252" s="1065"/>
      <c r="D252" s="1016">
        <f t="shared" si="8"/>
        <v>0</v>
      </c>
      <c r="E252" s="13"/>
      <c r="F252" s="1064"/>
      <c r="G252" s="1068"/>
      <c r="H252" s="13"/>
      <c r="I252" s="1016">
        <f t="shared" si="9"/>
        <v>0</v>
      </c>
      <c r="J252" s="1065"/>
      <c r="K252" s="1066"/>
    </row>
    <row r="253" spans="1:11" ht="24.95" customHeight="1">
      <c r="A253" s="1069"/>
      <c r="B253" s="1070"/>
      <c r="C253" s="1065"/>
      <c r="D253" s="1016">
        <f t="shared" si="8"/>
        <v>0</v>
      </c>
      <c r="E253" s="13"/>
      <c r="F253" s="1064"/>
      <c r="G253" s="1068"/>
      <c r="H253" s="13"/>
      <c r="I253" s="1016">
        <f t="shared" si="9"/>
        <v>0</v>
      </c>
      <c r="J253" s="1065"/>
      <c r="K253" s="1066"/>
    </row>
    <row r="254" spans="1:11" ht="24.95" customHeight="1">
      <c r="A254" s="1069"/>
      <c r="B254" s="1070"/>
      <c r="C254" s="1065"/>
      <c r="D254" s="1016">
        <f t="shared" si="8"/>
        <v>0</v>
      </c>
      <c r="E254" s="13"/>
      <c r="F254" s="1064"/>
      <c r="G254" s="1068"/>
      <c r="H254" s="13"/>
      <c r="I254" s="1016">
        <f t="shared" si="9"/>
        <v>0</v>
      </c>
      <c r="J254" s="1065"/>
      <c r="K254" s="1066"/>
    </row>
    <row r="255" spans="1:11" ht="24.95" customHeight="1">
      <c r="A255" s="1069"/>
      <c r="B255" s="1070"/>
      <c r="C255" s="1065"/>
      <c r="D255" s="1016">
        <f t="shared" si="8"/>
        <v>0</v>
      </c>
      <c r="E255" s="13"/>
      <c r="F255" s="1064"/>
      <c r="G255" s="1068"/>
      <c r="H255" s="13"/>
      <c r="I255" s="1016">
        <f t="shared" si="9"/>
        <v>0</v>
      </c>
      <c r="J255" s="1065"/>
      <c r="K255" s="1066"/>
    </row>
    <row r="256" spans="1:11" ht="24.95" customHeight="1">
      <c r="A256" s="1069"/>
      <c r="B256" s="1070"/>
      <c r="C256" s="1065"/>
      <c r="D256" s="1016">
        <f t="shared" si="8"/>
        <v>0</v>
      </c>
      <c r="E256" s="13"/>
      <c r="F256" s="1064"/>
      <c r="G256" s="1068"/>
      <c r="H256" s="13"/>
      <c r="I256" s="1016">
        <f t="shared" si="9"/>
        <v>0</v>
      </c>
      <c r="J256" s="1065"/>
      <c r="K256" s="1066"/>
    </row>
    <row r="257" spans="1:11" ht="24.95" customHeight="1">
      <c r="A257" s="1069"/>
      <c r="B257" s="1070"/>
      <c r="C257" s="1065"/>
      <c r="D257" s="1016">
        <f t="shared" si="8"/>
        <v>0</v>
      </c>
      <c r="E257" s="13"/>
      <c r="F257" s="1064"/>
      <c r="G257" s="1068"/>
      <c r="H257" s="13"/>
      <c r="I257" s="1016">
        <f t="shared" si="9"/>
        <v>0</v>
      </c>
      <c r="J257" s="1065"/>
      <c r="K257" s="1066"/>
    </row>
    <row r="258" spans="1:11" ht="24.95" customHeight="1">
      <c r="A258" s="1069"/>
      <c r="B258" s="1070"/>
      <c r="C258" s="1065"/>
      <c r="D258" s="1016">
        <f t="shared" si="8"/>
        <v>0</v>
      </c>
      <c r="E258" s="13"/>
      <c r="F258" s="1064"/>
      <c r="G258" s="1068"/>
      <c r="H258" s="13"/>
      <c r="I258" s="1016">
        <f t="shared" si="9"/>
        <v>0</v>
      </c>
      <c r="J258" s="1065"/>
      <c r="K258" s="1066"/>
    </row>
    <row r="259" spans="1:11" ht="24.95" customHeight="1">
      <c r="A259" s="1069"/>
      <c r="B259" s="1070"/>
      <c r="C259" s="1065"/>
      <c r="D259" s="1016">
        <f t="shared" si="8"/>
        <v>0</v>
      </c>
      <c r="E259" s="13"/>
      <c r="F259" s="1064"/>
      <c r="G259" s="1068"/>
      <c r="H259" s="13"/>
      <c r="I259" s="1016">
        <f t="shared" si="9"/>
        <v>0</v>
      </c>
      <c r="J259" s="1065"/>
      <c r="K259" s="1066"/>
    </row>
    <row r="260" spans="1:11" ht="24.95" customHeight="1">
      <c r="A260" s="1069"/>
      <c r="B260" s="1070"/>
      <c r="C260" s="1065"/>
      <c r="D260" s="1016">
        <f t="shared" si="8"/>
        <v>0</v>
      </c>
      <c r="E260" s="13"/>
      <c r="F260" s="1064"/>
      <c r="G260" s="1068"/>
      <c r="H260" s="13"/>
      <c r="I260" s="1016">
        <f t="shared" si="9"/>
        <v>0</v>
      </c>
      <c r="J260" s="1065"/>
      <c r="K260" s="1066"/>
    </row>
    <row r="261" spans="1:11" ht="24.95" customHeight="1">
      <c r="A261" s="1069"/>
      <c r="B261" s="1070"/>
      <c r="C261" s="1065"/>
      <c r="D261" s="1016">
        <f t="shared" si="8"/>
        <v>0</v>
      </c>
      <c r="E261" s="13"/>
      <c r="F261" s="1064"/>
      <c r="G261" s="1068"/>
      <c r="H261" s="13"/>
      <c r="I261" s="1016">
        <f t="shared" si="9"/>
        <v>0</v>
      </c>
      <c r="J261" s="1065"/>
      <c r="K261" s="1066"/>
    </row>
    <row r="262" spans="1:11" ht="24.95" customHeight="1">
      <c r="A262" s="1069"/>
      <c r="B262" s="1070"/>
      <c r="C262" s="1065"/>
      <c r="D262" s="1016">
        <f t="shared" si="8"/>
        <v>0</v>
      </c>
      <c r="E262" s="13"/>
      <c r="F262" s="1064"/>
      <c r="G262" s="1068"/>
      <c r="H262" s="13"/>
      <c r="I262" s="1016">
        <f t="shared" si="9"/>
        <v>0</v>
      </c>
      <c r="J262" s="1065"/>
      <c r="K262" s="1066"/>
    </row>
    <row r="263" spans="1:11" ht="24.95" customHeight="1">
      <c r="A263" s="1069"/>
      <c r="B263" s="1070"/>
      <c r="C263" s="1065"/>
      <c r="D263" s="1016">
        <f t="shared" ref="D263:D283" si="10">C263+B263</f>
        <v>0</v>
      </c>
      <c r="E263" s="13"/>
      <c r="F263" s="1064"/>
      <c r="G263" s="1068"/>
      <c r="H263" s="13"/>
      <c r="I263" s="1016">
        <f t="shared" ref="I263:I283" si="11">H263+G263</f>
        <v>0</v>
      </c>
      <c r="J263" s="1065"/>
      <c r="K263" s="1066"/>
    </row>
    <row r="264" spans="1:11" ht="24.95" customHeight="1">
      <c r="A264" s="1069"/>
      <c r="B264" s="1070"/>
      <c r="C264" s="1065"/>
      <c r="D264" s="1016">
        <f t="shared" si="10"/>
        <v>0</v>
      </c>
      <c r="E264" s="13"/>
      <c r="F264" s="1064"/>
      <c r="G264" s="1068"/>
      <c r="H264" s="13"/>
      <c r="I264" s="1016">
        <f t="shared" si="11"/>
        <v>0</v>
      </c>
      <c r="J264" s="1065"/>
      <c r="K264" s="1066"/>
    </row>
    <row r="265" spans="1:11" ht="24.95" customHeight="1">
      <c r="A265" s="1069"/>
      <c r="B265" s="1070"/>
      <c r="C265" s="1065"/>
      <c r="D265" s="1016">
        <f t="shared" si="10"/>
        <v>0</v>
      </c>
      <c r="E265" s="13"/>
      <c r="F265" s="1064"/>
      <c r="G265" s="1068"/>
      <c r="H265" s="13"/>
      <c r="I265" s="1016">
        <f t="shared" si="11"/>
        <v>0</v>
      </c>
      <c r="J265" s="1065"/>
      <c r="K265" s="1066"/>
    </row>
    <row r="266" spans="1:11" ht="24.95" customHeight="1">
      <c r="A266" s="1069"/>
      <c r="B266" s="1070"/>
      <c r="C266" s="1065"/>
      <c r="D266" s="1016">
        <f t="shared" si="10"/>
        <v>0</v>
      </c>
      <c r="E266" s="13"/>
      <c r="F266" s="1064"/>
      <c r="G266" s="1068"/>
      <c r="H266" s="13"/>
      <c r="I266" s="1016">
        <f t="shared" si="11"/>
        <v>0</v>
      </c>
      <c r="J266" s="1065"/>
      <c r="K266" s="1066"/>
    </row>
    <row r="267" spans="1:11" ht="24.95" customHeight="1">
      <c r="A267" s="1069"/>
      <c r="B267" s="1070"/>
      <c r="C267" s="1065"/>
      <c r="D267" s="1016">
        <f t="shared" si="10"/>
        <v>0</v>
      </c>
      <c r="E267" s="13"/>
      <c r="F267" s="1064"/>
      <c r="G267" s="1068"/>
      <c r="H267" s="13"/>
      <c r="I267" s="1016">
        <f t="shared" si="11"/>
        <v>0</v>
      </c>
      <c r="J267" s="1065"/>
      <c r="K267" s="1066"/>
    </row>
    <row r="268" spans="1:11" ht="24.95" customHeight="1">
      <c r="A268" s="1069"/>
      <c r="B268" s="1070"/>
      <c r="C268" s="1065"/>
      <c r="D268" s="1016">
        <f t="shared" si="10"/>
        <v>0</v>
      </c>
      <c r="E268" s="13"/>
      <c r="F268" s="1064"/>
      <c r="G268" s="1068"/>
      <c r="H268" s="13"/>
      <c r="I268" s="1016">
        <f t="shared" si="11"/>
        <v>0</v>
      </c>
      <c r="J268" s="1065"/>
      <c r="K268" s="1066"/>
    </row>
    <row r="269" spans="1:11" ht="24.95" customHeight="1">
      <c r="A269" s="1069"/>
      <c r="B269" s="1070"/>
      <c r="C269" s="1065"/>
      <c r="D269" s="1016">
        <f t="shared" si="10"/>
        <v>0</v>
      </c>
      <c r="E269" s="13"/>
      <c r="F269" s="1064"/>
      <c r="G269" s="1068"/>
      <c r="H269" s="13"/>
      <c r="I269" s="1016">
        <f t="shared" si="11"/>
        <v>0</v>
      </c>
      <c r="J269" s="1065"/>
      <c r="K269" s="1066"/>
    </row>
    <row r="270" spans="1:11" ht="24.95" customHeight="1">
      <c r="A270" s="1069"/>
      <c r="B270" s="1070"/>
      <c r="C270" s="1065"/>
      <c r="D270" s="1016">
        <f t="shared" si="10"/>
        <v>0</v>
      </c>
      <c r="E270" s="13"/>
      <c r="F270" s="1064"/>
      <c r="G270" s="1068"/>
      <c r="H270" s="13"/>
      <c r="I270" s="1016">
        <f t="shared" si="11"/>
        <v>0</v>
      </c>
      <c r="J270" s="1065"/>
      <c r="K270" s="1066"/>
    </row>
    <row r="271" spans="1:11" ht="24.95" customHeight="1">
      <c r="A271" s="1069"/>
      <c r="B271" s="1070"/>
      <c r="C271" s="1065"/>
      <c r="D271" s="1016">
        <f t="shared" si="10"/>
        <v>0</v>
      </c>
      <c r="E271" s="13"/>
      <c r="F271" s="1064"/>
      <c r="G271" s="1068"/>
      <c r="H271" s="13"/>
      <c r="I271" s="1016">
        <f t="shared" si="11"/>
        <v>0</v>
      </c>
      <c r="J271" s="1065"/>
      <c r="K271" s="1066"/>
    </row>
    <row r="272" spans="1:11" ht="24.95" customHeight="1">
      <c r="A272" s="1069"/>
      <c r="B272" s="1070"/>
      <c r="C272" s="1065"/>
      <c r="D272" s="1016">
        <f t="shared" si="10"/>
        <v>0</v>
      </c>
      <c r="E272" s="13"/>
      <c r="F272" s="1064"/>
      <c r="G272" s="1068"/>
      <c r="H272" s="13"/>
      <c r="I272" s="1016">
        <f t="shared" si="11"/>
        <v>0</v>
      </c>
      <c r="J272" s="1065"/>
      <c r="K272" s="1066"/>
    </row>
    <row r="273" spans="1:11" ht="24.95" customHeight="1">
      <c r="A273" s="1069"/>
      <c r="B273" s="1070"/>
      <c r="C273" s="1065"/>
      <c r="D273" s="1016">
        <f t="shared" si="10"/>
        <v>0</v>
      </c>
      <c r="E273" s="13"/>
      <c r="F273" s="1064"/>
      <c r="G273" s="1068"/>
      <c r="H273" s="13"/>
      <c r="I273" s="1016">
        <f t="shared" si="11"/>
        <v>0</v>
      </c>
      <c r="J273" s="1065"/>
      <c r="K273" s="1066"/>
    </row>
    <row r="274" spans="1:11" ht="24.95" customHeight="1">
      <c r="A274" s="1069"/>
      <c r="B274" s="1070"/>
      <c r="C274" s="1065"/>
      <c r="D274" s="1016">
        <f t="shared" si="10"/>
        <v>0</v>
      </c>
      <c r="E274" s="13"/>
      <c r="F274" s="1064"/>
      <c r="G274" s="1068"/>
      <c r="H274" s="13"/>
      <c r="I274" s="1016">
        <f t="shared" si="11"/>
        <v>0</v>
      </c>
      <c r="J274" s="1065"/>
      <c r="K274" s="1066"/>
    </row>
    <row r="275" spans="1:11" ht="24.95" customHeight="1">
      <c r="A275" s="1069"/>
      <c r="B275" s="1070"/>
      <c r="C275" s="1065"/>
      <c r="D275" s="1016">
        <f t="shared" si="10"/>
        <v>0</v>
      </c>
      <c r="E275" s="13"/>
      <c r="F275" s="1064"/>
      <c r="G275" s="1068"/>
      <c r="H275" s="13"/>
      <c r="I275" s="1016">
        <f t="shared" si="11"/>
        <v>0</v>
      </c>
      <c r="J275" s="1065"/>
      <c r="K275" s="1066"/>
    </row>
    <row r="276" spans="1:11" ht="24.95" customHeight="1">
      <c r="A276" s="1014"/>
      <c r="B276" s="1068"/>
      <c r="C276" s="13"/>
      <c r="D276" s="1016">
        <f t="shared" si="10"/>
        <v>0</v>
      </c>
      <c r="E276" s="13"/>
      <c r="F276" s="1064"/>
      <c r="G276" s="1068"/>
      <c r="H276" s="13"/>
      <c r="I276" s="1016">
        <f t="shared" si="11"/>
        <v>0</v>
      </c>
      <c r="J276" s="13"/>
      <c r="K276" s="1064"/>
    </row>
    <row r="277" spans="1:11" ht="24.95" customHeight="1">
      <c r="A277" s="1014"/>
      <c r="B277" s="1068"/>
      <c r="C277" s="13"/>
      <c r="D277" s="1016">
        <f t="shared" si="10"/>
        <v>0</v>
      </c>
      <c r="E277" s="13"/>
      <c r="F277" s="1064"/>
      <c r="G277" s="1068"/>
      <c r="H277" s="13"/>
      <c r="I277" s="1016">
        <f t="shared" si="11"/>
        <v>0</v>
      </c>
      <c r="J277" s="13"/>
      <c r="K277" s="1064"/>
    </row>
    <row r="278" spans="1:11" ht="24.95" customHeight="1">
      <c r="A278" s="1014"/>
      <c r="B278" s="1068"/>
      <c r="C278" s="13"/>
      <c r="D278" s="1016">
        <f t="shared" si="10"/>
        <v>0</v>
      </c>
      <c r="E278" s="13"/>
      <c r="F278" s="1064"/>
      <c r="G278" s="1068"/>
      <c r="H278" s="13"/>
      <c r="I278" s="1016">
        <f t="shared" si="11"/>
        <v>0</v>
      </c>
      <c r="J278" s="13"/>
      <c r="K278" s="1064"/>
    </row>
    <row r="279" spans="1:11" ht="24.95" customHeight="1">
      <c r="A279" s="1014"/>
      <c r="B279" s="1068"/>
      <c r="C279" s="13"/>
      <c r="D279" s="1016">
        <f t="shared" si="10"/>
        <v>0</v>
      </c>
      <c r="E279" s="13"/>
      <c r="F279" s="1064"/>
      <c r="G279" s="1068"/>
      <c r="H279" s="13"/>
      <c r="I279" s="1016">
        <f t="shared" si="11"/>
        <v>0</v>
      </c>
      <c r="J279" s="13"/>
      <c r="K279" s="1064"/>
    </row>
    <row r="280" spans="1:11" ht="24.95" customHeight="1">
      <c r="A280" s="1014"/>
      <c r="B280" s="1068"/>
      <c r="C280" s="13"/>
      <c r="D280" s="1016">
        <f t="shared" si="10"/>
        <v>0</v>
      </c>
      <c r="E280" s="13"/>
      <c r="F280" s="1064"/>
      <c r="G280" s="1068"/>
      <c r="H280" s="13"/>
      <c r="I280" s="1016">
        <f t="shared" si="11"/>
        <v>0</v>
      </c>
      <c r="J280" s="13"/>
      <c r="K280" s="1064"/>
    </row>
    <row r="281" spans="1:11" ht="24.95" customHeight="1">
      <c r="A281" s="1014"/>
      <c r="B281" s="1068"/>
      <c r="C281" s="13"/>
      <c r="D281" s="1016">
        <f t="shared" si="10"/>
        <v>0</v>
      </c>
      <c r="E281" s="13"/>
      <c r="F281" s="1064"/>
      <c r="G281" s="1068"/>
      <c r="H281" s="13"/>
      <c r="I281" s="1016">
        <f t="shared" si="11"/>
        <v>0</v>
      </c>
      <c r="J281" s="13"/>
      <c r="K281" s="1064"/>
    </row>
    <row r="282" spans="1:11" ht="24.95" customHeight="1">
      <c r="A282" s="1014"/>
      <c r="B282" s="1068"/>
      <c r="C282" s="13"/>
      <c r="D282" s="1016">
        <f t="shared" si="10"/>
        <v>0</v>
      </c>
      <c r="E282" s="13"/>
      <c r="F282" s="1064"/>
      <c r="G282" s="1068"/>
      <c r="H282" s="13"/>
      <c r="I282" s="1016">
        <f t="shared" si="11"/>
        <v>0</v>
      </c>
      <c r="J282" s="13"/>
      <c r="K282" s="1064"/>
    </row>
    <row r="283" spans="1:11" ht="24.95" customHeight="1">
      <c r="A283" s="1014"/>
      <c r="B283" s="1068"/>
      <c r="C283" s="13"/>
      <c r="D283" s="1016">
        <f t="shared" si="10"/>
        <v>0</v>
      </c>
      <c r="E283" s="13"/>
      <c r="F283" s="1064"/>
      <c r="G283" s="1068"/>
      <c r="H283" s="13"/>
      <c r="I283" s="1016">
        <f t="shared" si="11"/>
        <v>0</v>
      </c>
      <c r="J283" s="13"/>
      <c r="K283" s="1064"/>
    </row>
    <row r="284" spans="1:11" ht="24.95" customHeight="1">
      <c r="A284" s="1014"/>
      <c r="B284" s="1068"/>
      <c r="C284" s="13"/>
      <c r="D284" s="1016">
        <f t="shared" ref="D284:D293" si="12">C284+B284</f>
        <v>0</v>
      </c>
      <c r="E284" s="13"/>
      <c r="F284" s="1064"/>
      <c r="G284" s="1068"/>
      <c r="H284" s="13"/>
      <c r="I284" s="1016">
        <f t="shared" ref="I284:I293" si="13">H284+G284</f>
        <v>0</v>
      </c>
      <c r="J284" s="13"/>
      <c r="K284" s="1064"/>
    </row>
    <row r="285" spans="1:11" ht="24.95" customHeight="1">
      <c r="A285" s="1014"/>
      <c r="B285" s="1068"/>
      <c r="C285" s="13"/>
      <c r="D285" s="1016">
        <f t="shared" si="12"/>
        <v>0</v>
      </c>
      <c r="E285" s="13"/>
      <c r="F285" s="1064"/>
      <c r="G285" s="1068"/>
      <c r="H285" s="13"/>
      <c r="I285" s="1016">
        <f t="shared" si="13"/>
        <v>0</v>
      </c>
      <c r="J285" s="13"/>
      <c r="K285" s="1064"/>
    </row>
    <row r="286" spans="1:11" ht="24.95" customHeight="1">
      <c r="A286" s="1014"/>
      <c r="B286" s="1068"/>
      <c r="C286" s="13"/>
      <c r="D286" s="1016">
        <f t="shared" si="12"/>
        <v>0</v>
      </c>
      <c r="E286" s="13"/>
      <c r="F286" s="1064"/>
      <c r="G286" s="1068"/>
      <c r="H286" s="13"/>
      <c r="I286" s="1016">
        <f t="shared" si="13"/>
        <v>0</v>
      </c>
      <c r="J286" s="13"/>
      <c r="K286" s="1064"/>
    </row>
    <row r="287" spans="1:11" ht="24.95" customHeight="1">
      <c r="A287" s="1014"/>
      <c r="B287" s="1068"/>
      <c r="C287" s="13"/>
      <c r="D287" s="1016">
        <f t="shared" si="12"/>
        <v>0</v>
      </c>
      <c r="E287" s="13"/>
      <c r="F287" s="1064"/>
      <c r="G287" s="1068"/>
      <c r="H287" s="13"/>
      <c r="I287" s="1016">
        <f t="shared" si="13"/>
        <v>0</v>
      </c>
      <c r="J287" s="13"/>
      <c r="K287" s="1064"/>
    </row>
    <row r="288" spans="1:11" ht="24.95" customHeight="1">
      <c r="A288" s="1014"/>
      <c r="B288" s="1068"/>
      <c r="C288" s="13"/>
      <c r="D288" s="1016">
        <f t="shared" si="12"/>
        <v>0</v>
      </c>
      <c r="E288" s="13"/>
      <c r="F288" s="1064"/>
      <c r="G288" s="1068"/>
      <c r="H288" s="13"/>
      <c r="I288" s="1016">
        <f t="shared" si="13"/>
        <v>0</v>
      </c>
      <c r="J288" s="13"/>
      <c r="K288" s="1064"/>
    </row>
    <row r="289" spans="1:11" ht="24.95" customHeight="1">
      <c r="A289" s="1014"/>
      <c r="B289" s="1068"/>
      <c r="C289" s="13"/>
      <c r="D289" s="1016">
        <f t="shared" si="12"/>
        <v>0</v>
      </c>
      <c r="E289" s="13"/>
      <c r="F289" s="1064"/>
      <c r="G289" s="1068"/>
      <c r="H289" s="13"/>
      <c r="I289" s="1016">
        <f t="shared" si="13"/>
        <v>0</v>
      </c>
      <c r="J289" s="13"/>
      <c r="K289" s="1064"/>
    </row>
    <row r="290" spans="1:11" ht="24.95" customHeight="1">
      <c r="A290" s="1014"/>
      <c r="B290" s="1068"/>
      <c r="C290" s="13"/>
      <c r="D290" s="1016">
        <f t="shared" si="12"/>
        <v>0</v>
      </c>
      <c r="E290" s="13"/>
      <c r="F290" s="1064"/>
      <c r="G290" s="1068"/>
      <c r="H290" s="13"/>
      <c r="I290" s="1016">
        <f t="shared" si="13"/>
        <v>0</v>
      </c>
      <c r="J290" s="13"/>
      <c r="K290" s="1064"/>
    </row>
    <row r="291" spans="1:11" ht="24.95" customHeight="1">
      <c r="A291" s="1014"/>
      <c r="B291" s="1068"/>
      <c r="C291" s="13"/>
      <c r="D291" s="1016">
        <f t="shared" si="12"/>
        <v>0</v>
      </c>
      <c r="E291" s="13"/>
      <c r="F291" s="1064"/>
      <c r="G291" s="1068"/>
      <c r="H291" s="13"/>
      <c r="I291" s="1016">
        <f t="shared" si="13"/>
        <v>0</v>
      </c>
      <c r="J291" s="13"/>
      <c r="K291" s="1064"/>
    </row>
    <row r="292" spans="1:11" ht="24.95" customHeight="1">
      <c r="A292" s="1014"/>
      <c r="B292" s="1068"/>
      <c r="C292" s="13"/>
      <c r="D292" s="1016">
        <f t="shared" si="12"/>
        <v>0</v>
      </c>
      <c r="E292" s="13"/>
      <c r="F292" s="1064"/>
      <c r="G292" s="1068"/>
      <c r="H292" s="13"/>
      <c r="I292" s="1016">
        <f t="shared" si="13"/>
        <v>0</v>
      </c>
      <c r="J292" s="13"/>
      <c r="K292" s="1064"/>
    </row>
    <row r="293" spans="1:11" ht="24.95" customHeight="1">
      <c r="A293" s="1014"/>
      <c r="B293" s="1068"/>
      <c r="C293" s="13"/>
      <c r="D293" s="1016">
        <f t="shared" si="12"/>
        <v>0</v>
      </c>
      <c r="E293" s="13"/>
      <c r="F293" s="1064"/>
      <c r="G293" s="1068"/>
      <c r="H293" s="13"/>
      <c r="I293" s="1016">
        <f t="shared" si="13"/>
        <v>0</v>
      </c>
      <c r="J293" s="13"/>
      <c r="K293" s="1064"/>
    </row>
    <row r="294" spans="1:11" ht="24.95" customHeight="1" thickBot="1">
      <c r="A294" s="1018" t="s">
        <v>100</v>
      </c>
      <c r="B294" s="1073">
        <f>SUM(B6:B293)</f>
        <v>0</v>
      </c>
      <c r="C294" s="1074">
        <f>SUM(C6:C293)</f>
        <v>0</v>
      </c>
      <c r="D294" s="1074">
        <f>C294+B294</f>
        <v>0</v>
      </c>
      <c r="E294" s="1074">
        <f>SUM(E6:E293)</f>
        <v>0</v>
      </c>
      <c r="F294" s="1017">
        <f>E294+B294</f>
        <v>0</v>
      </c>
      <c r="G294" s="1073">
        <f>SUM(G6:G293)</f>
        <v>0</v>
      </c>
      <c r="H294" s="1074">
        <f>SUM(H6:H293)</f>
        <v>0</v>
      </c>
      <c r="I294" s="1074">
        <f>H294+G294</f>
        <v>0</v>
      </c>
      <c r="J294" s="1074">
        <f>SUM(J6:J293)</f>
        <v>0</v>
      </c>
      <c r="K294" s="1017">
        <f>J294+G294</f>
        <v>0</v>
      </c>
    </row>
    <row r="296" spans="1:11" ht="19.5">
      <c r="A296" s="63"/>
      <c r="B296" s="63"/>
      <c r="C296" s="63"/>
      <c r="D296" s="63"/>
      <c r="E296" s="64"/>
      <c r="F296" s="63"/>
      <c r="H296" s="63"/>
      <c r="I296" s="65"/>
    </row>
  </sheetData>
  <mergeCells count="5">
    <mergeCell ref="G4:K4"/>
    <mergeCell ref="A1:K1"/>
    <mergeCell ref="G3:H3"/>
    <mergeCell ref="A4:A5"/>
    <mergeCell ref="B4:F4"/>
  </mergeCells>
  <printOptions horizontalCentered="1"/>
  <pageMargins left="0.59055118110236227" right="0.59055118110236227" top="0.19685039370078741" bottom="0.78740157480314965" header="0.19685039370078741" footer="0.19685039370078741"/>
  <pageSetup paperSize="9" scale="6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90">
    <tabColor rgb="FFE60000"/>
  </sheetPr>
  <dimension ref="A3:P5"/>
  <sheetViews>
    <sheetView rightToLeft="1" workbookViewId="0"/>
  </sheetViews>
  <sheetFormatPr defaultColWidth="9" defaultRowHeight="15"/>
  <cols>
    <col min="1" max="1" width="40.42578125" style="5" bestFit="1" customWidth="1"/>
    <col min="2" max="16384" width="9" style="5"/>
  </cols>
  <sheetData>
    <row r="3" spans="1:16" ht="33.75">
      <c r="A3" s="3345" t="s">
        <v>334</v>
      </c>
      <c r="B3" s="3346"/>
      <c r="C3" s="3346"/>
      <c r="D3" s="3346"/>
      <c r="O3" s="48"/>
      <c r="P3" s="48"/>
    </row>
    <row r="4" spans="1:16">
      <c r="O4" s="48"/>
      <c r="P4" s="48"/>
    </row>
    <row r="5" spans="1:16" ht="19.5">
      <c r="A5" s="29" t="s">
        <v>577</v>
      </c>
      <c r="O5" s="48"/>
      <c r="P5" s="48"/>
    </row>
  </sheetData>
  <mergeCells count="1">
    <mergeCell ref="A3:D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Button2_Click">
                <anchor moveWithCells="1" sizeWithCells="1">
                  <from>
                    <xdr:col>2</xdr:col>
                    <xdr:colOff>342900</xdr:colOff>
                    <xdr:row>3</xdr:row>
                    <xdr:rowOff>152400</xdr:rowOff>
                  </from>
                  <to>
                    <xdr:col>4</xdr:col>
                    <xdr:colOff>142875</xdr:colOff>
                    <xdr:row>6</xdr:row>
                    <xdr:rowOff>76200</xdr:rowOff>
                  </to>
                </anchor>
              </controlPr>
            </control>
          </mc:Choice>
        </mc:AlternateContent>
        <mc:AlternateContent xmlns:mc="http://schemas.openxmlformats.org/markup-compatibility/2006">
          <mc:Choice Requires="x14">
            <control shapeId="96258" r:id="rId5" name="Button 2">
              <controlPr defaultSize="0" print="0" autoFill="0" autoPict="0" macro="[0]!Button3_Click">
                <anchor moveWithCells="1" sizeWithCells="1">
                  <from>
                    <xdr:col>1</xdr:col>
                    <xdr:colOff>190500</xdr:colOff>
                    <xdr:row>6</xdr:row>
                    <xdr:rowOff>133350</xdr:rowOff>
                  </from>
                  <to>
                    <xdr:col>4</xdr:col>
                    <xdr:colOff>133350</xdr:colOff>
                    <xdr:row>9</xdr:row>
                    <xdr:rowOff>114300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91">
    <tabColor rgb="FFE60000"/>
    <pageSetUpPr fitToPage="1"/>
  </sheetPr>
  <dimension ref="A1:F654"/>
  <sheetViews>
    <sheetView rightToLeft="1" workbookViewId="0">
      <selection activeCell="E8" sqref="E8"/>
    </sheetView>
  </sheetViews>
  <sheetFormatPr defaultColWidth="9" defaultRowHeight="18"/>
  <cols>
    <col min="1" max="1" width="4" style="142" bestFit="1" customWidth="1"/>
    <col min="2" max="2" width="30.5703125" style="152" customWidth="1"/>
    <col min="3" max="4" width="25.5703125" style="152" customWidth="1"/>
    <col min="5" max="5" width="60.5703125" style="152" customWidth="1"/>
    <col min="6" max="6" width="15.5703125" style="153" customWidth="1"/>
    <col min="7" max="16384" width="9" style="142"/>
  </cols>
  <sheetData>
    <row r="1" spans="1:6" ht="25.5">
      <c r="A1" s="141"/>
      <c r="B1" s="3347" t="s">
        <v>578</v>
      </c>
      <c r="C1" s="3347"/>
      <c r="D1" s="3347"/>
      <c r="E1" s="3347"/>
      <c r="F1" s="3347"/>
    </row>
    <row r="2" spans="1:6" ht="63" customHeight="1" thickBot="1">
      <c r="B2" s="143" t="s">
        <v>579</v>
      </c>
      <c r="C2" s="144" t="s">
        <v>580</v>
      </c>
      <c r="D2" s="144" t="s">
        <v>581</v>
      </c>
      <c r="E2" s="144" t="s">
        <v>582</v>
      </c>
      <c r="F2" s="145" t="s">
        <v>583</v>
      </c>
    </row>
    <row r="3" spans="1:6" ht="60" customHeight="1" thickTop="1">
      <c r="B3" s="146"/>
      <c r="C3" s="147"/>
      <c r="D3" s="147"/>
      <c r="E3" s="147"/>
      <c r="F3" s="148"/>
    </row>
    <row r="4" spans="1:6" ht="60" customHeight="1">
      <c r="B4" s="149"/>
      <c r="C4" s="150"/>
      <c r="D4" s="150"/>
      <c r="E4" s="150"/>
      <c r="F4" s="151"/>
    </row>
    <row r="5" spans="1:6" ht="60" customHeight="1"/>
    <row r="6" spans="1:6" ht="60" customHeight="1"/>
    <row r="7" spans="1:6" ht="60" customHeight="1"/>
    <row r="8" spans="1:6" ht="60" customHeight="1"/>
    <row r="9" spans="1:6" ht="60" customHeight="1"/>
    <row r="10" spans="1:6" ht="60" customHeight="1"/>
    <row r="11" spans="1:6" ht="60" customHeight="1"/>
    <row r="12" spans="1:6" ht="60" customHeight="1"/>
    <row r="13" spans="1:6" ht="60" customHeight="1"/>
    <row r="14" spans="1:6" ht="60" customHeight="1"/>
    <row r="15" spans="1:6" ht="60" customHeight="1"/>
    <row r="16" spans="1:6" ht="60" customHeight="1"/>
    <row r="17" ht="60" customHeight="1"/>
    <row r="18" ht="60" customHeight="1"/>
    <row r="19" ht="60" customHeight="1"/>
    <row r="20" ht="60" customHeight="1"/>
    <row r="21" ht="60" customHeight="1"/>
    <row r="22" ht="60" customHeight="1"/>
    <row r="23" ht="60" customHeight="1"/>
    <row r="24" ht="60" customHeight="1"/>
    <row r="25" ht="60" customHeight="1"/>
    <row r="26" ht="60" customHeight="1"/>
    <row r="27" ht="60" customHeight="1"/>
    <row r="28" ht="60" customHeight="1"/>
    <row r="29" ht="60" customHeight="1"/>
    <row r="30" ht="60" customHeight="1"/>
    <row r="31" ht="60" customHeight="1"/>
    <row r="32" ht="60" customHeight="1"/>
    <row r="33" ht="60" customHeight="1"/>
    <row r="34" ht="60" customHeight="1"/>
    <row r="35" ht="60" customHeight="1"/>
    <row r="36" ht="60" customHeight="1"/>
    <row r="37" ht="60" customHeight="1"/>
    <row r="38" ht="60" customHeight="1"/>
    <row r="39" ht="60" customHeight="1"/>
    <row r="40" ht="60" customHeight="1"/>
    <row r="41" ht="60" customHeight="1"/>
    <row r="42" ht="60" customHeight="1"/>
    <row r="43" ht="60" customHeight="1"/>
    <row r="44" ht="60" customHeight="1"/>
    <row r="45" ht="60" customHeight="1"/>
    <row r="46" ht="60" customHeight="1"/>
    <row r="47" ht="60" customHeight="1"/>
    <row r="48" ht="60" customHeight="1"/>
    <row r="49" ht="60" customHeight="1"/>
    <row r="50" ht="60" customHeight="1"/>
    <row r="51" ht="60" customHeight="1"/>
    <row r="52" ht="60" customHeight="1"/>
    <row r="53" ht="60" customHeight="1"/>
    <row r="54" ht="60" customHeight="1"/>
    <row r="55" ht="60" customHeight="1"/>
    <row r="56" ht="60" customHeight="1"/>
    <row r="57" ht="60" customHeight="1"/>
    <row r="58" ht="60" customHeight="1"/>
    <row r="59" ht="60" customHeight="1"/>
    <row r="60" ht="60" customHeight="1"/>
    <row r="61" ht="60" customHeight="1"/>
    <row r="62" ht="60" customHeight="1"/>
    <row r="63" ht="60" customHeight="1"/>
    <row r="64" ht="60" customHeight="1"/>
    <row r="65" ht="60" customHeight="1"/>
    <row r="66" ht="60" customHeight="1"/>
    <row r="67" ht="60" customHeight="1"/>
    <row r="68" ht="60" customHeight="1"/>
    <row r="69" ht="60" customHeight="1"/>
    <row r="70" ht="60" customHeight="1"/>
    <row r="71" ht="60" customHeight="1"/>
    <row r="72" ht="60" customHeight="1"/>
    <row r="73" ht="60" customHeight="1"/>
    <row r="74" ht="60" customHeight="1"/>
    <row r="75" ht="60" customHeight="1"/>
    <row r="76" ht="60" customHeight="1"/>
    <row r="77" ht="60" customHeight="1"/>
    <row r="78" ht="60" customHeight="1"/>
    <row r="79" ht="60" customHeight="1"/>
    <row r="80" ht="60" customHeight="1"/>
    <row r="81" ht="60" customHeight="1"/>
    <row r="82" ht="60" customHeight="1"/>
    <row r="83" ht="60" customHeight="1"/>
    <row r="84" ht="60" customHeight="1"/>
    <row r="85" ht="60" customHeight="1"/>
    <row r="86" ht="60" customHeight="1"/>
    <row r="87" ht="60" customHeight="1"/>
    <row r="88" ht="60" customHeight="1"/>
    <row r="89" ht="60" customHeight="1"/>
    <row r="90" ht="60" customHeight="1"/>
    <row r="91" ht="60" customHeight="1"/>
    <row r="92" ht="60" customHeight="1"/>
    <row r="93" ht="60" customHeight="1"/>
    <row r="94" ht="60" customHeight="1"/>
    <row r="95" ht="60" customHeight="1"/>
    <row r="96" ht="60" customHeight="1"/>
    <row r="97" ht="60" customHeight="1"/>
    <row r="98" ht="60" customHeight="1"/>
    <row r="99" ht="60" customHeight="1"/>
    <row r="100" ht="60" customHeight="1"/>
    <row r="101" ht="60" customHeight="1"/>
    <row r="102" ht="60" customHeight="1"/>
    <row r="103" ht="60" customHeight="1"/>
    <row r="104" ht="60" customHeight="1"/>
    <row r="105" ht="60" customHeight="1"/>
    <row r="106" ht="60" customHeight="1"/>
    <row r="107" ht="60" customHeight="1"/>
    <row r="108" ht="60" customHeight="1"/>
    <row r="109" ht="60" customHeight="1"/>
    <row r="110" ht="60" customHeight="1"/>
    <row r="111" ht="60" customHeight="1"/>
    <row r="112" ht="60" customHeight="1"/>
    <row r="113" ht="60" customHeight="1"/>
    <row r="114" ht="60" customHeight="1"/>
    <row r="115" ht="60" customHeight="1"/>
    <row r="116" ht="60" customHeight="1"/>
    <row r="117" ht="60" customHeight="1"/>
    <row r="118" ht="60" customHeight="1"/>
    <row r="119" ht="60" customHeight="1"/>
    <row r="120" ht="60" customHeight="1"/>
    <row r="121" ht="60" customHeight="1"/>
    <row r="122" ht="60" customHeight="1"/>
    <row r="123" ht="60" customHeight="1"/>
    <row r="124" ht="60" customHeight="1"/>
    <row r="125" ht="60" customHeight="1"/>
    <row r="126" ht="60" customHeight="1"/>
    <row r="127" ht="60" customHeight="1"/>
    <row r="128" ht="60" customHeight="1"/>
    <row r="129" ht="60" customHeight="1"/>
    <row r="130" ht="60" customHeight="1"/>
    <row r="131" ht="60" customHeight="1"/>
    <row r="132" ht="60" customHeight="1"/>
    <row r="133" ht="60" customHeight="1"/>
    <row r="134" ht="60" customHeight="1"/>
    <row r="135" ht="60" customHeight="1"/>
    <row r="136" ht="60" customHeight="1"/>
    <row r="137" ht="60" customHeight="1"/>
    <row r="138" ht="60" customHeight="1"/>
    <row r="139" ht="60" customHeight="1"/>
    <row r="140" ht="60" customHeight="1"/>
    <row r="141" ht="60" customHeight="1"/>
    <row r="142" ht="60" customHeight="1"/>
    <row r="143" ht="60" customHeight="1"/>
    <row r="144" ht="60" customHeight="1"/>
    <row r="145" ht="60" customHeight="1"/>
    <row r="146" ht="60" customHeight="1"/>
    <row r="147" ht="60" customHeight="1"/>
    <row r="148" ht="60" customHeight="1"/>
    <row r="149" ht="60" customHeight="1"/>
    <row r="150" ht="60" customHeight="1"/>
    <row r="151" ht="60" customHeight="1"/>
    <row r="152" ht="60" customHeight="1"/>
    <row r="153" ht="60" customHeight="1"/>
    <row r="154" ht="60" customHeight="1"/>
    <row r="155" ht="60" customHeight="1"/>
    <row r="156" ht="60" customHeight="1"/>
    <row r="157" ht="60" customHeight="1"/>
    <row r="158" ht="60" customHeight="1"/>
    <row r="159" ht="60" customHeight="1"/>
    <row r="160" ht="60" customHeight="1"/>
    <row r="161" ht="60" customHeight="1"/>
    <row r="162" ht="60" customHeight="1"/>
    <row r="163" ht="60" customHeight="1"/>
    <row r="164" ht="60" customHeight="1"/>
    <row r="165" ht="60" customHeight="1"/>
    <row r="166" ht="60" customHeight="1"/>
    <row r="167" ht="60" customHeight="1"/>
    <row r="168" ht="60" customHeight="1"/>
    <row r="169" ht="60" customHeight="1"/>
    <row r="170" ht="60" customHeight="1"/>
    <row r="171" ht="60" customHeight="1"/>
    <row r="172" ht="60" customHeight="1"/>
    <row r="173" ht="60" customHeight="1"/>
    <row r="174" ht="60" customHeight="1"/>
    <row r="175" ht="60" customHeight="1"/>
    <row r="176" ht="60" customHeight="1"/>
    <row r="177" ht="60" customHeight="1"/>
    <row r="178" ht="60" customHeight="1"/>
    <row r="179" ht="60" customHeight="1"/>
    <row r="180" ht="60" customHeight="1"/>
    <row r="181" ht="60" customHeight="1"/>
    <row r="182" ht="60" customHeight="1"/>
    <row r="183" ht="60" customHeight="1"/>
    <row r="184" ht="60" customHeight="1"/>
    <row r="185" ht="60" customHeight="1"/>
    <row r="186" ht="60" customHeight="1"/>
    <row r="187" ht="60" customHeight="1"/>
    <row r="188" ht="60" customHeight="1"/>
    <row r="189" ht="60" customHeight="1"/>
    <row r="190" ht="60" customHeight="1"/>
    <row r="191" ht="60" customHeight="1"/>
    <row r="192" ht="60" customHeight="1"/>
    <row r="193" ht="60" customHeight="1"/>
    <row r="194" ht="60" customHeight="1"/>
    <row r="195" ht="60" customHeight="1"/>
    <row r="196" ht="60" customHeight="1"/>
    <row r="197" ht="60" customHeight="1"/>
    <row r="198" ht="60" customHeight="1"/>
    <row r="199" ht="60" customHeight="1"/>
    <row r="200" ht="60" customHeight="1"/>
    <row r="201" ht="60" customHeight="1"/>
    <row r="202" ht="60" customHeight="1"/>
    <row r="203" ht="60" customHeight="1"/>
    <row r="204" ht="60" customHeight="1"/>
    <row r="205" ht="60" customHeight="1"/>
    <row r="206" ht="60" customHeight="1"/>
    <row r="207" ht="60" customHeight="1"/>
    <row r="208" ht="60" customHeight="1"/>
    <row r="209" ht="60" customHeight="1"/>
    <row r="210" ht="60" customHeight="1"/>
    <row r="211" ht="60" customHeight="1"/>
    <row r="212" ht="60" customHeight="1"/>
    <row r="213" ht="60" customHeight="1"/>
    <row r="214" ht="60" customHeight="1"/>
    <row r="215" ht="60" customHeight="1"/>
    <row r="216" ht="60" customHeight="1"/>
    <row r="217" ht="60" customHeight="1"/>
    <row r="218" ht="60" customHeight="1"/>
    <row r="219" ht="60" customHeight="1"/>
    <row r="220" ht="60" customHeight="1"/>
    <row r="221" ht="60" customHeight="1"/>
    <row r="222" ht="60" customHeight="1"/>
    <row r="223" ht="60" customHeight="1"/>
    <row r="224" ht="60" customHeight="1"/>
    <row r="225" ht="60" customHeight="1"/>
    <row r="226" ht="60" customHeight="1"/>
    <row r="227" ht="60" customHeight="1"/>
    <row r="228" ht="60" customHeight="1"/>
    <row r="229" ht="60" customHeight="1"/>
    <row r="230" ht="60" customHeight="1"/>
    <row r="231" ht="60" customHeight="1"/>
    <row r="232" ht="60" customHeight="1"/>
    <row r="233" ht="60" customHeight="1"/>
    <row r="234" ht="60" customHeight="1"/>
    <row r="235" ht="60" customHeight="1"/>
    <row r="236" ht="60" customHeight="1"/>
    <row r="237" ht="60" customHeight="1"/>
    <row r="238" ht="60" customHeight="1"/>
    <row r="239" ht="60" customHeight="1"/>
    <row r="240" ht="60" customHeight="1"/>
    <row r="241" ht="60" customHeight="1"/>
    <row r="242" ht="60" customHeight="1"/>
    <row r="243" ht="60" customHeight="1"/>
    <row r="244" ht="60" customHeight="1"/>
    <row r="245" ht="60" customHeight="1"/>
    <row r="246" ht="60" customHeight="1"/>
    <row r="247" ht="60" customHeight="1"/>
    <row r="248" ht="60" customHeight="1"/>
    <row r="249" ht="60" customHeight="1"/>
    <row r="250" ht="60" customHeight="1"/>
    <row r="251" ht="60" customHeight="1"/>
    <row r="252" ht="60" customHeight="1"/>
    <row r="253" ht="60" customHeight="1"/>
    <row r="254" ht="60" customHeight="1"/>
    <row r="255" ht="60" customHeight="1"/>
    <row r="256" ht="60" customHeight="1"/>
    <row r="257" ht="60" customHeight="1"/>
    <row r="258" ht="60" customHeight="1"/>
    <row r="259" ht="60" customHeight="1"/>
    <row r="260" ht="60" customHeight="1"/>
    <row r="261" ht="60" customHeight="1"/>
    <row r="262" ht="60" customHeight="1"/>
    <row r="263" ht="60" customHeight="1"/>
    <row r="264" ht="60" customHeight="1"/>
    <row r="265" ht="60" customHeight="1"/>
    <row r="266" ht="60" customHeight="1"/>
    <row r="267" ht="60" customHeight="1"/>
    <row r="268" ht="60" customHeight="1"/>
    <row r="269" ht="60" customHeight="1"/>
    <row r="270" ht="60" customHeight="1"/>
    <row r="271" ht="60" customHeight="1"/>
    <row r="272" ht="60" customHeight="1"/>
    <row r="273" ht="60" customHeight="1"/>
    <row r="274" ht="60" customHeight="1"/>
    <row r="275" ht="60" customHeight="1"/>
    <row r="276" ht="60" customHeight="1"/>
    <row r="277" ht="60" customHeight="1"/>
    <row r="278" ht="60" customHeight="1"/>
    <row r="279" ht="60" customHeight="1"/>
    <row r="280" ht="60" customHeight="1"/>
    <row r="281" ht="60" customHeight="1"/>
    <row r="282" ht="60" customHeight="1"/>
    <row r="283" ht="60" customHeight="1"/>
    <row r="284" ht="60" customHeight="1"/>
    <row r="285" ht="60" customHeight="1"/>
    <row r="286" ht="60" customHeight="1"/>
    <row r="287" ht="60" customHeight="1"/>
    <row r="288" ht="60" customHeight="1"/>
    <row r="289" ht="60" customHeight="1"/>
    <row r="290" ht="60" customHeight="1"/>
    <row r="291" ht="60" customHeight="1"/>
    <row r="292" ht="60" customHeight="1"/>
    <row r="293" ht="60" customHeight="1"/>
    <row r="294" ht="60" customHeight="1"/>
    <row r="295" ht="60" customHeight="1"/>
    <row r="296" ht="60" customHeight="1"/>
    <row r="297" ht="60" customHeight="1"/>
    <row r="298" ht="60" customHeight="1"/>
    <row r="299" ht="60" customHeight="1"/>
    <row r="300" ht="60" customHeight="1"/>
    <row r="301" ht="60" customHeight="1"/>
    <row r="302" ht="60" customHeight="1"/>
    <row r="303" ht="60" customHeight="1"/>
    <row r="304" ht="60" customHeight="1"/>
    <row r="305" ht="60" customHeight="1"/>
    <row r="306" ht="60" customHeight="1"/>
    <row r="307" ht="60" customHeight="1"/>
    <row r="308" ht="60" customHeight="1"/>
    <row r="309" ht="60" customHeight="1"/>
    <row r="310" ht="60" customHeight="1"/>
    <row r="311" ht="60" customHeight="1"/>
    <row r="312" ht="60" customHeight="1"/>
    <row r="313" ht="60" customHeight="1"/>
    <row r="314" ht="60" customHeight="1"/>
    <row r="315" ht="60" customHeight="1"/>
    <row r="316" ht="60" customHeight="1"/>
    <row r="317" ht="60" customHeight="1"/>
    <row r="318" ht="60" customHeight="1"/>
    <row r="319" ht="60" customHeight="1"/>
    <row r="320" ht="60" customHeight="1"/>
    <row r="321" ht="60" customHeight="1"/>
    <row r="322" ht="60" customHeight="1"/>
    <row r="323" ht="60" customHeight="1"/>
    <row r="324" ht="60" customHeight="1"/>
    <row r="325" ht="60" customHeight="1"/>
    <row r="326" ht="60" customHeight="1"/>
    <row r="327" ht="60" customHeight="1"/>
    <row r="328" ht="60" customHeight="1"/>
    <row r="329" ht="60" customHeight="1"/>
    <row r="330" ht="60" customHeight="1"/>
    <row r="331" ht="60" customHeight="1"/>
    <row r="332" ht="60" customHeight="1"/>
    <row r="333" ht="60" customHeight="1"/>
    <row r="334" ht="60" customHeight="1"/>
    <row r="335" ht="60" customHeight="1"/>
    <row r="336" ht="60" customHeight="1"/>
    <row r="337" ht="60" customHeight="1"/>
    <row r="338" ht="60" customHeight="1"/>
    <row r="339" ht="60" customHeight="1"/>
    <row r="340" ht="60" customHeight="1"/>
    <row r="341" ht="60" customHeight="1"/>
    <row r="342" ht="60" customHeight="1"/>
    <row r="343" ht="60" customHeight="1"/>
    <row r="344" ht="60" customHeight="1"/>
    <row r="345" ht="60" customHeight="1"/>
    <row r="346" ht="60" customHeight="1"/>
    <row r="347" ht="60" customHeight="1"/>
    <row r="348" ht="60" customHeight="1"/>
    <row r="349" ht="60" customHeight="1"/>
    <row r="350" ht="60" customHeight="1"/>
    <row r="351" ht="60" customHeight="1"/>
    <row r="352" ht="60" customHeight="1"/>
    <row r="353" ht="60" customHeight="1"/>
    <row r="354" ht="60" customHeight="1"/>
    <row r="355" ht="60" customHeight="1"/>
    <row r="356" ht="60" customHeight="1"/>
    <row r="357" ht="60" customHeight="1"/>
    <row r="358" ht="60" customHeight="1"/>
    <row r="359" ht="60" customHeight="1"/>
    <row r="360" ht="60" customHeight="1"/>
    <row r="361" ht="60" customHeight="1"/>
    <row r="362" ht="60" customHeight="1"/>
    <row r="363" ht="60" customHeight="1"/>
    <row r="364" ht="60" customHeight="1"/>
    <row r="365" ht="60" customHeight="1"/>
    <row r="366" ht="60" customHeight="1"/>
    <row r="367" ht="60" customHeight="1"/>
    <row r="368" ht="60" customHeight="1"/>
    <row r="369" ht="60" customHeight="1"/>
    <row r="370" ht="60" customHeight="1"/>
    <row r="371" ht="60" customHeight="1"/>
    <row r="372" ht="60" customHeight="1"/>
    <row r="373" ht="60" customHeight="1"/>
    <row r="374" ht="60" customHeight="1"/>
    <row r="375" ht="60" customHeight="1"/>
    <row r="376" ht="60" customHeight="1"/>
    <row r="377" ht="60" customHeight="1"/>
    <row r="378" ht="60" customHeight="1"/>
    <row r="379" ht="60" customHeight="1"/>
    <row r="380" ht="60" customHeight="1"/>
    <row r="381" ht="60" customHeight="1"/>
    <row r="382" ht="60" customHeight="1"/>
    <row r="383" ht="60" customHeight="1"/>
    <row r="384" ht="60" customHeight="1"/>
    <row r="385" ht="60" customHeight="1"/>
    <row r="386" ht="60" customHeight="1"/>
    <row r="387" ht="60" customHeight="1"/>
    <row r="388" ht="60" customHeight="1"/>
    <row r="389" ht="60" customHeight="1"/>
    <row r="390" ht="60" customHeight="1"/>
    <row r="391" ht="60" customHeight="1"/>
    <row r="392" ht="60" customHeight="1"/>
    <row r="393" ht="60" customHeight="1"/>
    <row r="394" ht="60" customHeight="1"/>
    <row r="395" ht="60" customHeight="1"/>
    <row r="396" ht="60" customHeight="1"/>
    <row r="397" ht="60" customHeight="1"/>
    <row r="398" ht="60" customHeight="1"/>
    <row r="399" ht="60" customHeight="1"/>
    <row r="400" ht="60" customHeight="1"/>
    <row r="401" ht="60" customHeight="1"/>
    <row r="402" ht="60" customHeight="1"/>
    <row r="403" ht="60" customHeight="1"/>
    <row r="404" ht="60" customHeight="1"/>
    <row r="405" ht="60" customHeight="1"/>
    <row r="406" ht="60" customHeight="1"/>
    <row r="407" ht="60" customHeight="1"/>
    <row r="408" ht="60" customHeight="1"/>
    <row r="409" ht="60" customHeight="1"/>
    <row r="410" ht="60" customHeight="1"/>
    <row r="411" ht="60" customHeight="1"/>
    <row r="412" ht="60" customHeight="1"/>
    <row r="413" ht="60" customHeight="1"/>
    <row r="414" ht="60" customHeight="1"/>
    <row r="415" ht="60" customHeight="1"/>
    <row r="416" ht="60" customHeight="1"/>
    <row r="417" ht="60" customHeight="1"/>
    <row r="418" ht="60" customHeight="1"/>
    <row r="419" ht="60" customHeight="1"/>
    <row r="420" ht="60" customHeight="1"/>
    <row r="421" ht="60" customHeight="1"/>
    <row r="422" ht="60" customHeight="1"/>
    <row r="423" ht="60" customHeight="1"/>
    <row r="424" ht="60" customHeight="1"/>
    <row r="425" ht="60" customHeight="1"/>
    <row r="426" ht="60" customHeight="1"/>
    <row r="427" ht="60" customHeight="1"/>
    <row r="428" ht="60" customHeight="1"/>
    <row r="429" ht="60" customHeight="1"/>
    <row r="430" ht="60" customHeight="1"/>
    <row r="431" ht="60" customHeight="1"/>
    <row r="432" ht="60" customHeight="1"/>
    <row r="433" ht="60" customHeight="1"/>
    <row r="434" ht="60" customHeight="1"/>
    <row r="435" ht="60" customHeight="1"/>
    <row r="436" ht="60" customHeight="1"/>
    <row r="437" ht="60" customHeight="1"/>
    <row r="438" ht="60" customHeight="1"/>
    <row r="439" ht="60" customHeight="1"/>
    <row r="440" ht="60" customHeight="1"/>
    <row r="441" ht="60" customHeight="1"/>
    <row r="442" ht="60" customHeight="1"/>
    <row r="443" ht="60" customHeight="1"/>
    <row r="444" ht="60" customHeight="1"/>
    <row r="445" ht="60" customHeight="1"/>
    <row r="446" ht="60" customHeight="1"/>
    <row r="447" ht="60" customHeight="1"/>
    <row r="448" ht="60" customHeight="1"/>
    <row r="449" ht="60" customHeight="1"/>
    <row r="450" ht="60" customHeight="1"/>
    <row r="451" ht="60" customHeight="1"/>
    <row r="452" ht="60" customHeight="1"/>
    <row r="453" ht="60" customHeight="1"/>
    <row r="454" ht="60" customHeight="1"/>
    <row r="455" ht="60" customHeight="1"/>
    <row r="456" ht="60" customHeight="1"/>
    <row r="457" ht="60" customHeight="1"/>
    <row r="458" ht="60" customHeight="1"/>
    <row r="459" ht="60" customHeight="1"/>
    <row r="460" ht="60" customHeight="1"/>
    <row r="461" ht="60" customHeight="1"/>
    <row r="462" ht="60" customHeight="1"/>
    <row r="463" ht="60" customHeight="1"/>
    <row r="464" ht="60" customHeight="1"/>
    <row r="465" ht="60" customHeight="1"/>
    <row r="466" ht="60" customHeight="1"/>
    <row r="467" ht="60" customHeight="1"/>
    <row r="468" ht="60" customHeight="1"/>
    <row r="469" ht="60" customHeight="1"/>
    <row r="470" ht="60" customHeight="1"/>
    <row r="471" ht="60" customHeight="1"/>
    <row r="472" ht="60" customHeight="1"/>
    <row r="473" ht="60" customHeight="1"/>
    <row r="474" ht="60" customHeight="1"/>
    <row r="475" ht="60" customHeight="1"/>
    <row r="476" ht="60" customHeight="1"/>
    <row r="477" ht="60" customHeight="1"/>
    <row r="478" ht="60" customHeight="1"/>
    <row r="479" ht="60" customHeight="1"/>
    <row r="480" ht="60" customHeight="1"/>
    <row r="481" ht="60" customHeight="1"/>
    <row r="482" ht="60" customHeight="1"/>
    <row r="483" ht="60" customHeight="1"/>
    <row r="484" ht="60" customHeight="1"/>
    <row r="485" ht="60" customHeight="1"/>
    <row r="486" ht="60" customHeight="1"/>
    <row r="487" ht="60" customHeight="1"/>
    <row r="488" ht="60" customHeight="1"/>
    <row r="489" ht="60" customHeight="1"/>
    <row r="490" ht="60" customHeight="1"/>
    <row r="491" ht="60" customHeight="1"/>
    <row r="492" ht="60" customHeight="1"/>
    <row r="493" ht="60" customHeight="1"/>
    <row r="494" ht="60" customHeight="1"/>
    <row r="495" ht="60" customHeight="1"/>
    <row r="496" ht="60" customHeight="1"/>
    <row r="497" ht="60" customHeight="1"/>
    <row r="498" ht="60" customHeight="1"/>
    <row r="499" ht="60" customHeight="1"/>
    <row r="500" ht="60" customHeight="1"/>
    <row r="501" ht="60" customHeight="1"/>
    <row r="502" ht="60" customHeight="1"/>
    <row r="503" ht="60" customHeight="1"/>
    <row r="504" ht="60" customHeight="1"/>
    <row r="505" ht="60" customHeight="1"/>
    <row r="506" ht="60" customHeight="1"/>
    <row r="507" ht="60" customHeight="1"/>
    <row r="508" ht="60" customHeight="1"/>
    <row r="509" ht="60" customHeight="1"/>
    <row r="510" ht="60" customHeight="1"/>
    <row r="511" ht="60" customHeight="1"/>
    <row r="512" ht="60" customHeight="1"/>
    <row r="513" ht="60" customHeight="1"/>
    <row r="514" ht="60" customHeight="1"/>
    <row r="515" ht="60" customHeight="1"/>
    <row r="516" ht="60" customHeight="1"/>
    <row r="517" ht="60" customHeight="1"/>
    <row r="518" ht="60" customHeight="1"/>
    <row r="519" ht="60" customHeight="1"/>
    <row r="520" ht="60" customHeight="1"/>
    <row r="521" ht="60" customHeight="1"/>
    <row r="522" ht="60" customHeight="1"/>
    <row r="523" ht="60" customHeight="1"/>
    <row r="524" ht="60" customHeight="1"/>
    <row r="525" ht="60" customHeight="1"/>
    <row r="526" ht="60" customHeight="1"/>
    <row r="527" ht="60" customHeight="1"/>
    <row r="528" ht="60" customHeight="1"/>
    <row r="529" ht="60" customHeight="1"/>
    <row r="530" ht="60" customHeight="1"/>
    <row r="531" ht="60" customHeight="1"/>
    <row r="532" ht="60" customHeight="1"/>
    <row r="533" ht="60" customHeight="1"/>
    <row r="534" ht="60" customHeight="1"/>
    <row r="535" ht="60" customHeight="1"/>
    <row r="536" ht="60" customHeight="1"/>
    <row r="537" ht="60" customHeight="1"/>
    <row r="538" ht="60" customHeight="1"/>
    <row r="539" ht="60" customHeight="1"/>
    <row r="540" ht="60" customHeight="1"/>
    <row r="541" ht="60" customHeight="1"/>
    <row r="542" ht="60" customHeight="1"/>
    <row r="543" ht="60" customHeight="1"/>
    <row r="544" ht="60" customHeight="1"/>
    <row r="545" ht="60" customHeight="1"/>
    <row r="546" ht="60" customHeight="1"/>
    <row r="547" ht="60" customHeight="1"/>
    <row r="548" ht="60" customHeight="1"/>
    <row r="549" ht="60" customHeight="1"/>
    <row r="550" ht="60" customHeight="1"/>
    <row r="551" ht="60" customHeight="1"/>
    <row r="552" ht="60" customHeight="1"/>
    <row r="553" ht="60" customHeight="1"/>
    <row r="554" ht="60" customHeight="1"/>
    <row r="555" ht="60" customHeight="1"/>
    <row r="556" ht="60" customHeight="1"/>
    <row r="557" ht="60" customHeight="1"/>
    <row r="558" ht="60" customHeight="1"/>
    <row r="559" ht="60" customHeight="1"/>
    <row r="560" ht="60" customHeight="1"/>
    <row r="561" ht="60" customHeight="1"/>
    <row r="562" ht="60" customHeight="1"/>
    <row r="563" ht="60" customHeight="1"/>
    <row r="564" ht="60" customHeight="1"/>
    <row r="565" ht="60" customHeight="1"/>
    <row r="566" ht="60" customHeight="1"/>
    <row r="567" ht="60" customHeight="1"/>
    <row r="568" ht="60" customHeight="1"/>
    <row r="569" ht="60" customHeight="1"/>
    <row r="570" ht="60" customHeight="1"/>
    <row r="571" ht="60" customHeight="1"/>
    <row r="572" ht="60" customHeight="1"/>
    <row r="573" ht="60" customHeight="1"/>
    <row r="574" ht="60" customHeight="1"/>
    <row r="575" ht="60" customHeight="1"/>
    <row r="576" ht="60" customHeight="1"/>
    <row r="577" ht="60" customHeight="1"/>
    <row r="578" ht="60" customHeight="1"/>
    <row r="579" ht="60" customHeight="1"/>
    <row r="580" ht="60" customHeight="1"/>
    <row r="581" ht="60" customHeight="1"/>
    <row r="582" ht="60" customHeight="1"/>
    <row r="583" ht="60" customHeight="1"/>
    <row r="584" ht="60" customHeight="1"/>
    <row r="585" ht="60" customHeight="1"/>
    <row r="586" ht="60" customHeight="1"/>
    <row r="587" ht="60" customHeight="1"/>
    <row r="588" ht="60" customHeight="1"/>
    <row r="589" ht="60" customHeight="1"/>
    <row r="590" ht="60" customHeight="1"/>
    <row r="591" ht="60" customHeight="1"/>
    <row r="592" ht="60" customHeight="1"/>
    <row r="593" ht="60" customHeight="1"/>
    <row r="594" ht="60" customHeight="1"/>
    <row r="595" ht="60" customHeight="1"/>
    <row r="596" ht="60" customHeight="1"/>
    <row r="597" ht="60" customHeight="1"/>
    <row r="598" ht="60" customHeight="1"/>
    <row r="599" ht="60" customHeight="1"/>
    <row r="600" ht="60" customHeight="1"/>
    <row r="601" ht="60" customHeight="1"/>
    <row r="602" ht="60" customHeight="1"/>
    <row r="603" ht="60" customHeight="1"/>
    <row r="604" ht="60" customHeight="1"/>
    <row r="605" ht="60" customHeight="1"/>
    <row r="606" ht="60" customHeight="1"/>
    <row r="607" ht="60" customHeight="1"/>
    <row r="608" ht="60" customHeight="1"/>
    <row r="609" ht="60" customHeight="1"/>
    <row r="610" ht="60" customHeight="1"/>
    <row r="611" ht="60" customHeight="1"/>
    <row r="612" ht="60" customHeight="1"/>
    <row r="613" ht="60" customHeight="1"/>
    <row r="614" ht="60" customHeight="1"/>
    <row r="615" ht="60" customHeight="1"/>
    <row r="616" ht="60" customHeight="1"/>
    <row r="617" ht="60" customHeight="1"/>
    <row r="618" ht="60" customHeight="1"/>
    <row r="619" ht="60" customHeight="1"/>
    <row r="620" ht="60" customHeight="1"/>
    <row r="621" ht="60" customHeight="1"/>
    <row r="622" ht="60" customHeight="1"/>
    <row r="623" ht="60" customHeight="1"/>
    <row r="624" ht="60" customHeight="1"/>
    <row r="625" ht="60" customHeight="1"/>
    <row r="626" ht="60" customHeight="1"/>
    <row r="627" ht="60" customHeight="1"/>
    <row r="628" ht="60" customHeight="1"/>
    <row r="629" ht="60" customHeight="1"/>
    <row r="630" ht="60" customHeight="1"/>
    <row r="631" ht="60" customHeight="1"/>
    <row r="632" ht="60" customHeight="1"/>
    <row r="633" ht="60" customHeight="1"/>
    <row r="634" ht="60" customHeight="1"/>
    <row r="635" ht="60" customHeight="1"/>
    <row r="636" ht="60" customHeight="1"/>
    <row r="637" ht="60" customHeight="1"/>
    <row r="638" ht="60" customHeight="1"/>
    <row r="639" ht="60" customHeight="1"/>
    <row r="640" ht="60" customHeight="1"/>
    <row r="641" ht="60" customHeight="1"/>
    <row r="642" ht="60" customHeight="1"/>
    <row r="643" ht="60" customHeight="1"/>
    <row r="644" ht="60" customHeight="1"/>
    <row r="645" ht="60" customHeight="1"/>
    <row r="646" ht="60" customHeight="1"/>
    <row r="647" ht="60" customHeight="1"/>
    <row r="648" ht="60" customHeight="1"/>
    <row r="649" ht="60" customHeight="1"/>
    <row r="650" ht="60" customHeight="1"/>
    <row r="651" ht="60" customHeight="1"/>
    <row r="652" ht="60" customHeight="1"/>
    <row r="653" ht="60" customHeight="1"/>
    <row r="654" ht="60" customHeight="1"/>
  </sheetData>
  <mergeCells count="1">
    <mergeCell ref="B1:F1"/>
  </mergeCells>
  <pageMargins left="0.70866141732283472" right="0.70866141732283472" top="0.74803149606299213" bottom="0.74803149606299213" header="0.31496062992125984" footer="0.31496062992125984"/>
  <pageSetup paperSize="9" scale="74" fitToHeight="0" orientation="landscape" r:id="rId1"/>
  <tableParts count="1">
    <tablePart r:id="rId2"/>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65">
    <pageSetUpPr fitToPage="1"/>
  </sheetPr>
  <dimension ref="A1:K80"/>
  <sheetViews>
    <sheetView rightToLeft="1" topLeftCell="M1" workbookViewId="0">
      <selection activeCell="BI7" sqref="BI7"/>
    </sheetView>
  </sheetViews>
  <sheetFormatPr defaultColWidth="9" defaultRowHeight="24"/>
  <cols>
    <col min="1" max="1" width="5" style="649" hidden="1" customWidth="1"/>
    <col min="2" max="2" width="24.5703125" style="649" hidden="1" customWidth="1"/>
    <col min="3" max="3" width="28.140625" style="649" hidden="1" customWidth="1"/>
    <col min="4" max="4" width="23.85546875" style="649" hidden="1" customWidth="1"/>
    <col min="5" max="8" width="10.85546875" style="649" hidden="1" customWidth="1"/>
    <col min="9" max="9" width="27.7109375" style="649" hidden="1" customWidth="1"/>
    <col min="10" max="10" width="14" style="670" hidden="1" customWidth="1"/>
    <col min="11" max="12" width="0" style="648" hidden="1" customWidth="1"/>
    <col min="13" max="16384" width="9" style="648"/>
  </cols>
  <sheetData>
    <row r="1" spans="1:11" ht="33" customHeight="1" thickTop="1">
      <c r="A1" s="652" t="s">
        <v>5</v>
      </c>
      <c r="B1" s="652" t="s">
        <v>805</v>
      </c>
      <c r="C1" s="653" t="s">
        <v>806</v>
      </c>
      <c r="D1" s="653" t="s">
        <v>807</v>
      </c>
      <c r="E1" s="3348" t="s">
        <v>809</v>
      </c>
      <c r="F1" s="3348"/>
      <c r="G1" s="3348" t="s">
        <v>810</v>
      </c>
      <c r="H1" s="3348"/>
      <c r="I1" s="654" t="s">
        <v>816</v>
      </c>
      <c r="J1" s="668" t="s">
        <v>100</v>
      </c>
    </row>
    <row r="2" spans="1:11">
      <c r="A2" s="658">
        <v>1</v>
      </c>
      <c r="B2" s="658" t="s">
        <v>808</v>
      </c>
      <c r="C2" s="650"/>
      <c r="D2" s="650"/>
      <c r="E2" s="650"/>
      <c r="F2" s="650"/>
      <c r="G2" s="650">
        <f t="shared" ref="G2:H5" si="0">E2-C2</f>
        <v>0</v>
      </c>
      <c r="H2" s="650">
        <f t="shared" si="0"/>
        <v>0</v>
      </c>
      <c r="I2" s="651"/>
      <c r="J2" s="669">
        <f>I2+D2+C2</f>
        <v>0</v>
      </c>
      <c r="K2" s="2116"/>
    </row>
    <row r="3" spans="1:11">
      <c r="A3" s="658">
        <v>2</v>
      </c>
      <c r="B3" s="658" t="s">
        <v>815</v>
      </c>
      <c r="C3" s="650">
        <v>0</v>
      </c>
      <c r="D3" s="650">
        <v>0</v>
      </c>
      <c r="E3" s="650">
        <v>0</v>
      </c>
      <c r="F3" s="650">
        <v>0</v>
      </c>
      <c r="G3" s="650">
        <f t="shared" si="0"/>
        <v>0</v>
      </c>
      <c r="H3" s="650">
        <f t="shared" si="0"/>
        <v>0</v>
      </c>
      <c r="I3" s="651">
        <v>1</v>
      </c>
      <c r="J3" s="669">
        <f t="shared" ref="J3:J56" si="1">I3+D3+C3</f>
        <v>1</v>
      </c>
      <c r="K3" s="2116"/>
    </row>
    <row r="4" spans="1:11">
      <c r="A4" s="658">
        <v>3</v>
      </c>
      <c r="B4" s="658" t="s">
        <v>811</v>
      </c>
      <c r="C4" s="650" cm="1">
        <f t="array" ref="C4">SUMPRODUCT(--_xlfn.ISFORMULA('اقدامات تکالیف بودجه'!B:C))</f>
        <v>60</v>
      </c>
      <c r="D4" s="650">
        <v>0</v>
      </c>
      <c r="E4" s="650">
        <v>60</v>
      </c>
      <c r="F4" s="650">
        <v>0</v>
      </c>
      <c r="G4" s="650">
        <f t="shared" si="0"/>
        <v>0</v>
      </c>
      <c r="H4" s="650">
        <f t="shared" si="0"/>
        <v>0</v>
      </c>
      <c r="I4" s="651">
        <f>30*2</f>
        <v>60</v>
      </c>
      <c r="J4" s="669">
        <f t="shared" si="1"/>
        <v>120</v>
      </c>
      <c r="K4" s="2116"/>
    </row>
    <row r="5" spans="1:11">
      <c r="A5" s="658">
        <v>4</v>
      </c>
      <c r="B5" s="658" t="s">
        <v>817</v>
      </c>
      <c r="C5" s="650">
        <v>0</v>
      </c>
      <c r="D5" s="650">
        <v>0</v>
      </c>
      <c r="E5" s="650">
        <v>0</v>
      </c>
      <c r="F5" s="650">
        <v>0</v>
      </c>
      <c r="G5" s="650">
        <f t="shared" si="0"/>
        <v>0</v>
      </c>
      <c r="H5" s="650">
        <f t="shared" si="0"/>
        <v>0</v>
      </c>
      <c r="I5" s="651">
        <f>38*4</f>
        <v>152</v>
      </c>
      <c r="J5" s="669">
        <f t="shared" si="1"/>
        <v>152</v>
      </c>
      <c r="K5" s="2116"/>
    </row>
    <row r="6" spans="1:11">
      <c r="A6" s="658">
        <v>5</v>
      </c>
      <c r="B6" s="658" t="s">
        <v>812</v>
      </c>
      <c r="C6" s="650" cm="1">
        <f t="array" ref="C6">SUMPRODUCT(--_xlfn.ISFORMULA('میزان اجرای برنامه'!B:H))+SUMPRODUCT(--_xlfn.ISFORMULA('میزان اجرای برنامه'!K:K))</f>
        <v>0</v>
      </c>
      <c r="D6" s="650" cm="1">
        <f t="array" ref="D6">SUMPRODUCT(--_xlfn.ISFORMULA('میزان اجرای برنامه'!J:J))+SUMPRODUCT(--_xlfn.ISFORMULA('میزان اجرای برنامه'!M:M))</f>
        <v>10</v>
      </c>
      <c r="E6" s="650">
        <v>240</v>
      </c>
      <c r="F6" s="650">
        <v>60</v>
      </c>
      <c r="G6" s="650">
        <f t="shared" ref="G6:G25" si="2">E6-C6</f>
        <v>240</v>
      </c>
      <c r="H6" s="650">
        <f t="shared" ref="H6:H25" si="3">F6-D6</f>
        <v>50</v>
      </c>
      <c r="I6" s="651">
        <f>30*3</f>
        <v>90</v>
      </c>
      <c r="J6" s="669">
        <f t="shared" si="1"/>
        <v>100</v>
      </c>
      <c r="K6" s="2116"/>
    </row>
    <row r="7" spans="1:11">
      <c r="A7" s="658">
        <v>6</v>
      </c>
      <c r="B7" s="658" t="s">
        <v>3092</v>
      </c>
      <c r="C7" s="650">
        <v>0</v>
      </c>
      <c r="D7" s="650">
        <v>0</v>
      </c>
      <c r="E7" s="650">
        <v>0</v>
      </c>
      <c r="F7" s="650">
        <v>0</v>
      </c>
      <c r="G7" s="650">
        <f>E7-C7</f>
        <v>0</v>
      </c>
      <c r="H7" s="650">
        <f>F7-D7</f>
        <v>0</v>
      </c>
      <c r="I7" s="651">
        <f>32*2</f>
        <v>64</v>
      </c>
      <c r="J7" s="669">
        <f t="shared" si="1"/>
        <v>64</v>
      </c>
      <c r="K7" s="2116"/>
    </row>
    <row r="8" spans="1:11">
      <c r="A8" s="658">
        <v>7</v>
      </c>
      <c r="B8" s="658" t="s">
        <v>3091</v>
      </c>
      <c r="C8" s="650">
        <v>0</v>
      </c>
      <c r="D8" s="650" cm="1">
        <f t="array" ref="D8">SUMPRODUCT(--_xlfn.ISFORMULA('مصوبات هیات مدیره'!D38:K38))</f>
        <v>8</v>
      </c>
      <c r="E8" s="650">
        <v>0</v>
      </c>
      <c r="F8" s="650">
        <v>8</v>
      </c>
      <c r="G8" s="650">
        <f t="shared" si="2"/>
        <v>0</v>
      </c>
      <c r="H8" s="650">
        <f t="shared" si="3"/>
        <v>0</v>
      </c>
      <c r="I8" s="651">
        <f>32*5+1</f>
        <v>161</v>
      </c>
      <c r="J8" s="669">
        <f t="shared" si="1"/>
        <v>169</v>
      </c>
      <c r="K8" s="2116"/>
    </row>
    <row r="9" spans="1:11">
      <c r="A9" s="660">
        <v>9</v>
      </c>
      <c r="B9" s="660" t="s">
        <v>3093</v>
      </c>
      <c r="C9" s="650">
        <v>0</v>
      </c>
      <c r="D9" s="650" cm="1">
        <f t="array" ref="D9">SUMPRODUCT(--_xlfn.ISFORMULA('صورتخلاصه درآمد'!B:F))</f>
        <v>29</v>
      </c>
      <c r="E9" s="650">
        <v>0</v>
      </c>
      <c r="F9" s="650">
        <v>29</v>
      </c>
      <c r="G9" s="650">
        <f t="shared" si="2"/>
        <v>0</v>
      </c>
      <c r="H9" s="650">
        <f t="shared" si="3"/>
        <v>0</v>
      </c>
      <c r="I9" s="651">
        <v>1</v>
      </c>
      <c r="J9" s="669">
        <f t="shared" si="1"/>
        <v>30</v>
      </c>
      <c r="K9" s="2116"/>
    </row>
    <row r="10" spans="1:11">
      <c r="A10" s="661">
        <v>10</v>
      </c>
      <c r="B10" s="661" t="s">
        <v>3094</v>
      </c>
      <c r="C10" s="650" cm="1">
        <f t="array" ref="C10">SUMPRODUCT(--_xlfn.ISFORMULA('فروش داخلی تولیدی'!G:H))</f>
        <v>40</v>
      </c>
      <c r="D10" s="650" cm="1">
        <f t="array" ref="D10">SUMPRODUCT(--_xlfn.ISFORMULA('فروش داخلی تولیدی'!B:F))+SUMPRODUCT(--_xlfn.ISFORMULA('فروش داخلی تولیدی'!I:T))</f>
        <v>265</v>
      </c>
      <c r="E10" s="650">
        <v>40</v>
      </c>
      <c r="F10" s="650">
        <v>265</v>
      </c>
      <c r="G10" s="650">
        <f t="shared" si="2"/>
        <v>0</v>
      </c>
      <c r="H10" s="650">
        <f t="shared" si="3"/>
        <v>0</v>
      </c>
      <c r="I10" s="651">
        <f>20*4</f>
        <v>80</v>
      </c>
      <c r="J10" s="669">
        <f t="shared" si="1"/>
        <v>385</v>
      </c>
      <c r="K10" s="2116"/>
    </row>
    <row r="11" spans="1:11">
      <c r="A11" s="663">
        <v>12</v>
      </c>
      <c r="B11" s="663" t="s">
        <v>3095</v>
      </c>
      <c r="C11" s="650" cm="1">
        <f t="array" ref="C11">SUMPRODUCT(--_xlfn.ISFORMULA('فروش داخلی تجاری'!G:H))</f>
        <v>46</v>
      </c>
      <c r="D11" s="650" cm="1">
        <f t="array" ref="D11">SUMPRODUCT(--_xlfn.ISFORMULA('فروش داخلی تجاری'!B:F))+SUMPRODUCT(--_xlfn.ISFORMULA('فروش داخلی تجاری'!I:T))</f>
        <v>304</v>
      </c>
      <c r="E11" s="650">
        <v>46</v>
      </c>
      <c r="F11" s="650">
        <v>304</v>
      </c>
      <c r="G11" s="650">
        <f t="shared" si="2"/>
        <v>0</v>
      </c>
      <c r="H11" s="650">
        <f t="shared" si="3"/>
        <v>0</v>
      </c>
      <c r="I11" s="651">
        <f>23*4</f>
        <v>92</v>
      </c>
      <c r="J11" s="669">
        <f t="shared" si="1"/>
        <v>442</v>
      </c>
      <c r="K11" s="2116"/>
    </row>
    <row r="12" spans="1:11">
      <c r="A12" s="659">
        <v>13</v>
      </c>
      <c r="B12" s="659" t="s">
        <v>813</v>
      </c>
      <c r="C12" s="650" cm="1">
        <f t="array" ref="C12">SUMPRODUCT(--_xlfn.ISFORMULA(عوارض!B:C))+SUMPRODUCT(--_xlfn.ISFORMULA(عوارض!G:H))</f>
        <v>40</v>
      </c>
      <c r="D12" s="650" cm="1">
        <f t="array" ref="D12">SUMPRODUCT(--_xlfn.ISFORMULA(عوارض!F:F))+SUMPRODUCT(--_xlfn.ISFORMULA(عوارض!I:T))</f>
        <v>115</v>
      </c>
      <c r="E12" s="650">
        <v>40</v>
      </c>
      <c r="F12" s="650">
        <v>115</v>
      </c>
      <c r="G12" s="650">
        <f t="shared" si="2"/>
        <v>0</v>
      </c>
      <c r="H12" s="650">
        <f t="shared" si="3"/>
        <v>0</v>
      </c>
      <c r="I12" s="651">
        <f>10*4</f>
        <v>40</v>
      </c>
      <c r="J12" s="669">
        <f t="shared" si="1"/>
        <v>195</v>
      </c>
      <c r="K12" s="2116"/>
    </row>
    <row r="13" spans="1:11">
      <c r="A13" s="665">
        <v>18</v>
      </c>
      <c r="B13" s="665" t="s">
        <v>3096</v>
      </c>
      <c r="C13" s="650" cm="1">
        <f t="array" ref="C13">SUMPRODUCT(--_xlfn.ISFORMULA('درآمد خدمات'!G:H))</f>
        <v>36</v>
      </c>
      <c r="D13" s="650" cm="1">
        <f t="array" ref="D13">SUMPRODUCT(--_xlfn.ISFORMULA('درآمد خدمات'!B:F))+SUMPRODUCT(--_xlfn.ISFORMULA('درآمد خدمات'!I:T))</f>
        <v>320</v>
      </c>
      <c r="E13" s="650">
        <v>40</v>
      </c>
      <c r="F13" s="650">
        <v>265</v>
      </c>
      <c r="G13" s="650">
        <f t="shared" si="2"/>
        <v>4</v>
      </c>
      <c r="H13" s="650">
        <f t="shared" si="3"/>
        <v>-55</v>
      </c>
      <c r="I13" s="651">
        <f>20*4</f>
        <v>80</v>
      </c>
      <c r="J13" s="669">
        <f t="shared" si="1"/>
        <v>436</v>
      </c>
      <c r="K13" s="2116"/>
    </row>
    <row r="14" spans="1:11">
      <c r="A14" s="662">
        <v>19</v>
      </c>
      <c r="B14" s="662" t="s">
        <v>3097</v>
      </c>
      <c r="C14" s="650" cm="1">
        <f t="array" ref="C14">SUMPRODUCT(--_xlfn.ISFORMULA('درآمد صادرات'!B:H))+SUMPRODUCT(--_xlfn.ISFORMULA('درآمد صادرات'!L:M))</f>
        <v>84</v>
      </c>
      <c r="D14" s="650" cm="1">
        <f t="array" ref="D14">SUMPRODUCT(--_xlfn.ISFORMULA('درآمد صادرات'!K:K))+SUMPRODUCT(--_xlfn.ISFORMULA('درآمد صادرات'!N:Y))</f>
        <v>137</v>
      </c>
      <c r="E14" s="650">
        <v>84</v>
      </c>
      <c r="F14" s="650">
        <v>137</v>
      </c>
      <c r="G14" s="650">
        <f t="shared" si="2"/>
        <v>0</v>
      </c>
      <c r="H14" s="650">
        <f t="shared" si="3"/>
        <v>0</v>
      </c>
      <c r="I14" s="651">
        <f>6*12</f>
        <v>72</v>
      </c>
      <c r="J14" s="669">
        <f t="shared" si="1"/>
        <v>293</v>
      </c>
      <c r="K14" s="2116"/>
    </row>
    <row r="15" spans="1:11">
      <c r="A15" s="664">
        <v>20</v>
      </c>
      <c r="B15" s="664" t="s">
        <v>196</v>
      </c>
      <c r="C15" s="650">
        <v>0</v>
      </c>
      <c r="D15" s="650">
        <f>SUMPRODUCT(--_xlfn.ISFORMULA('گردش سهام'!Z11:AB49))+SUMPRODUCT(--_xlfn.ISFORMULA('گردش سهام'!V11:V49))+SUMPRODUCT(--_xlfn.ISFORMULA('گردش سهام'!D49:T49))</f>
        <v>127</v>
      </c>
      <c r="E15" s="650">
        <v>0</v>
      </c>
      <c r="F15" s="650">
        <v>127</v>
      </c>
      <c r="G15" s="650">
        <f t="shared" si="2"/>
        <v>0</v>
      </c>
      <c r="H15" s="650">
        <f t="shared" si="3"/>
        <v>0</v>
      </c>
      <c r="I15" s="651">
        <f>13*38</f>
        <v>494</v>
      </c>
      <c r="J15" s="669">
        <f t="shared" si="1"/>
        <v>621</v>
      </c>
      <c r="K15" s="2116"/>
    </row>
    <row r="16" spans="1:11">
      <c r="A16" s="664">
        <v>21</v>
      </c>
      <c r="B16" s="664" t="s">
        <v>167</v>
      </c>
      <c r="C16" s="650">
        <v>0</v>
      </c>
      <c r="D16" s="650">
        <f>SUMPRODUCT(--_xlfn.ISFORMULA('سود سهام '!A9:B46))+SUMPRODUCT(--_xlfn.ISFORMULA('سود سهام '!J9:J46))+SUMPRODUCT(--_xlfn.ISFORMULA('سود سهام '!R9:R46))+SUMPRODUCT(--_xlfn.ISFORMULA('سود سهام '!Z9:Z46))+SUMPRODUCT(--_xlfn.ISFORMULA('سود سهام '!D47:Z47))</f>
        <v>196</v>
      </c>
      <c r="E16" s="650">
        <v>0</v>
      </c>
      <c r="F16" s="650">
        <v>196</v>
      </c>
      <c r="G16" s="650">
        <f t="shared" si="2"/>
        <v>0</v>
      </c>
      <c r="H16" s="650">
        <f t="shared" si="3"/>
        <v>0</v>
      </c>
      <c r="I16" s="651">
        <f>9*38</f>
        <v>342</v>
      </c>
      <c r="J16" s="669">
        <f t="shared" si="1"/>
        <v>538</v>
      </c>
      <c r="K16" s="2116"/>
    </row>
    <row r="17" spans="1:11">
      <c r="A17" s="661">
        <v>22</v>
      </c>
      <c r="B17" s="661" t="s">
        <v>814</v>
      </c>
      <c r="C17" s="650" cm="1">
        <f t="array" ref="C17">SUMPRODUCT(--_xlfn.ISFORMULA('مقادیر تولید'!B:E))+SUMPRODUCT(--_xlfn.ISFORMULA('مقادیر تولید'!I:I))</f>
        <v>100</v>
      </c>
      <c r="D17" s="650" cm="1">
        <f t="array" ref="D17">SUMPRODUCT(--_xlfn.ISFORMULA('مقادیر تولید'!H:H))+SUMPRODUCT(--_xlfn.ISFORMULA('مقادیر تولید'!J:O))</f>
        <v>100</v>
      </c>
      <c r="E17" s="650">
        <v>100</v>
      </c>
      <c r="F17" s="650">
        <v>100</v>
      </c>
      <c r="G17" s="650">
        <f t="shared" si="2"/>
        <v>0</v>
      </c>
      <c r="H17" s="650">
        <f t="shared" si="3"/>
        <v>0</v>
      </c>
      <c r="I17" s="651">
        <v>83</v>
      </c>
      <c r="J17" s="669">
        <f t="shared" si="1"/>
        <v>283</v>
      </c>
      <c r="K17" s="2116"/>
    </row>
    <row r="18" spans="1:11">
      <c r="A18" s="661">
        <v>24</v>
      </c>
      <c r="B18" s="661" t="s">
        <v>818</v>
      </c>
      <c r="C18" s="650">
        <v>0</v>
      </c>
      <c r="D18" s="650">
        <v>0</v>
      </c>
      <c r="E18" s="650">
        <v>0</v>
      </c>
      <c r="F18" s="650">
        <v>0</v>
      </c>
      <c r="G18" s="650">
        <f t="shared" ref="G18:G22" si="4">E18-C18</f>
        <v>0</v>
      </c>
      <c r="H18" s="650">
        <f t="shared" ref="H18:H22" si="5">F18-D18</f>
        <v>0</v>
      </c>
      <c r="I18" s="651">
        <v>1</v>
      </c>
      <c r="J18" s="669">
        <f t="shared" si="1"/>
        <v>1</v>
      </c>
      <c r="K18" s="2116"/>
    </row>
    <row r="19" spans="1:11">
      <c r="A19" s="661">
        <v>25</v>
      </c>
      <c r="B19" s="661" t="s">
        <v>819</v>
      </c>
      <c r="C19" s="650">
        <v>0</v>
      </c>
      <c r="D19" s="650" cm="1">
        <f t="array" ref="D19">SUMPRODUCT(--_xlfn.ISFORMULA('گردش محصول تولیدی'!B:G))</f>
        <v>100</v>
      </c>
      <c r="E19" s="650">
        <v>0</v>
      </c>
      <c r="F19" s="650">
        <v>100</v>
      </c>
      <c r="G19" s="650">
        <f t="shared" si="4"/>
        <v>0</v>
      </c>
      <c r="H19" s="650">
        <f t="shared" si="5"/>
        <v>0</v>
      </c>
      <c r="I19" s="651">
        <v>20</v>
      </c>
      <c r="J19" s="669">
        <f t="shared" si="1"/>
        <v>120</v>
      </c>
      <c r="K19" s="2116"/>
    </row>
    <row r="20" spans="1:11">
      <c r="A20" s="661">
        <v>26</v>
      </c>
      <c r="B20" s="661" t="s">
        <v>820</v>
      </c>
      <c r="C20" s="650" cm="1">
        <f t="array" ref="C20">SUMPRODUCT(--_xlfn.ISFORMULA('خرید مواد اولیه تولید'!B7:C23))+SUMPRODUCT(--_xlfn.ISFORMULA('خرید مواد اولیه تولید'!J:K))</f>
        <v>102</v>
      </c>
      <c r="D20" s="650" cm="1">
        <f t="array" ref="D20">SUMPRODUCT(--_xlfn.ISFORMULA('خرید مواد اولیه تولید'!F:I))+SUMPRODUCT(--_xlfn.ISFORMULA('خرید مواد اولیه تولید'!B29:C45))+SUMPRODUCT(--_xlfn.ISFORMULA('خرید مواد اولیه تولید'!L:V))</f>
        <v>384</v>
      </c>
      <c r="E20" s="650">
        <v>102</v>
      </c>
      <c r="F20" s="650">
        <v>384</v>
      </c>
      <c r="G20" s="650">
        <f t="shared" si="4"/>
        <v>0</v>
      </c>
      <c r="H20" s="650">
        <f t="shared" si="5"/>
        <v>0</v>
      </c>
      <c r="I20" s="651">
        <f>10*17</f>
        <v>170</v>
      </c>
      <c r="J20" s="669">
        <f t="shared" si="1"/>
        <v>656</v>
      </c>
      <c r="K20" s="2116"/>
    </row>
    <row r="21" spans="1:11">
      <c r="A21" s="661">
        <v>27</v>
      </c>
      <c r="B21" s="661" t="s">
        <v>3098</v>
      </c>
      <c r="C21" s="650" cm="1">
        <f t="array" ref="C21">SUMPRODUCT(--_xlfn.ISFORMULA('هزینه پرسنلی مستقیم تولید'!A:C))</f>
        <v>57</v>
      </c>
      <c r="D21" s="650" cm="1">
        <f t="array" ref="D21">SUMPRODUCT(--_xlfn.ISFORMULA('هزینه پرسنلی مستقیم تولید'!D:F))</f>
        <v>58</v>
      </c>
      <c r="E21" s="650">
        <v>57</v>
      </c>
      <c r="F21" s="650">
        <v>58</v>
      </c>
      <c r="G21" s="650">
        <f t="shared" si="4"/>
        <v>0</v>
      </c>
      <c r="H21" s="650">
        <f t="shared" si="5"/>
        <v>0</v>
      </c>
      <c r="I21" s="651">
        <v>52</v>
      </c>
      <c r="J21" s="669">
        <f t="shared" si="1"/>
        <v>167</v>
      </c>
      <c r="K21" s="2116"/>
    </row>
    <row r="22" spans="1:11">
      <c r="A22" s="661">
        <v>28</v>
      </c>
      <c r="B22" s="661" t="s">
        <v>3099</v>
      </c>
      <c r="C22" s="650" cm="1">
        <f t="array" ref="C22">SUMPRODUCT(--_xlfn.ISFORMULA('هزینه پرسنلی غیرمستقیم تولید'!A:C))</f>
        <v>57</v>
      </c>
      <c r="D22" s="650" cm="1">
        <f t="array" ref="D22">SUMPRODUCT(--_xlfn.ISFORMULA('هزینه پرسنلی غیرمستقیم تولید'!D:F))</f>
        <v>58</v>
      </c>
      <c r="E22" s="650">
        <v>57</v>
      </c>
      <c r="F22" s="650">
        <v>58</v>
      </c>
      <c r="G22" s="650">
        <f t="shared" si="4"/>
        <v>0</v>
      </c>
      <c r="H22" s="650">
        <f t="shared" si="5"/>
        <v>0</v>
      </c>
      <c r="I22" s="651">
        <v>52</v>
      </c>
      <c r="J22" s="669">
        <f t="shared" si="1"/>
        <v>167</v>
      </c>
      <c r="K22" s="2116"/>
    </row>
    <row r="23" spans="1:11">
      <c r="A23" s="661">
        <v>29</v>
      </c>
      <c r="B23" s="661" t="s">
        <v>649</v>
      </c>
      <c r="C23" s="650" cm="1">
        <f t="array" ref="C23">SUMPRODUCT(--_xlfn.ISFORMULA('هزینه سربار تولید'!A:C))</f>
        <v>47</v>
      </c>
      <c r="D23" s="650" cm="1">
        <f t="array" ref="D23">SUMPRODUCT(--_xlfn.ISFORMULA('هزینه سربار تولید'!D:F))</f>
        <v>48</v>
      </c>
      <c r="E23" s="650">
        <v>47</v>
      </c>
      <c r="F23" s="650">
        <v>48</v>
      </c>
      <c r="G23" s="650">
        <f t="shared" si="2"/>
        <v>0</v>
      </c>
      <c r="H23" s="650">
        <f t="shared" si="3"/>
        <v>0</v>
      </c>
      <c r="I23" s="651">
        <v>42</v>
      </c>
      <c r="J23" s="669">
        <f t="shared" si="1"/>
        <v>137</v>
      </c>
      <c r="K23" s="2116"/>
    </row>
    <row r="24" spans="1:11">
      <c r="A24" s="661">
        <v>30</v>
      </c>
      <c r="B24" s="661" t="s">
        <v>821</v>
      </c>
      <c r="C24" s="650" cm="1">
        <f t="array" ref="C24">SUMPRODUCT(--_xlfn.ISFORMULA('بهای تمام شده تولید'!C6))+SUMPRODUCT(--_xlfn.ISFORMULA('بهای تمام شده تولید'!C8:C9))+SUMPRODUCT(--_xlfn.ISFORMULA('بهای تمام شده تولید'!C14:C15))+SUMPRODUCT(--_xlfn.ISFORMULA('بهای تمام شده تولید'!C18:C20))+SUMPRODUCT(--_xlfn.ISFORMULA('بهای تمام شده تولید'!C22:C24))</f>
        <v>11</v>
      </c>
      <c r="D24" s="650" cm="1">
        <f t="array" ref="D24">SUMPRODUCT(--_xlfn.ISFORMULA('بهای تمام شده تولید'!B:B))+SUMPRODUCT(--_xlfn.ISFORMULA('بهای تمام شده تولید'!C7))+SUMPRODUCT(--_xlfn.ISFORMULA('بهای تمام شده تولید'!C10:C13))+SUMPRODUCT(--_xlfn.ISFORMULA('بهای تمام شده تولید'!C16:C17))+SUMPRODUCT(--_xlfn.ISFORMULA('بهای تمام شده تولید'!C21))+SUMPRODUCT(--_xlfn.ISFORMULA('بهای تمام شده تولید'!C25))+SUMPRODUCT(--_xlfn.ISFORMULA('بهای تمام شده تولید'!D:F))</f>
        <v>69</v>
      </c>
      <c r="E24" s="650">
        <v>11</v>
      </c>
      <c r="F24" s="650">
        <v>69</v>
      </c>
      <c r="G24" s="650">
        <f t="shared" si="2"/>
        <v>0</v>
      </c>
      <c r="H24" s="650">
        <f t="shared" si="3"/>
        <v>0</v>
      </c>
      <c r="I24" s="651">
        <v>20</v>
      </c>
      <c r="J24" s="669">
        <f t="shared" si="1"/>
        <v>100</v>
      </c>
      <c r="K24" s="2116"/>
    </row>
    <row r="25" spans="1:11">
      <c r="A25" s="661">
        <v>31</v>
      </c>
      <c r="B25" s="661" t="s">
        <v>822</v>
      </c>
      <c r="C25" s="650" cm="1">
        <f t="array" ref="C25">SUMPRODUCT(--_xlfn.ISFORMULA('مقادیر مصرف مواد'!D:D))+SUMPRODUCT(--_xlfn.ISFORMULA('مقادیر مصرف مواد'!H:H))+SUMPRODUCT(--_xlfn.ISFORMULA('مقادیر مصرف مواد'!O:O))++SUMPRODUCT(--_xlfn.ISFORMULA('مقادیر مصرف مواد'!S:S))++SUMPRODUCT(--_xlfn.ISFORMULA('مقادیر مصرف مواد'!Z:Z))++SUMPRODUCT(--_xlfn.ISFORMULA('مقادیر مصرف مواد'!AD:AD))++SUMPRODUCT(--_xlfn.ISFORMULA('مقادیر مصرف مواد'!AK:AK))++SUMPRODUCT(--_xlfn.ISFORMULA('مقادیر مصرف مواد'!AO:AO))++SUMPRODUCT(--_xlfn.ISFORMULA('مقادیر مصرف مواد'!AV:AV))++SUMPRODUCT(--_xlfn.ISFORMULA('مقادیر مصرف مواد'!AZ:AZ))++SUMPRODUCT(--_xlfn.ISFORMULA('مقادیر مصرف مواد'!BG:BG))++SUMPRODUCT(--_xlfn.ISFORMULA('مقادیر مصرف مواد'!BK:BK))++SUMPRODUCT(--_xlfn.ISFORMULA('مقادیر مصرف مواد'!BR:BR))++SUMPRODUCT(--_xlfn.ISFORMULA('مقادیر مصرف مواد'!BV:BV))++SUMPRODUCT(--_xlfn.ISFORMULA('مقادیر مصرف مواد'!CC:CC))++SUMPRODUCT(--_xlfn.ISFORMULA('مقادیر مصرف مواد'!CG:CG))++SUMPRODUCT(--_xlfn.ISFORMULA('مقادیر مصرف مواد'!CN:CN))++SUMPRODUCT(--_xlfn.ISFORMULA('مقادیر مصرف مواد'!CR:CR))++SUMPRODUCT(--_xlfn.ISFORMULA('مقادیر مصرف مواد'!CY:CY))++SUMPRODUCT(--_xlfn.ISFORMULA('مقادیر مصرف مواد'!DC:DC))</f>
        <v>350</v>
      </c>
      <c r="D25" s="650" cm="1">
        <f t="array" ref="D25">SUMPRODUCT(--_xlfn.ISFORMULA('مقادیر مصرف مواد'!B:AB))+SUMPRODUCT(--_xlfn.ISFORMULA('مقادیر مصرف مواد'!AC:BB))+SUMPRODUCT(--_xlfn.ISFORMULA('مقادیر مصرف مواد'!BC:CC))+SUMPRODUCT(--_xlfn.ISFORMULA('مقادیر مصرف مواد'!CD:DL))-C25</f>
        <v>1156</v>
      </c>
      <c r="E25" s="650">
        <v>350</v>
      </c>
      <c r="F25" s="650">
        <v>1156</v>
      </c>
      <c r="G25" s="650">
        <f t="shared" si="2"/>
        <v>0</v>
      </c>
      <c r="H25" s="650">
        <f t="shared" si="3"/>
        <v>0</v>
      </c>
      <c r="I25" s="651">
        <f>17*20</f>
        <v>340</v>
      </c>
      <c r="J25" s="669">
        <f t="shared" si="1"/>
        <v>1846</v>
      </c>
      <c r="K25" s="2116"/>
    </row>
    <row r="26" spans="1:11">
      <c r="A26" s="665">
        <v>38</v>
      </c>
      <c r="B26" s="665" t="s">
        <v>823</v>
      </c>
      <c r="C26" s="650" cm="1">
        <f t="array" ref="C26">SUMPRODUCT(--_xlfn.ISFORMULA('مقادیر خدمات'!B:G))</f>
        <v>112</v>
      </c>
      <c r="D26" s="650" cm="1">
        <f t="array" ref="D26">SUMPRODUCT(--_xlfn.ISFORMULA('مقادیر خدمات'!I:J))</f>
        <v>40</v>
      </c>
      <c r="E26" s="650">
        <v>100</v>
      </c>
      <c r="F26" s="650">
        <v>40</v>
      </c>
      <c r="G26" s="650">
        <f t="shared" ref="G26:G77" si="6">E26-C26</f>
        <v>-12</v>
      </c>
      <c r="H26" s="650">
        <f t="shared" ref="H26:H77" si="7">F26-D26</f>
        <v>0</v>
      </c>
      <c r="I26" s="651">
        <v>40</v>
      </c>
      <c r="J26" s="669">
        <f t="shared" si="1"/>
        <v>192</v>
      </c>
    </row>
    <row r="27" spans="1:11">
      <c r="A27" s="665">
        <v>39</v>
      </c>
      <c r="B27" s="665" t="s">
        <v>824</v>
      </c>
      <c r="C27" s="650">
        <f>SUMPRODUCT(--_xlfn.ISFORMULA('خرید اقلام خدمات'!B7:C15))+SUMPRODUCT(--_xlfn.ISFORMULA('خرید اقلام خدمات'!J7:K15))</f>
        <v>36</v>
      </c>
      <c r="D27" s="650" cm="1">
        <f t="array" ref="D27">SUMPRODUCT(--_xlfn.ISFORMULA('خرید اقلام خدمات'!F:I))+SUMPRODUCT(--_xlfn.ISFORMULA('خرید اقلام خدمات'!L:T))+SUMPRODUCT(--_xlfn.ISFORMULA('خرید اقلام خدمات'!J21:L30))+SUMPRODUCT(--_xlfn.ISFORMULA('خرید اقلام خدمات'!B21:C30))</f>
        <v>162</v>
      </c>
      <c r="E27" s="650">
        <v>36</v>
      </c>
      <c r="F27" s="650">
        <v>162</v>
      </c>
      <c r="G27" s="650">
        <f t="shared" si="6"/>
        <v>0</v>
      </c>
      <c r="H27" s="650">
        <f t="shared" si="7"/>
        <v>0</v>
      </c>
      <c r="I27" s="651">
        <f>10*9</f>
        <v>90</v>
      </c>
      <c r="J27" s="669">
        <f t="shared" si="1"/>
        <v>288</v>
      </c>
    </row>
    <row r="28" spans="1:11">
      <c r="A28" s="665">
        <v>40</v>
      </c>
      <c r="B28" s="665" t="s">
        <v>3100</v>
      </c>
      <c r="C28" s="650" cm="1">
        <f t="array" ref="C28">SUMPRODUCT(--_xlfn.ISFORMULA('هزینه پرسنلی مستقیم خدمات'!A:C))</f>
        <v>32</v>
      </c>
      <c r="D28" s="650" cm="1">
        <f t="array" ref="D28">SUMPRODUCT(--_xlfn.ISFORMULA('هزینه پرسنلی مستقیم خدمات'!D:F))</f>
        <v>58</v>
      </c>
      <c r="E28" s="650">
        <v>57</v>
      </c>
      <c r="F28" s="650">
        <v>58</v>
      </c>
      <c r="G28" s="650">
        <f t="shared" si="6"/>
        <v>25</v>
      </c>
      <c r="H28" s="650">
        <f t="shared" si="7"/>
        <v>0</v>
      </c>
      <c r="I28" s="651">
        <v>52</v>
      </c>
      <c r="J28" s="669">
        <f t="shared" si="1"/>
        <v>142</v>
      </c>
    </row>
    <row r="29" spans="1:11">
      <c r="A29" s="665">
        <v>41</v>
      </c>
      <c r="B29" s="665" t="s">
        <v>3101</v>
      </c>
      <c r="C29" s="650" cm="1">
        <f t="array" ref="C29">SUMPRODUCT(--_xlfn.ISFORMULA('هزینه پرسنلی غیرمستقیم خدمات'!A:C))</f>
        <v>57</v>
      </c>
      <c r="D29" s="650" cm="1">
        <f t="array" ref="D29">SUMPRODUCT(--_xlfn.ISFORMULA('هزینه پرسنلی غیرمستقیم خدمات'!D:F))</f>
        <v>58</v>
      </c>
      <c r="E29" s="650">
        <v>57</v>
      </c>
      <c r="F29" s="650">
        <v>58</v>
      </c>
      <c r="G29" s="650">
        <f t="shared" si="6"/>
        <v>0</v>
      </c>
      <c r="H29" s="650">
        <f t="shared" si="7"/>
        <v>0</v>
      </c>
      <c r="I29" s="651">
        <v>52</v>
      </c>
      <c r="J29" s="669">
        <f t="shared" si="1"/>
        <v>167</v>
      </c>
    </row>
    <row r="30" spans="1:11">
      <c r="A30" s="665">
        <v>42</v>
      </c>
      <c r="B30" s="665" t="s">
        <v>368</v>
      </c>
      <c r="C30" s="650" cm="1">
        <f t="array" ref="C30">SUMPRODUCT(--_xlfn.ISFORMULA('هزینه سربار خدمات'!A:C))</f>
        <v>36</v>
      </c>
      <c r="D30" s="650" cm="1">
        <f t="array" ref="D30">SUMPRODUCT(--_xlfn.ISFORMULA('هزینه سربار خدمات'!D:F))</f>
        <v>58</v>
      </c>
      <c r="E30" s="650">
        <v>57</v>
      </c>
      <c r="F30" s="650">
        <v>58</v>
      </c>
      <c r="G30" s="650">
        <f t="shared" si="6"/>
        <v>21</v>
      </c>
      <c r="H30" s="650">
        <f t="shared" si="7"/>
        <v>0</v>
      </c>
      <c r="I30" s="651">
        <v>52</v>
      </c>
      <c r="J30" s="669">
        <f t="shared" si="1"/>
        <v>146</v>
      </c>
    </row>
    <row r="31" spans="1:11">
      <c r="A31" s="665">
        <v>43</v>
      </c>
      <c r="B31" s="665" t="s">
        <v>825</v>
      </c>
      <c r="C31" s="650" cm="1">
        <f t="array" ref="C31">SUMPRODUCT(--_xlfn.ISFORMULA('بهای خدمات'!C6))+SUMPRODUCT(--_xlfn.ISFORMULA('بهای خدمات'!C8:C9))+SUMPRODUCT(--_xlfn.ISFORMULA('بهای خدمات'!C16))</f>
        <v>4</v>
      </c>
      <c r="D31" s="650" cm="1">
        <f t="array" ref="D31">SUMPRODUCT(--_xlfn.ISFORMULA('بهای خدمات'!B:B))+SUMPRODUCT(--_xlfn.ISFORMULA('بهای خدمات'!C7))+SUMPRODUCT(--_xlfn.ISFORMULA('بهای خدمات'!C10:C15))+SUMPRODUCT(--_xlfn.ISFORMULA('بهای خدمات'!C17))+SUMPRODUCT(--_xlfn.ISFORMULA('بهای خدمات'!D:F))</f>
        <v>50</v>
      </c>
      <c r="E31" s="650">
        <v>4</v>
      </c>
      <c r="F31" s="650">
        <v>50</v>
      </c>
      <c r="G31" s="650">
        <f t="shared" si="6"/>
        <v>0</v>
      </c>
      <c r="H31" s="650">
        <f t="shared" si="7"/>
        <v>0</v>
      </c>
      <c r="I31" s="651">
        <v>6</v>
      </c>
      <c r="J31" s="669">
        <f t="shared" si="1"/>
        <v>60</v>
      </c>
    </row>
    <row r="32" spans="1:11">
      <c r="A32" s="659">
        <v>44</v>
      </c>
      <c r="B32" s="659" t="s">
        <v>826</v>
      </c>
      <c r="C32" s="650" cm="1">
        <f t="array" ref="C32">SUMPRODUCT(--_xlfn.ISFORMULA('نگهداری آزادراه'!A:C))</f>
        <v>79</v>
      </c>
      <c r="D32" s="650" cm="1">
        <f t="array" ref="D32">SUMPRODUCT(--_xlfn.ISFORMULA('نگهداری آزادراه'!D:F))</f>
        <v>82</v>
      </c>
      <c r="E32" s="650">
        <v>79</v>
      </c>
      <c r="F32" s="650">
        <v>82</v>
      </c>
      <c r="G32" s="650">
        <f t="shared" si="6"/>
        <v>0</v>
      </c>
      <c r="H32" s="650">
        <f t="shared" si="7"/>
        <v>0</v>
      </c>
      <c r="I32" s="651">
        <v>50</v>
      </c>
      <c r="J32" s="669">
        <f t="shared" si="1"/>
        <v>211</v>
      </c>
    </row>
    <row r="33" spans="1:10">
      <c r="A33" s="659">
        <v>45</v>
      </c>
      <c r="B33" s="659" t="s">
        <v>827</v>
      </c>
      <c r="C33" s="650" cm="1">
        <f t="array" ref="C33">SUMPRODUCT(--_xlfn.ISFORMULA('بهره برداری آزادراه'!A:C))</f>
        <v>79</v>
      </c>
      <c r="D33" s="650" cm="1">
        <f t="array" ref="D33">SUMPRODUCT(--_xlfn.ISFORMULA('بهره برداری آزادراه'!D:F))</f>
        <v>82</v>
      </c>
      <c r="E33" s="650">
        <v>79</v>
      </c>
      <c r="F33" s="650">
        <v>82</v>
      </c>
      <c r="G33" s="650">
        <f t="shared" si="6"/>
        <v>0</v>
      </c>
      <c r="H33" s="650">
        <f t="shared" si="7"/>
        <v>0</v>
      </c>
      <c r="I33" s="651">
        <v>50</v>
      </c>
      <c r="J33" s="669">
        <f t="shared" si="1"/>
        <v>211</v>
      </c>
    </row>
    <row r="34" spans="1:10">
      <c r="A34" s="659">
        <v>46</v>
      </c>
      <c r="B34" s="659" t="s">
        <v>828</v>
      </c>
      <c r="C34" s="650" cm="1">
        <f t="array" ref="C34">SUMPRODUCT(--_xlfn.ISFORMULA('بهسازی آزادراه'!A:C))</f>
        <v>79</v>
      </c>
      <c r="D34" s="650" cm="1">
        <f t="array" ref="D34">SUMPRODUCT(--_xlfn.ISFORMULA('بهسازی آزادراه'!D:F))</f>
        <v>82</v>
      </c>
      <c r="E34" s="650">
        <v>79</v>
      </c>
      <c r="F34" s="650">
        <v>82</v>
      </c>
      <c r="G34" s="650">
        <f t="shared" si="6"/>
        <v>0</v>
      </c>
      <c r="H34" s="650">
        <f t="shared" si="7"/>
        <v>0</v>
      </c>
      <c r="I34" s="651">
        <v>50</v>
      </c>
      <c r="J34" s="669">
        <f t="shared" si="1"/>
        <v>211</v>
      </c>
    </row>
    <row r="35" spans="1:10">
      <c r="A35" s="663">
        <v>47</v>
      </c>
      <c r="B35" s="663" t="s">
        <v>158</v>
      </c>
      <c r="C35" s="650" cm="1">
        <f t="array" ref="C35">SUMPRODUCT(--_xlfn.ISFORMULA('خرید کالای تجاری'!B7:C29))+SUMPRODUCT(--_xlfn.ISFORMULA('خرید کالای تجاری'!J:K))</f>
        <v>138</v>
      </c>
      <c r="D35" s="650" cm="1">
        <f t="array" ref="D35">SUMPRODUCT(--_xlfn.ISFORMULA('خرید کالای تجاری'!F:I))+SUMPRODUCT(--_xlfn.ISFORMULA('خرید کالای تجاری'!L:V))+SUMPRODUCT(--_xlfn.ISFORMULA('خرید کالای تجاری'!B35:C57))</f>
        <v>515</v>
      </c>
      <c r="E35" s="650">
        <v>138</v>
      </c>
      <c r="F35" s="650">
        <v>515</v>
      </c>
      <c r="G35" s="650">
        <f t="shared" si="6"/>
        <v>0</v>
      </c>
      <c r="H35" s="650">
        <f t="shared" si="7"/>
        <v>0</v>
      </c>
      <c r="I35" s="651">
        <f>10*23</f>
        <v>230</v>
      </c>
      <c r="J35" s="669">
        <f t="shared" si="1"/>
        <v>883</v>
      </c>
    </row>
    <row r="36" spans="1:10">
      <c r="A36" s="663">
        <v>48</v>
      </c>
      <c r="B36" s="663" t="s">
        <v>829</v>
      </c>
      <c r="C36" s="650">
        <f>SUMPRODUCT(--_xlfn.ISFORMULA('بهای کالای تجاری'!C6))+SUMPRODUCT(--_xlfn.ISFORMULA('بهای کالای تجاری'!C9:C10))</f>
        <v>3</v>
      </c>
      <c r="D36" s="650" cm="1">
        <f t="array" ref="D36">SUMPRODUCT(--_xlfn.ISFORMULA('بهای کالای تجاری'!D:F))+SUMPRODUCT(--_xlfn.ISFORMULA('بهای کالای تجاری'!C7:C8))+SUMPRODUCT(--_xlfn.ISFORMULA('بهای کالای تجاری'!B:B))+SUMPRODUCT(--_xlfn.ISFORMULA('بهای کالای تجاری'!C11))</f>
        <v>23</v>
      </c>
      <c r="E36" s="650">
        <v>3</v>
      </c>
      <c r="F36" s="650">
        <v>23</v>
      </c>
      <c r="G36" s="650">
        <f t="shared" si="6"/>
        <v>0</v>
      </c>
      <c r="H36" s="650">
        <f t="shared" si="7"/>
        <v>0</v>
      </c>
      <c r="I36" s="651">
        <v>4</v>
      </c>
      <c r="J36" s="669">
        <f t="shared" si="1"/>
        <v>30</v>
      </c>
    </row>
    <row r="37" spans="1:10">
      <c r="A37" s="659">
        <v>49</v>
      </c>
      <c r="B37" s="659" t="s">
        <v>830</v>
      </c>
      <c r="C37" s="650" cm="1">
        <f t="array" ref="C37">SUMPRODUCT(--_xlfn.ISFORMULA('تعداد پرسنل آزادراه'!H:J))</f>
        <v>15</v>
      </c>
      <c r="D37" s="650" cm="1">
        <f t="array" ref="D37">SUMPRODUCT(--_xlfn.ISFORMULA('تعداد پرسنل آزادراه'!B:G))+SUMPRODUCT(--_xlfn.ISFORMULA('تعداد پرسنل آزادراه'!K:AC))</f>
        <v>101</v>
      </c>
      <c r="E37" s="650">
        <v>15</v>
      </c>
      <c r="F37" s="650">
        <v>101</v>
      </c>
      <c r="G37" s="650">
        <f t="shared" si="6"/>
        <v>0</v>
      </c>
      <c r="H37" s="650">
        <f t="shared" si="7"/>
        <v>0</v>
      </c>
      <c r="I37" s="651">
        <v>24</v>
      </c>
      <c r="J37" s="669">
        <f t="shared" si="1"/>
        <v>140</v>
      </c>
    </row>
    <row r="38" spans="1:10">
      <c r="A38" s="660">
        <v>50</v>
      </c>
      <c r="B38" s="660" t="s">
        <v>628</v>
      </c>
      <c r="C38" s="650" cm="1">
        <f t="array" ref="C38">SUMPRODUCT(--_xlfn.ISFORMULA('تعداد پرسنل'!H:J))</f>
        <v>48</v>
      </c>
      <c r="D38" s="650" cm="1">
        <f t="array" ref="D38">SUMPRODUCT(--_xlfn.ISFORMULA('تعداد پرسنل'!B:G))+SUMPRODUCT(--_xlfn.ISFORMULA('تعداد پرسنل'!K:AC))</f>
        <v>1393</v>
      </c>
      <c r="E38" s="650">
        <v>18</v>
      </c>
      <c r="F38" s="650">
        <v>125</v>
      </c>
      <c r="G38" s="650">
        <f t="shared" si="6"/>
        <v>-30</v>
      </c>
      <c r="H38" s="650">
        <f t="shared" si="7"/>
        <v>-1268</v>
      </c>
      <c r="I38" s="651">
        <v>45</v>
      </c>
      <c r="J38" s="669">
        <f t="shared" si="1"/>
        <v>1486</v>
      </c>
    </row>
    <row r="39" spans="1:10">
      <c r="A39" s="659">
        <v>51</v>
      </c>
      <c r="B39" s="659" t="s">
        <v>831</v>
      </c>
      <c r="C39" s="650">
        <v>0</v>
      </c>
      <c r="D39" s="650" cm="1">
        <f t="array" ref="D39">SUMPRODUCT(--_xlfn.ISFORMULA('صورت وضعیت مالی آزادراه'!B:C))</f>
        <v>32</v>
      </c>
      <c r="E39" s="650">
        <v>0</v>
      </c>
      <c r="F39" s="650">
        <v>32</v>
      </c>
      <c r="G39" s="650">
        <f t="shared" si="6"/>
        <v>0</v>
      </c>
      <c r="H39" s="650">
        <f t="shared" si="7"/>
        <v>0</v>
      </c>
      <c r="I39" s="651">
        <f>34*2</f>
        <v>68</v>
      </c>
      <c r="J39" s="669">
        <f t="shared" si="1"/>
        <v>100</v>
      </c>
    </row>
    <row r="40" spans="1:10">
      <c r="A40" s="660">
        <v>52</v>
      </c>
      <c r="B40" s="660" t="s">
        <v>832</v>
      </c>
      <c r="C40" s="650">
        <v>0</v>
      </c>
      <c r="D40" s="650" cm="1">
        <f t="array" ref="D40">SUMPRODUCT(--_xlfn.ISFORMULA('صورت وضعیت مالی '!B:C))</f>
        <v>32</v>
      </c>
      <c r="E40" s="650">
        <v>0</v>
      </c>
      <c r="F40" s="650">
        <v>32</v>
      </c>
      <c r="G40" s="650">
        <f t="shared" si="6"/>
        <v>0</v>
      </c>
      <c r="H40" s="650">
        <f t="shared" si="7"/>
        <v>0</v>
      </c>
      <c r="I40" s="651">
        <f>36*2</f>
        <v>72</v>
      </c>
      <c r="J40" s="669">
        <f t="shared" si="1"/>
        <v>104</v>
      </c>
    </row>
    <row r="41" spans="1:10">
      <c r="A41" s="2117"/>
      <c r="B41" s="2117" t="s">
        <v>3102</v>
      </c>
      <c r="C41" s="650">
        <v>0</v>
      </c>
      <c r="D41" s="650" cm="1">
        <f t="array" ref="D41">SUMPRODUCT(--_xlfn.ISFORMULA('صورت وضعیت مالی - شرکت اصلی'!B:C))</f>
        <v>18</v>
      </c>
      <c r="E41" s="650">
        <v>0</v>
      </c>
      <c r="F41" s="650">
        <v>18</v>
      </c>
      <c r="G41" s="650">
        <f t="shared" ref="G41" si="8">E41-C41</f>
        <v>0</v>
      </c>
      <c r="H41" s="650">
        <f t="shared" ref="H41" si="9">F41-D41</f>
        <v>0</v>
      </c>
      <c r="I41" s="651">
        <f>42*2</f>
        <v>84</v>
      </c>
      <c r="J41" s="669">
        <f t="shared" ref="J41" si="10">I41+D41+C41</f>
        <v>102</v>
      </c>
    </row>
    <row r="42" spans="1:10">
      <c r="A42" s="659">
        <v>53</v>
      </c>
      <c r="B42" s="659" t="s">
        <v>833</v>
      </c>
      <c r="C42" s="650">
        <v>0</v>
      </c>
      <c r="D42" s="650" cm="1">
        <f t="array" ref="D42">SUMPRODUCT(--_xlfn.ISFORMULA('اقلام عمده حسابها آزادراه'!A:C))</f>
        <v>14</v>
      </c>
      <c r="E42" s="650">
        <v>0</v>
      </c>
      <c r="F42" s="650">
        <v>14</v>
      </c>
      <c r="G42" s="650">
        <f t="shared" si="6"/>
        <v>0</v>
      </c>
      <c r="H42" s="650">
        <f t="shared" si="7"/>
        <v>0</v>
      </c>
      <c r="I42" s="651">
        <f>90*3</f>
        <v>270</v>
      </c>
      <c r="J42" s="669">
        <f t="shared" si="1"/>
        <v>284</v>
      </c>
    </row>
    <row r="43" spans="1:10">
      <c r="A43" s="660">
        <v>54</v>
      </c>
      <c r="B43" s="660" t="s">
        <v>834</v>
      </c>
      <c r="C43" s="650">
        <v>0</v>
      </c>
      <c r="D43" s="650" cm="1">
        <f t="array" ref="D43">SUMPRODUCT(--_xlfn.ISFORMULA('اقلام عمده حسابها '!A:C))</f>
        <v>14</v>
      </c>
      <c r="E43" s="650">
        <v>0</v>
      </c>
      <c r="F43" s="650">
        <v>14</v>
      </c>
      <c r="G43" s="650">
        <f t="shared" si="6"/>
        <v>0</v>
      </c>
      <c r="H43" s="650">
        <f t="shared" si="7"/>
        <v>0</v>
      </c>
      <c r="I43" s="651">
        <v>270</v>
      </c>
      <c r="J43" s="669">
        <f t="shared" si="1"/>
        <v>284</v>
      </c>
    </row>
    <row r="44" spans="1:10">
      <c r="A44" s="659">
        <v>55</v>
      </c>
      <c r="B44" s="659" t="s">
        <v>3103</v>
      </c>
      <c r="C44" s="650">
        <f>SUMPRODUCT(--_xlfn.ISFORMULA('درآمد هزینه آزادراه'!C12))</f>
        <v>1</v>
      </c>
      <c r="D44" s="650">
        <f>SUMPRODUCT(--_xlfn.ISFORMULA('درآمد هزینه آزادراه'!B6:F11))+SUMPRODUCT(--_xlfn.ISFORMULA('درآمد هزینه آزادراه'!E12:F12))+SUMPRODUCT(--_xlfn.ISFORMULA('درآمد هزینه آزادراه'!B13:F16))</f>
        <v>52</v>
      </c>
      <c r="E44" s="650">
        <v>1</v>
      </c>
      <c r="F44" s="650">
        <v>52</v>
      </c>
      <c r="G44" s="650">
        <f t="shared" si="6"/>
        <v>0</v>
      </c>
      <c r="H44" s="650">
        <f t="shared" si="7"/>
        <v>0</v>
      </c>
      <c r="I44" s="651">
        <v>2</v>
      </c>
      <c r="J44" s="669">
        <f t="shared" si="1"/>
        <v>55</v>
      </c>
    </row>
    <row r="45" spans="1:10">
      <c r="A45" s="660">
        <v>56</v>
      </c>
      <c r="B45" s="660" t="s">
        <v>835</v>
      </c>
      <c r="C45" s="650">
        <f>SUMPRODUCT(--_xlfn.ISFORMULA('صورت سود و زیان'!C21))</f>
        <v>1</v>
      </c>
      <c r="D45" s="650" cm="1">
        <f t="array" ref="D45">SUMPRODUCT(--_xlfn.ISFORMULA('صورت سود و زیان'!B6:F20))+SUMPRODUCT(--_xlfn.ISFORMULA('صورت سود و زیان'!E21:F23))+SUMPRODUCT(--_xlfn.ISFORMULA('صورت سود و زیان'!B22:F23))</f>
        <v>91</v>
      </c>
      <c r="E45" s="650">
        <v>1</v>
      </c>
      <c r="F45" s="650">
        <v>91</v>
      </c>
      <c r="G45" s="650">
        <f t="shared" si="6"/>
        <v>0</v>
      </c>
      <c r="H45" s="650">
        <f t="shared" si="7"/>
        <v>0</v>
      </c>
      <c r="I45" s="651">
        <v>2</v>
      </c>
      <c r="J45" s="669">
        <f t="shared" si="1"/>
        <v>94</v>
      </c>
    </row>
    <row r="46" spans="1:10">
      <c r="A46" s="2117"/>
      <c r="B46" s="2117" t="s">
        <v>3104</v>
      </c>
      <c r="C46" s="650" cm="1">
        <f t="array" ref="C46">SUMPRODUCT(--_xlfn.ISFORMULA('صورت سود و زیان - شرکت اصلی'!C:C))</f>
        <v>5</v>
      </c>
      <c r="D46" s="650" cm="1">
        <f t="array" ref="D46">SUMPRODUCT(--_xlfn.ISFORMULA('صورت سود و زیان - شرکت اصلی'!B:B))+SUMPRODUCT(--_xlfn.ISFORMULA('صورت سود و زیان - شرکت اصلی'!D:F))</f>
        <v>46</v>
      </c>
      <c r="E46" s="650">
        <v>18</v>
      </c>
      <c r="F46" s="650">
        <v>46</v>
      </c>
      <c r="G46" s="650">
        <f t="shared" ref="G46" si="11">E46-C46</f>
        <v>13</v>
      </c>
      <c r="H46" s="650">
        <f t="shared" ref="H46" si="12">F46-D46</f>
        <v>0</v>
      </c>
      <c r="I46" s="651">
        <f>13*2</f>
        <v>26</v>
      </c>
      <c r="J46" s="669">
        <f t="shared" ref="J46" si="13">I46+D46+C46</f>
        <v>77</v>
      </c>
    </row>
    <row r="47" spans="1:10">
      <c r="A47" s="659">
        <v>57</v>
      </c>
      <c r="B47" s="659" t="s">
        <v>836</v>
      </c>
      <c r="C47" s="650">
        <v>0</v>
      </c>
      <c r="D47" s="650" cm="1">
        <f t="array" ref="D47">SUMPRODUCT(--_xlfn.ISFORMULA('صورت جریان وجوه نقد آزادراه'!B:C))</f>
        <v>12</v>
      </c>
      <c r="E47" s="650">
        <v>0</v>
      </c>
      <c r="F47" s="650">
        <v>12</v>
      </c>
      <c r="G47" s="650">
        <f t="shared" si="6"/>
        <v>0</v>
      </c>
      <c r="H47" s="650">
        <f t="shared" si="7"/>
        <v>0</v>
      </c>
      <c r="I47" s="651">
        <f>83*2</f>
        <v>166</v>
      </c>
      <c r="J47" s="669">
        <f t="shared" si="1"/>
        <v>178</v>
      </c>
    </row>
    <row r="48" spans="1:10">
      <c r="A48" s="660">
        <v>58</v>
      </c>
      <c r="B48" s="660" t="s">
        <v>837</v>
      </c>
      <c r="C48" s="650">
        <v>0</v>
      </c>
      <c r="D48" s="650" cm="1">
        <f t="array" ref="D48">SUMPRODUCT(--_xlfn.ISFORMULA('صورت جریان وجوه نقد '!B:C))</f>
        <v>12</v>
      </c>
      <c r="E48" s="650">
        <v>0</v>
      </c>
      <c r="F48" s="650">
        <v>12</v>
      </c>
      <c r="G48" s="650">
        <f t="shared" si="6"/>
        <v>0</v>
      </c>
      <c r="H48" s="650">
        <f t="shared" si="7"/>
        <v>0</v>
      </c>
      <c r="I48" s="651">
        <f>83*2</f>
        <v>166</v>
      </c>
      <c r="J48" s="669">
        <f t="shared" si="1"/>
        <v>178</v>
      </c>
    </row>
    <row r="49" spans="1:10">
      <c r="A49" s="2117"/>
      <c r="B49" s="2117" t="s">
        <v>3105</v>
      </c>
      <c r="C49" s="650">
        <v>0</v>
      </c>
      <c r="D49" s="650" cm="1">
        <f t="array" ref="D49">SUMPRODUCT(--_xlfn.ISFORMULA('صورت جریان وجوه نقد - شرکت اصلی'!B:C))</f>
        <v>12</v>
      </c>
      <c r="E49" s="650">
        <v>0</v>
      </c>
      <c r="F49" s="650">
        <v>12</v>
      </c>
      <c r="G49" s="650">
        <f t="shared" ref="G49" si="14">E49-C49</f>
        <v>0</v>
      </c>
      <c r="H49" s="650">
        <f t="shared" ref="H49" si="15">F49-D49</f>
        <v>0</v>
      </c>
      <c r="I49" s="651">
        <f>83*2</f>
        <v>166</v>
      </c>
      <c r="J49" s="669">
        <f t="shared" ref="J49" si="16">I49+D49+C49</f>
        <v>178</v>
      </c>
    </row>
    <row r="50" spans="1:10">
      <c r="A50" s="659">
        <v>59</v>
      </c>
      <c r="B50" s="659" t="s">
        <v>838</v>
      </c>
      <c r="C50" s="650" cm="1">
        <f t="array" ref="C50">SUMPRODUCT(--_xlfn.ISFORMULA('دریافت پرداخت نقد آزادراه'!D:F))</f>
        <v>357</v>
      </c>
      <c r="D50" s="650" cm="1">
        <f t="array" ref="D50">SUMPRODUCT(--_xlfn.ISFORMULA('دریافت پرداخت نقد آزادراه'!G:I))</f>
        <v>366</v>
      </c>
      <c r="E50" s="650">
        <v>357</v>
      </c>
      <c r="F50" s="650">
        <v>366</v>
      </c>
      <c r="G50" s="650">
        <f t="shared" si="6"/>
        <v>0</v>
      </c>
      <c r="H50" s="650">
        <f t="shared" si="7"/>
        <v>0</v>
      </c>
      <c r="I50" s="651">
        <f>170*2</f>
        <v>340</v>
      </c>
      <c r="J50" s="669">
        <f t="shared" si="1"/>
        <v>1063</v>
      </c>
    </row>
    <row r="51" spans="1:10">
      <c r="A51" s="660">
        <v>60</v>
      </c>
      <c r="B51" s="660" t="s">
        <v>839</v>
      </c>
      <c r="C51" s="650" cm="1">
        <f t="array" ref="C51">SUMPRODUCT(--_xlfn.ISFORMULA('دریافت پرداخت'!D:F))</f>
        <v>186</v>
      </c>
      <c r="D51" s="650" cm="1">
        <f t="array" ref="D51">SUMPRODUCT(--_xlfn.ISFORMULA('دریافت پرداخت'!G:I))</f>
        <v>368</v>
      </c>
      <c r="E51" s="650">
        <v>358</v>
      </c>
      <c r="F51" s="650">
        <v>368</v>
      </c>
      <c r="G51" s="650">
        <f t="shared" si="6"/>
        <v>172</v>
      </c>
      <c r="H51" s="650">
        <f t="shared" si="7"/>
        <v>0</v>
      </c>
      <c r="I51" s="651">
        <v>350</v>
      </c>
      <c r="J51" s="669">
        <f t="shared" si="1"/>
        <v>904</v>
      </c>
    </row>
    <row r="52" spans="1:10">
      <c r="A52" s="661">
        <v>61</v>
      </c>
      <c r="B52" s="661" t="s">
        <v>3106</v>
      </c>
      <c r="C52" s="650">
        <v>0</v>
      </c>
      <c r="D52" s="650" cm="1">
        <f t="array" ref="D52">SUMPRODUCT(--_xlfn.ISFORMULA('سود ناویژه محصول تولیدی'!B:H))</f>
        <v>100</v>
      </c>
      <c r="E52" s="650">
        <v>0</v>
      </c>
      <c r="F52" s="650">
        <v>100</v>
      </c>
      <c r="G52" s="650">
        <f t="shared" si="6"/>
        <v>0</v>
      </c>
      <c r="H52" s="650">
        <f t="shared" si="7"/>
        <v>0</v>
      </c>
      <c r="I52" s="651">
        <v>40</v>
      </c>
      <c r="J52" s="669">
        <f t="shared" si="1"/>
        <v>140</v>
      </c>
    </row>
    <row r="53" spans="1:10">
      <c r="A53" s="663">
        <v>62</v>
      </c>
      <c r="B53" s="663" t="s">
        <v>3107</v>
      </c>
      <c r="C53" s="650">
        <v>0</v>
      </c>
      <c r="D53" s="650" cm="1">
        <f t="array" ref="D53">SUMPRODUCT(--_xlfn.ISFORMULA(' سود ناویژه کالای تجاری'!B:H))</f>
        <v>138</v>
      </c>
      <c r="E53" s="650">
        <v>0</v>
      </c>
      <c r="F53" s="650">
        <v>138</v>
      </c>
      <c r="G53" s="650">
        <f t="shared" si="6"/>
        <v>0</v>
      </c>
      <c r="H53" s="650">
        <f t="shared" si="7"/>
        <v>0</v>
      </c>
      <c r="I53" s="651">
        <v>23</v>
      </c>
      <c r="J53" s="669">
        <f t="shared" si="1"/>
        <v>161</v>
      </c>
    </row>
    <row r="54" spans="1:10">
      <c r="A54" s="662"/>
      <c r="B54" s="662" t="s">
        <v>3109</v>
      </c>
      <c r="C54" s="650">
        <v>0</v>
      </c>
      <c r="D54" s="650" cm="1">
        <f t="array" ref="D54">SUMPRODUCT(--_xlfn.ISFORMULA('سود ناویژه صادراتی'!B:H))</f>
        <v>60</v>
      </c>
      <c r="E54" s="650">
        <v>0</v>
      </c>
      <c r="F54" s="650">
        <v>60</v>
      </c>
      <c r="G54" s="650">
        <f t="shared" ref="G54" si="17">E54-C54</f>
        <v>0</v>
      </c>
      <c r="H54" s="650">
        <f t="shared" ref="H54" si="18">F54-D54</f>
        <v>0</v>
      </c>
      <c r="I54" s="651">
        <v>24</v>
      </c>
      <c r="J54" s="669">
        <f t="shared" ref="J54" si="19">I54+D54+C54</f>
        <v>84</v>
      </c>
    </row>
    <row r="55" spans="1:10">
      <c r="A55" s="665">
        <v>64</v>
      </c>
      <c r="B55" s="665" t="s">
        <v>3108</v>
      </c>
      <c r="C55" s="650">
        <v>0</v>
      </c>
      <c r="D55" s="650" cm="1">
        <f t="array" ref="D55">SUMPRODUCT(--_xlfn.ISFORMULA('سود ناویژه خدمات'!B:H))</f>
        <v>100</v>
      </c>
      <c r="E55" s="650">
        <v>0</v>
      </c>
      <c r="F55" s="650">
        <v>100</v>
      </c>
      <c r="G55" s="650">
        <f t="shared" si="6"/>
        <v>0</v>
      </c>
      <c r="H55" s="650">
        <f t="shared" si="7"/>
        <v>0</v>
      </c>
      <c r="I55" s="651">
        <v>40</v>
      </c>
      <c r="J55" s="669">
        <f t="shared" si="1"/>
        <v>140</v>
      </c>
    </row>
    <row r="56" spans="1:10">
      <c r="A56" s="659">
        <v>65</v>
      </c>
      <c r="B56" s="659" t="s">
        <v>3110</v>
      </c>
      <c r="C56" s="650" cm="1">
        <f t="array" ref="C56">SUMPRODUCT(--_xlfn.ISFORMULA('هزینه اداری عمومی آزادراه'!A:C))</f>
        <v>107</v>
      </c>
      <c r="D56" s="650" cm="1">
        <f t="array" ref="D56">SUMPRODUCT(--_xlfn.ISFORMULA('هزینه اداری عمومی آزادراه'!D:F))</f>
        <v>110</v>
      </c>
      <c r="E56" s="650">
        <v>107</v>
      </c>
      <c r="F56" s="650">
        <v>110</v>
      </c>
      <c r="G56" s="650">
        <f t="shared" si="6"/>
        <v>0</v>
      </c>
      <c r="H56" s="650">
        <f t="shared" si="7"/>
        <v>0</v>
      </c>
      <c r="I56" s="651">
        <f>48*2+2</f>
        <v>98</v>
      </c>
      <c r="J56" s="669">
        <f t="shared" si="1"/>
        <v>315</v>
      </c>
    </row>
    <row r="57" spans="1:10">
      <c r="A57" s="660">
        <v>66</v>
      </c>
      <c r="B57" s="660" t="s">
        <v>3111</v>
      </c>
      <c r="C57" s="650" cm="1">
        <f t="array" ref="C57">SUMPRODUCT(--_xlfn.ISFORMULA('هزینه اداری عمومی'!A:C))</f>
        <v>55</v>
      </c>
      <c r="D57" s="650" cm="1">
        <f t="array" ref="D57">SUMPRODUCT(--_xlfn.ISFORMULA('هزینه اداری عمومی'!D:F))</f>
        <v>110</v>
      </c>
      <c r="E57" s="650">
        <v>107</v>
      </c>
      <c r="F57" s="650">
        <v>110</v>
      </c>
      <c r="G57" s="650">
        <f t="shared" si="6"/>
        <v>52</v>
      </c>
      <c r="H57" s="650">
        <f t="shared" si="7"/>
        <v>0</v>
      </c>
      <c r="I57" s="651">
        <v>98</v>
      </c>
      <c r="J57" s="669">
        <f t="shared" ref="J57:J78" si="20">I57+D57+C57</f>
        <v>263</v>
      </c>
    </row>
    <row r="58" spans="1:10">
      <c r="A58" s="659">
        <v>67</v>
      </c>
      <c r="B58" s="659" t="s">
        <v>3112</v>
      </c>
      <c r="C58" s="650" cm="1">
        <f t="array" ref="C58">SUMPRODUCT(--_xlfn.ISFORMULA('دارایی آزادراه'!A:H))</f>
        <v>122</v>
      </c>
      <c r="D58" s="650" cm="1">
        <f t="array" ref="D58">SUMPRODUCT(--_xlfn.ISFORMULA('دارایی آزادراه'!I:O))</f>
        <v>31</v>
      </c>
      <c r="E58" s="650">
        <v>122</v>
      </c>
      <c r="F58" s="650">
        <v>31</v>
      </c>
      <c r="G58" s="650">
        <f t="shared" si="6"/>
        <v>0</v>
      </c>
      <c r="H58" s="650">
        <f t="shared" si="7"/>
        <v>0</v>
      </c>
      <c r="I58" s="651">
        <f>7*14+13</f>
        <v>111</v>
      </c>
      <c r="J58" s="669">
        <f t="shared" si="20"/>
        <v>264</v>
      </c>
    </row>
    <row r="59" spans="1:10">
      <c r="A59" s="660">
        <v>68</v>
      </c>
      <c r="B59" s="660" t="s">
        <v>840</v>
      </c>
      <c r="C59" s="650" cm="1">
        <f t="array" ref="C59">SUMPRODUCT(--_xlfn.ISFORMULA(دارایی!A:H))</f>
        <v>36</v>
      </c>
      <c r="D59" s="650" cm="1">
        <f t="array" ref="D59">SUMPRODUCT(--_xlfn.ISFORMULA(دارایی!I:O))</f>
        <v>35</v>
      </c>
      <c r="E59" s="650">
        <v>150</v>
      </c>
      <c r="F59" s="650">
        <v>35</v>
      </c>
      <c r="G59" s="650">
        <f t="shared" si="6"/>
        <v>114</v>
      </c>
      <c r="H59" s="650">
        <f t="shared" si="7"/>
        <v>0</v>
      </c>
      <c r="I59" s="651">
        <f>7*18+13</f>
        <v>139</v>
      </c>
      <c r="J59" s="669">
        <f t="shared" si="20"/>
        <v>210</v>
      </c>
    </row>
    <row r="60" spans="1:10">
      <c r="A60" s="659"/>
      <c r="B60" s="659" t="s">
        <v>3113</v>
      </c>
      <c r="C60" s="650">
        <v>0</v>
      </c>
      <c r="D60" s="650" cm="1">
        <f t="array" ref="D60">SUMPRODUCT(--_xlfn.ISFORMULA('موجودی مواد و کالا آزادراهی'!A:C))</f>
        <v>4</v>
      </c>
      <c r="E60" s="650">
        <v>0</v>
      </c>
      <c r="F60" s="650">
        <v>4</v>
      </c>
      <c r="G60" s="650">
        <f t="shared" ref="G60" si="21">E60-C60</f>
        <v>0</v>
      </c>
      <c r="H60" s="650">
        <f t="shared" ref="H60" si="22">F60-D60</f>
        <v>0</v>
      </c>
      <c r="I60" s="651">
        <v>14</v>
      </c>
      <c r="J60" s="669">
        <f t="shared" ref="J60" si="23">I60+D60+C60</f>
        <v>18</v>
      </c>
    </row>
    <row r="61" spans="1:10">
      <c r="A61" s="660"/>
      <c r="B61" s="660" t="s">
        <v>3114</v>
      </c>
      <c r="C61" s="650">
        <v>0</v>
      </c>
      <c r="D61" s="650" cm="1">
        <f t="array" ref="D61">SUMPRODUCT(--_xlfn.ISFORMULA('موجودی مواد و کالا'!A:C))</f>
        <v>4</v>
      </c>
      <c r="E61" s="650">
        <v>0</v>
      </c>
      <c r="F61" s="650">
        <v>4</v>
      </c>
      <c r="G61" s="650">
        <f t="shared" ref="G61" si="24">E61-C61</f>
        <v>0</v>
      </c>
      <c r="H61" s="650">
        <f t="shared" ref="H61" si="25">F61-D61</f>
        <v>0</v>
      </c>
      <c r="I61" s="651">
        <v>16</v>
      </c>
      <c r="J61" s="669">
        <f t="shared" ref="J61" si="26">I61+D61+C61</f>
        <v>20</v>
      </c>
    </row>
    <row r="62" spans="1:10">
      <c r="A62" s="659">
        <v>69</v>
      </c>
      <c r="B62" s="659" t="s">
        <v>3115</v>
      </c>
      <c r="C62" s="650" cm="1">
        <f t="array" ref="C62">SUMPRODUCT(--_xlfn.ISFORMULA('سایر عملیاتی آزادراهی'!A:C))</f>
        <v>68</v>
      </c>
      <c r="D62" s="650" cm="1">
        <f t="array" ref="D62">SUMPRODUCT(--_xlfn.ISFORMULA('سایر عملیاتی آزادراهی'!D:F))</f>
        <v>69</v>
      </c>
      <c r="E62" s="650">
        <v>68</v>
      </c>
      <c r="F62" s="650">
        <v>69</v>
      </c>
      <c r="G62" s="650">
        <f t="shared" si="6"/>
        <v>0</v>
      </c>
      <c r="H62" s="650">
        <f t="shared" si="7"/>
        <v>0</v>
      </c>
      <c r="I62" s="651">
        <v>60</v>
      </c>
      <c r="J62" s="669">
        <f t="shared" si="20"/>
        <v>197</v>
      </c>
    </row>
    <row r="63" spans="1:10">
      <c r="A63" s="659">
        <v>70</v>
      </c>
      <c r="B63" s="659" t="s">
        <v>3116</v>
      </c>
      <c r="C63" s="650" cm="1">
        <f t="array" ref="C63">SUMPRODUCT(--_xlfn.ISFORMULA('سایر غیرعملیاتی آزادراهی'!A:C))</f>
        <v>68</v>
      </c>
      <c r="D63" s="650" cm="1">
        <f t="array" ref="D63">SUMPRODUCT(--_xlfn.ISFORMULA('سایر غیرعملیاتی آزادراهی'!D:F))</f>
        <v>69</v>
      </c>
      <c r="E63" s="650">
        <v>68</v>
      </c>
      <c r="F63" s="650">
        <v>69</v>
      </c>
      <c r="G63" s="650">
        <f t="shared" si="6"/>
        <v>0</v>
      </c>
      <c r="H63" s="650">
        <f t="shared" si="7"/>
        <v>0</v>
      </c>
      <c r="I63" s="651">
        <v>60</v>
      </c>
      <c r="J63" s="669">
        <f t="shared" si="20"/>
        <v>197</v>
      </c>
    </row>
    <row r="64" spans="1:10">
      <c r="A64" s="660">
        <v>71</v>
      </c>
      <c r="B64" s="660" t="s">
        <v>331</v>
      </c>
      <c r="C64" s="650" cm="1">
        <f t="array" ref="C64">SUMPRODUCT(--_xlfn.ISFORMULA('سایر عملیاتی'!A:C))</f>
        <v>37</v>
      </c>
      <c r="D64" s="650" cm="1">
        <f t="array" ref="D64">SUMPRODUCT(--_xlfn.ISFORMULA('سایر عملیاتی'!D:F))</f>
        <v>69</v>
      </c>
      <c r="E64" s="650">
        <v>68</v>
      </c>
      <c r="F64" s="650">
        <v>69</v>
      </c>
      <c r="G64" s="650">
        <f t="shared" si="6"/>
        <v>31</v>
      </c>
      <c r="H64" s="650">
        <f t="shared" si="7"/>
        <v>0</v>
      </c>
      <c r="I64" s="651">
        <v>60</v>
      </c>
      <c r="J64" s="669">
        <f>I64+D64+C64</f>
        <v>166</v>
      </c>
    </row>
    <row r="65" spans="1:10">
      <c r="A65" s="660">
        <v>72</v>
      </c>
      <c r="B65" s="660" t="s">
        <v>332</v>
      </c>
      <c r="C65" s="650" cm="1">
        <f t="array" ref="C65">SUMPRODUCT(--_xlfn.ISFORMULA('سایر غیرعملیاتی'!A:C))</f>
        <v>38</v>
      </c>
      <c r="D65" s="650" cm="1">
        <f t="array" ref="D65">SUMPRODUCT(--_xlfn.ISFORMULA('سایر غیرعملیاتی'!D:F))</f>
        <v>69</v>
      </c>
      <c r="E65" s="650">
        <v>68</v>
      </c>
      <c r="F65" s="650">
        <v>69</v>
      </c>
      <c r="G65" s="650">
        <f t="shared" si="6"/>
        <v>30</v>
      </c>
      <c r="H65" s="650">
        <f t="shared" si="7"/>
        <v>0</v>
      </c>
      <c r="I65" s="651">
        <v>60</v>
      </c>
      <c r="J65" s="669">
        <f t="shared" si="20"/>
        <v>167</v>
      </c>
    </row>
    <row r="66" spans="1:10">
      <c r="A66" s="658">
        <v>73</v>
      </c>
      <c r="B66" s="658" t="s">
        <v>310</v>
      </c>
      <c r="C66" s="650">
        <f>SUMPRODUCT(--_xlfn.ISFORMULA(تسهیلات!B7:H15))+SUMPRODUCT(--_xlfn.ISFORMULA(تسهیلات!C22:F30))</f>
        <v>0</v>
      </c>
      <c r="D66" s="650" cm="1">
        <f t="array" ref="D66">SUMPRODUCT(--_xlfn.ISFORMULA(تسهیلات!B:N))</f>
        <v>81</v>
      </c>
      <c r="E66" s="650">
        <v>0</v>
      </c>
      <c r="F66" s="650">
        <v>81</v>
      </c>
      <c r="G66" s="650">
        <f t="shared" si="6"/>
        <v>0</v>
      </c>
      <c r="H66" s="650">
        <f t="shared" si="7"/>
        <v>0</v>
      </c>
      <c r="I66" s="651">
        <f>19*7</f>
        <v>133</v>
      </c>
      <c r="J66" s="669">
        <f t="shared" si="20"/>
        <v>214</v>
      </c>
    </row>
    <row r="67" spans="1:10">
      <c r="A67" s="658">
        <v>74</v>
      </c>
      <c r="B67" s="658" t="s">
        <v>3117</v>
      </c>
      <c r="C67" s="650">
        <v>0</v>
      </c>
      <c r="D67" s="650">
        <v>0</v>
      </c>
      <c r="E67" s="650">
        <v>0</v>
      </c>
      <c r="F67" s="650">
        <v>0</v>
      </c>
      <c r="G67" s="650">
        <f t="shared" si="6"/>
        <v>0</v>
      </c>
      <c r="H67" s="650">
        <f t="shared" si="7"/>
        <v>0</v>
      </c>
      <c r="I67" s="651">
        <v>130</v>
      </c>
      <c r="J67" s="669">
        <f t="shared" si="20"/>
        <v>130</v>
      </c>
    </row>
    <row r="68" spans="1:10">
      <c r="A68" s="658">
        <v>76</v>
      </c>
      <c r="B68" s="658" t="s">
        <v>841</v>
      </c>
      <c r="C68" s="650">
        <v>0</v>
      </c>
      <c r="D68" s="650">
        <v>0</v>
      </c>
      <c r="E68" s="650">
        <v>0</v>
      </c>
      <c r="F68" s="650">
        <v>0</v>
      </c>
      <c r="G68" s="650">
        <f t="shared" si="6"/>
        <v>0</v>
      </c>
      <c r="H68" s="650">
        <f t="shared" si="7"/>
        <v>0</v>
      </c>
      <c r="I68" s="651">
        <f>9*4</f>
        <v>36</v>
      </c>
      <c r="J68" s="669">
        <f t="shared" si="20"/>
        <v>36</v>
      </c>
    </row>
    <row r="69" spans="1:10">
      <c r="A69" s="659">
        <v>77</v>
      </c>
      <c r="B69" s="659" t="s">
        <v>842</v>
      </c>
      <c r="C69" s="650">
        <v>0</v>
      </c>
      <c r="D69" s="650" cm="1">
        <f t="array" ref="D69">SUMPRODUCT(--_xlfn.ISFORMULA('استهلاک سرمایه گذاری'!B:P))</f>
        <v>276</v>
      </c>
      <c r="E69" s="650">
        <v>0</v>
      </c>
      <c r="F69" s="650">
        <v>276</v>
      </c>
      <c r="G69" s="650">
        <f t="shared" si="6"/>
        <v>0</v>
      </c>
      <c r="H69" s="650">
        <f t="shared" si="7"/>
        <v>0</v>
      </c>
      <c r="I69" s="651">
        <f>53*9</f>
        <v>477</v>
      </c>
      <c r="J69" s="669">
        <f t="shared" si="20"/>
        <v>753</v>
      </c>
    </row>
    <row r="70" spans="1:10">
      <c r="A70" s="658">
        <v>78</v>
      </c>
      <c r="B70" s="658" t="s">
        <v>843</v>
      </c>
      <c r="C70" s="650" cm="1">
        <f t="array" ref="C70">SUMPRODUCT(--_xlfn.ISFORMULA('روابط عمومی'!B:D))</f>
        <v>18</v>
      </c>
      <c r="D70" s="650" cm="1">
        <f t="array" ref="D70">SUMPRODUCT(--_xlfn.ISFORMULA('روابط عمومی'!E:F))</f>
        <v>20</v>
      </c>
      <c r="E70" s="650">
        <v>38</v>
      </c>
      <c r="F70" s="650">
        <v>20</v>
      </c>
      <c r="G70" s="650">
        <f t="shared" si="6"/>
        <v>20</v>
      </c>
      <c r="H70" s="650">
        <f t="shared" si="7"/>
        <v>0</v>
      </c>
      <c r="I70" s="651">
        <v>36</v>
      </c>
      <c r="J70" s="669">
        <f t="shared" si="20"/>
        <v>74</v>
      </c>
    </row>
    <row r="71" spans="1:10">
      <c r="A71" s="658">
        <v>79</v>
      </c>
      <c r="B71" s="658" t="s">
        <v>844</v>
      </c>
      <c r="C71" s="650" cm="1">
        <f t="array" ref="C71">SUMPRODUCT(--_xlfn.ISFORMULA('پروژه ها'!A:R))</f>
        <v>42</v>
      </c>
      <c r="D71" s="650">
        <v>0</v>
      </c>
      <c r="E71" s="650">
        <v>2900</v>
      </c>
      <c r="F71" s="650">
        <v>0</v>
      </c>
      <c r="G71" s="650">
        <f t="shared" si="6"/>
        <v>2858</v>
      </c>
      <c r="H71" s="650">
        <f t="shared" si="7"/>
        <v>0</v>
      </c>
      <c r="I71" s="651">
        <f>322*8</f>
        <v>2576</v>
      </c>
      <c r="J71" s="669">
        <f t="shared" si="20"/>
        <v>2618</v>
      </c>
    </row>
    <row r="72" spans="1:10">
      <c r="A72" s="666">
        <v>83</v>
      </c>
      <c r="B72" s="666" t="s">
        <v>601</v>
      </c>
      <c r="C72" s="650" cm="1">
        <f t="array" ref="C72">SUMPRODUCT(--_xlfn.ISFORMULA('خلاصه وضعیت پروازی ناوگان'!A:F))</f>
        <v>226</v>
      </c>
      <c r="D72" s="650" cm="1">
        <f t="array" ref="D72">SUMPRODUCT(--_xlfn.ISFORMULA('خلاصه وضعیت پروازی ناوگان'!G:K))</f>
        <v>170</v>
      </c>
      <c r="E72" s="650">
        <v>226</v>
      </c>
      <c r="F72" s="650">
        <v>170</v>
      </c>
      <c r="G72" s="650">
        <f t="shared" si="6"/>
        <v>0</v>
      </c>
      <c r="H72" s="650">
        <f t="shared" si="7"/>
        <v>0</v>
      </c>
      <c r="I72" s="651">
        <f>55*4</f>
        <v>220</v>
      </c>
      <c r="J72" s="669">
        <f t="shared" si="20"/>
        <v>616</v>
      </c>
    </row>
    <row r="73" spans="1:10">
      <c r="A73" s="666">
        <v>84</v>
      </c>
      <c r="B73" s="666" t="s">
        <v>614</v>
      </c>
      <c r="C73" s="650" cm="1">
        <f t="array" ref="C73">SUMPRODUCT(--_xlfn.ISFORMULA('درآمد فروش بليط داخلی'!J6:Q13))+SUMPRODUCT(--_xlfn.ISFORMULA('درآمد فروش بليط داخلی'!A6:A13))</f>
        <v>72</v>
      </c>
      <c r="D73" s="650" cm="1">
        <f t="array" ref="D73">SUMPRODUCT(--_xlfn.ISFORMULA('درآمد فروش بليط داخلی'!B:I))+SUMPRODUCT(--_xlfn.ISFORMULA('درآمد فروش بليط داخلی'!A18:A25))+SUMPRODUCT(--_xlfn.ISFORMULA('درآمد فروش بليط داخلی'!J14:Q26))</f>
        <v>152</v>
      </c>
      <c r="E73" s="650">
        <v>72</v>
      </c>
      <c r="F73" s="650">
        <v>152</v>
      </c>
      <c r="G73" s="650">
        <f t="shared" si="6"/>
        <v>0</v>
      </c>
      <c r="H73" s="650">
        <f t="shared" si="7"/>
        <v>0</v>
      </c>
      <c r="I73" s="651">
        <v>80</v>
      </c>
      <c r="J73" s="669">
        <f t="shared" si="20"/>
        <v>304</v>
      </c>
    </row>
    <row r="74" spans="1:10">
      <c r="A74" s="666">
        <v>85</v>
      </c>
      <c r="B74" s="666" t="s">
        <v>615</v>
      </c>
      <c r="C74" s="650" cm="1">
        <f t="array" ref="C74">SUMPRODUCT(--_xlfn.ISFORMULA('درآمد فروش بليط خارجی'!A6:A13))+SUMPRODUCT(--_xlfn.ISFORMULA('درآمد فروش بليط خارجی'!J6:Q13))</f>
        <v>72</v>
      </c>
      <c r="D74" s="650" cm="1">
        <f t="array" ref="D74">SUMPRODUCT(--_xlfn.ISFORMULA('درآمد فروش بليط خارجی'!B:I))+SUMPRODUCT(--_xlfn.ISFORMULA('درآمد فروش بليط خارجی'!A18:A25))+SUMPRODUCT(--_xlfn.ISFORMULA('درآمد فروش بليط خارجی'!J14:Q26))</f>
        <v>152</v>
      </c>
      <c r="E74" s="650">
        <v>72</v>
      </c>
      <c r="F74" s="650">
        <v>152</v>
      </c>
      <c r="G74" s="650">
        <f t="shared" si="6"/>
        <v>0</v>
      </c>
      <c r="H74" s="650">
        <f t="shared" si="7"/>
        <v>0</v>
      </c>
      <c r="I74" s="651">
        <v>80</v>
      </c>
      <c r="J74" s="669">
        <f t="shared" si="20"/>
        <v>304</v>
      </c>
    </row>
    <row r="75" spans="1:10">
      <c r="A75" s="666">
        <v>86</v>
      </c>
      <c r="B75" s="666" t="s">
        <v>778</v>
      </c>
      <c r="C75" s="650" cm="1">
        <f t="array" ref="C75">SUMPRODUCT(--_xlfn.ISFORMULA(سوخت!F:H))+SUMPRODUCT(--_xlfn.ISFORMULA(سوخت!A:A))</f>
        <v>37</v>
      </c>
      <c r="D75" s="650" cm="1">
        <f t="array" ref="D75">SUMPRODUCT(--_xlfn.ISFORMULA(سوخت!E:E))+SUMPRODUCT(--_xlfn.ISFORMULA(سوخت!I:Q))</f>
        <v>66</v>
      </c>
      <c r="E75" s="650">
        <v>37</v>
      </c>
      <c r="F75" s="650">
        <v>66</v>
      </c>
      <c r="G75" s="650">
        <f t="shared" si="6"/>
        <v>0</v>
      </c>
      <c r="H75" s="650">
        <f t="shared" si="7"/>
        <v>0</v>
      </c>
      <c r="I75" s="651">
        <v>48</v>
      </c>
      <c r="J75" s="669">
        <f t="shared" si="20"/>
        <v>151</v>
      </c>
    </row>
    <row r="76" spans="1:10">
      <c r="A76" s="666">
        <v>87</v>
      </c>
      <c r="B76" s="666" t="s">
        <v>846</v>
      </c>
      <c r="C76" s="650" cm="1">
        <f t="array" ref="C76">SUMPRODUCT(--_xlfn.ISFORMULA(کترینگ!F:H))</f>
        <v>27</v>
      </c>
      <c r="D76" s="650" cm="1">
        <f t="array" ref="D76">SUMPRODUCT(--_xlfn.ISFORMULA(کترینگ!A:E))+SUMPRODUCT(--_xlfn.ISFORMULA(کترینگ!I:Q))</f>
        <v>79</v>
      </c>
      <c r="E76" s="650">
        <v>27</v>
      </c>
      <c r="F76" s="650">
        <v>79</v>
      </c>
      <c r="G76" s="650">
        <f t="shared" si="6"/>
        <v>0</v>
      </c>
      <c r="H76" s="650">
        <f t="shared" si="7"/>
        <v>0</v>
      </c>
      <c r="I76" s="651">
        <v>48</v>
      </c>
      <c r="J76" s="669">
        <f t="shared" si="20"/>
        <v>154</v>
      </c>
    </row>
    <row r="77" spans="1:10">
      <c r="A77" s="666">
        <v>88</v>
      </c>
      <c r="B77" s="666" t="s">
        <v>847</v>
      </c>
      <c r="C77" s="650" cm="1">
        <f t="array" ref="C77">SUMPRODUCT(--_xlfn.ISFORMULA(هندلینگ!E:F))</f>
        <v>18</v>
      </c>
      <c r="D77" s="650">
        <f>SUMPRODUCT(--_xlfn.ISFORMULA(هندلینگ!J7:M14))+SUMPRODUCT(--_xlfn.ISFORMULA(هندلینگ!G7:G14))+SUMPRODUCT(--_xlfn.ISFORMULA(هندلینگ!D7:D14))+SUMPRODUCT(--_xlfn.ISFORMULA(هندلینگ!A7:A14))+SUMPRODUCT(--_xlfn.ISFORMULA(هندلینگ!B15:M15))</f>
        <v>68</v>
      </c>
      <c r="E77" s="650">
        <v>18</v>
      </c>
      <c r="F77" s="650">
        <v>68</v>
      </c>
      <c r="G77" s="650">
        <f t="shared" si="6"/>
        <v>0</v>
      </c>
      <c r="H77" s="650">
        <f t="shared" si="7"/>
        <v>0</v>
      </c>
      <c r="I77" s="651">
        <v>32</v>
      </c>
      <c r="J77" s="669">
        <f t="shared" si="20"/>
        <v>118</v>
      </c>
    </row>
    <row r="78" spans="1:10" ht="24.75" thickBot="1">
      <c r="A78" s="655"/>
      <c r="B78" s="655" t="s">
        <v>100</v>
      </c>
      <c r="C78" s="656">
        <f t="shared" ref="C78:I78" si="27">SUM(C2:C77)</f>
        <v>3341</v>
      </c>
      <c r="D78" s="656">
        <f t="shared" si="27"/>
        <v>9289</v>
      </c>
      <c r="E78" s="656">
        <f t="shared" si="27"/>
        <v>6879</v>
      </c>
      <c r="F78" s="656">
        <f t="shared" si="27"/>
        <v>8016</v>
      </c>
      <c r="G78" s="656">
        <f t="shared" si="27"/>
        <v>3538</v>
      </c>
      <c r="H78" s="656">
        <f t="shared" si="27"/>
        <v>-1273</v>
      </c>
      <c r="I78" s="657">
        <f t="shared" si="27"/>
        <v>9975</v>
      </c>
      <c r="J78" s="657">
        <f t="shared" si="20"/>
        <v>22605</v>
      </c>
    </row>
    <row r="79" spans="1:10" ht="25.5" thickTop="1" thickBot="1"/>
    <row r="80" spans="1:10" ht="27" thickBot="1">
      <c r="A80" s="648"/>
      <c r="B80" s="3349" t="s">
        <v>848</v>
      </c>
      <c r="C80" s="3350"/>
      <c r="D80" s="667"/>
    </row>
  </sheetData>
  <mergeCells count="3">
    <mergeCell ref="E1:F1"/>
    <mergeCell ref="G1:H1"/>
    <mergeCell ref="B80:C80"/>
  </mergeCells>
  <conditionalFormatting sqref="G2:H78">
    <cfRule type="expression" dxfId="113" priority="1">
      <formula>OR($G2&lt;&gt;0,$H2&lt;&gt;0)</formula>
    </cfRule>
  </conditionalFormatting>
  <pageMargins left="0.70866141732283472" right="0.70866141732283472" top="0.74803149606299213" bottom="0.74803149606299213" header="0.31496062992125984" footer="0.31496062992125984"/>
  <pageSetup paperSize="9" scale="75" fitToHeight="0"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07"/>
  <dimension ref="A1:BC58"/>
  <sheetViews>
    <sheetView rightToLeft="1" topLeftCell="BI1" zoomScaleNormal="100" workbookViewId="0">
      <selection activeCell="BI7" sqref="BI7"/>
    </sheetView>
  </sheetViews>
  <sheetFormatPr defaultColWidth="9" defaultRowHeight="18"/>
  <cols>
    <col min="1" max="32" width="15.5703125" style="315" hidden="1" customWidth="1"/>
    <col min="33" max="55" width="10.5703125" style="315" hidden="1" customWidth="1"/>
    <col min="56" max="60" width="0" style="61" hidden="1" customWidth="1"/>
    <col min="61" max="16384" width="9" style="61"/>
  </cols>
  <sheetData>
    <row r="1" spans="1:55">
      <c r="A1" s="3351" t="s">
        <v>316</v>
      </c>
      <c r="B1" s="3364"/>
      <c r="C1" s="3359" t="s">
        <v>374</v>
      </c>
      <c r="D1" s="3365"/>
      <c r="E1" s="3351"/>
      <c r="F1" s="3364"/>
      <c r="G1" s="2076" t="s">
        <v>589</v>
      </c>
      <c r="H1" s="2079" t="s">
        <v>801</v>
      </c>
      <c r="I1" s="2076" t="s">
        <v>590</v>
      </c>
      <c r="J1" s="2076" t="s">
        <v>591</v>
      </c>
      <c r="K1" s="2076" t="s">
        <v>592</v>
      </c>
      <c r="L1" s="357"/>
      <c r="M1" s="2076" t="s">
        <v>593</v>
      </c>
      <c r="N1" s="2079" t="s">
        <v>594</v>
      </c>
      <c r="O1" s="3351"/>
      <c r="P1" s="3352"/>
      <c r="Q1" s="3364"/>
      <c r="R1" s="3366"/>
      <c r="S1" s="3352"/>
      <c r="T1" s="3352"/>
      <c r="U1" s="3353"/>
      <c r="V1" s="2076" t="s">
        <v>589</v>
      </c>
      <c r="W1" s="357"/>
      <c r="X1" s="3351"/>
      <c r="Y1" s="3352"/>
      <c r="Z1" s="3353"/>
      <c r="AA1" s="3351"/>
      <c r="AB1" s="3352"/>
      <c r="AC1" s="3353"/>
      <c r="AD1" s="384"/>
      <c r="AE1" s="357"/>
      <c r="AF1" s="387"/>
      <c r="AG1" s="357"/>
      <c r="AH1" s="390"/>
      <c r="AI1" s="390"/>
      <c r="AJ1" s="390"/>
      <c r="AK1" s="390"/>
      <c r="AL1" s="390"/>
      <c r="AM1" s="390"/>
      <c r="AN1" s="390"/>
      <c r="AO1" s="391"/>
      <c r="AP1" s="391"/>
      <c r="AQ1" s="391"/>
      <c r="AR1" s="391"/>
      <c r="AS1" s="391"/>
      <c r="AT1" s="390"/>
      <c r="AU1" s="391"/>
      <c r="AV1" s="390"/>
      <c r="AW1" s="390"/>
      <c r="AX1" s="390"/>
      <c r="AY1" s="390"/>
      <c r="AZ1" s="390"/>
      <c r="BA1" s="390"/>
      <c r="BB1" s="390"/>
      <c r="BC1" s="392"/>
    </row>
    <row r="2" spans="1:55" ht="18" customHeight="1" thickBot="1">
      <c r="A2" s="316"/>
      <c r="B2" s="317"/>
      <c r="C2" s="2064">
        <f>ABS('دریافت پرداخت نقد آزادراه'!G183-'صورت جریان وجوه نقد آزادراه'!C58)</f>
        <v>0</v>
      </c>
      <c r="D2" s="2066">
        <f>ABS('صورت جریان وجوه نقد آزادراه'!C60-'دریافت پرداخت نقد آزادراه'!G184)</f>
        <v>0</v>
      </c>
      <c r="E2" s="356"/>
      <c r="F2" s="343"/>
      <c r="G2" s="2077">
        <f ca="1">IF(AND('خرید مواد اولیه تولید'!K7&gt;='خرید مواد اولیه تولید'!E7,'خرید مواد اولیه تولید'!O7&lt;'خرید مواد اولیه تولید'!E7,'خرید مواد اولیه تولید'!M7&gt;0),0,1)</f>
        <v>1</v>
      </c>
      <c r="H2" s="2080">
        <f ca="1">IF(AND('خرید اقلام خدمات'!K7&gt;='خرید اقلام خدمات'!E7,'خرید اقلام خدمات'!N7&lt;'خرید اقلام خدمات'!E7,'خرید اقلام خدمات'!M7&gt;0),0,1)</f>
        <v>1</v>
      </c>
      <c r="I2" s="2077">
        <f ca="1">IF(AND('فروش داخلی تولیدی'!H7&gt;='فروش داخلی تولیدی'!E7,'فروش داخلی تولیدی'!K7&lt;'فروش داخلی تولیدی'!E7,'فروش داخلی تولیدی'!J7&gt;0),0,1)</f>
        <v>1</v>
      </c>
      <c r="J2" s="2077">
        <f>IF(AND('درآمد خدمات'!H7&gt;='درآمد خدمات'!E7,'درآمد خدمات'!K7&lt;'درآمد خدمات'!E7,'درآمد خدمات'!J7&gt;0),0,1)</f>
        <v>1</v>
      </c>
      <c r="K2" s="2077">
        <f ca="1">IF(AND('فروش داخلی تجاری'!H7&gt;='فروش داخلی تجاری'!E7,'فروش داخلی تجاری'!K7&lt;'فروش داخلی تجاری'!E7,'فروش داخلی تجاری'!J7&gt;0),0,1)</f>
        <v>1</v>
      </c>
      <c r="L2" s="365"/>
      <c r="M2" s="2077">
        <f ca="1">IF(AND(عوارض!E7&lt;=عوارض!H7,عوارض!K7&lt;عوارض!E7,عوارض!J7&gt;0),0,1)</f>
        <v>1</v>
      </c>
      <c r="N2" s="2080">
        <f ca="1">IF(AND('درآمد صادرات'!M7&gt;='درآمد صادرات'!J7,'درآمد صادرات'!P7&lt;'درآمد صادرات'!J7,'درآمد صادرات'!O7&gt;0),0,1)</f>
        <v>1</v>
      </c>
      <c r="O2" s="326"/>
      <c r="P2" s="321"/>
      <c r="Q2" s="327"/>
      <c r="R2" s="318"/>
      <c r="S2" s="319"/>
      <c r="T2" s="319"/>
      <c r="U2" s="320"/>
      <c r="V2" s="2077">
        <f ca="1">IF(AND('خرید کالای تجاری'!K7&gt;='خرید کالای تجاری'!E7,'خرید کالای تجاری'!O7&lt;'خرید کالای تجاری'!E7,'خرید کالای تجاری'!M7&gt;0),0,1)</f>
        <v>1</v>
      </c>
      <c r="W2" s="365"/>
      <c r="X2" s="326"/>
      <c r="Y2" s="321"/>
      <c r="Z2" s="380"/>
      <c r="AA2" s="326"/>
      <c r="AB2" s="321"/>
      <c r="AC2" s="380"/>
      <c r="AD2" s="363"/>
      <c r="AE2" s="385"/>
      <c r="AF2" s="388"/>
      <c r="AG2" s="3354"/>
      <c r="AH2" s="319"/>
      <c r="AI2" s="319"/>
      <c r="AJ2" s="319"/>
      <c r="AK2" s="319"/>
      <c r="AL2" s="319"/>
      <c r="AM2" s="319"/>
      <c r="AN2" s="319"/>
      <c r="AO2" s="319"/>
      <c r="AP2" s="319"/>
      <c r="AQ2" s="319"/>
      <c r="AR2" s="319"/>
      <c r="AS2" s="319"/>
      <c r="AT2" s="319"/>
      <c r="AU2" s="319"/>
      <c r="AV2" s="319"/>
      <c r="AW2" s="319"/>
      <c r="AX2" s="319"/>
      <c r="AY2" s="319"/>
      <c r="AZ2" s="319"/>
      <c r="BA2" s="319"/>
      <c r="BB2" s="319"/>
      <c r="BC2" s="343"/>
    </row>
    <row r="3" spans="1:55">
      <c r="A3" s="3355" t="s">
        <v>373</v>
      </c>
      <c r="B3" s="3356"/>
      <c r="C3" s="2070" t="s">
        <v>321</v>
      </c>
      <c r="D3" s="2069"/>
      <c r="E3" s="356"/>
      <c r="F3" s="343"/>
      <c r="G3" s="2077">
        <f ca="1">IF(AND('خرید مواد اولیه تولید'!K8&gt;='خرید مواد اولیه تولید'!E8,'خرید مواد اولیه تولید'!O8&lt;'خرید مواد اولیه تولید'!E8,'خرید مواد اولیه تولید'!M8&gt;0),0,1)</f>
        <v>1</v>
      </c>
      <c r="H3" s="2080">
        <f ca="1">IF(AND('خرید اقلام خدمات'!K8&gt;='خرید اقلام خدمات'!E8,'خرید اقلام خدمات'!N8&lt;'خرید اقلام خدمات'!E8,'خرید اقلام خدمات'!M8&gt;0),0,1)</f>
        <v>1</v>
      </c>
      <c r="I3" s="2077">
        <f ca="1">IF(AND('فروش داخلی تولیدی'!H8&gt;='فروش داخلی تولیدی'!E8,'فروش داخلی تولیدی'!K8&lt;'فروش داخلی تولیدی'!E8,'فروش داخلی تولیدی'!J8&gt;0),0,1)</f>
        <v>1</v>
      </c>
      <c r="J3" s="2077">
        <f>IF(AND('درآمد خدمات'!H8&gt;='درآمد خدمات'!E8,'درآمد خدمات'!K8&lt;'درآمد خدمات'!E8,'درآمد خدمات'!J8&gt;0),0,1)</f>
        <v>1</v>
      </c>
      <c r="K3" s="2077">
        <f ca="1">IF(AND('فروش داخلی تجاری'!H8&gt;='فروش داخلی تجاری'!E8,'فروش داخلی تجاری'!K8&lt;'فروش داخلی تجاری'!E8,'فروش داخلی تجاری'!J8&gt;0),0,1)</f>
        <v>1</v>
      </c>
      <c r="L3" s="365"/>
      <c r="M3" s="2077">
        <f ca="1">IF(AND(عوارض!E8&lt;=عوارض!H8,عوارض!K8&lt;عوارض!E8,عوارض!J8&gt;0),0,1)</f>
        <v>1</v>
      </c>
      <c r="N3" s="2080">
        <f ca="1">IF(AND('درآمد صادرات'!M8&gt;='درآمد صادرات'!J8,'درآمد صادرات'!P8&lt;'درآمد صادرات'!J8,'درآمد صادرات'!O8&gt;0),0,1)</f>
        <v>1</v>
      </c>
      <c r="O3" s="326"/>
      <c r="P3" s="321"/>
      <c r="Q3" s="327"/>
      <c r="R3" s="318"/>
      <c r="S3" s="319"/>
      <c r="T3" s="319"/>
      <c r="U3" s="320"/>
      <c r="V3" s="2077">
        <f ca="1">IF(AND('خرید کالای تجاری'!K8&gt;='خرید کالای تجاری'!E8,'خرید کالای تجاری'!O8&lt;'خرید کالای تجاری'!E8,'خرید کالای تجاری'!M8&gt;0),0,1)</f>
        <v>1</v>
      </c>
      <c r="W3" s="365"/>
      <c r="X3" s="326"/>
      <c r="Y3" s="321"/>
      <c r="Z3" s="380"/>
      <c r="AA3" s="326"/>
      <c r="AB3" s="321"/>
      <c r="AC3" s="380"/>
      <c r="AD3" s="363"/>
      <c r="AE3" s="385"/>
      <c r="AF3" s="388"/>
      <c r="AG3" s="3354"/>
      <c r="AH3" s="319"/>
      <c r="AI3" s="319"/>
      <c r="AJ3" s="319"/>
      <c r="AK3" s="319"/>
      <c r="AL3" s="319"/>
      <c r="AM3" s="319"/>
      <c r="AN3" s="319"/>
      <c r="AO3" s="319"/>
      <c r="AP3" s="319"/>
      <c r="AQ3" s="319"/>
      <c r="AR3" s="319"/>
      <c r="AS3" s="319"/>
      <c r="AT3" s="319"/>
      <c r="AU3" s="319"/>
      <c r="AV3" s="319"/>
      <c r="AW3" s="319"/>
      <c r="AX3" s="319"/>
      <c r="AY3" s="319"/>
      <c r="AZ3" s="319"/>
      <c r="BA3" s="319"/>
      <c r="BB3" s="319"/>
      <c r="BC3" s="343"/>
    </row>
    <row r="4" spans="1:55" ht="18.75" thickBot="1">
      <c r="A4" s="322"/>
      <c r="B4" s="323"/>
      <c r="C4" s="2071">
        <f>ABS(دارایی!M28-دارایی!N28)</f>
        <v>0</v>
      </c>
      <c r="D4" s="351"/>
      <c r="E4" s="356"/>
      <c r="F4" s="343"/>
      <c r="G4" s="2077">
        <f ca="1">IF(AND('خرید مواد اولیه تولید'!K9&gt;='خرید مواد اولیه تولید'!E9,'خرید مواد اولیه تولید'!O9&lt;'خرید مواد اولیه تولید'!E9,'خرید مواد اولیه تولید'!M9&gt;0),0,1)</f>
        <v>1</v>
      </c>
      <c r="H4" s="2080">
        <f ca="1">IF(AND('خرید اقلام خدمات'!K9&gt;='خرید اقلام خدمات'!E9,'خرید اقلام خدمات'!N9&lt;'خرید اقلام خدمات'!E9,'خرید اقلام خدمات'!M9&gt;0),0,1)</f>
        <v>1</v>
      </c>
      <c r="I4" s="2077">
        <f ca="1">IF(AND('فروش داخلی تولیدی'!H9&gt;='فروش داخلی تولیدی'!E9,'فروش داخلی تولیدی'!K9&lt;'فروش داخلی تولیدی'!E9,'فروش داخلی تولیدی'!J9&gt;0),0,1)</f>
        <v>1</v>
      </c>
      <c r="J4" s="2077">
        <f>IF(AND('درآمد خدمات'!H9&gt;='درآمد خدمات'!E9,'درآمد خدمات'!K9&lt;'درآمد خدمات'!E9,'درآمد خدمات'!J9&gt;0),0,1)</f>
        <v>1</v>
      </c>
      <c r="K4" s="2077">
        <f ca="1">IF(AND('فروش داخلی تجاری'!H9&gt;='فروش داخلی تجاری'!E9,'فروش داخلی تجاری'!K9&lt;'فروش داخلی تجاری'!E9,'فروش داخلی تجاری'!J9&gt;0),0,1)</f>
        <v>1</v>
      </c>
      <c r="L4" s="365"/>
      <c r="M4" s="2077">
        <f ca="1">IF(AND(عوارض!E9&lt;=عوارض!H9,عوارض!K9&lt;عوارض!E9,عوارض!J9&gt;0),0,1)</f>
        <v>1</v>
      </c>
      <c r="N4" s="2080">
        <f ca="1">IF(AND('درآمد صادرات'!M9&gt;='درآمد صادرات'!J9,'درآمد صادرات'!P9&lt;'درآمد صادرات'!J9,'درآمد صادرات'!O9&gt;0),0,1)</f>
        <v>1</v>
      </c>
      <c r="O4" s="326"/>
      <c r="P4" s="321"/>
      <c r="Q4" s="327"/>
      <c r="R4" s="318"/>
      <c r="S4" s="319"/>
      <c r="T4" s="319"/>
      <c r="U4" s="320"/>
      <c r="V4" s="2077">
        <f ca="1">IF(AND('خرید کالای تجاری'!K9&gt;='خرید کالای تجاری'!E9,'خرید کالای تجاری'!O9&lt;'خرید کالای تجاری'!E9,'خرید کالای تجاری'!M9&gt;0),0,1)</f>
        <v>1</v>
      </c>
      <c r="W4" s="365"/>
      <c r="X4" s="326"/>
      <c r="Y4" s="321"/>
      <c r="Z4" s="380"/>
      <c r="AA4" s="326"/>
      <c r="AB4" s="321"/>
      <c r="AC4" s="380"/>
      <c r="AD4" s="363"/>
      <c r="AE4" s="385"/>
      <c r="AF4" s="388"/>
      <c r="AG4" s="3354"/>
      <c r="AH4" s="319"/>
      <c r="AI4" s="319"/>
      <c r="AJ4" s="319"/>
      <c r="AK4" s="319"/>
      <c r="AL4" s="319"/>
      <c r="AM4" s="319"/>
      <c r="AN4" s="319"/>
      <c r="AO4" s="319"/>
      <c r="AP4" s="319"/>
      <c r="AQ4" s="319"/>
      <c r="AR4" s="319"/>
      <c r="AS4" s="319"/>
      <c r="AT4" s="319"/>
      <c r="AU4" s="319"/>
      <c r="AV4" s="319"/>
      <c r="AW4" s="319"/>
      <c r="AX4" s="319"/>
      <c r="AY4" s="319"/>
      <c r="AZ4" s="319"/>
      <c r="BA4" s="319"/>
      <c r="BB4" s="319"/>
      <c r="BC4" s="343"/>
    </row>
    <row r="5" spans="1:55">
      <c r="A5" s="3357"/>
      <c r="B5" s="3358"/>
      <c r="C5" s="2072" t="s">
        <v>585</v>
      </c>
      <c r="D5" s="2070" t="s">
        <v>585</v>
      </c>
      <c r="E5" s="356"/>
      <c r="F5" s="343"/>
      <c r="G5" s="2077">
        <f ca="1">IF(AND('خرید مواد اولیه تولید'!K10&gt;='خرید مواد اولیه تولید'!E10,'خرید مواد اولیه تولید'!O10&lt;'خرید مواد اولیه تولید'!E10,'خرید مواد اولیه تولید'!M10&gt;0),0,1)</f>
        <v>1</v>
      </c>
      <c r="H5" s="2080">
        <f ca="1">IF(AND('خرید اقلام خدمات'!K10&gt;='خرید اقلام خدمات'!E10,'خرید اقلام خدمات'!N10&lt;'خرید اقلام خدمات'!E10,'خرید اقلام خدمات'!M10&gt;0),0,1)</f>
        <v>1</v>
      </c>
      <c r="I5" s="2077">
        <f ca="1">IF(AND('فروش داخلی تولیدی'!H10&gt;='فروش داخلی تولیدی'!E10,'فروش داخلی تولیدی'!K10&lt;'فروش داخلی تولیدی'!E10,'فروش داخلی تولیدی'!J10&gt;0),0,1)</f>
        <v>1</v>
      </c>
      <c r="J5" s="2077">
        <f>IF(AND('درآمد خدمات'!H10&gt;='درآمد خدمات'!E10,'درآمد خدمات'!K10&lt;'درآمد خدمات'!E10,'درآمد خدمات'!J10&gt;0),0,1)</f>
        <v>1</v>
      </c>
      <c r="K5" s="2077">
        <f ca="1">IF(AND('فروش داخلی تجاری'!H10&gt;='فروش داخلی تجاری'!E10,'فروش داخلی تجاری'!K10&lt;'فروش داخلی تجاری'!E10,'فروش داخلی تجاری'!J10&gt;0),0,1)</f>
        <v>1</v>
      </c>
      <c r="L5" s="365"/>
      <c r="M5" s="2077">
        <f ca="1">IF(AND(عوارض!E10&lt;=عوارض!H10,عوارض!K10&lt;عوارض!E10,عوارض!J10&gt;0),0,1)</f>
        <v>1</v>
      </c>
      <c r="N5" s="2080">
        <f ca="1">IF(AND('درآمد صادرات'!M10&gt;='درآمد صادرات'!J10,'درآمد صادرات'!P10&lt;'درآمد صادرات'!J10,'درآمد صادرات'!O10&gt;0),0,1)</f>
        <v>1</v>
      </c>
      <c r="O5" s="326"/>
      <c r="P5" s="321"/>
      <c r="Q5" s="327"/>
      <c r="R5" s="318"/>
      <c r="S5" s="319"/>
      <c r="T5" s="319"/>
      <c r="U5" s="320"/>
      <c r="V5" s="2077">
        <f ca="1">IF(AND('خرید کالای تجاری'!K10&gt;='خرید کالای تجاری'!E10,'خرید کالای تجاری'!O10&lt;'خرید کالای تجاری'!E10,'خرید کالای تجاری'!M10&gt;0),0,1)</f>
        <v>1</v>
      </c>
      <c r="W5" s="365"/>
      <c r="X5" s="326"/>
      <c r="Y5" s="321"/>
      <c r="Z5" s="380"/>
      <c r="AA5" s="326"/>
      <c r="AB5" s="321"/>
      <c r="AC5" s="380"/>
      <c r="AD5" s="363"/>
      <c r="AE5" s="385"/>
      <c r="AF5" s="388"/>
      <c r="AG5" s="3354"/>
      <c r="AH5" s="319"/>
      <c r="AI5" s="319"/>
      <c r="AJ5" s="319"/>
      <c r="AK5" s="319"/>
      <c r="AL5" s="319"/>
      <c r="AM5" s="319"/>
      <c r="AN5" s="319"/>
      <c r="AO5" s="319"/>
      <c r="AP5" s="319"/>
      <c r="AQ5" s="319"/>
      <c r="AR5" s="319"/>
      <c r="AS5" s="319"/>
      <c r="AT5" s="319"/>
      <c r="AU5" s="319"/>
      <c r="AV5" s="319"/>
      <c r="AW5" s="319"/>
      <c r="AX5" s="319"/>
      <c r="AY5" s="319"/>
      <c r="AZ5" s="319"/>
      <c r="BA5" s="319"/>
      <c r="BB5" s="319"/>
      <c r="BC5" s="343"/>
    </row>
    <row r="6" spans="1:55" ht="18.75" thickBot="1">
      <c r="A6" s="2060"/>
      <c r="B6" s="2061"/>
      <c r="C6" s="328"/>
      <c r="D6" s="2073">
        <f>ABS('دارایی آزادراه'!M24-'دارایی آزادراه'!N24)</f>
        <v>0</v>
      </c>
      <c r="E6" s="356"/>
      <c r="F6" s="343"/>
      <c r="G6" s="2077">
        <f ca="1">IF(AND('خرید مواد اولیه تولید'!K11&gt;='خرید مواد اولیه تولید'!E11,'خرید مواد اولیه تولید'!O11&lt;'خرید مواد اولیه تولید'!E11,'خرید مواد اولیه تولید'!M11&gt;0),0,1)</f>
        <v>1</v>
      </c>
      <c r="H6" s="2080">
        <f ca="1">IF(AND('خرید اقلام خدمات'!K11&gt;='خرید اقلام خدمات'!E11,'خرید اقلام خدمات'!N11&lt;'خرید اقلام خدمات'!E11,'خرید اقلام خدمات'!M11&gt;0),0,1)</f>
        <v>1</v>
      </c>
      <c r="I6" s="2077">
        <f ca="1">IF(AND('فروش داخلی تولیدی'!H11&gt;='فروش داخلی تولیدی'!E11,'فروش داخلی تولیدی'!K11&lt;'فروش داخلی تولیدی'!E11,'فروش داخلی تولیدی'!J11&gt;0),0,1)</f>
        <v>1</v>
      </c>
      <c r="J6" s="2077">
        <f>IF(AND('درآمد خدمات'!H11&gt;='درآمد خدمات'!E11,'درآمد خدمات'!K11&lt;'درآمد خدمات'!E11,'درآمد خدمات'!J11&gt;0),0,1)</f>
        <v>1</v>
      </c>
      <c r="K6" s="2077">
        <f ca="1">IF(AND('فروش داخلی تجاری'!H11&gt;='فروش داخلی تجاری'!E11,'فروش داخلی تجاری'!K11&lt;'فروش داخلی تجاری'!E11,'فروش داخلی تجاری'!J11&gt;0),0,1)</f>
        <v>1</v>
      </c>
      <c r="L6" s="365"/>
      <c r="M6" s="2077">
        <f ca="1">IF(AND(عوارض!E11&lt;=عوارض!H11,عوارض!K11&lt;عوارض!E11,عوارض!J11&gt;0),0,1)</f>
        <v>1</v>
      </c>
      <c r="N6" s="2080">
        <f ca="1">IF(AND('درآمد صادرات'!M11&gt;='درآمد صادرات'!J11,'درآمد صادرات'!P11&lt;'درآمد صادرات'!J11,'درآمد صادرات'!O11&gt;0),0,1)</f>
        <v>1</v>
      </c>
      <c r="O6" s="326"/>
      <c r="P6" s="321"/>
      <c r="Q6" s="327"/>
      <c r="R6" s="393"/>
      <c r="S6" s="346"/>
      <c r="T6" s="346"/>
      <c r="U6" s="350"/>
      <c r="V6" s="2077">
        <f ca="1">IF(AND('خرید کالای تجاری'!K11&gt;='خرید کالای تجاری'!E11,'خرید کالای تجاری'!O11&lt;'خرید کالای تجاری'!E11,'خرید کالای تجاری'!M11&gt;0),0,1)</f>
        <v>1</v>
      </c>
      <c r="W6" s="365"/>
      <c r="X6" s="326"/>
      <c r="Y6" s="321"/>
      <c r="Z6" s="380"/>
      <c r="AA6" s="326"/>
      <c r="AB6" s="321"/>
      <c r="AC6" s="380"/>
      <c r="AD6" s="363"/>
      <c r="AE6" s="385"/>
      <c r="AF6" s="388"/>
      <c r="AG6" s="3354"/>
      <c r="AH6" s="319"/>
      <c r="AI6" s="319"/>
      <c r="AJ6" s="319"/>
      <c r="AK6" s="319"/>
      <c r="AL6" s="319"/>
      <c r="AM6" s="319"/>
      <c r="AN6" s="319"/>
      <c r="AO6" s="319"/>
      <c r="AP6" s="319"/>
      <c r="AQ6" s="319"/>
      <c r="AR6" s="319"/>
      <c r="AS6" s="319"/>
      <c r="AT6" s="319"/>
      <c r="AU6" s="319"/>
      <c r="AV6" s="319"/>
      <c r="AW6" s="319"/>
      <c r="AX6" s="319"/>
      <c r="AY6" s="319"/>
      <c r="AZ6" s="319"/>
      <c r="BA6" s="319"/>
      <c r="BB6" s="319"/>
      <c r="BC6" s="343"/>
    </row>
    <row r="7" spans="1:55" ht="18.75" thickBot="1">
      <c r="A7" s="2062"/>
      <c r="B7" s="2063"/>
      <c r="C7" s="330"/>
      <c r="D7" s="352"/>
      <c r="E7" s="356"/>
      <c r="F7" s="343"/>
      <c r="G7" s="2077">
        <f ca="1">IF(AND('خرید مواد اولیه تولید'!K12&gt;='خرید مواد اولیه تولید'!E12,'خرید مواد اولیه تولید'!O12&lt;'خرید مواد اولیه تولید'!E12,'خرید مواد اولیه تولید'!M12&gt;0),0,1)</f>
        <v>1</v>
      </c>
      <c r="H7" s="2080">
        <f ca="1">IF(AND('خرید اقلام خدمات'!K12&gt;='خرید اقلام خدمات'!E12,'خرید اقلام خدمات'!N12&lt;'خرید اقلام خدمات'!E12,'خرید اقلام خدمات'!M12&gt;0),0,1)</f>
        <v>1</v>
      </c>
      <c r="I7" s="2077">
        <f ca="1">IF(AND('فروش داخلی تولیدی'!H12&gt;='فروش داخلی تولیدی'!E12,'فروش داخلی تولیدی'!K12&lt;'فروش داخلی تولیدی'!E12,'فروش داخلی تولیدی'!J12&gt;0),0,1)</f>
        <v>1</v>
      </c>
      <c r="J7" s="2077">
        <f>IF(AND('درآمد خدمات'!H12&gt;='درآمد خدمات'!E12,'درآمد خدمات'!K12&lt;'درآمد خدمات'!E12,'درآمد خدمات'!J12&gt;0),0,1)</f>
        <v>1</v>
      </c>
      <c r="K7" s="2077">
        <f ca="1">IF(AND('فروش داخلی تجاری'!H12&gt;='فروش داخلی تجاری'!E12,'فروش داخلی تجاری'!K12&lt;'فروش داخلی تجاری'!E12,'فروش داخلی تجاری'!J12&gt;0),0,1)</f>
        <v>1</v>
      </c>
      <c r="L7" s="366"/>
      <c r="M7" s="2077">
        <f ca="1">IF(AND(عوارض!E12&lt;=عوارض!H12,عوارض!K12&lt;عوارض!E12,عوارض!J12&gt;0),0,1)</f>
        <v>1</v>
      </c>
      <c r="N7" s="2080">
        <f ca="1">IF(AND('درآمد صادرات'!M12&gt;='درآمد صادرات'!J12,'درآمد صادرات'!P12&lt;'درآمد صادرات'!J12,'درآمد صادرات'!O12&gt;0),0,1)</f>
        <v>1</v>
      </c>
      <c r="O7" s="326"/>
      <c r="P7" s="321"/>
      <c r="Q7" s="327"/>
      <c r="V7" s="2077">
        <f ca="1">IF(AND('خرید کالای تجاری'!K12&gt;='خرید کالای تجاری'!E12,'خرید کالای تجاری'!O12&lt;'خرید کالای تجاری'!E12,'خرید کالای تجاری'!M12&gt;0),0,1)</f>
        <v>1</v>
      </c>
      <c r="W7" s="365"/>
      <c r="X7" s="326"/>
      <c r="Y7" s="321"/>
      <c r="Z7" s="380"/>
      <c r="AA7" s="326"/>
      <c r="AB7" s="321"/>
      <c r="AC7" s="380"/>
      <c r="AD7" s="363"/>
      <c r="AE7" s="385"/>
      <c r="AF7" s="388"/>
      <c r="AG7" s="3354"/>
      <c r="AH7" s="319"/>
      <c r="AI7" s="319"/>
      <c r="AJ7" s="319"/>
      <c r="AK7" s="319"/>
      <c r="AL7" s="319"/>
      <c r="AM7" s="319"/>
      <c r="AN7" s="319"/>
      <c r="AO7" s="319"/>
      <c r="AP7" s="319"/>
      <c r="AQ7" s="319"/>
      <c r="AR7" s="319"/>
      <c r="AS7" s="319"/>
      <c r="AT7" s="319"/>
      <c r="AU7" s="319"/>
      <c r="AV7" s="319"/>
      <c r="AW7" s="319"/>
      <c r="AX7" s="319"/>
      <c r="AY7" s="319"/>
      <c r="AZ7" s="319"/>
      <c r="BA7" s="319"/>
      <c r="BB7" s="319"/>
      <c r="BC7" s="343"/>
    </row>
    <row r="8" spans="1:55" ht="18.75" thickBot="1">
      <c r="A8" s="3359" t="s">
        <v>317</v>
      </c>
      <c r="B8" s="3360"/>
      <c r="C8" s="332"/>
      <c r="D8" s="353"/>
      <c r="E8" s="356"/>
      <c r="F8" s="343"/>
      <c r="G8" s="2077">
        <f ca="1">IF(AND('خرید مواد اولیه تولید'!K13&gt;='خرید مواد اولیه تولید'!E13,'خرید مواد اولیه تولید'!O13&lt;'خرید مواد اولیه تولید'!E13,'خرید مواد اولیه تولید'!M13&gt;0),0,1)</f>
        <v>1</v>
      </c>
      <c r="H8" s="2080">
        <f ca="1">IF(AND('خرید اقلام خدمات'!K13&gt;='خرید اقلام خدمات'!E13,'خرید اقلام خدمات'!N13&lt;'خرید اقلام خدمات'!E13,'خرید اقلام خدمات'!M13&gt;0),0,1)</f>
        <v>1</v>
      </c>
      <c r="I8" s="2077">
        <f ca="1">IF(AND('فروش داخلی تولیدی'!H13&gt;='فروش داخلی تولیدی'!E13,'فروش داخلی تولیدی'!K13&lt;'فروش داخلی تولیدی'!E13,'فروش داخلی تولیدی'!J13&gt;0),0,1)</f>
        <v>1</v>
      </c>
      <c r="J8" s="2077">
        <f>IF(AND('درآمد خدمات'!H13&gt;='درآمد خدمات'!E13,'درآمد خدمات'!K13&lt;'درآمد خدمات'!E13,'درآمد خدمات'!J13&gt;0),0,1)</f>
        <v>0</v>
      </c>
      <c r="K8" s="2077">
        <f ca="1">IF(AND('فروش داخلی تجاری'!H13&gt;='فروش داخلی تجاری'!E13,'فروش داخلی تجاری'!K13&lt;'فروش داخلی تجاری'!E13,'فروش داخلی تجاری'!J13&gt;0),0,1)</f>
        <v>1</v>
      </c>
      <c r="M8" s="2077">
        <f ca="1">IF(AND(عوارض!E13&lt;=عوارض!H13,عوارض!K13&lt;عوارض!E13,عوارض!J13&gt;0),0,1)</f>
        <v>1</v>
      </c>
      <c r="N8" s="2080">
        <f ca="1">IF(AND('درآمد صادرات'!M13&gt;='درآمد صادرات'!J13,'درآمد صادرات'!P13&lt;'درآمد صادرات'!J13,'درآمد صادرات'!O13&gt;0),0,1)</f>
        <v>1</v>
      </c>
      <c r="O8" s="326"/>
      <c r="P8" s="321"/>
      <c r="Q8" s="327"/>
      <c r="V8" s="2077">
        <f ca="1">IF(AND('خرید کالای تجاری'!K13&gt;='خرید کالای تجاری'!E13,'خرید کالای تجاری'!O13&lt;'خرید کالای تجاری'!E13,'خرید کالای تجاری'!M13&gt;0),0,1)</f>
        <v>1</v>
      </c>
      <c r="W8" s="365"/>
      <c r="X8" s="326"/>
      <c r="Y8" s="321"/>
      <c r="Z8" s="380"/>
      <c r="AA8" s="326"/>
      <c r="AB8" s="321"/>
      <c r="AC8" s="380"/>
      <c r="AD8" s="363"/>
      <c r="AE8" s="385"/>
      <c r="AF8" s="388"/>
      <c r="AG8" s="3354"/>
      <c r="AH8" s="319"/>
      <c r="AI8" s="319"/>
      <c r="AJ8" s="319"/>
      <c r="AK8" s="319"/>
      <c r="AL8" s="319"/>
      <c r="AM8" s="319"/>
      <c r="AN8" s="319"/>
      <c r="AO8" s="319"/>
      <c r="AP8" s="319"/>
      <c r="AQ8" s="319"/>
      <c r="AR8" s="319"/>
      <c r="AS8" s="319"/>
      <c r="AT8" s="319"/>
      <c r="AU8" s="319"/>
      <c r="AV8" s="319"/>
      <c r="AW8" s="319"/>
      <c r="AX8" s="319"/>
      <c r="AY8" s="319"/>
      <c r="AZ8" s="319"/>
      <c r="BA8" s="319"/>
      <c r="BB8" s="319"/>
      <c r="BC8" s="343"/>
    </row>
    <row r="9" spans="1:55" ht="18.75" thickBot="1">
      <c r="A9" s="2064">
        <f>ABS('صورت جریان وجوه نقد '!C58-'دریافت پرداخت'!G183)</f>
        <v>0</v>
      </c>
      <c r="B9" s="2065">
        <f>ABS('صورت جریان وجوه نقد '!C60-'دریافت پرداخت'!G185)</f>
        <v>0</v>
      </c>
      <c r="C9" s="330"/>
      <c r="D9" s="352"/>
      <c r="E9" s="356"/>
      <c r="F9" s="343"/>
      <c r="G9" s="2077">
        <f ca="1">IF(AND('خرید مواد اولیه تولید'!K14&gt;='خرید مواد اولیه تولید'!E14,'خرید مواد اولیه تولید'!O14&lt;'خرید مواد اولیه تولید'!E14,'خرید مواد اولیه تولید'!M14&gt;0),0,1)</f>
        <v>1</v>
      </c>
      <c r="H9" s="2080">
        <f ca="1">IF(AND('خرید اقلام خدمات'!K14&gt;='خرید اقلام خدمات'!E14,'خرید اقلام خدمات'!N14&lt;'خرید اقلام خدمات'!E14,'خرید اقلام خدمات'!M14&gt;0),0,1)</f>
        <v>1</v>
      </c>
      <c r="I9" s="2077">
        <f ca="1">IF(AND('فروش داخلی تولیدی'!H14&gt;='فروش داخلی تولیدی'!E14,'فروش داخلی تولیدی'!K14&lt;'فروش داخلی تولیدی'!E14,'فروش داخلی تولیدی'!J14&gt;0),0,1)</f>
        <v>1</v>
      </c>
      <c r="J9" s="2077">
        <f>IF(AND('درآمد خدمات'!H14&gt;='درآمد خدمات'!E14,'درآمد خدمات'!K14&lt;'درآمد خدمات'!E14,'درآمد خدمات'!J14&gt;0),0,1)</f>
        <v>1</v>
      </c>
      <c r="K9" s="2077">
        <f ca="1">IF(AND('فروش داخلی تجاری'!H14&gt;='فروش داخلی تجاری'!E14,'فروش داخلی تجاری'!K14&lt;'فروش داخلی تجاری'!E14,'فروش داخلی تجاری'!J14&gt;0),0,1)</f>
        <v>1</v>
      </c>
      <c r="M9" s="2077">
        <f ca="1">IF(AND(عوارض!E14&lt;=عوارض!H14,عوارض!K14&lt;عوارض!E14,عوارض!J14&gt;0),0,1)</f>
        <v>1</v>
      </c>
      <c r="N9" s="2080">
        <f ca="1">IF(AND('درآمد صادرات'!M14&gt;='درآمد صادرات'!J14,'درآمد صادرات'!P14&lt;'درآمد صادرات'!J14,'درآمد صادرات'!O14&gt;0),0,1)</f>
        <v>1</v>
      </c>
      <c r="O9" s="326"/>
      <c r="P9" s="321"/>
      <c r="Q9" s="327"/>
      <c r="V9" s="2077">
        <f ca="1">IF(AND('خرید کالای تجاری'!K14&gt;='خرید کالای تجاری'!E14,'خرید کالای تجاری'!O14&lt;'خرید کالای تجاری'!E14,'خرید کالای تجاری'!M14&gt;0),0,1)</f>
        <v>1</v>
      </c>
      <c r="W9" s="365"/>
      <c r="X9" s="326"/>
      <c r="Y9" s="321"/>
      <c r="Z9" s="380"/>
      <c r="AA9" s="326"/>
      <c r="AB9" s="321"/>
      <c r="AC9" s="380"/>
      <c r="AD9" s="363"/>
      <c r="AE9" s="385"/>
      <c r="AF9" s="388"/>
      <c r="AG9" s="3354"/>
      <c r="AH9" s="319"/>
      <c r="AI9" s="319"/>
      <c r="AJ9" s="319"/>
      <c r="AK9" s="319"/>
      <c r="AL9" s="319"/>
      <c r="AM9" s="319"/>
      <c r="AN9" s="319"/>
      <c r="AO9" s="319"/>
      <c r="AP9" s="319"/>
      <c r="AQ9" s="319"/>
      <c r="AR9" s="319"/>
      <c r="AS9" s="319"/>
      <c r="AT9" s="319"/>
      <c r="AU9" s="319"/>
      <c r="AV9" s="319"/>
      <c r="AW9" s="319"/>
      <c r="AX9" s="319"/>
      <c r="AY9" s="319"/>
      <c r="AZ9" s="319"/>
      <c r="BA9" s="319"/>
      <c r="BB9" s="319"/>
      <c r="BC9" s="343"/>
    </row>
    <row r="10" spans="1:55" ht="18.75" thickBot="1">
      <c r="A10" s="334"/>
      <c r="B10" s="335"/>
      <c r="C10" s="334"/>
      <c r="D10" s="354"/>
      <c r="E10" s="356"/>
      <c r="F10" s="343"/>
      <c r="G10" s="2077">
        <f ca="1">IF(AND('خرید مواد اولیه تولید'!K15&gt;='خرید مواد اولیه تولید'!E15,'خرید مواد اولیه تولید'!O15&lt;'خرید مواد اولیه تولید'!E15,'خرید مواد اولیه تولید'!M15&gt;0),0,1)</f>
        <v>1</v>
      </c>
      <c r="H10" s="2080">
        <f ca="1">IF(AND('خرید اقلام خدمات'!K15&gt;='خرید اقلام خدمات'!E15,'خرید اقلام خدمات'!N15&lt;'خرید اقلام خدمات'!E15,'خرید اقلام خدمات'!M15&gt;0),0,1)</f>
        <v>1</v>
      </c>
      <c r="I10" s="2077">
        <f ca="1">IF(AND('فروش داخلی تولیدی'!H15&gt;='فروش داخلی تولیدی'!E15,'فروش داخلی تولیدی'!K15&lt;'فروش داخلی تولیدی'!E15,'فروش داخلی تولیدی'!J15&gt;0),0,1)</f>
        <v>1</v>
      </c>
      <c r="J10" s="2077">
        <f>IF(AND('درآمد خدمات'!H15&gt;='درآمد خدمات'!E15,'درآمد خدمات'!K15&lt;'درآمد خدمات'!E15,'درآمد خدمات'!J15&gt;0),0,1)</f>
        <v>1</v>
      </c>
      <c r="K10" s="2077">
        <f ca="1">IF(AND('فروش داخلی تجاری'!H15&gt;='فروش داخلی تجاری'!E15,'فروش داخلی تجاری'!K15&lt;'فروش داخلی تجاری'!E15,'فروش داخلی تجاری'!J15&gt;0),0,1)</f>
        <v>1</v>
      </c>
      <c r="M10" s="2077">
        <f ca="1">IF(AND(عوارض!E15&lt;=عوارض!H15,عوارض!K15&lt;عوارض!E15,عوارض!J15&gt;0),0,1)</f>
        <v>1</v>
      </c>
      <c r="N10" s="2080">
        <f ca="1">IF(AND('درآمد صادرات'!M15&gt;='درآمد صادرات'!J15,'درآمد صادرات'!P15&lt;'درآمد صادرات'!J15,'درآمد صادرات'!O15&gt;0),0,1)</f>
        <v>1</v>
      </c>
      <c r="O10" s="326"/>
      <c r="P10" s="321"/>
      <c r="Q10" s="327"/>
      <c r="V10" s="2077">
        <f ca="1">IF(AND('خرید کالای تجاری'!K15&gt;='خرید کالای تجاری'!E15,'خرید کالای تجاری'!O15&lt;'خرید کالای تجاری'!E15,'خرید کالای تجاری'!M15&gt;0),0,1)</f>
        <v>1</v>
      </c>
      <c r="W10" s="365"/>
      <c r="X10" s="326"/>
      <c r="Y10" s="321"/>
      <c r="Z10" s="380"/>
      <c r="AA10" s="326"/>
      <c r="AB10" s="321"/>
      <c r="AC10" s="380"/>
      <c r="AD10" s="363"/>
      <c r="AE10" s="385"/>
      <c r="AF10" s="388"/>
      <c r="AG10" s="3354"/>
      <c r="AH10" s="319"/>
      <c r="AI10" s="319"/>
      <c r="AJ10" s="319"/>
      <c r="AK10" s="319"/>
      <c r="AL10" s="319"/>
      <c r="AM10" s="319"/>
      <c r="AN10" s="319"/>
      <c r="AO10" s="319"/>
      <c r="AP10" s="319"/>
      <c r="AQ10" s="319"/>
      <c r="AR10" s="319"/>
      <c r="AS10" s="319"/>
      <c r="AT10" s="319"/>
      <c r="AU10" s="319"/>
      <c r="AV10" s="319"/>
      <c r="AW10" s="319"/>
      <c r="AX10" s="319"/>
      <c r="AY10" s="319"/>
      <c r="AZ10" s="319"/>
      <c r="BA10" s="319"/>
      <c r="BB10" s="319"/>
      <c r="BC10" s="343"/>
    </row>
    <row r="11" spans="1:55" ht="18" customHeight="1" thickBot="1">
      <c r="A11" s="3359" t="s">
        <v>318</v>
      </c>
      <c r="B11" s="3360"/>
      <c r="C11" s="330"/>
      <c r="D11" s="352"/>
      <c r="E11" s="356"/>
      <c r="F11" s="343"/>
      <c r="G11" s="2077">
        <f ca="1">IF(AND('خرید مواد اولیه تولید'!K16&gt;='خرید مواد اولیه تولید'!E16,'خرید مواد اولیه تولید'!O16&lt;'خرید مواد اولیه تولید'!E16,'خرید مواد اولیه تولید'!M16&gt;0),0,1)</f>
        <v>1</v>
      </c>
      <c r="H11" s="2080">
        <f>IF(AND('خرید اقلام خدمات'!K16&gt;='خرید اقلام خدمات'!E16,'خرید اقلام خدمات'!N16&lt;'خرید اقلام خدمات'!E16,'خرید اقلام خدمات'!M16&gt;0),0,1)</f>
        <v>1</v>
      </c>
      <c r="I11" s="2077">
        <f ca="1">IF(AND('فروش داخلی تولیدی'!H16&gt;='فروش داخلی تولیدی'!E16,'فروش داخلی تولیدی'!K16&lt;'فروش داخلی تولیدی'!E16,'فروش داخلی تولیدی'!J16&gt;0),0,1)</f>
        <v>1</v>
      </c>
      <c r="J11" s="2077">
        <f>IF(AND('درآمد خدمات'!H16&gt;='درآمد خدمات'!E16,'درآمد خدمات'!K16&lt;'درآمد خدمات'!E16,'درآمد خدمات'!J16&gt;0),0,1)</f>
        <v>1</v>
      </c>
      <c r="K11" s="2077">
        <f ca="1">IF(AND('فروش داخلی تجاری'!H16&gt;='فروش داخلی تجاری'!E16,'فروش داخلی تجاری'!K16&lt;'فروش داخلی تجاری'!E16,'فروش داخلی تجاری'!J16&gt;0),0,1)</f>
        <v>1</v>
      </c>
      <c r="M11" s="2077">
        <f ca="1">IF(AND(عوارض!E16&lt;=عوارض!H16,عوارض!K16&lt;عوارض!E16,عوارض!J16&gt;0),0,1)</f>
        <v>1</v>
      </c>
      <c r="N11" s="2080">
        <f ca="1">IF(AND('درآمد صادرات'!M16&gt;='درآمد صادرات'!J16,'درآمد صادرات'!P16&lt;'درآمد صادرات'!J16,'درآمد صادرات'!O16&gt;0),0,1)</f>
        <v>1</v>
      </c>
      <c r="O11" s="326"/>
      <c r="P11" s="321"/>
      <c r="Q11" s="327"/>
      <c r="S11" s="381"/>
      <c r="V11" s="2077">
        <f ca="1">IF(AND('خرید کالای تجاری'!K16&gt;='خرید کالای تجاری'!E16,'خرید کالای تجاری'!O16&lt;'خرید کالای تجاری'!E16,'خرید کالای تجاری'!M16&gt;0),0,1)</f>
        <v>1</v>
      </c>
      <c r="W11" s="365"/>
      <c r="X11" s="326"/>
      <c r="Y11" s="321"/>
      <c r="Z11" s="380"/>
      <c r="AA11" s="326"/>
      <c r="AB11" s="321"/>
      <c r="AC11" s="380"/>
      <c r="AD11" s="363"/>
      <c r="AE11" s="385"/>
      <c r="AF11" s="388"/>
      <c r="AG11" s="3354"/>
      <c r="AH11" s="319"/>
      <c r="AI11" s="319"/>
      <c r="AJ11" s="319"/>
      <c r="AK11" s="319"/>
      <c r="AL11" s="319"/>
      <c r="AM11" s="319"/>
      <c r="AN11" s="319"/>
      <c r="AO11" s="319"/>
      <c r="AP11" s="319"/>
      <c r="AQ11" s="319"/>
      <c r="AR11" s="319"/>
      <c r="AS11" s="319"/>
      <c r="AT11" s="319"/>
      <c r="AU11" s="319"/>
      <c r="AV11" s="319"/>
      <c r="AW11" s="319"/>
      <c r="AX11" s="319"/>
      <c r="AY11" s="319"/>
      <c r="AZ11" s="319"/>
      <c r="BA11" s="319"/>
      <c r="BB11" s="319"/>
      <c r="BC11" s="343"/>
    </row>
    <row r="12" spans="1:55" ht="18.75" thickBot="1">
      <c r="A12" s="2064">
        <f ca="1">ABS((SUMPRODUCT('سود ناویژه محصول تولیدی'!D7:D26,'فروش داخلی تولیدی'!D7:D26)/1000000+SUMPRODUCT('درآمد صادرات'!I7:I18,'سود ناویژه صادراتی'!D7:D18)/1000000+'صورت سود و زیان'!B12))</f>
        <v>0</v>
      </c>
      <c r="B12" s="2065">
        <f ca="1">ABS((SUMPRODUCT('سود ناویژه محصول تولیدی'!G7:G26,'فروش داخلی تولیدی'!J7:J26)/1000000+SUMPRODUCT('درآمد صادرات'!O7:O18,'سود ناویژه صادراتی'!G7:G18)/1000000+'صورت سود و زیان'!D12))</f>
        <v>0</v>
      </c>
      <c r="C12" s="332"/>
      <c r="D12" s="353"/>
      <c r="E12" s="356"/>
      <c r="F12" s="343"/>
      <c r="G12" s="2077">
        <f ca="1">IF(AND('خرید مواد اولیه تولید'!K17&gt;='خرید مواد اولیه تولید'!E17,'خرید مواد اولیه تولید'!O17&lt;'خرید مواد اولیه تولید'!E17,'خرید مواد اولیه تولید'!M17&gt;0),0,1)</f>
        <v>1</v>
      </c>
      <c r="H12" s="2081">
        <f ca="1">COUNTIF(H2:H11,0)</f>
        <v>0</v>
      </c>
      <c r="I12" s="2077">
        <f ca="1">IF(AND('فروش داخلی تولیدی'!H17&gt;='فروش داخلی تولیدی'!E17,'فروش داخلی تولیدی'!K17&lt;'فروش داخلی تولیدی'!E17,'فروش داخلی تولیدی'!J17&gt;0),0,1)</f>
        <v>1</v>
      </c>
      <c r="J12" s="2077">
        <f>IF(AND('درآمد خدمات'!H17&gt;='درآمد خدمات'!E17,'درآمد خدمات'!K17&lt;'درآمد خدمات'!E17,'درآمد خدمات'!J17&gt;0),0,1)</f>
        <v>1</v>
      </c>
      <c r="K12" s="2077">
        <f ca="1">IF(AND('فروش داخلی تجاری'!H17&gt;='فروش داخلی تجاری'!E17,'فروش داخلی تجاری'!K17&lt;'فروش داخلی تجاری'!E17,'فروش داخلی تجاری'!J17&gt;0),0,1)</f>
        <v>1</v>
      </c>
      <c r="M12" s="2078">
        <f ca="1">COUNTIF(M2:M11,0)</f>
        <v>0</v>
      </c>
      <c r="N12" s="2080">
        <f ca="1">IF(AND('درآمد صادرات'!M17&gt;='درآمد صادرات'!J17,'درآمد صادرات'!P17&lt;'درآمد صادرات'!J17,'درآمد صادرات'!O17&gt;0),0,1)</f>
        <v>1</v>
      </c>
      <c r="O12" s="316"/>
      <c r="P12" s="346"/>
      <c r="Q12" s="317"/>
      <c r="V12" s="2077">
        <f ca="1">IF(AND('خرید کالای تجاری'!K17&gt;='خرید کالای تجاری'!E17,'خرید کالای تجاری'!O17&lt;'خرید کالای تجاری'!E17,'خرید کالای تجاری'!M17&gt;0),0,1)</f>
        <v>1</v>
      </c>
      <c r="W12" s="365"/>
      <c r="X12" s="326"/>
      <c r="Y12" s="321"/>
      <c r="Z12" s="380"/>
      <c r="AA12" s="326"/>
      <c r="AB12" s="321"/>
      <c r="AC12" s="380"/>
      <c r="AD12" s="363"/>
      <c r="AE12" s="385"/>
      <c r="AF12" s="388"/>
      <c r="AG12" s="3354"/>
      <c r="AH12" s="319"/>
      <c r="AI12" s="319"/>
      <c r="AJ12" s="319"/>
      <c r="AK12" s="319"/>
      <c r="AL12" s="319"/>
      <c r="AM12" s="319"/>
      <c r="AN12" s="319"/>
      <c r="AO12" s="319"/>
      <c r="AP12" s="319"/>
      <c r="AQ12" s="319"/>
      <c r="AR12" s="319"/>
      <c r="AS12" s="319"/>
      <c r="AT12" s="319"/>
      <c r="AU12" s="319"/>
      <c r="AV12" s="319"/>
      <c r="AW12" s="319"/>
      <c r="AX12" s="319"/>
      <c r="AY12" s="319"/>
      <c r="AZ12" s="319"/>
      <c r="BA12" s="319"/>
      <c r="BB12" s="319"/>
      <c r="BC12" s="343"/>
    </row>
    <row r="13" spans="1:55" ht="18.75" thickBot="1">
      <c r="A13" s="2074" t="s">
        <v>584</v>
      </c>
      <c r="B13" s="2093">
        <f ca="1">'اقدامات تکالیف بودجه'!K3</f>
        <v>17</v>
      </c>
      <c r="C13" s="330"/>
      <c r="D13" s="355"/>
      <c r="E13" s="356"/>
      <c r="F13" s="343"/>
      <c r="G13" s="2077">
        <f ca="1">IF(AND('خرید مواد اولیه تولید'!K18&gt;='خرید مواد اولیه تولید'!E18,'خرید مواد اولیه تولید'!O18&lt;'خرید مواد اولیه تولید'!E18,'خرید مواد اولیه تولید'!M18&gt;0),0,1)</f>
        <v>1</v>
      </c>
      <c r="I13" s="2077">
        <f ca="1">IF(AND('فروش داخلی تولیدی'!H18&gt;='فروش داخلی تولیدی'!E18,'فروش داخلی تولیدی'!K18&lt;'فروش داخلی تولیدی'!E18,'فروش داخلی تولیدی'!J18&gt;0),0,1)</f>
        <v>1</v>
      </c>
      <c r="J13" s="2077">
        <f>IF(AND('درآمد خدمات'!H18&gt;='درآمد خدمات'!E18,'درآمد خدمات'!K18&lt;'درآمد خدمات'!E18,'درآمد خدمات'!J18&gt;0),0,1)</f>
        <v>1</v>
      </c>
      <c r="K13" s="2077">
        <f ca="1">IF(AND('فروش داخلی تجاری'!H18&gt;='فروش داخلی تجاری'!E18,'فروش داخلی تجاری'!K18&lt;'فروش داخلی تجاری'!E18,'فروش داخلی تجاری'!J18&gt;0),0,1)</f>
        <v>1</v>
      </c>
      <c r="L13" s="3361" t="s">
        <v>377</v>
      </c>
      <c r="M13" s="3362"/>
      <c r="N13" s="2080">
        <f ca="1">IF(AND('درآمد صادرات'!M18&gt;='درآمد صادرات'!J18,'درآمد صادرات'!P18&lt;'درآمد صادرات'!J18,'درآمد صادرات'!O18&gt;0),0,1)</f>
        <v>1</v>
      </c>
      <c r="O13" s="3355"/>
      <c r="P13" s="3363"/>
      <c r="Q13" s="3356"/>
      <c r="V13" s="2077">
        <f ca="1">IF(AND('خرید کالای تجاری'!K18&gt;='خرید کالای تجاری'!E18,'خرید کالای تجاری'!O18&lt;'خرید کالای تجاری'!E18,'خرید کالای تجاری'!M18&gt;0),0,1)</f>
        <v>1</v>
      </c>
      <c r="W13" s="365"/>
      <c r="X13" s="326"/>
      <c r="Y13" s="321"/>
      <c r="Z13" s="380"/>
      <c r="AA13" s="326"/>
      <c r="AB13" s="321"/>
      <c r="AC13" s="380"/>
      <c r="AD13" s="363"/>
      <c r="AE13" s="385"/>
      <c r="AF13" s="388"/>
      <c r="AG13" s="3354"/>
      <c r="AH13" s="319"/>
      <c r="AI13" s="319"/>
      <c r="AJ13" s="319"/>
      <c r="AK13" s="319"/>
      <c r="AL13" s="319"/>
      <c r="AM13" s="319"/>
      <c r="AN13" s="319"/>
      <c r="AO13" s="319"/>
      <c r="AP13" s="319"/>
      <c r="AQ13" s="319"/>
      <c r="AR13" s="319"/>
      <c r="AS13" s="319"/>
      <c r="AT13" s="319"/>
      <c r="AU13" s="319"/>
      <c r="AV13" s="319"/>
      <c r="AW13" s="319"/>
      <c r="AX13" s="319"/>
      <c r="AY13" s="319"/>
      <c r="AZ13" s="319"/>
      <c r="BA13" s="319"/>
      <c r="BB13" s="319"/>
      <c r="BC13" s="343"/>
    </row>
    <row r="14" spans="1:55" ht="18" customHeight="1" thickBot="1">
      <c r="A14" s="3359" t="s">
        <v>319</v>
      </c>
      <c r="B14" s="3360"/>
      <c r="C14" s="332"/>
      <c r="D14" s="353"/>
      <c r="E14" s="356"/>
      <c r="F14" s="343"/>
      <c r="G14" s="2077">
        <f ca="1">IF(AND('خرید مواد اولیه تولید'!K19&gt;='خرید مواد اولیه تولید'!E19,'خرید مواد اولیه تولید'!O19&lt;'خرید مواد اولیه تولید'!E19,'خرید مواد اولیه تولید'!M19&gt;0),0,1)</f>
        <v>1</v>
      </c>
      <c r="I14" s="2077">
        <f ca="1">IF(AND('فروش داخلی تولیدی'!H19&gt;='فروش داخلی تولیدی'!E19,'فروش داخلی تولیدی'!K19&lt;'فروش داخلی تولیدی'!E19,'فروش داخلی تولیدی'!J19&gt;0),0,1)</f>
        <v>1</v>
      </c>
      <c r="J14" s="2077">
        <f ca="1">IF(AND('درآمد خدمات'!H19&gt;='درآمد خدمات'!E19,'درآمد خدمات'!K19&lt;'درآمد خدمات'!E19,'درآمد خدمات'!J19&gt;0),0,1)</f>
        <v>1</v>
      </c>
      <c r="K14" s="2077">
        <f ca="1">IF(AND('فروش داخلی تجاری'!H19&gt;='فروش داخلی تجاری'!E19,'فروش داخلی تجاری'!K19&lt;'فروش داخلی تجاری'!E19,'فروش داخلی تجاری'!J19&gt;0),0,1)</f>
        <v>1</v>
      </c>
      <c r="L14" s="2071">
        <f>ABS('صورت وضعیت مالی آزادراه'!B27-'صورت وضعیت مالی آزادراه'!B59)</f>
        <v>0</v>
      </c>
      <c r="M14" s="2071">
        <f>ABS('صورت وضعیت مالی آزادراه'!C27-'صورت وضعیت مالی آزادراه'!C59)</f>
        <v>0</v>
      </c>
      <c r="N14" s="2081">
        <f ca="1">COUNTIF(N2:N13,0)</f>
        <v>0</v>
      </c>
      <c r="O14" s="341"/>
      <c r="P14" s="347"/>
      <c r="Q14" s="342"/>
      <c r="V14" s="2077">
        <f ca="1">IF(AND('خرید کالای تجاری'!K19&gt;='خرید کالای تجاری'!E19,'خرید کالای تجاری'!O19&lt;'خرید کالای تجاری'!E19,'خرید کالای تجاری'!M19&gt;0),0,1)</f>
        <v>1</v>
      </c>
      <c r="W14" s="365"/>
      <c r="X14" s="316"/>
      <c r="Y14" s="346"/>
      <c r="Z14" s="350"/>
      <c r="AA14" s="316"/>
      <c r="AB14" s="346"/>
      <c r="AC14" s="350"/>
      <c r="AD14" s="363"/>
      <c r="AE14" s="385"/>
      <c r="AF14" s="388"/>
      <c r="AG14" s="3354"/>
      <c r="AH14" s="319"/>
      <c r="AI14" s="319"/>
      <c r="AJ14" s="319"/>
      <c r="AK14" s="319"/>
      <c r="AL14" s="319"/>
      <c r="AM14" s="319"/>
      <c r="AN14" s="319"/>
      <c r="AO14" s="319"/>
      <c r="AP14" s="319"/>
      <c r="AQ14" s="319"/>
      <c r="AR14" s="319"/>
      <c r="AS14" s="319"/>
      <c r="AT14" s="319"/>
      <c r="AU14" s="319"/>
      <c r="AV14" s="319"/>
      <c r="AW14" s="319"/>
      <c r="AX14" s="319"/>
      <c r="AY14" s="319"/>
      <c r="AZ14" s="319"/>
      <c r="BA14" s="319"/>
      <c r="BB14" s="319"/>
      <c r="BC14" s="343"/>
    </row>
    <row r="15" spans="1:55" ht="18.75" thickBot="1">
      <c r="A15" s="2064">
        <f>ABS((SUMPRODUCT('فروش داخلی تجاری'!D7:D29,' سود ناویژه کالای تجاری'!D7:D29)/1000000+'صورت سود و زیان'!B13))</f>
        <v>0</v>
      </c>
      <c r="B15" s="2064">
        <f>ABS((SUMPRODUCT('فروش داخلی تجاری'!J7:J29,' سود ناویژه کالای تجاری'!G7:G29)/1000000+'صورت سود و زیان'!D13))</f>
        <v>0</v>
      </c>
      <c r="C15" s="330"/>
      <c r="D15" s="352"/>
      <c r="E15" s="356"/>
      <c r="F15" s="343"/>
      <c r="G15" s="2077">
        <f ca="1">IF(AND('خرید مواد اولیه تولید'!K20&gt;='خرید مواد اولیه تولید'!E20,'خرید مواد اولیه تولید'!O20&lt;'خرید مواد اولیه تولید'!E20,'خرید مواد اولیه تولید'!M20&gt;0),0,1)</f>
        <v>1</v>
      </c>
      <c r="I15" s="2077">
        <f ca="1">IF(AND('فروش داخلی تولیدی'!H20&gt;='فروش داخلی تولیدی'!E20,'فروش داخلی تولیدی'!K20&lt;'فروش داخلی تولیدی'!E20,'فروش داخلی تولیدی'!J20&gt;0),0,1)</f>
        <v>1</v>
      </c>
      <c r="J15" s="2077">
        <f ca="1">IF(AND('درآمد خدمات'!H20&gt;='درآمد خدمات'!E20,'درآمد خدمات'!K20&lt;'درآمد خدمات'!E20,'درآمد خدمات'!J20&gt;0),0,1)</f>
        <v>1</v>
      </c>
      <c r="K15" s="2077">
        <f ca="1">IF(AND('فروش داخلی تجاری'!H20&gt;='فروش داخلی تجاری'!E20,'فروش داخلی تجاری'!K20&lt;'فروش داخلی تجاری'!E20,'فروش داخلی تجاری'!J20&gt;0),0,1)</f>
        <v>1</v>
      </c>
      <c r="L15" s="3361" t="s">
        <v>3044</v>
      </c>
      <c r="M15" s="3362"/>
      <c r="N15" s="337"/>
      <c r="O15" s="341"/>
      <c r="P15" s="347"/>
      <c r="Q15" s="342"/>
      <c r="V15" s="2077">
        <f ca="1">IF(AND('خرید کالای تجاری'!K20&gt;='خرید کالای تجاری'!E20,'خرید کالای تجاری'!O20&lt;'خرید کالای تجاری'!E20,'خرید کالای تجاری'!M20&gt;0),0,1)</f>
        <v>1</v>
      </c>
      <c r="W15" s="365"/>
      <c r="AD15" s="363"/>
      <c r="AE15" s="385"/>
      <c r="AF15" s="388"/>
      <c r="AG15" s="3354"/>
      <c r="AH15" s="319"/>
      <c r="AI15" s="319"/>
      <c r="AJ15" s="319"/>
      <c r="AK15" s="319"/>
      <c r="AL15" s="319"/>
      <c r="AM15" s="319"/>
      <c r="AN15" s="319"/>
      <c r="AO15" s="319"/>
      <c r="AP15" s="319"/>
      <c r="AQ15" s="319"/>
      <c r="AR15" s="319"/>
      <c r="AS15" s="319"/>
      <c r="AT15" s="319"/>
      <c r="AU15" s="319"/>
      <c r="AV15" s="319"/>
      <c r="AW15" s="319"/>
      <c r="AX15" s="319"/>
      <c r="AY15" s="319"/>
      <c r="AZ15" s="319"/>
      <c r="BA15" s="319"/>
      <c r="BB15" s="319"/>
      <c r="BC15" s="343"/>
    </row>
    <row r="16" spans="1:55" ht="18.75" thickBot="1">
      <c r="A16" s="332"/>
      <c r="B16" s="333"/>
      <c r="C16" s="332"/>
      <c r="D16" s="353"/>
      <c r="E16" s="356"/>
      <c r="F16" s="343"/>
      <c r="G16" s="2077">
        <f ca="1">IF(AND('خرید مواد اولیه تولید'!K21&gt;='خرید مواد اولیه تولید'!E21,'خرید مواد اولیه تولید'!O21&lt;'خرید مواد اولیه تولید'!E21,'خرید مواد اولیه تولید'!M21&gt;0),0,1)</f>
        <v>1</v>
      </c>
      <c r="I16" s="2077">
        <f ca="1">IF(AND('فروش داخلی تولیدی'!H21&gt;='فروش داخلی تولیدی'!E21,'فروش داخلی تولیدی'!K21&lt;'فروش داخلی تولیدی'!E21,'فروش داخلی تولیدی'!J21&gt;0),0,1)</f>
        <v>1</v>
      </c>
      <c r="J16" s="2077">
        <f ca="1">IF(AND('درآمد خدمات'!H21&gt;='درآمد خدمات'!E21,'درآمد خدمات'!K21&lt;'درآمد خدمات'!E21,'درآمد خدمات'!J21&gt;0),0,1)</f>
        <v>1</v>
      </c>
      <c r="K16" s="2077">
        <f ca="1">IF(AND('فروش داخلی تجاری'!H21&gt;='فروش داخلی تجاری'!E21,'فروش داخلی تجاری'!K21&lt;'فروش داخلی تجاری'!E21,'فروش داخلی تجاری'!J21&gt;0),0,1)</f>
        <v>1</v>
      </c>
      <c r="L16" s="2071">
        <f>ABS('صورت وضعیت مالی - شرکت اصلی'!B28-'صورت وضعیت مالی - شرکت اصلی'!B60)</f>
        <v>0</v>
      </c>
      <c r="M16" s="2071">
        <f>ABS('صورت وضعیت مالی - شرکت اصلی'!C28-'صورت وضعیت مالی - شرکت اصلی'!C60)</f>
        <v>0</v>
      </c>
      <c r="N16" s="337"/>
      <c r="O16" s="341"/>
      <c r="P16" s="347"/>
      <c r="Q16" s="342"/>
      <c r="V16" s="2077">
        <f ca="1">IF(AND('خرید کالای تجاری'!K21&gt;='خرید کالای تجاری'!E21,'خرید کالای تجاری'!O21&lt;'خرید کالای تجاری'!E21,'خرید کالای تجاری'!M21&gt;0),0,1)</f>
        <v>1</v>
      </c>
      <c r="W16" s="365"/>
      <c r="AD16" s="363"/>
      <c r="AE16" s="385"/>
      <c r="AF16" s="388"/>
      <c r="AG16" s="3354"/>
      <c r="AH16" s="319"/>
      <c r="AI16" s="319"/>
      <c r="AJ16" s="319"/>
      <c r="AK16" s="319"/>
      <c r="AL16" s="319"/>
      <c r="AM16" s="319"/>
      <c r="AN16" s="319"/>
      <c r="AO16" s="319"/>
      <c r="AP16" s="319"/>
      <c r="AQ16" s="319"/>
      <c r="AR16" s="319"/>
      <c r="AS16" s="319"/>
      <c r="AT16" s="319"/>
      <c r="AU16" s="319"/>
      <c r="AV16" s="319"/>
      <c r="AW16" s="319"/>
      <c r="AX16" s="319"/>
      <c r="AY16" s="319"/>
      <c r="AZ16" s="319"/>
      <c r="BA16" s="319"/>
      <c r="BB16" s="319"/>
      <c r="BC16" s="343"/>
    </row>
    <row r="17" spans="1:55" ht="18" customHeight="1" thickBot="1">
      <c r="A17" s="3359" t="s">
        <v>320</v>
      </c>
      <c r="B17" s="3360"/>
      <c r="C17" s="330"/>
      <c r="D17" s="352"/>
      <c r="E17" s="356"/>
      <c r="F17" s="343"/>
      <c r="G17" s="2077">
        <f ca="1">IF(AND('خرید مواد اولیه تولید'!K22&gt;='خرید مواد اولیه تولید'!E22,'خرید مواد اولیه تولید'!O22&lt;'خرید مواد اولیه تولید'!E22,'خرید مواد اولیه تولید'!M22&gt;0),0,1)</f>
        <v>1</v>
      </c>
      <c r="I17" s="2077">
        <f ca="1">IF(AND('فروش داخلی تولیدی'!H22&gt;='فروش داخلی تولیدی'!E22,'فروش داخلی تولیدی'!K22&lt;'فروش داخلی تولیدی'!E22,'فروش داخلی تولیدی'!J22&gt;0),0,1)</f>
        <v>1</v>
      </c>
      <c r="J17" s="2077">
        <f ca="1">IF(AND('درآمد خدمات'!H22&gt;='درآمد خدمات'!E22,'درآمد خدمات'!K22&lt;'درآمد خدمات'!E22,'درآمد خدمات'!J22&gt;0),0,1)</f>
        <v>1</v>
      </c>
      <c r="K17" s="2077">
        <f ca="1">IF(AND('فروش داخلی تجاری'!H22&gt;='فروش داخلی تجاری'!E22,'فروش داخلی تجاری'!K22&lt;'فروش داخلی تجاری'!E22,'فروش داخلی تجاری'!J22&gt;0),0,1)</f>
        <v>1</v>
      </c>
      <c r="M17" s="336"/>
      <c r="N17" s="337"/>
      <c r="O17" s="322"/>
      <c r="P17" s="348"/>
      <c r="Q17" s="323"/>
      <c r="S17" s="381"/>
      <c r="V17" s="2077">
        <f ca="1">IF(AND('خرید کالای تجاری'!K22&gt;='خرید کالای تجاری'!E22,'خرید کالای تجاری'!O22&lt;'خرید کالای تجاری'!E22,'خرید کالای تجاری'!M22&gt;0),0,1)</f>
        <v>1</v>
      </c>
      <c r="W17" s="365"/>
      <c r="Z17" s="382" t="s">
        <v>587</v>
      </c>
      <c r="AA17" s="383">
        <f>COUNTA(اصلاحات!B:B)</f>
        <v>2</v>
      </c>
      <c r="AD17" s="363"/>
      <c r="AE17" s="386"/>
      <c r="AF17" s="388"/>
      <c r="AG17" s="3354"/>
      <c r="AH17" s="319"/>
      <c r="AI17" s="319"/>
      <c r="AJ17" s="319"/>
      <c r="AK17" s="319"/>
      <c r="AL17" s="319"/>
      <c r="AM17" s="319"/>
      <c r="AN17" s="319"/>
      <c r="AO17" s="319"/>
      <c r="AP17" s="319"/>
      <c r="AQ17" s="319"/>
      <c r="AR17" s="319"/>
      <c r="AS17" s="319"/>
      <c r="AT17" s="319"/>
      <c r="AU17" s="319"/>
      <c r="AV17" s="319"/>
      <c r="AW17" s="319"/>
      <c r="AX17" s="319"/>
      <c r="AY17" s="319"/>
      <c r="AZ17" s="319"/>
      <c r="BA17" s="319"/>
      <c r="BB17" s="319"/>
      <c r="BC17" s="343"/>
    </row>
    <row r="18" spans="1:55" ht="18.75" thickBot="1">
      <c r="A18" s="2064">
        <f ca="1">ABS((SUMPRODUCT('سود ناویژه خدمات'!D7:D26,'درآمد خدمات'!D7:D26)/1000000+'صورت سود و زیان'!B14))</f>
        <v>1271898</v>
      </c>
      <c r="B18" s="2064">
        <f ca="1">ABS((SUMPRODUCT('سود ناویژه خدمات'!G7:G26,'درآمد خدمات'!J7:J26)/1000000+'صورت سود و زیان'!D14))</f>
        <v>2950579</v>
      </c>
      <c r="C18" s="332"/>
      <c r="D18" s="353"/>
      <c r="E18" s="356"/>
      <c r="F18" s="343"/>
      <c r="G18" s="2077">
        <f ca="1">IF(AND('خرید مواد اولیه تولید'!K23&gt;='خرید مواد اولیه تولید'!E23,'خرید مواد اولیه تولید'!O23&lt;'خرید مواد اولیه تولید'!E23,'خرید مواد اولیه تولید'!M23&gt;0),0,1)</f>
        <v>1</v>
      </c>
      <c r="H18" s="337"/>
      <c r="I18" s="2077">
        <f ca="1">IF(AND('فروش داخلی تولیدی'!H23&gt;='فروش داخلی تولیدی'!E23,'فروش داخلی تولیدی'!K23&lt;'فروش داخلی تولیدی'!E23,'فروش داخلی تولیدی'!J23&gt;0),0,1)</f>
        <v>1</v>
      </c>
      <c r="J18" s="2080">
        <f ca="1">IF(AND('درآمد خدمات'!H23&gt;='درآمد خدمات'!E23,'درآمد خدمات'!K23&lt;'درآمد خدمات'!E23,'درآمد خدمات'!J23&gt;0),0,1)</f>
        <v>1</v>
      </c>
      <c r="K18" s="2077">
        <f ca="1">IF(AND('فروش داخلی تجاری'!H23&gt;='فروش داخلی تجاری'!E23,'فروش داخلی تجاری'!K23&lt;'فروش داخلی تجاری'!E23,'فروش داخلی تجاری'!J23&gt;0),0,1)</f>
        <v>1</v>
      </c>
      <c r="L18" s="369"/>
      <c r="M18" s="370" t="s">
        <v>330</v>
      </c>
      <c r="N18" s="370" t="s">
        <v>595</v>
      </c>
      <c r="O18" s="340" t="s">
        <v>596</v>
      </c>
      <c r="P18" s="379" t="s">
        <v>597</v>
      </c>
      <c r="V18" s="2077">
        <f ca="1">IF(AND('خرید کالای تجاری'!K23&gt;='خرید کالای تجاری'!E23,'خرید کالای تجاری'!O23&lt;'خرید کالای تجاری'!E23,'خرید کالای تجاری'!M23&gt;0),0,1)</f>
        <v>1</v>
      </c>
      <c r="W18" s="365"/>
      <c r="Y18" s="313"/>
      <c r="Z18" s="337"/>
      <c r="AA18" s="337"/>
      <c r="AC18" s="313"/>
      <c r="AD18" s="363"/>
      <c r="AE18" s="337"/>
      <c r="AF18" s="388"/>
      <c r="AG18" s="3354"/>
      <c r="AH18" s="319"/>
      <c r="AI18" s="319"/>
      <c r="AJ18" s="319"/>
      <c r="AK18" s="319"/>
      <c r="AL18" s="319"/>
      <c r="AM18" s="319"/>
      <c r="AN18" s="319"/>
      <c r="AO18" s="319"/>
      <c r="AP18" s="319"/>
      <c r="AQ18" s="319"/>
      <c r="AR18" s="319"/>
      <c r="AS18" s="319"/>
      <c r="AT18" s="319"/>
      <c r="AU18" s="319"/>
      <c r="AV18" s="319"/>
      <c r="AW18" s="319"/>
      <c r="AX18" s="319"/>
      <c r="AY18" s="319"/>
      <c r="AZ18" s="319"/>
      <c r="BA18" s="319"/>
      <c r="BB18" s="319"/>
      <c r="BC18" s="343"/>
    </row>
    <row r="19" spans="1:55" ht="18.75" thickBot="1">
      <c r="A19" s="332"/>
      <c r="B19" s="333"/>
      <c r="C19" s="330"/>
      <c r="D19" s="352"/>
      <c r="E19" s="356"/>
      <c r="F19" s="343"/>
      <c r="G19" s="2078">
        <f ca="1">COUNTIF(G2:G18,0)</f>
        <v>0</v>
      </c>
      <c r="H19" s="337"/>
      <c r="I19" s="2077">
        <f ca="1">IF(AND('فروش داخلی تولیدی'!H24&gt;='فروش داخلی تولیدی'!E24,'فروش داخلی تولیدی'!K24&lt;'فروش داخلی تولیدی'!E24,'فروش داخلی تولیدی'!J24&gt;0),0,1)</f>
        <v>1</v>
      </c>
      <c r="J19" s="2080">
        <f ca="1">IF(AND('درآمد خدمات'!H24&gt;='درآمد خدمات'!E24,'درآمد خدمات'!K24&lt;'درآمد خدمات'!E24,'درآمد خدمات'!J24&gt;0),0,1)</f>
        <v>1</v>
      </c>
      <c r="K19" s="2077">
        <f ca="1">IF(AND('فروش داخلی تجاری'!H24&gt;='فروش داخلی تجاری'!E24,'فروش داخلی تجاری'!K24&lt;'فروش داخلی تجاری'!E24,'فروش داخلی تجاری'!J24&gt;0),0,1)</f>
        <v>1</v>
      </c>
      <c r="L19" s="356" t="s">
        <v>598</v>
      </c>
      <c r="M19" s="319"/>
      <c r="N19" s="319"/>
      <c r="O19" s="319"/>
      <c r="P19" s="343"/>
      <c r="V19" s="2077">
        <f ca="1">IF(AND('خرید کالای تجاری'!K24&gt;='خرید کالای تجاری'!E24,'خرید کالای تجاری'!O24&lt;'خرید کالای تجاری'!E24,'خرید کالای تجاری'!M24&gt;0),0,1)</f>
        <v>1</v>
      </c>
      <c r="W19" s="365"/>
      <c r="Y19" s="313"/>
      <c r="Z19" s="337"/>
      <c r="AA19" s="337"/>
      <c r="AC19" s="313"/>
      <c r="AD19" s="367"/>
      <c r="AE19" s="337"/>
      <c r="AF19" s="389"/>
      <c r="AG19" s="3354"/>
      <c r="AH19" s="319"/>
      <c r="AI19" s="319"/>
      <c r="AJ19" s="319"/>
      <c r="AK19" s="319"/>
      <c r="AL19" s="319"/>
      <c r="AM19" s="319"/>
      <c r="AN19" s="319"/>
      <c r="AO19" s="319"/>
      <c r="AP19" s="319"/>
      <c r="AQ19" s="319"/>
      <c r="AR19" s="319"/>
      <c r="AS19" s="319"/>
      <c r="AT19" s="319"/>
      <c r="AU19" s="319"/>
      <c r="AV19" s="319"/>
      <c r="AW19" s="319"/>
      <c r="AX19" s="319"/>
      <c r="AY19" s="319"/>
      <c r="AZ19" s="319"/>
      <c r="BA19" s="319"/>
      <c r="BB19" s="319"/>
      <c r="BC19" s="343"/>
    </row>
    <row r="20" spans="1:55" ht="18.75" thickBot="1">
      <c r="A20" s="3372"/>
      <c r="B20" s="3373"/>
      <c r="C20" s="332"/>
      <c r="D20" s="353"/>
      <c r="E20" s="356"/>
      <c r="F20" s="343"/>
      <c r="G20" s="3361" t="s">
        <v>329</v>
      </c>
      <c r="H20" s="3374"/>
      <c r="I20" s="2077">
        <f ca="1">IF(AND('فروش داخلی تولیدی'!H25&gt;='فروش داخلی تولیدی'!E25,'فروش داخلی تولیدی'!K25&lt;'فروش داخلی تولیدی'!E25,'فروش داخلی تولیدی'!J25&gt;0),0,1)</f>
        <v>1</v>
      </c>
      <c r="J20" s="2080">
        <f ca="1">IF(AND('درآمد خدمات'!H25&gt;='درآمد خدمات'!E25,'درآمد خدمات'!K25&lt;'درآمد خدمات'!E25,'درآمد خدمات'!J25&gt;0),0,1)</f>
        <v>1</v>
      </c>
      <c r="K20" s="2077">
        <f ca="1">IF(AND('فروش داخلی تجاری'!H25&gt;='فروش داخلی تجاری'!E25,'فروش داخلی تجاری'!K25&lt;'فروش داخلی تجاری'!E25,'فروش داخلی تجاری'!J25&gt;0),0,1)</f>
        <v>1</v>
      </c>
      <c r="L20" s="316" t="s">
        <v>802</v>
      </c>
      <c r="M20" s="346"/>
      <c r="N20" s="346"/>
      <c r="O20" s="346"/>
      <c r="P20" s="317"/>
      <c r="Q20" s="337"/>
      <c r="T20" s="381"/>
      <c r="V20" s="2077">
        <f ca="1">IF(AND('خرید کالای تجاری'!K25&gt;='خرید کالای تجاری'!E25,'خرید کالای تجاری'!O25&lt;'خرید کالای تجاری'!E25,'خرید کالای تجاری'!M25&gt;0),0,1)</f>
        <v>1</v>
      </c>
      <c r="W20" s="365"/>
      <c r="Y20" s="313"/>
      <c r="Z20" s="337"/>
      <c r="AA20" s="337"/>
      <c r="AC20" s="313"/>
      <c r="AD20" s="337"/>
      <c r="AE20" s="337"/>
      <c r="AG20" s="366"/>
      <c r="AH20" s="377"/>
      <c r="AI20" s="377"/>
      <c r="AJ20" s="377"/>
      <c r="AK20" s="377"/>
      <c r="AL20" s="377"/>
      <c r="AM20" s="377"/>
      <c r="AN20" s="377"/>
      <c r="AO20" s="377"/>
      <c r="AP20" s="377"/>
      <c r="AQ20" s="377"/>
      <c r="AR20" s="377"/>
      <c r="AS20" s="377"/>
      <c r="AT20" s="377"/>
      <c r="AU20" s="377"/>
      <c r="AV20" s="377"/>
      <c r="AW20" s="377"/>
      <c r="AX20" s="377"/>
      <c r="AY20" s="377"/>
      <c r="AZ20" s="377"/>
      <c r="BA20" s="377"/>
      <c r="BB20" s="377"/>
      <c r="BC20" s="378"/>
    </row>
    <row r="21" spans="1:55" ht="18.75" thickBot="1">
      <c r="A21" s="2067"/>
      <c r="B21" s="2068"/>
      <c r="C21" s="330"/>
      <c r="D21" s="352"/>
      <c r="E21" s="356"/>
      <c r="F21" s="343"/>
      <c r="G21" s="2071">
        <f>ABS('صورت وضعیت مالی '!B29-'صورت وضعیت مالی '!B61)</f>
        <v>573555</v>
      </c>
      <c r="H21" s="2073">
        <f>ABS('صورت وضعیت مالی '!C29-'صورت وضعیت مالی '!C61)</f>
        <v>942254</v>
      </c>
      <c r="I21" s="2077">
        <f ca="1">IF(AND('فروش داخلی تولیدی'!H26&gt;='فروش داخلی تولیدی'!E26,'فروش داخلی تولیدی'!K26&lt;'فروش داخلی تولیدی'!E26,'فروش داخلی تولیدی'!J26&gt;0),0,1)</f>
        <v>1</v>
      </c>
      <c r="J21" s="2080">
        <f ca="1">IF(AND('درآمد خدمات'!H26&gt;='درآمد خدمات'!E26,'درآمد خدمات'!K26&lt;'درآمد خدمات'!E26,'درآمد خدمات'!J26&gt;0),0,1)</f>
        <v>1</v>
      </c>
      <c r="K21" s="2077">
        <f ca="1">IF(AND('فروش داخلی تجاری'!H26&gt;='فروش داخلی تجاری'!E26,'فروش داخلی تجاری'!K26&lt;'فروش داخلی تجاری'!E26,'فروش داخلی تجاری'!J26&gt;0),0,1)</f>
        <v>1</v>
      </c>
      <c r="M21" s="336"/>
      <c r="N21" s="337"/>
      <c r="O21" s="337"/>
      <c r="P21" s="337"/>
      <c r="Q21" s="337"/>
      <c r="V21" s="2077">
        <f ca="1">IF(AND('خرید کالای تجاری'!K26&gt;='خرید کالای تجاری'!E26,'خرید کالای تجاری'!O26&lt;'خرید کالای تجاری'!E26,'خرید کالای تجاری'!M26&gt;0),0,1)</f>
        <v>1</v>
      </c>
      <c r="W21" s="365"/>
      <c r="Y21" s="313"/>
      <c r="Z21" s="337"/>
      <c r="AA21" s="337"/>
      <c r="AC21" s="313"/>
      <c r="AD21" s="337"/>
      <c r="AE21" s="337"/>
    </row>
    <row r="22" spans="1:55" ht="18" customHeight="1" thickBot="1">
      <c r="A22" s="334"/>
      <c r="B22" s="338"/>
      <c r="E22" s="316"/>
      <c r="F22" s="317"/>
      <c r="G22" s="339"/>
      <c r="I22" s="2078">
        <f ca="1">COUNTIF(I2:I21,0)</f>
        <v>0</v>
      </c>
      <c r="J22" s="2082">
        <f ca="1">COUNTIF(J2:J21,0)</f>
        <v>1</v>
      </c>
      <c r="K22" s="2077">
        <f ca="1">IF(AND('فروش داخلی تجاری'!H27&gt;='فروش داخلی تجاری'!E27,'فروش داخلی تجاری'!K27&lt;'فروش داخلی تجاری'!E27,'فروش داخلی تجاری'!J27&gt;0),0,1)</f>
        <v>1</v>
      </c>
      <c r="M22" s="336"/>
      <c r="N22" s="337"/>
      <c r="O22" s="337"/>
      <c r="P22" s="337"/>
      <c r="Q22" s="337"/>
      <c r="V22" s="2077">
        <f ca="1">IF(AND('خرید کالای تجاری'!K27&gt;='خرید کالای تجاری'!E27,'خرید کالای تجاری'!O27&lt;'خرید کالای تجاری'!E27,'خرید کالای تجاری'!M27&gt;0),0,1)</f>
        <v>1</v>
      </c>
      <c r="W22" s="365"/>
      <c r="Y22" s="313"/>
      <c r="Z22" s="337"/>
      <c r="AA22" s="337"/>
      <c r="AC22" s="313"/>
      <c r="AD22" s="337"/>
      <c r="AE22" s="337"/>
      <c r="AG22" s="339"/>
      <c r="AS22" s="339"/>
      <c r="AZ22" s="339"/>
    </row>
    <row r="23" spans="1:55" ht="18.75" thickBot="1">
      <c r="A23" s="3359" t="s">
        <v>322</v>
      </c>
      <c r="B23" s="3360"/>
      <c r="C23" s="332"/>
      <c r="D23" s="333"/>
      <c r="E23" s="2074" t="s">
        <v>588</v>
      </c>
      <c r="F23" s="2075">
        <f ca="1">COUNTIF('گردش محصول تولیدی'!G5:G24,"&lt;0")</f>
        <v>0</v>
      </c>
      <c r="G23" s="3355"/>
      <c r="H23" s="3363"/>
      <c r="I23" s="3363"/>
      <c r="J23" s="3375"/>
      <c r="K23" s="2077">
        <f ca="1">IF(AND('فروش داخلی تجاری'!H28&gt;='فروش داخلی تجاری'!E28,'فروش داخلی تجاری'!K28&lt;'فروش داخلی تجاری'!E28,'فروش داخلی تجاری'!J28&gt;0),0,1)</f>
        <v>1</v>
      </c>
      <c r="M23" s="336"/>
      <c r="N23" s="337"/>
      <c r="O23" s="337"/>
      <c r="P23" s="337"/>
      <c r="Q23" s="337"/>
      <c r="V23" s="2077">
        <f ca="1">IF(AND('خرید کالای تجاری'!K28&gt;='خرید کالای تجاری'!E28,'خرید کالای تجاری'!O28&lt;'خرید کالای تجاری'!E28,'خرید کالای تجاری'!M28&gt;0),0,1)</f>
        <v>1</v>
      </c>
      <c r="W23" s="363"/>
      <c r="Y23" s="313"/>
      <c r="Z23" s="337"/>
      <c r="AA23" s="337"/>
      <c r="AC23" s="313"/>
      <c r="AD23" s="337"/>
      <c r="AE23" s="337"/>
      <c r="AG23" s="339"/>
      <c r="AS23" s="339"/>
      <c r="AZ23" s="339"/>
    </row>
    <row r="24" spans="1:55" ht="18.75" thickBot="1">
      <c r="A24" s="2071">
        <f>ABS(دارایی!B34-'صورت وضعیت مالی '!B6-'صورت وضعیت مالی '!B8)</f>
        <v>3</v>
      </c>
      <c r="B24" s="2071">
        <f>ABS(دارایی!O34-'صورت وضعیت مالی '!C6-'صورت وضعیت مالی '!C8)</f>
        <v>4</v>
      </c>
      <c r="C24" s="330"/>
      <c r="D24" s="331"/>
      <c r="E24" s="2084" t="s">
        <v>600</v>
      </c>
      <c r="F24" s="2085">
        <f>COUNTIF('خرید مواد اولیه تولید'!R29:R45,"&lt;0")</f>
        <v>0</v>
      </c>
      <c r="G24" s="341"/>
      <c r="H24" s="347"/>
      <c r="I24" s="347"/>
      <c r="J24" s="349"/>
      <c r="K24" s="2077">
        <f ca="1">IF(AND('فروش داخلی تجاری'!H29&gt;='فروش داخلی تجاری'!E29,'فروش داخلی تجاری'!K29&lt;'فروش داخلی تجاری'!E29,'فروش داخلی تجاری'!J29&gt;0),0,1)</f>
        <v>1</v>
      </c>
      <c r="M24" s="336"/>
      <c r="N24" s="337"/>
      <c r="O24" s="337"/>
      <c r="P24" s="337"/>
      <c r="Q24" s="337"/>
      <c r="V24" s="2077">
        <f ca="1">IF(AND('خرید کالای تجاری'!K29&gt;='خرید کالای تجاری'!E29,'خرید کالای تجاری'!O29&lt;'خرید کالای تجاری'!E29,'خرید کالای تجاری'!M29&gt;0),0,1)</f>
        <v>1</v>
      </c>
      <c r="W24" s="363"/>
      <c r="Y24" s="313"/>
      <c r="Z24" s="337"/>
      <c r="AA24" s="337"/>
      <c r="AC24" s="313"/>
      <c r="AD24" s="337"/>
      <c r="AE24" s="337"/>
      <c r="AG24" s="339"/>
      <c r="AS24" s="339"/>
      <c r="AZ24" s="339"/>
    </row>
    <row r="25" spans="1:55" ht="18.75" thickBot="1">
      <c r="E25" s="2084" t="s">
        <v>3043</v>
      </c>
      <c r="F25" s="2085">
        <f>COUNTIF('خرید مواد اولیه تولید'!V29:V45,"&lt;0")</f>
        <v>0</v>
      </c>
      <c r="G25" s="341"/>
      <c r="H25" s="347"/>
      <c r="I25" s="347"/>
      <c r="J25" s="349"/>
      <c r="K25" s="2083">
        <f ca="1">COUNTIF(K2:K24,0)</f>
        <v>0</v>
      </c>
      <c r="M25" s="336"/>
      <c r="N25" s="337"/>
      <c r="O25" s="337"/>
      <c r="P25" s="337"/>
      <c r="Q25" s="337"/>
      <c r="V25" s="2083">
        <f ca="1">COUNTIF(V2:V24,0)</f>
        <v>0</v>
      </c>
      <c r="W25" s="364"/>
      <c r="Y25" s="313"/>
      <c r="Z25" s="337"/>
      <c r="AA25" s="337"/>
      <c r="AC25" s="313"/>
      <c r="AD25" s="337"/>
      <c r="AE25" s="337"/>
      <c r="AG25" s="339"/>
      <c r="AS25" s="339"/>
      <c r="AZ25" s="339"/>
    </row>
    <row r="26" spans="1:55" ht="18.75" thickBot="1">
      <c r="A26" s="3359" t="s">
        <v>375</v>
      </c>
      <c r="B26" s="3360"/>
      <c r="C26" s="332"/>
      <c r="D26" s="333"/>
      <c r="E26" s="330"/>
      <c r="F26" s="352"/>
      <c r="G26" s="341"/>
      <c r="H26" s="347"/>
      <c r="I26" s="347"/>
      <c r="J26" s="349"/>
      <c r="K26" s="2076" t="s">
        <v>362</v>
      </c>
      <c r="M26" s="336"/>
      <c r="N26" s="337"/>
      <c r="O26" s="337"/>
      <c r="P26" s="337"/>
      <c r="Q26" s="337"/>
      <c r="Y26" s="313"/>
      <c r="Z26" s="337"/>
      <c r="AA26" s="337"/>
      <c r="AC26" s="313"/>
      <c r="AD26" s="337"/>
      <c r="AE26" s="337"/>
      <c r="AG26" s="339"/>
      <c r="AS26" s="339"/>
      <c r="AZ26" s="339"/>
    </row>
    <row r="27" spans="1:55" ht="18.75" thickBot="1">
      <c r="A27" s="2071">
        <f>ABS('صورت وضعیت مالی آزادراه'!B6+'صورت وضعیت مالی آزادراه'!B8-'دارایی آزادراه'!B30)</f>
        <v>0</v>
      </c>
      <c r="B27" s="2071">
        <f>ABS('صورت وضعیت مالی آزادراه'!C6+'صورت وضعیت مالی آزادراه'!C8-'دارایی آزادراه'!O30)</f>
        <v>0</v>
      </c>
      <c r="C27" s="330"/>
      <c r="D27" s="331"/>
      <c r="E27" s="332"/>
      <c r="F27" s="353"/>
      <c r="G27" s="341"/>
      <c r="H27" s="347"/>
      <c r="I27" s="347"/>
      <c r="J27" s="349"/>
      <c r="K27" s="2077">
        <f ca="1">IF(AND(OR('گردش محصول تولیدی'!E5&lt;&gt;0,'گردش محصول تولیدی'!F5&lt;&gt;0),'گردش محصول تولیدی'!D5=""),0,1)</f>
        <v>1</v>
      </c>
      <c r="O27" s="315" t="s">
        <v>3045</v>
      </c>
      <c r="Y27" s="313"/>
      <c r="Z27" s="337"/>
      <c r="AA27" s="337"/>
      <c r="AC27" s="313"/>
      <c r="AD27" s="337"/>
      <c r="AE27" s="337"/>
      <c r="AG27" s="339"/>
      <c r="AS27" s="339"/>
      <c r="AZ27" s="339"/>
    </row>
    <row r="28" spans="1:55" ht="18.75" thickBot="1">
      <c r="G28" s="341"/>
      <c r="H28" s="347"/>
      <c r="I28" s="347"/>
      <c r="J28" s="375"/>
      <c r="K28" s="2077">
        <f ca="1">IF(AND(OR('گردش محصول تولیدی'!E6&lt;&gt;0,'گردش محصول تولیدی'!F6&lt;&gt;0),'گردش محصول تولیدی'!D6=""),0,1)</f>
        <v>1</v>
      </c>
      <c r="Y28" s="313"/>
      <c r="Z28" s="337"/>
      <c r="AA28" s="337"/>
      <c r="AC28" s="313"/>
      <c r="AD28" s="337"/>
      <c r="AE28" s="337"/>
      <c r="AG28" s="339"/>
      <c r="AS28" s="339"/>
      <c r="AZ28" s="339"/>
    </row>
    <row r="29" spans="1:55" ht="18" customHeight="1" thickBot="1">
      <c r="A29" s="3359" t="s">
        <v>323</v>
      </c>
      <c r="B29" s="3360"/>
      <c r="C29" s="359"/>
      <c r="D29" s="333"/>
      <c r="E29" s="358"/>
      <c r="F29" s="368"/>
      <c r="G29" s="322"/>
      <c r="H29" s="348"/>
      <c r="I29" s="348"/>
      <c r="J29" s="376"/>
      <c r="K29" s="2077">
        <f ca="1">IF(AND(OR('گردش محصول تولیدی'!E7&lt;&gt;0,'گردش محصول تولیدی'!F7&lt;&gt;0),'گردش محصول تولیدی'!D7=""),0,1)</f>
        <v>1</v>
      </c>
      <c r="Y29" s="313"/>
      <c r="Z29" s="337"/>
      <c r="AA29" s="337"/>
      <c r="AC29" s="313"/>
      <c r="AD29" s="337"/>
      <c r="AE29" s="337"/>
      <c r="AG29" s="339"/>
      <c r="AS29" s="339"/>
      <c r="AZ29" s="339"/>
    </row>
    <row r="30" spans="1:55" ht="18.75" thickBot="1">
      <c r="A30" s="2086">
        <f>ABS(دارایی!J28-SUM('دریافت پرداخت'!G145:G150))</f>
        <v>0</v>
      </c>
      <c r="B30" s="2087" t="s">
        <v>324</v>
      </c>
      <c r="C30" s="3371"/>
      <c r="D30" s="3356"/>
      <c r="E30" s="2074" t="s">
        <v>328</v>
      </c>
      <c r="F30" s="2090">
        <f>COUNTIF('دریافت پرداخت'!E185:G185,"&lt;0")</f>
        <v>0</v>
      </c>
      <c r="G30" s="369"/>
      <c r="H30" s="370"/>
      <c r="I30" s="371"/>
      <c r="J30" s="337"/>
      <c r="K30" s="2077">
        <f ca="1">IF(AND(OR('گردش محصول تولیدی'!E8&lt;&gt;0,'گردش محصول تولیدی'!F8&lt;&gt;0),'گردش محصول تولیدی'!D8=""),0,1)</f>
        <v>1</v>
      </c>
      <c r="Y30" s="313"/>
      <c r="Z30" s="337"/>
      <c r="AA30" s="337"/>
      <c r="AC30" s="313"/>
      <c r="AD30" s="337"/>
      <c r="AE30" s="337"/>
      <c r="AG30" s="339"/>
      <c r="AS30" s="339"/>
      <c r="AZ30" s="339"/>
    </row>
    <row r="31" spans="1:55" ht="18.75" thickBot="1">
      <c r="A31" s="2086">
        <f>ABS(SUM('دریافت پرداخت'!G49:G54)-دارایی!L28)</f>
        <v>0</v>
      </c>
      <c r="B31" s="2088" t="s">
        <v>325</v>
      </c>
      <c r="C31" s="360"/>
      <c r="D31" s="323"/>
      <c r="E31" s="2091" t="s">
        <v>376</v>
      </c>
      <c r="F31" s="2092">
        <f ca="1">COUNTIF('دریافت پرداخت نقد آزادراه'!E184:G184,"&lt;0")</f>
        <v>0</v>
      </c>
      <c r="G31" s="316"/>
      <c r="H31" s="346"/>
      <c r="I31" s="317"/>
      <c r="J31" s="337"/>
      <c r="K31" s="2077">
        <f ca="1">IF(AND(OR('گردش محصول تولیدی'!E9&lt;&gt;0,'گردش محصول تولیدی'!F9&lt;&gt;0),'گردش محصول تولیدی'!D9=""),0,1)</f>
        <v>1</v>
      </c>
      <c r="Y31" s="313"/>
      <c r="Z31" s="337"/>
      <c r="AA31" s="337"/>
      <c r="AC31" s="313"/>
      <c r="AD31" s="337"/>
      <c r="AE31" s="337"/>
      <c r="AG31" s="339"/>
      <c r="AS31" s="339"/>
      <c r="AZ31" s="339"/>
    </row>
    <row r="32" spans="1:55">
      <c r="A32" s="2086">
        <f>ABS(دارایی!J28+'صورت جریان وجوه نقد '!C15+'صورت جریان وجوه نقد '!C12)</f>
        <v>0</v>
      </c>
      <c r="B32" s="2088" t="s">
        <v>326</v>
      </c>
      <c r="C32" s="337"/>
      <c r="D32" s="3351"/>
      <c r="E32" s="3352"/>
      <c r="F32" s="3364"/>
      <c r="G32" s="372"/>
      <c r="H32" s="337"/>
      <c r="I32" s="339"/>
      <c r="J32" s="337"/>
      <c r="K32" s="2077">
        <f ca="1">IF(AND(OR('گردش محصول تولیدی'!E10&lt;&gt;0,'گردش محصول تولیدی'!F10&lt;&gt;0),'گردش محصول تولیدی'!D10=""),0,1)</f>
        <v>1</v>
      </c>
      <c r="Y32" s="313"/>
      <c r="Z32" s="337"/>
      <c r="AA32" s="337"/>
      <c r="AC32" s="313"/>
      <c r="AD32" s="337"/>
      <c r="AE32" s="337"/>
      <c r="AG32" s="339"/>
      <c r="AS32" s="339"/>
      <c r="AZ32" s="339"/>
    </row>
    <row r="33" spans="1:52" ht="18.75" thickBot="1">
      <c r="A33" s="2071">
        <f>ABS(دارایی!L28-'صورت جریان وجوه نقد '!C11-'صورت جریان وجوه نقد '!C14)</f>
        <v>0</v>
      </c>
      <c r="B33" s="2089" t="s">
        <v>327</v>
      </c>
      <c r="C33" s="337"/>
      <c r="D33" s="326"/>
      <c r="E33" s="321"/>
      <c r="F33" s="327"/>
      <c r="G33" s="373"/>
      <c r="H33" s="337"/>
      <c r="I33" s="339"/>
      <c r="J33" s="337"/>
      <c r="K33" s="2077">
        <f ca="1">IF(AND(OR('گردش محصول تولیدی'!E11&lt;&gt;0,'گردش محصول تولیدی'!F11&lt;&gt;0),'گردش محصول تولیدی'!D11=""),0,1)</f>
        <v>1</v>
      </c>
      <c r="Y33" s="313"/>
      <c r="Z33" s="337"/>
      <c r="AA33" s="337"/>
      <c r="AC33" s="313"/>
      <c r="AD33" s="337"/>
      <c r="AE33" s="337"/>
      <c r="AG33" s="339"/>
      <c r="AS33" s="339"/>
      <c r="AZ33" s="339"/>
    </row>
    <row r="34" spans="1:52" ht="18.75" thickBot="1">
      <c r="D34" s="326"/>
      <c r="E34" s="321"/>
      <c r="F34" s="327"/>
      <c r="G34" s="373"/>
      <c r="H34" s="337"/>
      <c r="I34" s="339"/>
      <c r="J34" s="337"/>
      <c r="K34" s="2077">
        <f ca="1">IF(AND(OR('گردش محصول تولیدی'!E12&lt;&gt;0,'گردش محصول تولیدی'!F12&lt;&gt;0),'گردش محصول تولیدی'!D12=""),0,1)</f>
        <v>1</v>
      </c>
      <c r="AG34" s="339"/>
      <c r="AS34" s="339"/>
      <c r="AZ34" s="339"/>
    </row>
    <row r="35" spans="1:52" ht="18" customHeight="1">
      <c r="A35" s="3351"/>
      <c r="B35" s="3364"/>
      <c r="D35" s="326"/>
      <c r="E35" s="321"/>
      <c r="F35" s="327"/>
      <c r="G35" s="373"/>
      <c r="H35" s="337"/>
      <c r="I35" s="339"/>
      <c r="J35" s="337"/>
      <c r="K35" s="2077">
        <f ca="1">IF(AND(OR('گردش محصول تولیدی'!E13&lt;&gt;0,'گردش محصول تولیدی'!F13&lt;&gt;0),'گردش محصول تولیدی'!D13=""),0,1)</f>
        <v>1</v>
      </c>
      <c r="AG35" s="339"/>
      <c r="AS35" s="339"/>
      <c r="AZ35" s="339"/>
    </row>
    <row r="36" spans="1:52">
      <c r="A36" s="326"/>
      <c r="B36" s="343"/>
      <c r="C36" s="337"/>
      <c r="D36" s="326"/>
      <c r="E36" s="321"/>
      <c r="F36" s="327"/>
      <c r="G36" s="373"/>
      <c r="I36" s="339"/>
      <c r="J36" s="337"/>
      <c r="K36" s="2077">
        <f ca="1">IF(AND(OR('گردش محصول تولیدی'!E14&lt;&gt;0,'گردش محصول تولیدی'!F14&lt;&gt;0),'گردش محصول تولیدی'!D14=""),0,1)</f>
        <v>1</v>
      </c>
      <c r="AS36" s="339"/>
      <c r="AZ36" s="339"/>
    </row>
    <row r="37" spans="1:52" ht="18.75" thickBot="1">
      <c r="A37" s="344"/>
      <c r="B37" s="345"/>
      <c r="C37" s="337"/>
      <c r="D37" s="326"/>
      <c r="E37" s="321"/>
      <c r="F37" s="327"/>
      <c r="G37" s="373"/>
      <c r="I37" s="339"/>
      <c r="J37" s="337"/>
      <c r="K37" s="2077">
        <f ca="1">IF(AND(OR('گردش محصول تولیدی'!E15&lt;&gt;0,'گردش محصول تولیدی'!F15&lt;&gt;0),'گردش محصول تولیدی'!D15=""),0,1)</f>
        <v>1</v>
      </c>
    </row>
    <row r="38" spans="1:52">
      <c r="A38" s="3355"/>
      <c r="B38" s="3363"/>
      <c r="C38" s="3356"/>
      <c r="D38" s="326"/>
      <c r="E38" s="321"/>
      <c r="F38" s="327"/>
      <c r="G38" s="373"/>
      <c r="H38" s="337"/>
      <c r="I38" s="339"/>
      <c r="J38" s="337"/>
      <c r="K38" s="2077">
        <f ca="1">IF(AND(OR('گردش محصول تولیدی'!E16&lt;&gt;0,'گردش محصول تولیدی'!F16&lt;&gt;0),'گردش محصول تولیدی'!D16=""),0,1)</f>
        <v>1</v>
      </c>
    </row>
    <row r="39" spans="1:52">
      <c r="A39" s="341"/>
      <c r="B39" s="347"/>
      <c r="C39" s="342"/>
      <c r="D39" s="326"/>
      <c r="E39" s="321"/>
      <c r="F39" s="327"/>
      <c r="G39" s="373"/>
      <c r="H39" s="337"/>
      <c r="I39" s="339"/>
      <c r="J39" s="337"/>
      <c r="K39" s="2077">
        <f ca="1">IF(AND(OR('گردش محصول تولیدی'!E17&lt;&gt;0,'گردش محصول تولیدی'!F17&lt;&gt;0),'گردش محصول تولیدی'!D17=""),0,1)</f>
        <v>1</v>
      </c>
      <c r="AG39" s="339"/>
      <c r="AN39" s="339"/>
      <c r="AS39" s="339"/>
      <c r="AZ39" s="339"/>
    </row>
    <row r="40" spans="1:52">
      <c r="A40" s="341"/>
      <c r="B40" s="347"/>
      <c r="C40" s="342"/>
      <c r="D40" s="326"/>
      <c r="E40" s="321"/>
      <c r="F40" s="327"/>
      <c r="G40" s="373"/>
      <c r="H40" s="337"/>
      <c r="I40" s="339"/>
      <c r="J40" s="337"/>
      <c r="K40" s="2077">
        <f ca="1">IF(AND(OR('گردش محصول تولیدی'!E18&lt;&gt;0,'گردش محصول تولیدی'!F18&lt;&gt;0),'گردش محصول تولیدی'!D18=""),0,1)</f>
        <v>1</v>
      </c>
      <c r="AG40" s="339"/>
      <c r="AN40" s="339"/>
      <c r="AS40" s="339"/>
      <c r="AZ40" s="339"/>
    </row>
    <row r="41" spans="1:52">
      <c r="A41" s="341"/>
      <c r="B41" s="347"/>
      <c r="C41" s="342"/>
      <c r="D41" s="326"/>
      <c r="E41" s="321"/>
      <c r="F41" s="327"/>
      <c r="G41" s="373"/>
      <c r="H41" s="337"/>
      <c r="I41" s="339"/>
      <c r="J41" s="337"/>
      <c r="K41" s="2077">
        <f ca="1">IF(AND(OR('گردش محصول تولیدی'!E19&lt;&gt;0,'گردش محصول تولیدی'!F19&lt;&gt;0),'گردش محصول تولیدی'!D19=""),0,1)</f>
        <v>1</v>
      </c>
      <c r="AG41" s="339"/>
      <c r="AN41" s="339"/>
      <c r="AS41" s="339"/>
      <c r="AZ41" s="339"/>
    </row>
    <row r="42" spans="1:52" ht="18" customHeight="1">
      <c r="A42" s="341"/>
      <c r="B42" s="347"/>
      <c r="C42" s="342"/>
      <c r="D42" s="326"/>
      <c r="E42" s="321"/>
      <c r="F42" s="327"/>
      <c r="G42" s="373"/>
      <c r="I42" s="339"/>
      <c r="J42" s="337"/>
      <c r="K42" s="2077">
        <f ca="1">IF(AND(OR('گردش محصول تولیدی'!E20&lt;&gt;0,'گردش محصول تولیدی'!F20&lt;&gt;0),'گردش محصول تولیدی'!D20=""),0,1)</f>
        <v>1</v>
      </c>
      <c r="Y42" s="314"/>
      <c r="AG42" s="339"/>
      <c r="AN42" s="339"/>
      <c r="AS42" s="339"/>
      <c r="AZ42" s="339"/>
    </row>
    <row r="43" spans="1:52" ht="18.75" thickBot="1">
      <c r="A43" s="341"/>
      <c r="B43" s="347"/>
      <c r="C43" s="342"/>
      <c r="D43" s="316"/>
      <c r="E43" s="346"/>
      <c r="F43" s="317"/>
      <c r="G43" s="373"/>
      <c r="I43" s="339"/>
      <c r="J43" s="337"/>
      <c r="K43" s="2077">
        <f ca="1">IF(AND(OR('گردش محصول تولیدی'!E21&lt;&gt;0,'گردش محصول تولیدی'!F21&lt;&gt;0),'گردش محصول تولیدی'!D21=""),0,1)</f>
        <v>1</v>
      </c>
      <c r="Y43" s="314"/>
      <c r="AG43" s="339"/>
      <c r="AS43" s="339"/>
      <c r="AZ43" s="339"/>
    </row>
    <row r="44" spans="1:52">
      <c r="A44" s="341"/>
      <c r="B44" s="347"/>
      <c r="C44" s="342"/>
      <c r="D44" s="3368"/>
      <c r="E44" s="3369"/>
      <c r="F44" s="3370"/>
      <c r="G44" s="373"/>
      <c r="I44" s="3376"/>
      <c r="J44" s="3376"/>
      <c r="K44" s="2077">
        <f ca="1">IF(AND(OR('گردش محصول تولیدی'!E22&lt;&gt;0,'گردش محصول تولیدی'!F22&lt;&gt;0),'گردش محصول تولیدی'!D22=""),0,1)</f>
        <v>1</v>
      </c>
      <c r="N44" s="337"/>
      <c r="O44" s="337"/>
      <c r="P44" s="337"/>
      <c r="Q44" s="337"/>
      <c r="Y44" s="314"/>
      <c r="AG44" s="339"/>
      <c r="AN44" s="339"/>
      <c r="AS44" s="339"/>
      <c r="AZ44" s="339"/>
    </row>
    <row r="45" spans="1:52" ht="18.75" thickBot="1">
      <c r="A45" s="341"/>
      <c r="B45" s="347"/>
      <c r="C45" s="342"/>
      <c r="D45" s="324"/>
      <c r="E45" s="362"/>
      <c r="F45" s="325"/>
      <c r="G45" s="373"/>
      <c r="K45" s="2077">
        <f ca="1">IF(AND(OR('گردش محصول تولیدی'!E23&lt;&gt;0,'گردش محصول تولیدی'!F23&lt;&gt;0),'گردش محصول تولیدی'!D23=""),0,1)</f>
        <v>1</v>
      </c>
      <c r="Y45" s="314"/>
      <c r="AG45" s="339"/>
      <c r="AN45" s="339"/>
      <c r="AS45" s="339"/>
      <c r="AZ45" s="339"/>
    </row>
    <row r="46" spans="1:52">
      <c r="A46" s="341"/>
      <c r="B46" s="347"/>
      <c r="C46" s="342"/>
      <c r="D46" s="3357"/>
      <c r="E46" s="3367"/>
      <c r="F46" s="3358"/>
      <c r="G46" s="373"/>
      <c r="K46" s="2077">
        <f ca="1">IF(AND(OR('گردش محصول تولیدی'!E24&lt;&gt;0,'گردش محصول تولیدی'!F24&lt;&gt;0),'گردش محصول تولیدی'!D24=""),0,1)</f>
        <v>1</v>
      </c>
      <c r="Y46" s="314"/>
      <c r="AG46" s="339"/>
      <c r="AN46" s="339"/>
      <c r="AS46" s="339"/>
      <c r="AZ46" s="339"/>
    </row>
    <row r="47" spans="1:52" ht="18.75" thickBot="1">
      <c r="A47" s="341"/>
      <c r="B47" s="347"/>
      <c r="C47" s="342"/>
      <c r="D47" s="328"/>
      <c r="E47" s="361"/>
      <c r="F47" s="329"/>
      <c r="G47" s="373"/>
      <c r="K47" s="2083">
        <f ca="1">COUNTIF(K27:K46,0)</f>
        <v>0</v>
      </c>
      <c r="N47" s="337"/>
      <c r="O47" s="337"/>
      <c r="P47" s="337"/>
      <c r="Q47" s="337"/>
      <c r="Y47" s="314"/>
      <c r="AG47" s="339"/>
      <c r="AN47" s="339"/>
      <c r="AS47" s="339"/>
      <c r="AZ47" s="339"/>
    </row>
    <row r="48" spans="1:52" ht="18.75" thickBot="1">
      <c r="A48" s="341"/>
      <c r="B48" s="347"/>
      <c r="C48" s="342"/>
      <c r="D48" s="3368"/>
      <c r="E48" s="3369"/>
      <c r="F48" s="3370"/>
      <c r="G48" s="374"/>
      <c r="Y48" s="314"/>
      <c r="AG48" s="339"/>
      <c r="AS48" s="339"/>
      <c r="AZ48" s="339"/>
    </row>
    <row r="49" spans="1:52" ht="18.75" thickBot="1">
      <c r="A49" s="322"/>
      <c r="B49" s="348"/>
      <c r="C49" s="323"/>
      <c r="D49" s="324"/>
      <c r="E49" s="362"/>
      <c r="F49" s="325"/>
      <c r="L49" s="337"/>
      <c r="M49" s="337"/>
      <c r="N49" s="337"/>
      <c r="Y49" s="314"/>
      <c r="AG49" s="339"/>
      <c r="AN49" s="339"/>
      <c r="AS49" s="339"/>
      <c r="AZ49" s="339"/>
    </row>
    <row r="50" spans="1:52">
      <c r="A50" s="336"/>
      <c r="B50" s="337"/>
      <c r="C50" s="337"/>
      <c r="D50" s="337"/>
      <c r="E50" s="337"/>
      <c r="L50" s="337"/>
      <c r="M50" s="337"/>
      <c r="N50" s="337"/>
      <c r="V50" s="314"/>
      <c r="Y50" s="314"/>
      <c r="AG50" s="339"/>
      <c r="AN50" s="339"/>
      <c r="AS50" s="339"/>
      <c r="AZ50" s="339"/>
    </row>
    <row r="51" spans="1:52">
      <c r="V51" s="314"/>
    </row>
    <row r="52" spans="1:52">
      <c r="V52" s="314"/>
    </row>
    <row r="53" spans="1:52">
      <c r="V53" s="314"/>
    </row>
    <row r="54" spans="1:52">
      <c r="V54" s="314"/>
    </row>
    <row r="55" spans="1:52">
      <c r="V55" s="314"/>
    </row>
    <row r="56" spans="1:52">
      <c r="V56" s="314"/>
    </row>
    <row r="57" spans="1:52">
      <c r="K57" s="337"/>
      <c r="V57" s="314"/>
    </row>
    <row r="58" spans="1:52">
      <c r="K58" s="337"/>
      <c r="V58" s="314"/>
    </row>
  </sheetData>
  <mergeCells count="31">
    <mergeCell ref="L15:M15"/>
    <mergeCell ref="D46:F46"/>
    <mergeCell ref="D48:F48"/>
    <mergeCell ref="A26:B26"/>
    <mergeCell ref="A29:B29"/>
    <mergeCell ref="C30:D30"/>
    <mergeCell ref="D32:F32"/>
    <mergeCell ref="A35:B35"/>
    <mergeCell ref="A38:C38"/>
    <mergeCell ref="A20:B20"/>
    <mergeCell ref="G20:H20"/>
    <mergeCell ref="A23:B23"/>
    <mergeCell ref="G23:J23"/>
    <mergeCell ref="D44:F44"/>
    <mergeCell ref="I44:J44"/>
    <mergeCell ref="AA1:AC1"/>
    <mergeCell ref="AG2:AG19"/>
    <mergeCell ref="A3:B3"/>
    <mergeCell ref="A5:B5"/>
    <mergeCell ref="A8:B8"/>
    <mergeCell ref="A11:B11"/>
    <mergeCell ref="L13:M13"/>
    <mergeCell ref="O13:Q13"/>
    <mergeCell ref="A1:B1"/>
    <mergeCell ref="C1:D1"/>
    <mergeCell ref="E1:F1"/>
    <mergeCell ref="O1:Q1"/>
    <mergeCell ref="R1:U1"/>
    <mergeCell ref="X1:Z1"/>
    <mergeCell ref="A14:B14"/>
    <mergeCell ref="A17:B17"/>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176</vt:i4>
      </vt:variant>
    </vt:vector>
  </HeadingPairs>
  <TitlesOfParts>
    <vt:vector size="225" baseType="lpstr">
      <vt:lpstr>DATABASE</vt:lpstr>
      <vt:lpstr>BudgetDB</vt:lpstr>
      <vt:lpstr>روکش</vt:lpstr>
      <vt:lpstr>در یک نگاه</vt:lpstr>
      <vt:lpstr>کلیات</vt:lpstr>
      <vt:lpstr>اقدامات تکالیف بودجه</vt:lpstr>
      <vt:lpstr>اقدامات تکالیف مجمع</vt:lpstr>
      <vt:lpstr>میزان اجرای برنامه</vt:lpstr>
      <vt:lpstr>مصوبات هیات مدیره</vt:lpstr>
      <vt:lpstr>اهم اقدامات</vt:lpstr>
      <vt:lpstr>صورتخلاصه درآمد</vt:lpstr>
      <vt:lpstr>واردات</vt:lpstr>
      <vt:lpstr>صادرات</vt:lpstr>
      <vt:lpstr>جدول فروش خدمات</vt:lpstr>
      <vt:lpstr>درآمد خدمات</vt:lpstr>
      <vt:lpstr>مقادیر خدمات</vt:lpstr>
      <vt:lpstr>خرید اقلام خدمات</vt:lpstr>
      <vt:lpstr>تعداد پرسنل</vt:lpstr>
      <vt:lpstr>هزینه پرسنلی مستقیم خدمات</vt:lpstr>
      <vt:lpstr>هزینه پرسنلی غیرمستقیم خدمات</vt:lpstr>
      <vt:lpstr>هزینه سربار خدمات</vt:lpstr>
      <vt:lpstr>بهای خدمات</vt:lpstr>
      <vt:lpstr>هزینه اداری عمومی</vt:lpstr>
      <vt:lpstr>سایر عملیاتی</vt:lpstr>
      <vt:lpstr>سایر غیرعملیاتی</vt:lpstr>
      <vt:lpstr>صورت سود و زیان</vt:lpstr>
      <vt:lpstr>صورت سود و زیان - شرکت اصلی</vt:lpstr>
      <vt:lpstr>صورت وضعیت مالی </vt:lpstr>
      <vt:lpstr>صورت وضعیت مالی - شرکت اصلی</vt:lpstr>
      <vt:lpstr>اقلام عمده حسابها </vt:lpstr>
      <vt:lpstr>صورت جریان وجوه نقد </vt:lpstr>
      <vt:lpstr>صورت جریان وجوه نقد - شرکت اصلی</vt:lpstr>
      <vt:lpstr>دریافت پرداخت</vt:lpstr>
      <vt:lpstr>دارایی</vt:lpstr>
      <vt:lpstr>موجودی مواد و کالا</vt:lpstr>
      <vt:lpstr>سود ناویژه خدمات</vt:lpstr>
      <vt:lpstr>تسهیلات</vt:lpstr>
      <vt:lpstr>حقوقی</vt:lpstr>
      <vt:lpstr>مزایده-مناقصه</vt:lpstr>
      <vt:lpstr>روابط عمومی</vt:lpstr>
      <vt:lpstr>پروژه ها</vt:lpstr>
      <vt:lpstr>ریزشعب انبار</vt:lpstr>
      <vt:lpstr>ماشین آلات </vt:lpstr>
      <vt:lpstr>ظرفیت انبارها</vt:lpstr>
      <vt:lpstr>جدول درآمد-هزینه-سود شرکتها</vt:lpstr>
      <vt:lpstr>پایان</vt:lpstr>
      <vt:lpstr>اصلاحات</vt:lpstr>
      <vt:lpstr>تغییر در فرمول بودجه و اصلی</vt:lpstr>
      <vt:lpstr>ابهامات</vt:lpstr>
      <vt:lpstr>bv</vt:lpstr>
      <vt:lpstr>fp</vt:lpstr>
      <vt:lpstr>hd</vt:lpstr>
      <vt:lpstr>hk</vt:lpstr>
      <vt:lpstr>ic</vt:lpstr>
      <vt:lpstr>mm</vt:lpstr>
      <vt:lpstr>' سود ناویژه کالای تجاری'!Print_Area</vt:lpstr>
      <vt:lpstr>'استهلاک سرمایه گذاری'!Print_Area</vt:lpstr>
      <vt:lpstr>'اطلاعات واحدها'!Print_Area</vt:lpstr>
      <vt:lpstr>'اقدامات تکالیف بودجه'!Print_Area</vt:lpstr>
      <vt:lpstr>'اقدامات تکالیف مجمع'!Print_Area</vt:lpstr>
      <vt:lpstr>'اقلام عمده حسابها '!Print_Area</vt:lpstr>
      <vt:lpstr>'اقلام عمده حسابها آزادراه'!Print_Area</vt:lpstr>
      <vt:lpstr>'الف-ب-ج'!Print_Area</vt:lpstr>
      <vt:lpstr>'اهم اقدامات'!Print_Area</vt:lpstr>
      <vt:lpstr>'بهای تمام شده تولید'!Print_Area</vt:lpstr>
      <vt:lpstr>'بهای خدمات'!Print_Area</vt:lpstr>
      <vt:lpstr>'بهای خدمات آزادراهی'!Print_Area</vt:lpstr>
      <vt:lpstr>'بهای کالای تجاری'!Print_Area</vt:lpstr>
      <vt:lpstr>'بهره برداری آزادراه'!Print_Area</vt:lpstr>
      <vt:lpstr>'بهسازی آزادراه'!Print_Area</vt:lpstr>
      <vt:lpstr>پایان!Print_Area</vt:lpstr>
      <vt:lpstr>'پروژه ها'!Print_Area</vt:lpstr>
      <vt:lpstr>تسهیلات!Print_Area</vt:lpstr>
      <vt:lpstr>'تعداد پرسنل'!Print_Area</vt:lpstr>
      <vt:lpstr>'تعداد پرسنل آزادراه'!Print_Area</vt:lpstr>
      <vt:lpstr>'تعداد پرسنل آزادراه (2)'!Print_Area</vt:lpstr>
      <vt:lpstr>'جدول درآمد-هزینه-سود شرکتها'!Print_Area</vt:lpstr>
      <vt:lpstr>'جدول فروش خدمات'!Print_Area</vt:lpstr>
      <vt:lpstr>حقوقی!Print_Area</vt:lpstr>
      <vt:lpstr>'خدمات فرودگاهی'!Print_Area</vt:lpstr>
      <vt:lpstr>'خرید اقلام خدمات'!Print_Area</vt:lpstr>
      <vt:lpstr>'خرید اقلام خدمات آزادراهی'!Print_Area</vt:lpstr>
      <vt:lpstr>'خرید کالای تجاری'!Print_Area</vt:lpstr>
      <vt:lpstr>'خرید مواد اولیه تولید'!Print_Area</vt:lpstr>
      <vt:lpstr>'خلاصه وضعیت پروازی ناوگان'!Print_Area</vt:lpstr>
      <vt:lpstr>دارایی!Print_Area</vt:lpstr>
      <vt:lpstr>'در یک نگاه'!Print_Area</vt:lpstr>
      <vt:lpstr>'درآمد خدمات'!Print_Area</vt:lpstr>
      <vt:lpstr>'درآمد خدمات آزادراهی'!Print_Area</vt:lpstr>
      <vt:lpstr>'درآمد صادرات'!Print_Area</vt:lpstr>
      <vt:lpstr>'درآمد فروش بليط خارجی'!Print_Area</vt:lpstr>
      <vt:lpstr>'درآمد فروش بليط داخلی'!Print_Area</vt:lpstr>
      <vt:lpstr>'درآمد هزینه آزادراه'!Print_Area</vt:lpstr>
      <vt:lpstr>'دریافت پرداخت'!Print_Area</vt:lpstr>
      <vt:lpstr>'دریافت پرداخت نقد آزادراه'!Print_Area</vt:lpstr>
      <vt:lpstr>'روابط عمومی'!Print_Area</vt:lpstr>
      <vt:lpstr>روکش!Print_Area</vt:lpstr>
      <vt:lpstr>'ریز فروشگاه ها'!Print_Area</vt:lpstr>
      <vt:lpstr>'ریزشعب انبار'!Print_Area</vt:lpstr>
      <vt:lpstr>'سایر عملیاتی'!Print_Area</vt:lpstr>
      <vt:lpstr>'سایر عملیاتی آزادراهی'!Print_Area</vt:lpstr>
      <vt:lpstr>'سایر غیرعملیاتی'!Print_Area</vt:lpstr>
      <vt:lpstr>'سایر غیرعملیاتی آزادراهی'!Print_Area</vt:lpstr>
      <vt:lpstr>سوخت!Print_Area</vt:lpstr>
      <vt:lpstr>'سود سهام '!Print_Area</vt:lpstr>
      <vt:lpstr>'سود ناویژه خدمات'!Print_Area</vt:lpstr>
      <vt:lpstr>'سود ناویژه خدمات آزادراهی'!Print_Area</vt:lpstr>
      <vt:lpstr>'سود ناویژه صادراتی'!Print_Area</vt:lpstr>
      <vt:lpstr>'سود ناویژه محصول تولیدی'!Print_Area</vt:lpstr>
      <vt:lpstr>صادرات!Print_Area</vt:lpstr>
      <vt:lpstr>'صورت جریان وجوه نقد '!Print_Area</vt:lpstr>
      <vt:lpstr>'صورت جریان وجوه نقد - شرکت اصلی'!Print_Area</vt:lpstr>
      <vt:lpstr>'صورت جریان وجوه نقد آزادراه'!Print_Area</vt:lpstr>
      <vt:lpstr>'صورت سود و زیان'!Print_Area</vt:lpstr>
      <vt:lpstr>'صورت سود و زیان - شرکت اصلی'!Print_Area</vt:lpstr>
      <vt:lpstr>'صورت وضعیت مالی '!Print_Area</vt:lpstr>
      <vt:lpstr>'صورت وضعیت مالی - شرکت اصلی'!Print_Area</vt:lpstr>
      <vt:lpstr>'صورت وضعیت مالی آزادراه'!Print_Area</vt:lpstr>
      <vt:lpstr>'صورتخلاصه درآمد'!Print_Area</vt:lpstr>
      <vt:lpstr>'صورتخلاصه درآمد آزادراه'!Print_Area</vt:lpstr>
      <vt:lpstr>'ظرفیت انبارها'!Print_Area</vt:lpstr>
      <vt:lpstr>عوارض!Print_Area</vt:lpstr>
      <vt:lpstr>'فروش B2B'!Print_Area</vt:lpstr>
      <vt:lpstr>'فروش پخش'!Print_Area</vt:lpstr>
      <vt:lpstr>'فروش داخلی تجاری'!Print_Area</vt:lpstr>
      <vt:lpstr>'فروش داخلی تولیدی'!Print_Area</vt:lpstr>
      <vt:lpstr>کترینگ!Print_Area</vt:lpstr>
      <vt:lpstr>کلیات!Print_Area</vt:lpstr>
      <vt:lpstr>'گردش سهام'!Print_Area</vt:lpstr>
      <vt:lpstr>'گردش محصول تولیدی'!Print_Area</vt:lpstr>
      <vt:lpstr>'ماشین آلات '!Print_Area</vt:lpstr>
      <vt:lpstr>'مزایده-مناقصه'!Print_Area</vt:lpstr>
      <vt:lpstr>'مستندات تولید'!Print_Area</vt:lpstr>
      <vt:lpstr>'مصوبات هیات مدیره'!Print_Area</vt:lpstr>
      <vt:lpstr>'مقادیر تولید'!Print_Area</vt:lpstr>
      <vt:lpstr>'مقادیر خدمات'!Print_Area</vt:lpstr>
      <vt:lpstr>'مقادیر خدمات آزادراهی'!Print_Area</vt:lpstr>
      <vt:lpstr>'مقادیر مصرف مواد'!Print_Area</vt:lpstr>
      <vt:lpstr>'موجودی مواد و کالا آزادراهی'!Print_Area</vt:lpstr>
      <vt:lpstr>'میزان اجرای برنامه'!Print_Area</vt:lpstr>
      <vt:lpstr>'نگهداری آزادراه'!Print_Area</vt:lpstr>
      <vt:lpstr>واردات!Print_Area</vt:lpstr>
      <vt:lpstr>'هزینه اداری عمومی'!Print_Area</vt:lpstr>
      <vt:lpstr>'هزینه اداری عمومی آزادراه'!Print_Area</vt:lpstr>
      <vt:lpstr>'هزینه پرسنلی غیرمستقیم تولید'!Print_Area</vt:lpstr>
      <vt:lpstr>'هزینه پرسنلی غیرمستقیم خدمات'!Print_Area</vt:lpstr>
      <vt:lpstr>'هزینه پرسنلی غیرمستقیم خدمات 2'!Print_Area</vt:lpstr>
      <vt:lpstr>'هزینه پرسنلی مستقیم تولید'!Print_Area</vt:lpstr>
      <vt:lpstr>'هزینه پرسنلی مستقیم خدمات'!Print_Area</vt:lpstr>
      <vt:lpstr>'هزینه پرسنلی مستقیم خدمات 2'!Print_Area</vt:lpstr>
      <vt:lpstr>'هزینه سربار تولید'!Print_Area</vt:lpstr>
      <vt:lpstr>'هزینه سربار خدمات'!Print_Area</vt:lpstr>
      <vt:lpstr>'هزینه سربار خدمات آزادراهی'!Print_Area</vt:lpstr>
      <vt:lpstr>هندلینگ!Print_Area</vt:lpstr>
      <vt:lpstr>' سود ناویژه کالای تجاری'!Print_Titles</vt:lpstr>
      <vt:lpstr>اصلاحات!Print_Titles</vt:lpstr>
      <vt:lpstr>'اقدامات تکالیف بودجه'!Print_Titles</vt:lpstr>
      <vt:lpstr>'اقدامات تکالیف مجمع'!Print_Titles</vt:lpstr>
      <vt:lpstr>'اقلام عمده حسابها '!Print_Titles</vt:lpstr>
      <vt:lpstr>'اقلام عمده حسابها آزادراه'!Print_Titles</vt:lpstr>
      <vt:lpstr>'الف-ب-ج'!Print_Titles</vt:lpstr>
      <vt:lpstr>'اهم اقدامات'!Print_Titles</vt:lpstr>
      <vt:lpstr>'بهره برداری آزادراه'!Print_Titles</vt:lpstr>
      <vt:lpstr>'بهسازی آزادراه'!Print_Titles</vt:lpstr>
      <vt:lpstr>'پروژه ها'!Print_Titles</vt:lpstr>
      <vt:lpstr>'تغییر در فرمول بودجه و اصلی'!Print_Titles</vt:lpstr>
      <vt:lpstr>'خدمات فرودگاهی'!Print_Titles</vt:lpstr>
      <vt:lpstr>'خرید اقلام خدمات'!Print_Titles</vt:lpstr>
      <vt:lpstr>'خرید اقلام خدمات آزادراهی'!Print_Titles</vt:lpstr>
      <vt:lpstr>'خرید کالای تجاری'!Print_Titles</vt:lpstr>
      <vt:lpstr>'خرید مواد اولیه تولید'!Print_Titles</vt:lpstr>
      <vt:lpstr>'خلاصه وضعیت پروازی ناوگان'!Print_Titles</vt:lpstr>
      <vt:lpstr>دارایی!Print_Titles</vt:lpstr>
      <vt:lpstr>'دارایی آزادراه'!Print_Titles</vt:lpstr>
      <vt:lpstr>'درآمد خدمات'!Print_Titles</vt:lpstr>
      <vt:lpstr>'درآمد خدمات آزادراهی'!Print_Titles</vt:lpstr>
      <vt:lpstr>'درآمد صادرات'!Print_Titles</vt:lpstr>
      <vt:lpstr>'درآمد فروش بليط خارجی'!Print_Titles</vt:lpstr>
      <vt:lpstr>'درآمد فروش بليط داخلی'!Print_Titles</vt:lpstr>
      <vt:lpstr>'دریافت پرداخت'!Print_Titles</vt:lpstr>
      <vt:lpstr>'دریافت پرداخت نقد آزادراه'!Print_Titles</vt:lpstr>
      <vt:lpstr>'سایر عملیاتی'!Print_Titles</vt:lpstr>
      <vt:lpstr>'سایر عملیاتی آزادراهی'!Print_Titles</vt:lpstr>
      <vt:lpstr>'سایر غیرعملیاتی'!Print_Titles</vt:lpstr>
      <vt:lpstr>'سایر غیرعملیاتی آزادراهی'!Print_Titles</vt:lpstr>
      <vt:lpstr>سوخت!Print_Titles</vt:lpstr>
      <vt:lpstr>'سود سهام '!Print_Titles</vt:lpstr>
      <vt:lpstr>'سود ناویژه خدمات'!Print_Titles</vt:lpstr>
      <vt:lpstr>'سود ناویژه خدمات آزادراهی'!Print_Titles</vt:lpstr>
      <vt:lpstr>'سود ناویژه صادراتی'!Print_Titles</vt:lpstr>
      <vt:lpstr>'سود ناویژه محصول تولیدی'!Print_Titles</vt:lpstr>
      <vt:lpstr>'صورت جریان وجوه نقد آزادراه'!Print_Titles</vt:lpstr>
      <vt:lpstr>'صورت وضعیت مالی '!Print_Titles</vt:lpstr>
      <vt:lpstr>'صورت وضعیت مالی - شرکت اصلی'!Print_Titles</vt:lpstr>
      <vt:lpstr>'صورت وضعیت مالی آزادراه'!Print_Titles</vt:lpstr>
      <vt:lpstr>'ظرفیت انبارها'!Print_Titles</vt:lpstr>
      <vt:lpstr>عوارض!Print_Titles</vt:lpstr>
      <vt:lpstr>'فروش B2B'!Print_Titles</vt:lpstr>
      <vt:lpstr>'فروش پخش'!Print_Titles</vt:lpstr>
      <vt:lpstr>'فروش داخلی تجاری'!Print_Titles</vt:lpstr>
      <vt:lpstr>'فروش داخلی تولیدی'!Print_Titles</vt:lpstr>
      <vt:lpstr>کترینگ!Print_Titles</vt:lpstr>
      <vt:lpstr>کلیات!Print_Titles</vt:lpstr>
      <vt:lpstr>'گردش سهام'!Print_Titles</vt:lpstr>
      <vt:lpstr>'گردش محصول تولیدی'!Print_Titles</vt:lpstr>
      <vt:lpstr>'مستندات تولید'!Print_Titles</vt:lpstr>
      <vt:lpstr>'مصوبات هیات مدیره'!Print_Titles</vt:lpstr>
      <vt:lpstr>'مقادیر تولید'!Print_Titles</vt:lpstr>
      <vt:lpstr>'مقادیر خدمات'!Print_Titles</vt:lpstr>
      <vt:lpstr>'مقادیر خدمات آزادراهی'!Print_Titles</vt:lpstr>
      <vt:lpstr>'میزان اجرای برنامه'!Print_Titles</vt:lpstr>
      <vt:lpstr>'نگهداری آزادراه'!Print_Titles</vt:lpstr>
      <vt:lpstr>'هزینه اداری عمومی'!Print_Titles</vt:lpstr>
      <vt:lpstr>'هزینه اداری عمومی آزادراه'!Print_Titles</vt:lpstr>
      <vt:lpstr>'هزینه پرسنلی غیرمستقیم تولید'!Print_Titles</vt:lpstr>
      <vt:lpstr>'هزینه پرسنلی غیرمستقیم خدمات'!Print_Titles</vt:lpstr>
      <vt:lpstr>'هزینه پرسنلی غیرمستقیم خدمات 2'!Print_Titles</vt:lpstr>
      <vt:lpstr>'هزینه پرسنلی مستقیم تولید'!Print_Titles</vt:lpstr>
      <vt:lpstr>'هزینه پرسنلی مستقیم خدمات'!Print_Titles</vt:lpstr>
      <vt:lpstr>'هزینه پرسنلی مستقیم خدمات 2'!Print_Titles</vt:lpstr>
      <vt:lpstr>'هزینه سربار خدمات'!Print_Titles</vt:lpstr>
      <vt:lpstr>هندلینگ!Print_Titles</vt:lpstr>
      <vt:lpstr>ط1</vt:lpstr>
      <vt:lpstr>له274</vt:lpstr>
      <vt:lpstr>ئز4074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سعید عبدالهیان</dc:creator>
  <cp:lastModifiedBy>it</cp:lastModifiedBy>
  <cp:lastPrinted>2026-09-30T12:18:29Z</cp:lastPrinted>
  <dcterms:created xsi:type="dcterms:W3CDTF">2016-12-13T08:03:58Z</dcterms:created>
  <dcterms:modified xsi:type="dcterms:W3CDTF">2026-10-04T11:19:35Z</dcterms:modified>
</cp:coreProperties>
</file>